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91" activeTab="5"/>
  </bookViews>
  <sheets>
    <sheet name="planilha redusida" sheetId="6" r:id="rId1"/>
    <sheet name="Planilha de serviços" sheetId="1" r:id="rId2"/>
    <sheet name="CPU" sheetId="2" r:id="rId3"/>
    <sheet name="Memória" sheetId="3" r:id="rId4"/>
    <sheet name="BDI " sheetId="4" r:id="rId5"/>
    <sheet name="cronograma físico finaceiro" sheetId="5" r:id="rId6"/>
  </sheets>
  <definedNames>
    <definedName name="_xlnm.Print_Area" localSheetId="4">'BDI '!$A$1:$N$36</definedName>
    <definedName name="_xlnm.Print_Area" localSheetId="2">CPU!$A$1:$H$31</definedName>
    <definedName name="_xlnm.Print_Area" localSheetId="1">'Planilha de serviços'!$A$1:$I$81</definedName>
    <definedName name="Excel_BuiltIn__FilterDatabase_1">'Planilha de serviços'!$A$9:$I$80</definedName>
    <definedName name="Excel_BuiltIn_Print_Area" localSheetId="2">CPU!#REF!</definedName>
    <definedName name="Excel_BuiltIn_Print_Area" localSheetId="1">'Planilha de serviços'!$A$1:$I$80</definedName>
  </definedNames>
  <calcPr calcId="124519"/>
</workbook>
</file>

<file path=xl/calcChain.xml><?xml version="1.0" encoding="utf-8"?>
<calcChain xmlns="http://schemas.openxmlformats.org/spreadsheetml/2006/main">
  <c r="I85" i="1"/>
  <c r="I84"/>
  <c r="J14" i="3"/>
  <c r="F14"/>
  <c r="I14" s="1"/>
  <c r="D9"/>
  <c r="C9"/>
  <c r="C12" s="1"/>
  <c r="F19" i="1" s="1"/>
  <c r="J8" i="3"/>
  <c r="I8"/>
  <c r="H8"/>
  <c r="K8" s="1"/>
  <c r="G8"/>
  <c r="F8"/>
  <c r="J7"/>
  <c r="H7"/>
  <c r="L7" s="1"/>
  <c r="G7"/>
  <c r="F7"/>
  <c r="I7" s="1"/>
  <c r="K6"/>
  <c r="J6"/>
  <c r="H6"/>
  <c r="L6" s="1"/>
  <c r="G6"/>
  <c r="F6"/>
  <c r="I6" s="1"/>
  <c r="J5"/>
  <c r="H5"/>
  <c r="K5" s="1"/>
  <c r="G5"/>
  <c r="F5"/>
  <c r="F63" i="1"/>
  <c r="F62"/>
  <c r="F61"/>
  <c r="F56"/>
  <c r="F55"/>
  <c r="F54"/>
  <c r="G19"/>
  <c r="G16"/>
  <c r="H16" s="1"/>
  <c r="I16" s="1"/>
  <c r="G15"/>
  <c r="H15" s="1"/>
  <c r="I15" s="1"/>
  <c r="G14"/>
  <c r="H14" s="1"/>
  <c r="I14" s="1"/>
  <c r="G13"/>
  <c r="H13" s="1"/>
  <c r="I13" s="1"/>
  <c r="G12"/>
  <c r="H12" s="1"/>
  <c r="I12" s="1"/>
  <c r="G10"/>
  <c r="H10" s="1"/>
  <c r="H78"/>
  <c r="H19"/>
  <c r="H20"/>
  <c r="H21"/>
  <c r="H22"/>
  <c r="H23"/>
  <c r="H24"/>
  <c r="H25"/>
  <c r="H26"/>
  <c r="H27"/>
  <c r="H28"/>
  <c r="H29"/>
  <c r="H30"/>
  <c r="H31"/>
  <c r="H32"/>
  <c r="H34"/>
  <c r="H35"/>
  <c r="H36"/>
  <c r="H37"/>
  <c r="H38"/>
  <c r="H39"/>
  <c r="H40"/>
  <c r="H41"/>
  <c r="H42"/>
  <c r="H45"/>
  <c r="H46"/>
  <c r="H47"/>
  <c r="H49"/>
  <c r="H50"/>
  <c r="H51"/>
  <c r="H52"/>
  <c r="H53"/>
  <c r="H54"/>
  <c r="H55"/>
  <c r="H56"/>
  <c r="H57"/>
  <c r="H58"/>
  <c r="H59"/>
  <c r="H60"/>
  <c r="H61"/>
  <c r="H62"/>
  <c r="H63"/>
  <c r="H66"/>
  <c r="H67"/>
  <c r="H68"/>
  <c r="H69"/>
  <c r="H70"/>
  <c r="H71"/>
  <c r="H72"/>
  <c r="H73"/>
  <c r="H74"/>
  <c r="H75"/>
  <c r="H76"/>
  <c r="H77"/>
  <c r="G12" i="3" l="1"/>
  <c r="F24" i="1" s="1"/>
  <c r="F12" i="3"/>
  <c r="I5"/>
  <c r="I12" s="1"/>
  <c r="K7"/>
  <c r="L8"/>
  <c r="G9"/>
  <c r="L5"/>
  <c r="F9"/>
  <c r="I9" s="1"/>
  <c r="J9"/>
  <c r="J12" s="1"/>
  <c r="F31" i="1" s="1"/>
  <c r="H9" i="3"/>
  <c r="C5" i="4"/>
  <c r="N29"/>
  <c r="D31" s="1"/>
  <c r="F48" i="1"/>
  <c r="F49" s="1"/>
  <c r="F37"/>
  <c r="F22"/>
  <c r="F20"/>
  <c r="I76"/>
  <c r="I60"/>
  <c r="I58"/>
  <c r="I52"/>
  <c r="I37"/>
  <c r="I38"/>
  <c r="I39"/>
  <c r="I40"/>
  <c r="I41"/>
  <c r="I45"/>
  <c r="I46"/>
  <c r="I47"/>
  <c r="I53"/>
  <c r="I54"/>
  <c r="I55"/>
  <c r="I56"/>
  <c r="I59"/>
  <c r="I61"/>
  <c r="I62"/>
  <c r="I63"/>
  <c r="I70"/>
  <c r="I71"/>
  <c r="I72"/>
  <c r="I73"/>
  <c r="I74"/>
  <c r="I75"/>
  <c r="I77"/>
  <c r="G30" i="2"/>
  <c r="G29"/>
  <c r="G22"/>
  <c r="N10" i="4"/>
  <c r="D15"/>
  <c r="N15"/>
  <c r="D21"/>
  <c r="N21"/>
  <c r="N27"/>
  <c r="G7" i="2"/>
  <c r="G8"/>
  <c r="G9"/>
  <c r="G10"/>
  <c r="G15"/>
  <c r="G16"/>
  <c r="G17"/>
  <c r="G18"/>
  <c r="G19"/>
  <c r="G20"/>
  <c r="G21"/>
  <c r="G23"/>
  <c r="F21" i="1"/>
  <c r="F67"/>
  <c r="E17" i="3"/>
  <c r="E18"/>
  <c r="E19"/>
  <c r="E20"/>
  <c r="E21"/>
  <c r="E22"/>
  <c r="E25"/>
  <c r="E26"/>
  <c r="E27"/>
  <c r="E28"/>
  <c r="F26" i="1"/>
  <c r="I26" s="1"/>
  <c r="F57"/>
  <c r="I57" s="1"/>
  <c r="F66"/>
  <c r="F77"/>
  <c r="F68"/>
  <c r="F69"/>
  <c r="E29" i="3"/>
  <c r="F78" i="1"/>
  <c r="F30"/>
  <c r="H5" i="2"/>
  <c r="G11" i="1"/>
  <c r="H11" s="1"/>
  <c r="I11" s="1"/>
  <c r="H27" i="2"/>
  <c r="H13"/>
  <c r="F25"/>
  <c r="G25"/>
  <c r="G33" i="1"/>
  <c r="H33" s="1"/>
  <c r="G48"/>
  <c r="H48" s="1"/>
  <c r="H25" i="2"/>
  <c r="F50" i="1" l="1"/>
  <c r="I50" s="1"/>
  <c r="I24"/>
  <c r="I66"/>
  <c r="L9" i="3"/>
  <c r="K9"/>
  <c r="K12" s="1"/>
  <c r="L12"/>
  <c r="I30" i="1"/>
  <c r="I68"/>
  <c r="H12" i="3"/>
  <c r="F32" i="1"/>
  <c r="F23"/>
  <c r="I22"/>
  <c r="I31"/>
  <c r="I78"/>
  <c r="I67"/>
  <c r="I21"/>
  <c r="I69"/>
  <c r="I10"/>
  <c r="I19"/>
  <c r="I20"/>
  <c r="I49"/>
  <c r="I48"/>
  <c r="F51"/>
  <c r="F33" l="1"/>
  <c r="F35"/>
  <c r="F36"/>
  <c r="F34"/>
  <c r="F27"/>
  <c r="F25"/>
  <c r="I23"/>
  <c r="I79"/>
  <c r="C12" i="6" s="1"/>
  <c r="C19" i="5" s="1"/>
  <c r="D19" s="1"/>
  <c r="I32" i="1"/>
  <c r="I51"/>
  <c r="I64" s="1"/>
  <c r="C11" i="6" s="1"/>
  <c r="I17" i="1"/>
  <c r="C9" i="6" s="1"/>
  <c r="C13" i="5" s="1"/>
  <c r="I27" i="1" l="1"/>
  <c r="I33"/>
  <c r="F29"/>
  <c r="I25"/>
  <c r="F28"/>
  <c r="I35"/>
  <c r="I36"/>
  <c r="F42"/>
  <c r="I34"/>
  <c r="C17" i="5"/>
  <c r="D17" s="1"/>
  <c r="J19"/>
  <c r="E19"/>
  <c r="F19"/>
  <c r="H19"/>
  <c r="I19"/>
  <c r="G19"/>
  <c r="D13"/>
  <c r="I42" i="1" l="1"/>
  <c r="I29"/>
  <c r="I28"/>
  <c r="J28" s="1"/>
  <c r="G17" i="5"/>
  <c r="J17"/>
  <c r="I17"/>
  <c r="H17"/>
  <c r="F17"/>
  <c r="E17"/>
  <c r="K19"/>
  <c r="K20" s="1"/>
  <c r="J13"/>
  <c r="E13"/>
  <c r="F13"/>
  <c r="I13"/>
  <c r="G13"/>
  <c r="H13"/>
  <c r="J16" i="1"/>
  <c r="E33" i="4"/>
  <c r="J46" i="1"/>
  <c r="J77"/>
  <c r="J76"/>
  <c r="J70"/>
  <c r="J35"/>
  <c r="J25"/>
  <c r="J45"/>
  <c r="J41"/>
  <c r="J72"/>
  <c r="J68"/>
  <c r="J37"/>
  <c r="J75"/>
  <c r="J71"/>
  <c r="J40"/>
  <c r="J73"/>
  <c r="J47"/>
  <c r="J74"/>
  <c r="J19"/>
  <c r="J67"/>
  <c r="J29"/>
  <c r="J11"/>
  <c r="J33"/>
  <c r="J34"/>
  <c r="J36"/>
  <c r="J26"/>
  <c r="J23"/>
  <c r="J31"/>
  <c r="J32"/>
  <c r="J30"/>
  <c r="J27"/>
  <c r="J38"/>
  <c r="J24"/>
  <c r="J21"/>
  <c r="J22"/>
  <c r="J39"/>
  <c r="J66"/>
  <c r="J20"/>
  <c r="J15"/>
  <c r="J69"/>
  <c r="J78"/>
  <c r="J10"/>
  <c r="I43" l="1"/>
  <c r="K17" i="5"/>
  <c r="K18" s="1"/>
  <c r="K13"/>
  <c r="E34" i="4"/>
  <c r="C10" i="6" l="1"/>
  <c r="C15" i="5" s="1"/>
  <c r="I81" i="1"/>
  <c r="C13" i="6" s="1"/>
  <c r="E35" i="4"/>
  <c r="K14" i="5"/>
  <c r="D15" l="1"/>
  <c r="C21"/>
  <c r="G15" l="1"/>
  <c r="G21" s="1"/>
  <c r="G22" s="1"/>
  <c r="E15"/>
  <c r="F15"/>
  <c r="F21" s="1"/>
  <c r="F22" s="1"/>
  <c r="I15"/>
  <c r="I21" s="1"/>
  <c r="I22" s="1"/>
  <c r="H15"/>
  <c r="H21" s="1"/>
  <c r="H22" s="1"/>
  <c r="D21"/>
  <c r="D22" s="1"/>
  <c r="J15"/>
  <c r="J21" s="1"/>
  <c r="J22" s="1"/>
  <c r="D16"/>
  <c r="D20"/>
  <c r="D18"/>
  <c r="D14"/>
  <c r="E21" l="1"/>
  <c r="E22" s="1"/>
  <c r="E23" s="1"/>
  <c r="F23" s="1"/>
  <c r="G23" s="1"/>
  <c r="H23" s="1"/>
  <c r="I23" s="1"/>
  <c r="J23" s="1"/>
  <c r="K15"/>
  <c r="K16" l="1"/>
  <c r="K21"/>
  <c r="K22" s="1"/>
</calcChain>
</file>

<file path=xl/comments1.xml><?xml version="1.0" encoding="utf-8"?>
<comments xmlns="http://schemas.openxmlformats.org/spreadsheetml/2006/main">
  <authors>
    <author/>
  </authors>
  <commentList>
    <comment ref="C25" authorId="0">
      <text>
        <r>
          <rPr>
            <b/>
            <sz val="9"/>
            <color indexed="8"/>
            <rFont val="Segoe UI"/>
            <family val="2"/>
          </rPr>
          <t>Consulta on line no dia 14/06/2017</t>
        </r>
      </text>
    </comment>
  </commentList>
</comments>
</file>

<file path=xl/sharedStrings.xml><?xml version="1.0" encoding="utf-8"?>
<sst xmlns="http://schemas.openxmlformats.org/spreadsheetml/2006/main" count="567" uniqueCount="306">
  <si>
    <r>
      <t>Ministério da Integração Nacional</t>
    </r>
    <r>
      <rPr>
        <sz val="10"/>
        <color indexed="8"/>
        <rFont val="Arial"/>
        <family val="2"/>
      </rPr>
      <t xml:space="preserve"> </t>
    </r>
  </si>
  <si>
    <t>Companhia de Desenvolvimento dos Vales do São Francisco e do Parnaíba</t>
  </si>
  <si>
    <t>Área de Revitalização das Bacias Hidrográficas</t>
  </si>
  <si>
    <t>EXECUÇÃO DAS OBRAS E SERVIÇOS COMPLEMENTARES AO SISTEMA DE ESGOTAMENTO SANITÁRIO DO MUNICÍPIO DE IGREJA NOVA/AL</t>
  </si>
  <si>
    <t>ITEM</t>
  </si>
  <si>
    <t>COD</t>
  </si>
  <si>
    <t>Base</t>
  </si>
  <si>
    <t>DISCRIMINAÇÃO DOS SERVIÇOS</t>
  </si>
  <si>
    <t>UNID.</t>
  </si>
  <si>
    <t>QUANT.</t>
  </si>
  <si>
    <t>PREÇO (R$)</t>
  </si>
  <si>
    <t>UNITÁRIO SEM BDI</t>
  </si>
  <si>
    <t>TOTAL</t>
  </si>
  <si>
    <t xml:space="preserve">SERVIÇOS - REDE COLETORA – ETE – EMISSÁRIO </t>
  </si>
  <si>
    <t>1.0</t>
  </si>
  <si>
    <t>SERVIÇOS PRELIMINARES</t>
  </si>
  <si>
    <t>1.1</t>
  </si>
  <si>
    <t>COMP1</t>
  </si>
  <si>
    <t>Composição</t>
  </si>
  <si>
    <t xml:space="preserve">MOBILIZAÇÃO </t>
  </si>
  <si>
    <t>und</t>
  </si>
  <si>
    <t>1.2</t>
  </si>
  <si>
    <t xml:space="preserve">Composição </t>
  </si>
  <si>
    <t>DESMOBILIZAÇÃO</t>
  </si>
  <si>
    <t>1.3</t>
  </si>
  <si>
    <t>SINAPI</t>
  </si>
  <si>
    <t xml:space="preserve">EXECUÇÃO DE ESCRITÓRIO EM CANTEIRO DE OBRA EM CHAPA DE MADEIRA COMPENSADA, NÃO INCLUSO MOBILIÁRIO E EQUIPAMENTOS. 
 </t>
  </si>
  <si>
    <t>m²</t>
  </si>
  <si>
    <t>1.4</t>
  </si>
  <si>
    <t>EXECUÇÃO DE ALMOXARIFADO EM CANTEIRO DE OBRA EM CHAPA DE MADEIRA COMPENSADA, INCLUSO PRATELEIRAS. AF_02/2016</t>
  </si>
  <si>
    <t>1.5</t>
  </si>
  <si>
    <t xml:space="preserve">EXECUÇÃO DE SANITÁRIO E VESTIÁRIO EM CANTEIRO DE OBRA EM CHAPA DE MADE IRA COMPENSADA, NÃO INCLUSO MOBILIÁRIO. 
 </t>
  </si>
  <si>
    <t>1.6</t>
  </si>
  <si>
    <t>COMP2</t>
  </si>
  <si>
    <t>ADMINISTRAÇÃO LOCAL E MANUTENÇÃO DO CANTEIRO DE OBRAS</t>
  </si>
  <si>
    <t xml:space="preserve">global </t>
  </si>
  <si>
    <t>1.7</t>
  </si>
  <si>
    <t>74209/001</t>
  </si>
  <si>
    <t>PLACA DE OBRA EM CHAPA DE AÇO GALVANIZADO PADRÃO CODEVASF,INCL.FORNEC.,TRANSP. E INST.</t>
  </si>
  <si>
    <t>TOTAL ITEM 1.0</t>
  </si>
  <si>
    <t>2.0</t>
  </si>
  <si>
    <t xml:space="preserve">REDE COLETORA DE ESGOTO </t>
  </si>
  <si>
    <t>2.1</t>
  </si>
  <si>
    <t>LOCAÇÃO DE REDES DE ÁGUA OU DE ESGOTO, INCLUSIVE TOPOGRAFO</t>
  </si>
  <si>
    <t xml:space="preserve">m </t>
  </si>
  <si>
    <t>2.2</t>
  </si>
  <si>
    <t>SINALIZAÇÃO DE ADVERTÊNCIA E ISOLAMENTO DA ÁREA PARA ESCAVAÇÃO – AÇO GALVANIZADO - PLACA (MANTIDA DO INÍCIO ATÉ O TERMINO DO SERVIÇO)</t>
  </si>
  <si>
    <t>2.3</t>
  </si>
  <si>
    <t>74221/001</t>
  </si>
  <si>
    <t>SINALIZAÇÃO DE TRANSITO - NOTURNA</t>
  </si>
  <si>
    <t>2.4</t>
  </si>
  <si>
    <t>74219/001</t>
  </si>
  <si>
    <t>PASSADIÇOS DE MADEIRA PARA PEDESTRES</t>
  </si>
  <si>
    <t>2.5</t>
  </si>
  <si>
    <t xml:space="preserve">ESCAVAÇÃO MECANIZADA DE VALA COM PROFUNDIDADE ATÉ 1,5 M (MÉDIA ENTRE MONTANTE E JUSANTE/UMA COMPOSIÇÃO POR TRECHO) COM RETROESCAVADEIRA (CAP ACIDADE DA CAÇAMBA DA RETRO: 0,26 M3 / POTÊNCIA: 88 HP), LARGURA MENOR QUE 0,8 M, EM SOLO DE 1A CATEGORIA, LOCAIS COM BAIXO NÍVEL DE INTERFERÊNCIA.
 </t>
  </si>
  <si>
    <t>m³</t>
  </si>
  <si>
    <t>2.6</t>
  </si>
  <si>
    <t xml:space="preserve"> ESCAVAÇÃO MECANIZADA DE VALA COM PROFUNDIDADE MAIOR QUE 1,5 M ATÉ 3,0 M, COM (MÉDIA ENTRE MONTANTE E JUSANTE/UMA COMPOSIÇÃO POR TRECHO) COM RETROESCAVADEIRA CAPACIDADE DA CAÇAMBA DA RETRO: 0,26 M3 / POTÊNCIA: 88 HP), LARGURA MENOR QUE 0,8 M, EM SOLO DE1A CATEGORIA, LOCAIS COM BA  LIXO NÍVEL DE INTERFERÊNCIA. </t>
  </si>
  <si>
    <t>2.7</t>
  </si>
  <si>
    <t>ORSE</t>
  </si>
  <si>
    <t>Desmonte de rocha dura incluindo perfuração e argamassa expansiva. POÇOS DE VISITA</t>
  </si>
  <si>
    <t>2.8</t>
  </si>
  <si>
    <t xml:space="preserve"> ESCORAMENTO DE VALA, TIPO PONTALETEAMENTO, COM PROFUNDIDADE DE 1,5 A 3,0 M, LARGURA MENOR QUE 1,5 M, EM LOCAL COM NÍVEL BAIXO DE INTERFERÊNCIA.</t>
  </si>
  <si>
    <t>2.9</t>
  </si>
  <si>
    <t>74010/001</t>
  </si>
  <si>
    <t>CARGA E DESCARGA MECÂNICA DE SOLO UTILIZANDO CAMINHÃO BASCULANTE 5,0M3 /11T E PA CARREGADEIRA SOBRE PNEUS * 105 HP * CAP. 1,72M3. - BOTA – FORA</t>
  </si>
  <si>
    <t>2.10</t>
  </si>
  <si>
    <t>TRANSPORTE COMERCIAL COM CAMINHÃO BASCULANTE 6 M3, RODOVIA PAVIMENTADA – BOTA – FORA</t>
  </si>
  <si>
    <t>2.11</t>
  </si>
  <si>
    <t>ESPALHAMENTO DE MATERIAL EM BOTA FORA, COM UTILIZAÇÃO DE TRATOR DE ESTEIRAS DE 165 HP</t>
  </si>
  <si>
    <t>2.12</t>
  </si>
  <si>
    <t>TUBO PVC ESGOTO SERIE R DN 150MM C/ ANEL DE BORRACHA - FORNECIMENTO E ASSENTAMENTO</t>
  </si>
  <si>
    <t>2.13</t>
  </si>
  <si>
    <t xml:space="preserve"> LASTRO DE VALA COM PREPARO DE FUNDO, LARGURA MENOR QUE 1,5 M, COM CAMA DA DE AREIA, LANÇAMENTO MECANIZADO, EM LOCAL COM NÍVEL BAIXO DE INTERFERÊNCIA </t>
  </si>
  <si>
    <t>2.14</t>
  </si>
  <si>
    <t xml:space="preserve">REATERRO MECANIZADO DE VALA COM RETROESCAVADEIRA (CAPACIDADE DA CAÇAMBA DA RETRO: 0,26 M³ / POTÊNCIA: 88 HP), LARGURA DE 0,8 A 1,5 M, PROFUNDIDADE DE 1,5 A 3,0 M, COM SOLO (SEM SUBSTITUIÇÃO) DE 1ª CATEGORIA EM  LOCAIS COM BAIXO NÍVEL DE INTERFERÊNCIA. </t>
  </si>
  <si>
    <t>2.15</t>
  </si>
  <si>
    <t xml:space="preserve">MATERIAL DE JAZIDA OU AREIA FINA PARA ATERRO, INCLUSIVE AQUISIÇÃO E ESCAVAÇÃO, EXCLUSIVE TRANSPORTE  </t>
  </si>
  <si>
    <t xml:space="preserve">m³ </t>
  </si>
  <si>
    <t>2.16</t>
  </si>
  <si>
    <t>CARGA E DESCARGA MECÂNICA DE SOLO UTILIZANDO CAMINHÃO BASCULANTE 5,0M3 /11T E PA CARREGADEIRA SOBRE PNEUS * 105 HP * CAP. 1,72M3. - SOLO DE JAZIDA</t>
  </si>
  <si>
    <t>2.17</t>
  </si>
  <si>
    <t>TRANSPORTE COMERCIAL COM CAMINHÃO BASCULANTE 6 M3, RODOVIA PAVIMENTADA  - SOLO DE JAZIDA</t>
  </si>
  <si>
    <t>2.18</t>
  </si>
  <si>
    <r>
      <t xml:space="preserve">REATERRO, UTILIZANDO MATERIAL </t>
    </r>
    <r>
      <rPr>
        <sz val="11"/>
        <color indexed="8"/>
        <rFont val="Arial"/>
        <family val="2"/>
        <charset val="1"/>
      </rPr>
      <t>GRANULAR AD</t>
    </r>
    <r>
      <rPr>
        <sz val="12"/>
        <color indexed="8"/>
        <rFont val="Calibri"/>
        <family val="1"/>
        <charset val="1"/>
      </rPr>
      <t>QUIRIDO EM JAZIDA, JÁ CONSIDERANDO UM ACRÉSCIMO DE 25% NO VOLUME DO MATERIAL ADQUIRIDO, NÃO CONSIDERANDO O TRANSPORTE ATÉ O REATERRO</t>
    </r>
  </si>
  <si>
    <t>2.19</t>
  </si>
  <si>
    <t>73891/001</t>
  </si>
  <si>
    <t xml:space="preserve">ESGOTAMENTO COM MOTO-BOMBA AUTOESCOVANTE </t>
  </si>
  <si>
    <t>H</t>
  </si>
  <si>
    <t>2.20</t>
  </si>
  <si>
    <t>73963/015</t>
  </si>
  <si>
    <t>POCO DE VISITA PARA REDE DE ESG. SANIT., EM ANÉIS DE CONCRETO, DIÂMETRO = 60CM E 110CM, PROF =350CM, INCLUINDO DEGRAU, EXCLUINDO TAMPÃO FERRO FUNDIDO.</t>
  </si>
  <si>
    <t>2.21</t>
  </si>
  <si>
    <t>73963/016</t>
  </si>
  <si>
    <t>POCO DE VISITA PARA REDE DE ESG. SANIT., EM ANÉIS DE CONCRETO, DIÂMETRO = 60CM E 110CM, PROF =380CM, INCLUINDO DEGRAU, EXCLUINDO TAMPÃO FERRO FUNDIDO.</t>
  </si>
  <si>
    <t>2.22</t>
  </si>
  <si>
    <t>73963/017</t>
  </si>
  <si>
    <t>POCO DE VISITA PARA REDE DE ESG. SANIT., EM ANÉIS DE CONCRETO, DIÂMETRO = 60CM E 110CM, PROF =410CM, INCLUINDO DEGRAU, EXCLUINDO TAMPÃO FERRO FUNDIDO.</t>
  </si>
  <si>
    <t>2.23</t>
  </si>
  <si>
    <t>TAMPÃO DE FERRO FUNDIDO, D = 60CM, 175KG, P = CHAMINE CX AREIA/POCO VISITA ASSENTADO COM ARG CIM/AREIA 1:4, FORNECIMENTO E ASSENTAMENTO</t>
  </si>
  <si>
    <t>2.24</t>
  </si>
  <si>
    <t>74005/001</t>
  </si>
  <si>
    <t>COMPACTAÇÃO MECÂNICA, SEM CONTROLE DO GC (C/COMPACTADOR PLACA 400 KG</t>
  </si>
  <si>
    <t>TOTAL ITEM 2.0</t>
  </si>
  <si>
    <t>3.0</t>
  </si>
  <si>
    <t>ESTAÇÃO DE TRATAMENTO DE ESGOTO – ETE</t>
  </si>
  <si>
    <t>3.1</t>
  </si>
  <si>
    <t xml:space="preserve"> GUIA (MEIO-FIO) CONCRETO, MOLDADA  IN LOCO  EM TRECHO RETO COM EXTRUSORA, 11,5 CM BASE X 22 CM ALTURA</t>
  </si>
  <si>
    <t>3.2</t>
  </si>
  <si>
    <t>LASTRO DE BRITA – REVESTIMENTO DA ÁREA SUPERIOR DOS TALUDES DA ETE E = 4CM – CONFORME PROJETO – Brita nº 1 e 2</t>
  </si>
  <si>
    <t>3.3</t>
  </si>
  <si>
    <t>74142/004</t>
  </si>
  <si>
    <t xml:space="preserve"> CERCA COM MOURÕES DE CONCRETO, SEÇÃO "T" PONTA INCLINADA, 10X10CM ACABAMENTO DE 3M, CRAVADOS 0,5M, COM 11 FIOS DE ARAME FARPADO Nº 16
 </t>
  </si>
  <si>
    <t>3.4</t>
  </si>
  <si>
    <t>3.5</t>
  </si>
  <si>
    <t>3.6</t>
  </si>
  <si>
    <t>3.7</t>
  </si>
  <si>
    <t>3.8</t>
  </si>
  <si>
    <t>PORTA DE MADEIRA PARA PINTURA, SEMI-OCA (LEVE OU MÉDIA), 90X210CM, ESPESSURA DE 3,5CM, INCLUSO DOBRADIÇAS - FORNECIMENTO E INSTALAÇÃO.</t>
  </si>
  <si>
    <t>3.9</t>
  </si>
  <si>
    <t>PORTA DE MADEIRA PARA PINTURA, SEMI-OCA (LEVE OU MÉDIA), 70X210CM, ESPESSURA DE 3,5CM, INCLUSO DOBRADIÇAS - FORNECIMENTO E INSTALAÇÃO.</t>
  </si>
  <si>
    <t>3.10</t>
  </si>
  <si>
    <t xml:space="preserve"> JANELA DE MADEIRA TIPO VENEZIANA/GUILHOTINA, DE ABRIR, INCLUSAS GUARNIÇÕES E FERRAGENS</t>
  </si>
  <si>
    <t>3.11</t>
  </si>
  <si>
    <t xml:space="preserve"> 73932/001</t>
  </si>
  <si>
    <t xml:space="preserve"> GRADE DE FERRO EM BARRA CHATA 3/16" (portas de entrada e janelas 15cm a mais na medidas das janelas para fixação)</t>
  </si>
  <si>
    <t>3.12</t>
  </si>
  <si>
    <t xml:space="preserve">PINTURA ESMALTE FOSCO EM MADEIRA, DUAS DEMAOS </t>
  </si>
  <si>
    <t>3.13</t>
  </si>
  <si>
    <t>73794/001</t>
  </si>
  <si>
    <t>PINTURA COM TINTA PROTETORA ACABAMENTO GRAFITE ESMALTE SOBRE SUPERFÍCIE METÁLICA, 2 DEMÃOS</t>
  </si>
  <si>
    <t>3.14</t>
  </si>
  <si>
    <t xml:space="preserve">BANCA/PIA DE AÇO INOXIDÁVEL (AISI 430) COM 1 CUBA CENTRAL, COM VÁLVULA, ESCORREDOR DUPLO, DE *0,55 X 1,40* M </t>
  </si>
  <si>
    <t>3.15</t>
  </si>
  <si>
    <t>TORNEIRA CROMADA LONGA, DE PAREDE, 1/2" OU 3/4", PARA PIA DE COZINHA PADRÃO MÉDIO - FORNECIMENTO E INSTALAÇÃO.</t>
  </si>
  <si>
    <t>3.16</t>
  </si>
  <si>
    <t xml:space="preserve"> VASO SANITÁRIO SIFONADO COM CAIXA ACOPLADA LOUÇA BRANCA – FORNECIMENTO  E INSTALAÇÃO</t>
  </si>
  <si>
    <t>3.17</t>
  </si>
  <si>
    <t xml:space="preserve"> CALHA DE CONCRETO SIMPLES TIPO MEIA CANA D = 60CM PARA ÁGUA PLUVIAL </t>
  </si>
  <si>
    <t>3.18</t>
  </si>
  <si>
    <t xml:space="preserve">  74236/001</t>
  </si>
  <si>
    <t>PLANTIO DE GRAMA BATATAIS EM PLACAS</t>
  </si>
  <si>
    <t>3.19</t>
  </si>
  <si>
    <t xml:space="preserve">CONCRETO ARMADO DOSADO 15 MPA INCLUINDO FORMA/DESFORMA, PREPARO LANÇAMENTO E ADENSAMENTO, ESCORAMENTO E FERRAGEM AÇO CA-50 MÃO DE OBRA PARA CORTE, DOBRA, MONTAGEM E COLOCAÇÃO </t>
  </si>
  <si>
    <t>TOTAL ITEM 3.0</t>
  </si>
  <si>
    <t>4.0</t>
  </si>
  <si>
    <t xml:space="preserve">EMISSÁRIO </t>
  </si>
  <si>
    <t>4.1</t>
  </si>
  <si>
    <t>4.2</t>
  </si>
  <si>
    <t>4.3</t>
  </si>
  <si>
    <t>EXECUÇÃO DE ENVOLTÓRIA OU BERÇO/LASTRO DE AREIA EM VALAS, INCL. LANÇAM., ESPALHAM., E COMPACT., C/ PLACA VIBRATÓRIA, SOQUETE PNEUMÁTICO OU SOQUETE MANUAL C/ FORNECIMENTO DE MATERIAL</t>
  </si>
  <si>
    <t>4.4</t>
  </si>
  <si>
    <t>REATERRO MECANIZADO DE VALA COM RETROESCAVADEIRA (CAPACIDADE DA CAÇAMBA DA RETRO: 0,26 M³ / POTÊNCIA: 88 HP), LARGURA DE 0,8 A 1,5 M, PROFUNDIDADE ATÉ 1,5 M, COM SOLO (SEM SUBSTITUIÇÃO) DE 1ª CATEGORIA EM LOCAIS COM BAIXO NÍVEL DE INTERFERÊNCIA.</t>
  </si>
  <si>
    <t>4.5</t>
  </si>
  <si>
    <t>ASSENTAMENTO TUBO PVC COM JUNTA ELÁSTICA, DN 250 MM - (OU RPVC, OU PRFV) - PARA ESGOTO.</t>
  </si>
  <si>
    <t>4.6</t>
  </si>
  <si>
    <t>FORNECIMENTO DE TUBO PVC EB-644 P/ REDE COLET ESG JE DN 250MM</t>
  </si>
  <si>
    <t>4.7</t>
  </si>
  <si>
    <t>FORNECIMENTO DE ANEL BORRACHA P/ TUBO PVC REDE ESGOTO EB 644 DN 250MM</t>
  </si>
  <si>
    <t>4.8</t>
  </si>
  <si>
    <t>73963/005</t>
  </si>
  <si>
    <t>POCO DE VISITA PARA REDE DE ESG. SANIT., EM ANÉIS DE CONCRETO, DIÂMETRO = 60CM E 110CM, PROF =120CM, INCLUINDO DEGRAU, EXCLUINDO TAMPÃO FERRO FUNDIDO.</t>
  </si>
  <si>
    <t>4.9</t>
  </si>
  <si>
    <t>TAMPÃO DE FERRO FUNDIDO, D = 60CM, 175KG, P = CHAMINÉ CX AREIA/POCO VISITA ASSENTADO COM ARG CIM/AREIA 1:4, FORNECIMENTO E ASSENTAMENTO</t>
  </si>
  <si>
    <t>4.10</t>
  </si>
  <si>
    <t>ASSENTAMENTO TUBO DE FERRO FUNDIDO, JUNTA ELÁSTICA PONTA / BOLSA CLASSE K 7 D = 150MM -ESGOTO – ASSENTADO EM CRUZAMENTO DE GALERIA DE ÁGUAS PLUVIAIS E NA SAÍDA DO EMISSÁRIO – INCLUINDO ANEL DE BORRACHA</t>
  </si>
  <si>
    <t>4.11</t>
  </si>
  <si>
    <t xml:space="preserve"> FORNECIMENTO DE TUBO DE FERRO FUNDIDO, JUNTA ELÁSTICA PONTA / BOLSA CLASSE K 7 D = 150MM – ASSENTADO EM CRUZAMENTO DE GALERIA DE ÁGUAS PLUVIAIS E NO ÚLTIMO TRECHO DO EMISSÁRIO</t>
  </si>
  <si>
    <t>4.12</t>
  </si>
  <si>
    <t>4.13</t>
  </si>
  <si>
    <t>LIMPEZA DA OBRA</t>
  </si>
  <si>
    <t>TOTAL ITEM 4.0</t>
  </si>
  <si>
    <t>TOTAL COM BDI</t>
  </si>
  <si>
    <t>COMP 1</t>
  </si>
  <si>
    <t>BASE</t>
  </si>
  <si>
    <t>MOBILIZAÇÃO DE PESSOAL E EQUIPAMENTOS</t>
  </si>
  <si>
    <t>un</t>
  </si>
  <si>
    <t>Cod</t>
  </si>
  <si>
    <t>Descrição</t>
  </si>
  <si>
    <t>quant</t>
  </si>
  <si>
    <t>cust.unit.</t>
  </si>
  <si>
    <t>custo s/BDI</t>
  </si>
  <si>
    <t xml:space="preserve"> CAMINHÃO BASCULANTE 14 M3, COM CAVALO MECÂNICO DE CAPACIDADE MÁXIMA DE  TRAÇÃO COMBINADO DE 36000 KG, POTÊNCIA 286 CV, INCLUSIVE SEMIREBOQUE
 </t>
  </si>
  <si>
    <t>h</t>
  </si>
  <si>
    <t xml:space="preserve"> CAMINHÃO BASCULANTE 6 M3, PESO BRUTO TOTAL 16.000 KG, CARGA ÚTIL MÁXIM A 13.071 KG, DISTÂNCIA ENTRE EIXOS 4,80 M, POTÊNCIA 230 CV INCLUSIVE CAÇAMBA METÁLICA - CHI DIURNO. AF_06/2014</t>
  </si>
  <si>
    <t xml:space="preserve"> CAMINHÃO TOCO, PBT 14.300 KG, CARGA ÚTIL MÁX. 9.710 KG, DIST. ENTRE EI XOS 3,56 M, POTÊNCIA 185 CV, INCLUSIVE CARROCERIA FIXA ABERTA DE MADEIRA P/ TRANSPORTE GERAL DE CARGA SECA, DIMEN. APROX. 2,50 X 6,50 X 0,50 M - DEPRECIAÇÃO
 </t>
  </si>
  <si>
    <t xml:space="preserve"> </t>
  </si>
  <si>
    <t>- Passagem de ônibus</t>
  </si>
  <si>
    <t>COMP 2</t>
  </si>
  <si>
    <t xml:space="preserve"> ADMINISTRAÇÃO LOCAL / MANUTEN. DO CANTEIRO DE OBRAS</t>
  </si>
  <si>
    <t>mês</t>
  </si>
  <si>
    <t>Cod.</t>
  </si>
  <si>
    <t>- Energia elétrica</t>
  </si>
  <si>
    <t>kwh</t>
  </si>
  <si>
    <t>- Água e esgoto</t>
  </si>
  <si>
    <t xml:space="preserve">-Material escritório,EPI </t>
  </si>
  <si>
    <t>- Material de limpeza</t>
  </si>
  <si>
    <t xml:space="preserve">- Engenheiro - </t>
  </si>
  <si>
    <t>-Auxiliar de escritorio</t>
  </si>
  <si>
    <t>- Mestre de obra -</t>
  </si>
  <si>
    <t xml:space="preserve">-Vigia </t>
  </si>
  <si>
    <t>cust.unit S/BDI</t>
  </si>
  <si>
    <t>Custo Total</t>
  </si>
  <si>
    <t>Escavações Rede coletora</t>
  </si>
  <si>
    <t xml:space="preserve">Trecho </t>
  </si>
  <si>
    <t xml:space="preserve">Comprimento </t>
  </si>
  <si>
    <t>Prof. Média</t>
  </si>
  <si>
    <t xml:space="preserve">Largura média </t>
  </si>
  <si>
    <t>1º cat</t>
  </si>
  <si>
    <t>3ªcat</t>
  </si>
  <si>
    <t xml:space="preserve">Reaterro </t>
  </si>
  <si>
    <t xml:space="preserve">Berço </t>
  </si>
  <si>
    <t xml:space="preserve">Jazida </t>
  </si>
  <si>
    <t>Bota fora</t>
  </si>
  <si>
    <t>Ate 2m</t>
  </si>
  <si>
    <t>Acima de 2m</t>
  </si>
  <si>
    <t>Areia</t>
  </si>
  <si>
    <t>PV 63-64</t>
  </si>
  <si>
    <t>PV 64-65</t>
  </si>
  <si>
    <t>PV 65-66</t>
  </si>
  <si>
    <t>PV -151 -154</t>
  </si>
  <si>
    <t>PV - 46- 63</t>
  </si>
  <si>
    <t>Total</t>
  </si>
  <si>
    <t>Emissário</t>
  </si>
  <si>
    <t xml:space="preserve">Escoramento </t>
  </si>
  <si>
    <t>Escoramento</t>
  </si>
  <si>
    <t xml:space="preserve">Valas </t>
  </si>
  <si>
    <t>Limpeza</t>
  </si>
  <si>
    <t xml:space="preserve">Largura </t>
  </si>
  <si>
    <t xml:space="preserve">Total </t>
  </si>
  <si>
    <t>CERCA</t>
  </si>
  <si>
    <t xml:space="preserve">CERCA À EXECUTAR </t>
  </si>
  <si>
    <t xml:space="preserve">MEDIDAS DE CAMPO </t>
  </si>
  <si>
    <t>MED. 01</t>
  </si>
  <si>
    <t>MED. 02</t>
  </si>
  <si>
    <t>MED. 03</t>
  </si>
  <si>
    <t>MED. 04</t>
  </si>
  <si>
    <t>MED. 05</t>
  </si>
  <si>
    <t>MED. 06</t>
  </si>
  <si>
    <t>MED. 07</t>
  </si>
  <si>
    <t>MED. 08</t>
  </si>
  <si>
    <t>MED. 09</t>
  </si>
  <si>
    <t xml:space="preserve">DETALHAMENTO DO BDI </t>
  </si>
  <si>
    <t>SISTEMA DE ESGOTAMENTO SANITÁRIO - SERVIÇOS</t>
  </si>
  <si>
    <t>CD:</t>
  </si>
  <si>
    <t>Item</t>
  </si>
  <si>
    <t>Descrição dos Serviços</t>
  </si>
  <si>
    <t>BDI %</t>
  </si>
  <si>
    <t>DETERMINAÇÃO DO BDI</t>
  </si>
  <si>
    <t xml:space="preserve">Calculado </t>
  </si>
  <si>
    <t>Adotado</t>
  </si>
  <si>
    <t>ADMINISTRAÇÃO CENTRAL – (AC)</t>
  </si>
  <si>
    <t>AC =</t>
  </si>
  <si>
    <t>Administração Central</t>
  </si>
  <si>
    <t>ESCRITÓRIO CENTRAL</t>
  </si>
  <si>
    <t>VIAGENS</t>
  </si>
  <si>
    <t>OUTROS</t>
  </si>
  <si>
    <t>IMPOSTOS E TAXAS – (I)</t>
  </si>
  <si>
    <t>I =</t>
  </si>
  <si>
    <t>Impostos</t>
  </si>
  <si>
    <t>ISS</t>
  </si>
  <si>
    <t>PIS</t>
  </si>
  <si>
    <t>Cofins</t>
  </si>
  <si>
    <t>Contribuição sobre receita bruta</t>
  </si>
  <si>
    <t>TAXA DE RISCO (R+S+G)</t>
  </si>
  <si>
    <t>R+G =</t>
  </si>
  <si>
    <t>Taxa de Risco</t>
  </si>
  <si>
    <t>Risco – R</t>
  </si>
  <si>
    <t>Seguro – S</t>
  </si>
  <si>
    <t>Garantias – G</t>
  </si>
  <si>
    <t>DESPESAS FINANCEIRAS (DF)</t>
  </si>
  <si>
    <t>(DF) =</t>
  </si>
  <si>
    <t>Despesas financeiras</t>
  </si>
  <si>
    <t>LUCRO (L)</t>
  </si>
  <si>
    <t>(L) =</t>
  </si>
  <si>
    <t>Lucro</t>
  </si>
  <si>
    <t xml:space="preserve">Custo Direto </t>
  </si>
  <si>
    <t>CD</t>
  </si>
  <si>
    <t>Fórmula – Acórdão n.º 2369/2011</t>
  </si>
  <si>
    <t>BDI</t>
  </si>
  <si>
    <t>BDI =( (1+(AC+S+R+G)(1+DF)(1+L)/(1-I))-1)100</t>
  </si>
  <si>
    <t xml:space="preserve">Preço de venda </t>
  </si>
  <si>
    <t>PV</t>
  </si>
  <si>
    <t>Ministério da Integração Nacional - MI</t>
  </si>
  <si>
    <t>5ª Superintendência Regional</t>
  </si>
  <si>
    <t>Gerência Regional de Infraestrutura</t>
  </si>
  <si>
    <t>Unidade Regional de Estudos e Projetos</t>
  </si>
  <si>
    <t>CRONOGRAMA FÍSICO-FINANCEIRO com BDI</t>
  </si>
  <si>
    <t>ETAPA</t>
  </si>
  <si>
    <t>TOTAL (R$)</t>
  </si>
  <si>
    <t>%</t>
  </si>
  <si>
    <t>PERÍODO (MESES)</t>
  </si>
  <si>
    <t>S E R V I Ç O S</t>
  </si>
  <si>
    <t xml:space="preserve">TOTAL (R$) </t>
  </si>
  <si>
    <t xml:space="preserve">TOTAL (%) </t>
  </si>
  <si>
    <t xml:space="preserve">TOTAL ACUMULADO(%)  </t>
  </si>
  <si>
    <t>Técnico de segurança</t>
  </si>
  <si>
    <t xml:space="preserve">TxKm </t>
  </si>
  <si>
    <t>COMP 3</t>
  </si>
  <si>
    <t>MATERIAL DE JAZIDA OU AREIA FINA PARA ATERRO, INCLUSIVE AQUISIÇÃO E ESCAVAÇÃO, EXCLUSIVE TRANSPORTE</t>
  </si>
  <si>
    <t>Escavação e carga material jazida</t>
  </si>
  <si>
    <t>Material para sub-base (Adquirido e medido pelo corte na jazida), exclusive limpeza da área, escavação e carga - Mineração Sta Maria - Terra Dura</t>
  </si>
  <si>
    <t>COMP3</t>
  </si>
  <si>
    <t>UNITARIO COM BDI</t>
  </si>
  <si>
    <t>PLANILHA  ORÇAMENTÁRIA  - SERVIÇOS                                                                                                 Data Base: SINAPI AL- 09 – 2017 Encargos Sociais Desonerados                                BDI: 27,23%</t>
  </si>
  <si>
    <t>PLANILHA  ORÇAMENTÁRIA  - SERVIÇOS                                         Data Base: SINAPI AL- 09 – 2017 Encargos Sociais Desonerados                                BDI: 27,23%</t>
  </si>
</sst>
</file>

<file path=xl/styles.xml><?xml version="1.0" encoding="utf-8"?>
<styleSheet xmlns="http://schemas.openxmlformats.org/spreadsheetml/2006/main">
  <numFmts count="17">
    <numFmt numFmtId="44" formatCode="_-&quot;R$&quot;\ * #,##0.00_-;\-&quot;R$&quot;\ * #,##0.00_-;_-&quot;R$&quot;\ * &quot;-&quot;??_-;_-@_-"/>
    <numFmt numFmtId="164" formatCode="_-* #,##0.00_-;\-* #,##0.00_-;_-* \-??_-;_-@_-"/>
    <numFmt numFmtId="165" formatCode="#,##0.00000"/>
    <numFmt numFmtId="166" formatCode="00000"/>
    <numFmt numFmtId="167" formatCode="_(* #,##0.0000_);_(* \(#,##0.0000\);_(* \-????_);_(@_)"/>
    <numFmt numFmtId="168" formatCode="_(* #,##0.00_);_(* \(#,##0.00\);_(* \-??_);_(@_)"/>
    <numFmt numFmtId="169" formatCode="_(* #,##0.00_);_(* \(#,##0.00\);_(* \-????_);_(@_)"/>
    <numFmt numFmtId="170" formatCode="_(* #,##0.0_);_(* \(#,##0.0\);_(* \-????_);_(@_)"/>
    <numFmt numFmtId="171" formatCode="_(* #,##0_);_(* \(#,##0\);_(* \-????_);_(@_)"/>
    <numFmt numFmtId="172" formatCode="&quot;R$ &quot;#,##0.00"/>
    <numFmt numFmtId="173" formatCode="0.000"/>
    <numFmt numFmtId="174" formatCode="_(&quot;R$ &quot;* #,##0.00_);_(&quot;R$ &quot;* \(#,##0.00\);_(&quot;R$ &quot;* \-??_);_(@_)"/>
    <numFmt numFmtId="175" formatCode="mmm\-yy"/>
    <numFmt numFmtId="176" formatCode="[$R$-416]\ #,##0.00;[Red]\-[$R$-416]\ #,##0.00"/>
    <numFmt numFmtId="177" formatCode="&quot;R$ &quot;#,##0.00;[Red]&quot;R$ &quot;#,##0.00"/>
    <numFmt numFmtId="178" formatCode="#,##0.000"/>
    <numFmt numFmtId="180" formatCode="0.00000"/>
  </numFmts>
  <fonts count="50"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5"/>
      <color indexed="56"/>
      <name val="Calibri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  <charset val="1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1"/>
      <color indexed="8"/>
      <name val="Calibri"/>
      <family val="2"/>
    </font>
    <font>
      <b/>
      <sz val="11"/>
      <color indexed="8"/>
      <name val="Arial"/>
      <family val="2"/>
      <charset val="1"/>
    </font>
    <font>
      <sz val="11"/>
      <color indexed="8"/>
      <name val="Arial"/>
      <family val="2"/>
      <charset val="1"/>
    </font>
    <font>
      <sz val="12"/>
      <color indexed="8"/>
      <name val="Arial"/>
      <family val="2"/>
      <charset val="1"/>
    </font>
    <font>
      <sz val="12"/>
      <color indexed="8"/>
      <name val="Calibri"/>
      <family val="1"/>
      <charset val="1"/>
    </font>
    <font>
      <sz val="11"/>
      <color indexed="8"/>
      <name val="Arial"/>
      <family val="2"/>
    </font>
    <font>
      <sz val="12"/>
      <color indexed="8"/>
      <name val="Calibri"/>
      <family val="2"/>
    </font>
    <font>
      <b/>
      <sz val="9"/>
      <color indexed="8"/>
      <name val="Segoe UI"/>
      <family val="2"/>
    </font>
    <font>
      <sz val="9"/>
      <name val="Arial"/>
      <family val="2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indexed="8"/>
      <name val="Times New Roman"/>
      <family val="1"/>
      <charset val="1"/>
    </font>
    <font>
      <sz val="9"/>
      <color indexed="8"/>
      <name val="Arial"/>
      <family val="2"/>
    </font>
    <font>
      <b/>
      <sz val="10"/>
      <color indexed="8"/>
      <name val="Times New Roman"/>
      <family val="1"/>
      <charset val="1"/>
    </font>
    <font>
      <b/>
      <sz val="1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color indexed="8"/>
      <name val="Calibri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11"/>
      <name val="Arial 14"/>
    </font>
    <font>
      <b/>
      <sz val="11"/>
      <name val="Arial 14"/>
    </font>
    <font>
      <b/>
      <sz val="14"/>
      <name val="Arial 14"/>
      <charset val="1"/>
    </font>
    <font>
      <sz val="6"/>
      <name val="Arial 14"/>
      <charset val="1"/>
    </font>
    <font>
      <b/>
      <sz val="6"/>
      <name val="Arial 14"/>
      <charset val="1"/>
    </font>
    <font>
      <b/>
      <sz val="9"/>
      <name val="Arial 14"/>
    </font>
    <font>
      <b/>
      <sz val="8"/>
      <name val="Arial 14"/>
    </font>
    <font>
      <sz val="8"/>
      <name val="Arial 14"/>
      <charset val="1"/>
    </font>
    <font>
      <b/>
      <sz val="8"/>
      <name val="Arial 14"/>
      <charset val="1"/>
    </font>
    <font>
      <sz val="7"/>
      <name val="Arial 14"/>
      <charset val="1"/>
    </font>
    <font>
      <sz val="11"/>
      <color indexed="8"/>
      <name val="Calibri"/>
      <family val="2"/>
    </font>
    <font>
      <sz val="10"/>
      <color theme="0" tint="-0.34998626667073579"/>
      <name val="Arial"/>
      <family val="2"/>
    </font>
    <font>
      <sz val="11"/>
      <color theme="0" tint="-0.34998626667073579"/>
      <name val="Calibri"/>
      <family val="2"/>
    </font>
    <font>
      <sz val="12"/>
      <color theme="0" tint="-0.34998626667073579"/>
      <name val="Arial"/>
      <family val="2"/>
      <charset val="1"/>
    </font>
    <font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4" fontId="1" fillId="0" borderId="0" applyFill="0" applyBorder="0" applyAlignment="0" applyProtection="0"/>
    <xf numFmtId="0" fontId="2" fillId="0" borderId="0"/>
    <xf numFmtId="3" fontId="2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0" fontId="2" fillId="0" borderId="0"/>
    <xf numFmtId="164" fontId="2" fillId="0" borderId="0" applyFill="0" applyBorder="0" applyAlignment="0" applyProtection="0"/>
    <xf numFmtId="165" fontId="45" fillId="0" borderId="0" applyFill="0" applyBorder="0" applyAlignment="0" applyProtection="0"/>
    <xf numFmtId="0" fontId="5" fillId="0" borderId="1" applyNumberFormat="0" applyFill="0" applyAlignment="0" applyProtection="0"/>
  </cellStyleXfs>
  <cellXfs count="290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right" vertical="center"/>
    </xf>
    <xf numFmtId="2" fontId="7" fillId="0" borderId="0" xfId="0" applyNumberFormat="1" applyFont="1" applyFill="1" applyAlignment="1">
      <alignment horizontal="righ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2" fontId="13" fillId="0" borderId="2" xfId="12" applyNumberFormat="1" applyFont="1" applyFill="1" applyBorder="1" applyAlignment="1" applyProtection="1">
      <alignment horizontal="right" vertical="center" wrapText="1"/>
    </xf>
    <xf numFmtId="2" fontId="12" fillId="0" borderId="3" xfId="2" applyNumberFormat="1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4" fillId="0" borderId="5" xfId="0" applyFont="1" applyBorder="1"/>
    <xf numFmtId="0" fontId="15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15" fillId="0" borderId="5" xfId="0" applyFont="1" applyBorder="1" applyAlignment="1">
      <alignment horizontal="justify"/>
    </xf>
    <xf numFmtId="0" fontId="0" fillId="0" borderId="5" xfId="0" applyFont="1" applyBorder="1"/>
    <xf numFmtId="2" fontId="0" fillId="0" borderId="5" xfId="0" applyNumberFormat="1" applyFont="1" applyFill="1" applyBorder="1"/>
    <xf numFmtId="0" fontId="16" fillId="3" borderId="5" xfId="0" applyFont="1" applyFill="1" applyBorder="1" applyAlignment="1">
      <alignment vertical="center"/>
    </xf>
    <xf numFmtId="0" fontId="16" fillId="3" borderId="5" xfId="0" applyFont="1" applyFill="1" applyBorder="1" applyAlignment="1">
      <alignment horizontal="left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5" xfId="7" applyNumberFormat="1" applyFont="1" applyFill="1" applyBorder="1" applyAlignment="1">
      <alignment horizontal="justify" vertical="center" wrapText="1"/>
    </xf>
    <xf numFmtId="49" fontId="16" fillId="3" borderId="5" xfId="7" applyNumberFormat="1" applyFont="1" applyFill="1" applyBorder="1" applyAlignment="1">
      <alignment horizontal="center" vertical="center"/>
    </xf>
    <xf numFmtId="4" fontId="16" fillId="3" borderId="5" xfId="0" applyNumberFormat="1" applyFont="1" applyFill="1" applyBorder="1" applyAlignment="1">
      <alignment horizontal="right" vertical="center"/>
    </xf>
    <xf numFmtId="4" fontId="16" fillId="0" borderId="5" xfId="0" applyNumberFormat="1" applyFont="1" applyFill="1" applyBorder="1" applyAlignment="1">
      <alignment horizontal="right" vertical="center"/>
    </xf>
    <xf numFmtId="10" fontId="17" fillId="3" borderId="0" xfId="0" applyNumberFormat="1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6" fillId="0" borderId="5" xfId="0" applyFont="1" applyBorder="1" applyAlignment="1">
      <alignment horizontal="left" vertical="center"/>
    </xf>
    <xf numFmtId="4" fontId="15" fillId="3" borderId="5" xfId="0" applyNumberFormat="1" applyFont="1" applyFill="1" applyBorder="1" applyAlignment="1">
      <alignment horizontal="right" vertical="center"/>
    </xf>
    <xf numFmtId="0" fontId="15" fillId="3" borderId="5" xfId="0" applyFont="1" applyFill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justify"/>
    </xf>
    <xf numFmtId="0" fontId="7" fillId="3" borderId="0" xfId="0" applyFont="1" applyFill="1" applyAlignment="1">
      <alignment vertical="center"/>
    </xf>
    <xf numFmtId="0" fontId="16" fillId="0" borderId="5" xfId="0" applyFont="1" applyBorder="1" applyAlignment="1">
      <alignment horizontal="justify" vertical="center"/>
    </xf>
    <xf numFmtId="0" fontId="16" fillId="0" borderId="5" xfId="0" applyFont="1" applyBorder="1" applyAlignment="1">
      <alignment horizontal="justify" vertical="center" wrapText="1"/>
    </xf>
    <xf numFmtId="10" fontId="17" fillId="4" borderId="0" xfId="0" applyNumberFormat="1" applyFont="1" applyFill="1" applyAlignment="1">
      <alignment vertical="center"/>
    </xf>
    <xf numFmtId="0" fontId="16" fillId="0" borderId="5" xfId="0" applyFont="1" applyBorder="1" applyAlignment="1">
      <alignment horizontal="justify" wrapText="1"/>
    </xf>
    <xf numFmtId="0" fontId="16" fillId="0" borderId="5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justify" vertical="center" wrapText="1"/>
    </xf>
    <xf numFmtId="10" fontId="17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3" fontId="16" fillId="0" borderId="5" xfId="0" applyNumberFormat="1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justify"/>
    </xf>
    <xf numFmtId="0" fontId="18" fillId="0" borderId="5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justify" vertical="center"/>
    </xf>
    <xf numFmtId="0" fontId="15" fillId="0" borderId="5" xfId="0" applyFont="1" applyFill="1" applyBorder="1" applyAlignment="1">
      <alignment horizontal="center" vertical="center"/>
    </xf>
    <xf numFmtId="49" fontId="16" fillId="0" borderId="5" xfId="7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vertical="center"/>
    </xf>
    <xf numFmtId="0" fontId="15" fillId="0" borderId="5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justify"/>
    </xf>
    <xf numFmtId="4" fontId="0" fillId="0" borderId="5" xfId="0" applyNumberFormat="1" applyFont="1" applyFill="1" applyBorder="1"/>
    <xf numFmtId="0" fontId="16" fillId="0" borderId="5" xfId="0" applyFont="1" applyFill="1" applyBorder="1" applyAlignment="1">
      <alignment vertical="center"/>
    </xf>
    <xf numFmtId="0" fontId="16" fillId="0" borderId="6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justify" vertical="center" wrapText="1"/>
    </xf>
    <xf numFmtId="4" fontId="16" fillId="0" borderId="6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justify"/>
    </xf>
    <xf numFmtId="0" fontId="15" fillId="0" borderId="7" xfId="0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vertical="center"/>
    </xf>
    <xf numFmtId="0" fontId="19" fillId="0" borderId="5" xfId="0" applyFont="1" applyFill="1" applyBorder="1" applyAlignment="1">
      <alignment horizontal="justify"/>
    </xf>
    <xf numFmtId="10" fontId="17" fillId="5" borderId="0" xfId="0" applyNumberFormat="1" applyFont="1" applyFill="1" applyAlignment="1">
      <alignment vertical="center"/>
    </xf>
    <xf numFmtId="49" fontId="16" fillId="0" borderId="8" xfId="7" applyNumberFormat="1" applyFont="1" applyFill="1" applyBorder="1" applyAlignment="1">
      <alignment horizontal="center" vertical="center"/>
    </xf>
    <xf numFmtId="4" fontId="16" fillId="0" borderId="8" xfId="0" applyNumberFormat="1" applyFont="1" applyFill="1" applyBorder="1" applyAlignment="1">
      <alignment horizontal="right" vertical="center"/>
    </xf>
    <xf numFmtId="4" fontId="15" fillId="0" borderId="8" xfId="0" applyNumberFormat="1" applyFont="1" applyFill="1" applyBorder="1" applyAlignment="1">
      <alignment horizontal="right" vertical="center"/>
    </xf>
    <xf numFmtId="0" fontId="20" fillId="0" borderId="0" xfId="0" applyFont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justify"/>
    </xf>
    <xf numFmtId="4" fontId="20" fillId="0" borderId="0" xfId="0" applyNumberFormat="1" applyFont="1"/>
    <xf numFmtId="4" fontId="20" fillId="0" borderId="0" xfId="0" applyNumberFormat="1" applyFont="1" applyFill="1"/>
    <xf numFmtId="4" fontId="11" fillId="6" borderId="9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10" fillId="2" borderId="9" xfId="2" applyFont="1" applyFill="1" applyBorder="1" applyAlignment="1">
      <alignment horizontal="center" vertical="center" wrapText="1"/>
    </xf>
    <xf numFmtId="166" fontId="23" fillId="0" borderId="9" xfId="5" applyNumberFormat="1" applyFont="1" applyFill="1" applyBorder="1" applyAlignment="1" applyProtection="1">
      <alignment horizontal="center" shrinkToFit="1"/>
      <protection hidden="1"/>
    </xf>
    <xf numFmtId="0" fontId="23" fillId="3" borderId="9" xfId="5" applyFont="1" applyFill="1" applyBorder="1" applyAlignment="1" applyProtection="1">
      <alignment horizontal="justify"/>
      <protection hidden="1"/>
    </xf>
    <xf numFmtId="0" fontId="23" fillId="0" borderId="9" xfId="9" applyFont="1" applyBorder="1"/>
    <xf numFmtId="167" fontId="23" fillId="3" borderId="9" xfId="5" applyNumberFormat="1" applyFont="1" applyFill="1" applyBorder="1" applyAlignment="1" applyProtection="1">
      <protection hidden="1"/>
    </xf>
    <xf numFmtId="0" fontId="23" fillId="3" borderId="9" xfId="5" applyFont="1" applyFill="1" applyBorder="1" applyAlignment="1" applyProtection="1">
      <alignment horizontal="center"/>
      <protection hidden="1"/>
    </xf>
    <xf numFmtId="4" fontId="24" fillId="3" borderId="9" xfId="6" applyNumberFormat="1" applyFont="1" applyFill="1" applyBorder="1" applyAlignment="1" applyProtection="1">
      <protection hidden="1"/>
    </xf>
    <xf numFmtId="0" fontId="22" fillId="0" borderId="9" xfId="0" applyFont="1" applyBorder="1" applyAlignment="1">
      <alignment horizontal="right" vertical="center"/>
    </xf>
    <xf numFmtId="0" fontId="23" fillId="0" borderId="9" xfId="4" applyNumberFormat="1" applyFont="1" applyFill="1" applyBorder="1" applyAlignment="1" applyProtection="1">
      <alignment horizontal="center"/>
      <protection hidden="1"/>
    </xf>
    <xf numFmtId="0" fontId="23" fillId="0" borderId="9" xfId="4" applyFont="1" applyFill="1" applyBorder="1" applyAlignment="1" applyProtection="1">
      <alignment horizontal="center"/>
      <protection hidden="1"/>
    </xf>
    <xf numFmtId="0" fontId="23" fillId="0" borderId="9" xfId="6" applyFont="1" applyFill="1" applyBorder="1" applyAlignment="1" applyProtection="1">
      <alignment horizontal="center"/>
      <protection hidden="1"/>
    </xf>
    <xf numFmtId="167" fontId="23" fillId="0" borderId="9" xfId="6" applyNumberFormat="1" applyFont="1" applyFill="1" applyBorder="1" applyProtection="1">
      <protection hidden="1"/>
    </xf>
    <xf numFmtId="168" fontId="23" fillId="0" borderId="9" xfId="6" applyNumberFormat="1" applyFont="1" applyFill="1" applyBorder="1" applyAlignment="1" applyProtection="1">
      <alignment horizontal="center"/>
      <protection hidden="1"/>
    </xf>
    <xf numFmtId="167" fontId="23" fillId="0" borderId="9" xfId="4" applyNumberFormat="1" applyFont="1" applyFill="1" applyBorder="1" applyAlignment="1" applyProtection="1">
      <alignment horizontal="center"/>
      <protection hidden="1"/>
    </xf>
    <xf numFmtId="0" fontId="25" fillId="3" borderId="9" xfId="5" applyNumberFormat="1" applyFont="1" applyFill="1" applyBorder="1" applyAlignment="1" applyProtection="1">
      <alignment horizontal="center"/>
      <protection hidden="1"/>
    </xf>
    <xf numFmtId="0" fontId="25" fillId="3" borderId="9" xfId="5" applyFont="1" applyFill="1" applyBorder="1" applyAlignment="1" applyProtection="1">
      <alignment horizontal="justify" wrapText="1"/>
      <protection hidden="1"/>
    </xf>
    <xf numFmtId="0" fontId="25" fillId="3" borderId="9" xfId="5" applyFont="1" applyFill="1" applyBorder="1" applyAlignment="1" applyProtection="1">
      <alignment horizontal="center"/>
      <protection hidden="1"/>
    </xf>
    <xf numFmtId="167" fontId="25" fillId="3" borderId="9" xfId="5" applyNumberFormat="1" applyFont="1" applyFill="1" applyBorder="1" applyAlignment="1" applyProtection="1">
      <protection hidden="1"/>
    </xf>
    <xf numFmtId="168" fontId="25" fillId="3" borderId="9" xfId="5" applyNumberFormat="1" applyFont="1" applyFill="1" applyBorder="1" applyAlignment="1" applyProtection="1">
      <alignment horizontal="center"/>
      <protection hidden="1"/>
    </xf>
    <xf numFmtId="4" fontId="25" fillId="0" borderId="9" xfId="6" applyNumberFormat="1" applyFont="1" applyFill="1" applyBorder="1" applyAlignment="1" applyProtection="1">
      <protection hidden="1"/>
    </xf>
    <xf numFmtId="4" fontId="25" fillId="3" borderId="9" xfId="6" applyNumberFormat="1" applyFont="1" applyFill="1" applyBorder="1" applyAlignment="1" applyProtection="1">
      <protection hidden="1"/>
    </xf>
    <xf numFmtId="0" fontId="26" fillId="0" borderId="9" xfId="0" applyFont="1" applyBorder="1" applyAlignment="1">
      <alignment horizontal="right" vertical="center"/>
    </xf>
    <xf numFmtId="0" fontId="25" fillId="3" borderId="9" xfId="5" applyFont="1" applyFill="1" applyBorder="1" applyAlignment="1" applyProtection="1">
      <alignment horizontal="justify"/>
      <protection hidden="1"/>
    </xf>
    <xf numFmtId="0" fontId="25" fillId="0" borderId="9" xfId="5" applyFont="1" applyFill="1" applyBorder="1" applyAlignment="1" applyProtection="1">
      <alignment horizontal="justify"/>
      <protection hidden="1"/>
    </xf>
    <xf numFmtId="0" fontId="25" fillId="0" borderId="9" xfId="5" applyFont="1" applyFill="1" applyBorder="1" applyAlignment="1" applyProtection="1">
      <alignment horizontal="center"/>
      <protection hidden="1"/>
    </xf>
    <xf numFmtId="167" fontId="25" fillId="0" borderId="9" xfId="5" applyNumberFormat="1" applyFont="1" applyFill="1" applyBorder="1" applyAlignment="1" applyProtection="1">
      <protection hidden="1"/>
    </xf>
    <xf numFmtId="168" fontId="25" fillId="0" borderId="9" xfId="5" applyNumberFormat="1" applyFont="1" applyFill="1" applyBorder="1" applyAlignment="1" applyProtection="1">
      <alignment horizontal="center"/>
      <protection hidden="1"/>
    </xf>
    <xf numFmtId="0" fontId="25" fillId="0" borderId="9" xfId="0" applyFont="1" applyBorder="1" applyAlignment="1">
      <alignment vertical="center"/>
    </xf>
    <xf numFmtId="0" fontId="25" fillId="0" borderId="9" xfId="0" applyFont="1" applyBorder="1" applyAlignment="1">
      <alignment horizontal="right" vertical="center"/>
    </xf>
    <xf numFmtId="0" fontId="25" fillId="0" borderId="9" xfId="6" applyNumberFormat="1" applyFont="1" applyFill="1" applyBorder="1" applyAlignment="1" applyProtection="1">
      <alignment horizontal="center" vertical="top"/>
      <protection hidden="1"/>
    </xf>
    <xf numFmtId="0" fontId="25" fillId="0" borderId="9" xfId="6" applyFont="1" applyFill="1" applyBorder="1" applyAlignment="1" applyProtection="1">
      <alignment horizontal="left"/>
      <protection hidden="1"/>
    </xf>
    <xf numFmtId="0" fontId="25" fillId="0" borderId="9" xfId="6" applyFont="1" applyFill="1" applyBorder="1" applyAlignment="1" applyProtection="1">
      <alignment horizontal="center"/>
      <protection hidden="1"/>
    </xf>
    <xf numFmtId="167" fontId="25" fillId="0" borderId="9" xfId="6" applyNumberFormat="1" applyFont="1" applyFill="1" applyBorder="1" applyProtection="1">
      <protection hidden="1"/>
    </xf>
    <xf numFmtId="168" fontId="25" fillId="0" borderId="9" xfId="6" applyNumberFormat="1" applyFont="1" applyFill="1" applyBorder="1" applyAlignment="1" applyProtection="1">
      <alignment horizontal="center"/>
      <protection hidden="1"/>
    </xf>
    <xf numFmtId="167" fontId="25" fillId="0" borderId="9" xfId="6" applyNumberFormat="1" applyFont="1" applyFill="1" applyBorder="1" applyAlignment="1" applyProtection="1">
      <alignment horizontal="right"/>
      <protection hidden="1"/>
    </xf>
    <xf numFmtId="169" fontId="27" fillId="0" borderId="9" xfId="6" applyNumberFormat="1" applyFont="1" applyFill="1" applyBorder="1" applyProtection="1">
      <protection hidden="1"/>
    </xf>
    <xf numFmtId="0" fontId="25" fillId="0" borderId="9" xfId="6" applyFont="1" applyFill="1" applyBorder="1" applyAlignment="1" applyProtection="1">
      <alignment horizontal="justify"/>
      <protection hidden="1"/>
    </xf>
    <xf numFmtId="170" fontId="25" fillId="3" borderId="9" xfId="5" applyNumberFormat="1" applyFont="1" applyFill="1" applyBorder="1" applyAlignment="1" applyProtection="1">
      <protection hidden="1"/>
    </xf>
    <xf numFmtId="169" fontId="25" fillId="0" borderId="9" xfId="6" applyNumberFormat="1" applyFont="1" applyFill="1" applyBorder="1" applyProtection="1">
      <protection hidden="1"/>
    </xf>
    <xf numFmtId="0" fontId="25" fillId="3" borderId="9" xfId="5" applyNumberFormat="1" applyFont="1" applyFill="1" applyBorder="1" applyAlignment="1" applyProtection="1">
      <alignment horizontal="center" wrapText="1"/>
      <protection hidden="1"/>
    </xf>
    <xf numFmtId="171" fontId="25" fillId="3" borderId="9" xfId="5" applyNumberFormat="1" applyFont="1" applyFill="1" applyBorder="1" applyAlignment="1" applyProtection="1">
      <alignment horizontal="center"/>
      <protection hidden="1"/>
    </xf>
    <xf numFmtId="0" fontId="23" fillId="0" borderId="9" xfId="6" applyNumberFormat="1" applyFont="1" applyFill="1" applyBorder="1" applyAlignment="1" applyProtection="1">
      <alignment horizontal="left" vertical="top"/>
      <protection hidden="1"/>
    </xf>
    <xf numFmtId="0" fontId="23" fillId="0" borderId="9" xfId="6" applyFont="1" applyFill="1" applyBorder="1" applyAlignment="1" applyProtection="1">
      <alignment horizontal="center" vertical="center"/>
      <protection hidden="1"/>
    </xf>
    <xf numFmtId="167" fontId="23" fillId="0" borderId="9" xfId="6" applyNumberFormat="1" applyFont="1" applyFill="1" applyBorder="1" applyAlignment="1" applyProtection="1">
      <alignment horizontal="center" vertical="center"/>
      <protection hidden="1"/>
    </xf>
    <xf numFmtId="168" fontId="23" fillId="0" borderId="9" xfId="6" applyNumberFormat="1" applyFont="1" applyFill="1" applyBorder="1" applyAlignment="1" applyProtection="1">
      <alignment horizontal="center" vertical="center" wrapText="1"/>
      <protection hidden="1"/>
    </xf>
    <xf numFmtId="0" fontId="23" fillId="0" borderId="9" xfId="6" applyNumberFormat="1" applyFont="1" applyFill="1" applyBorder="1" applyAlignment="1" applyProtection="1">
      <alignment horizontal="center" vertical="center"/>
      <protection hidden="1"/>
    </xf>
    <xf numFmtId="169" fontId="23" fillId="0" borderId="9" xfId="0" applyNumberFormat="1" applyFont="1" applyFill="1" applyBorder="1" applyProtection="1">
      <protection hidden="1"/>
    </xf>
    <xf numFmtId="168" fontId="23" fillId="0" borderId="9" xfId="6" applyNumberFormat="1" applyFont="1" applyFill="1" applyBorder="1" applyAlignment="1" applyProtection="1">
      <alignment horizontal="center" vertical="center"/>
      <protection hidden="1"/>
    </xf>
    <xf numFmtId="169" fontId="23" fillId="0" borderId="9" xfId="6" applyNumberFormat="1" applyFont="1" applyFill="1" applyBorder="1" applyAlignment="1" applyProtection="1">
      <alignment horizontal="center" vertical="center"/>
      <protection hidden="1"/>
    </xf>
    <xf numFmtId="0" fontId="16" fillId="0" borderId="0" xfId="0" applyFont="1"/>
    <xf numFmtId="0" fontId="16" fillId="0" borderId="5" xfId="0" applyFont="1" applyBorder="1"/>
    <xf numFmtId="0" fontId="16" fillId="0" borderId="5" xfId="0" applyFont="1" applyBorder="1" applyAlignment="1">
      <alignment horizontal="center"/>
    </xf>
    <xf numFmtId="0" fontId="16" fillId="0" borderId="9" xfId="0" applyFont="1" applyBorder="1"/>
    <xf numFmtId="2" fontId="16" fillId="0" borderId="5" xfId="0" applyNumberFormat="1" applyFont="1" applyBorder="1" applyAlignment="1">
      <alignment horizontal="center"/>
    </xf>
    <xf numFmtId="2" fontId="16" fillId="0" borderId="5" xfId="0" applyNumberFormat="1" applyFont="1" applyBorder="1"/>
    <xf numFmtId="2" fontId="16" fillId="0" borderId="9" xfId="0" applyNumberFormat="1" applyFont="1" applyBorder="1"/>
    <xf numFmtId="0" fontId="15" fillId="0" borderId="9" xfId="0" applyFont="1" applyBorder="1"/>
    <xf numFmtId="0" fontId="0" fillId="0" borderId="9" xfId="0" applyBorder="1"/>
    <xf numFmtId="0" fontId="15" fillId="0" borderId="10" xfId="0" applyFont="1" applyBorder="1"/>
    <xf numFmtId="0" fontId="16" fillId="0" borderId="10" xfId="0" applyFont="1" applyBorder="1"/>
    <xf numFmtId="0" fontId="15" fillId="0" borderId="5" xfId="0" applyFont="1" applyBorder="1"/>
    <xf numFmtId="0" fontId="16" fillId="0" borderId="11" xfId="0" applyFont="1" applyBorder="1"/>
    <xf numFmtId="0" fontId="16" fillId="0" borderId="0" xfId="0" applyFont="1" applyBorder="1"/>
    <xf numFmtId="0" fontId="30" fillId="0" borderId="0" xfId="0" applyFont="1" applyBorder="1" applyAlignment="1">
      <alignment horizontal="center"/>
    </xf>
    <xf numFmtId="0" fontId="30" fillId="0" borderId="0" xfId="0" applyFont="1" applyAlignment="1">
      <alignment horizontal="left"/>
    </xf>
    <xf numFmtId="172" fontId="30" fillId="0" borderId="0" xfId="0" applyNumberFormat="1" applyFont="1" applyAlignment="1">
      <alignment horizontal="left"/>
    </xf>
    <xf numFmtId="0" fontId="0" fillId="0" borderId="0" xfId="0" applyFont="1" applyBorder="1"/>
    <xf numFmtId="0" fontId="0" fillId="7" borderId="12" xfId="0" applyFont="1" applyFill="1" applyBorder="1" applyAlignment="1">
      <alignment horizontal="center"/>
    </xf>
    <xf numFmtId="0" fontId="30" fillId="7" borderId="13" xfId="0" applyFont="1" applyFill="1" applyBorder="1" applyAlignment="1">
      <alignment horizontal="center"/>
    </xf>
    <xf numFmtId="0" fontId="30" fillId="7" borderId="14" xfId="0" applyFont="1" applyFill="1" applyBorder="1" applyAlignment="1">
      <alignment horizontal="center"/>
    </xf>
    <xf numFmtId="0" fontId="30" fillId="7" borderId="3" xfId="0" applyFont="1" applyFill="1" applyBorder="1" applyAlignment="1">
      <alignment horizontal="center"/>
    </xf>
    <xf numFmtId="0" fontId="30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0" fillId="0" borderId="16" xfId="0" applyFont="1" applyFill="1" applyBorder="1" applyAlignment="1">
      <alignment horizontal="center"/>
    </xf>
    <xf numFmtId="0" fontId="30" fillId="0" borderId="17" xfId="0" applyFont="1" applyFill="1" applyBorder="1" applyAlignment="1">
      <alignment horizontal="center"/>
    </xf>
    <xf numFmtId="0" fontId="30" fillId="0" borderId="0" xfId="0" applyFont="1" applyAlignment="1"/>
    <xf numFmtId="0" fontId="30" fillId="0" borderId="15" xfId="0" applyFont="1" applyBorder="1" applyAlignment="1">
      <alignment horizontal="center"/>
    </xf>
    <xf numFmtId="0" fontId="30" fillId="0" borderId="16" xfId="0" applyFont="1" applyBorder="1"/>
    <xf numFmtId="2" fontId="30" fillId="0" borderId="16" xfId="0" applyNumberFormat="1" applyFont="1" applyBorder="1" applyAlignment="1">
      <alignment horizontal="right"/>
    </xf>
    <xf numFmtId="4" fontId="30" fillId="0" borderId="18" xfId="0" applyNumberFormat="1" applyFont="1" applyBorder="1"/>
    <xf numFmtId="0" fontId="28" fillId="0" borderId="0" xfId="0" applyFont="1" applyAlignment="1">
      <alignment horizontal="center"/>
    </xf>
    <xf numFmtId="10" fontId="28" fillId="0" borderId="0" xfId="0" applyNumberFormat="1" applyFont="1" applyAlignment="1"/>
    <xf numFmtId="0" fontId="28" fillId="0" borderId="0" xfId="0" applyFont="1" applyAlignment="1"/>
    <xf numFmtId="0" fontId="31" fillId="0" borderId="0" xfId="0" applyFont="1" applyAlignment="1"/>
    <xf numFmtId="173" fontId="31" fillId="0" borderId="0" xfId="0" applyNumberFormat="1" applyFont="1" applyAlignment="1"/>
    <xf numFmtId="0" fontId="0" fillId="0" borderId="0" xfId="0" applyFont="1" applyAlignment="1">
      <alignment horizontal="center"/>
    </xf>
    <xf numFmtId="0" fontId="0" fillId="0" borderId="15" xfId="0" applyFont="1" applyBorder="1" applyAlignment="1">
      <alignment horizontal="right"/>
    </xf>
    <xf numFmtId="0" fontId="0" fillId="0" borderId="16" xfId="0" applyFont="1" applyBorder="1"/>
    <xf numFmtId="2" fontId="0" fillId="0" borderId="16" xfId="0" applyNumberFormat="1" applyFont="1" applyBorder="1"/>
    <xf numFmtId="0" fontId="0" fillId="0" borderId="0" xfId="0" applyAlignment="1"/>
    <xf numFmtId="2" fontId="30" fillId="0" borderId="16" xfId="0" applyNumberFormat="1" applyFont="1" applyBorder="1"/>
    <xf numFmtId="0" fontId="0" fillId="0" borderId="16" xfId="0" applyFont="1" applyBorder="1" applyAlignment="1">
      <alignment horizontal="left"/>
    </xf>
    <xf numFmtId="0" fontId="31" fillId="0" borderId="0" xfId="0" applyFont="1"/>
    <xf numFmtId="2" fontId="0" fillId="0" borderId="16" xfId="0" applyNumberFormat="1" applyBorder="1" applyAlignment="1">
      <alignment horizontal="right"/>
    </xf>
    <xf numFmtId="2" fontId="2" fillId="0" borderId="16" xfId="0" applyNumberFormat="1" applyFont="1" applyBorder="1"/>
    <xf numFmtId="0" fontId="16" fillId="0" borderId="15" xfId="0" applyFont="1" applyBorder="1" applyAlignment="1">
      <alignment horizontal="right" vertical="center"/>
    </xf>
    <xf numFmtId="0" fontId="16" fillId="0" borderId="16" xfId="0" applyFont="1" applyBorder="1" applyAlignment="1">
      <alignment horizontal="left" vertical="center"/>
    </xf>
    <xf numFmtId="2" fontId="13" fillId="0" borderId="18" xfId="0" applyNumberFormat="1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2" fontId="14" fillId="0" borderId="16" xfId="0" applyNumberFormat="1" applyFont="1" applyBorder="1"/>
    <xf numFmtId="0" fontId="0" fillId="0" borderId="17" xfId="0" applyBorder="1"/>
    <xf numFmtId="0" fontId="0" fillId="0" borderId="19" xfId="0" applyFont="1" applyBorder="1" applyAlignment="1">
      <alignment horizontal="right"/>
    </xf>
    <xf numFmtId="0" fontId="30" fillId="0" borderId="20" xfId="0" applyFont="1" applyBorder="1"/>
    <xf numFmtId="4" fontId="30" fillId="0" borderId="21" xfId="0" applyNumberFormat="1" applyFont="1" applyBorder="1"/>
    <xf numFmtId="172" fontId="0" fillId="0" borderId="0" xfId="0" applyNumberFormat="1" applyFont="1"/>
    <xf numFmtId="0" fontId="0" fillId="0" borderId="0" xfId="0" applyFont="1" applyAlignment="1">
      <alignment horizontal="left"/>
    </xf>
    <xf numFmtId="174" fontId="30" fillId="0" borderId="0" xfId="0" applyNumberFormat="1" applyFont="1"/>
    <xf numFmtId="0" fontId="0" fillId="0" borderId="0" xfId="0" applyFont="1" applyAlignment="1">
      <alignment horizontal="left" vertical="center"/>
    </xf>
    <xf numFmtId="0" fontId="0" fillId="0" borderId="0" xfId="0" applyFont="1" applyBorder="1" applyAlignment="1"/>
    <xf numFmtId="0" fontId="34" fillId="0" borderId="0" xfId="0" applyFont="1"/>
    <xf numFmtId="168" fontId="35" fillId="0" borderId="0" xfId="8" applyNumberFormat="1" applyFont="1" applyFill="1" applyBorder="1" applyAlignment="1" applyProtection="1">
      <alignment horizontal="center"/>
      <protection hidden="1"/>
    </xf>
    <xf numFmtId="168" fontId="36" fillId="0" borderId="0" xfId="8" applyNumberFormat="1" applyFont="1" applyFill="1" applyBorder="1" applyAlignment="1" applyProtection="1">
      <alignment horizontal="left"/>
      <protection hidden="1"/>
    </xf>
    <xf numFmtId="168" fontId="37" fillId="0" borderId="0" xfId="8" applyNumberFormat="1" applyFont="1" applyFill="1" applyBorder="1" applyAlignment="1" applyProtection="1">
      <alignment horizontal="left"/>
      <protection hidden="1"/>
    </xf>
    <xf numFmtId="168" fontId="36" fillId="0" borderId="0" xfId="8" applyNumberFormat="1" applyFont="1" applyFill="1" applyBorder="1" applyAlignment="1" applyProtection="1">
      <alignment horizontal="left" vertical="center"/>
      <protection hidden="1"/>
    </xf>
    <xf numFmtId="168" fontId="37" fillId="0" borderId="0" xfId="8" applyNumberFormat="1" applyFont="1" applyFill="1" applyBorder="1" applyAlignment="1" applyProtection="1">
      <alignment horizontal="left" vertical="center"/>
      <protection hidden="1"/>
    </xf>
    <xf numFmtId="168" fontId="36" fillId="0" borderId="0" xfId="8" applyNumberFormat="1" applyFont="1" applyFill="1" applyBorder="1" applyAlignment="1" applyProtection="1">
      <alignment horizontal="left" vertical="top"/>
      <protection hidden="1"/>
    </xf>
    <xf numFmtId="168" fontId="37" fillId="0" borderId="0" xfId="8" applyNumberFormat="1" applyFont="1" applyFill="1" applyBorder="1" applyAlignment="1" applyProtection="1">
      <alignment horizontal="left" vertical="top"/>
      <protection hidden="1"/>
    </xf>
    <xf numFmtId="49" fontId="36" fillId="0" borderId="0" xfId="8" applyNumberFormat="1" applyFont="1" applyFill="1" applyBorder="1" applyAlignment="1" applyProtection="1">
      <alignment horizontal="center" vertical="center"/>
      <protection hidden="1"/>
    </xf>
    <xf numFmtId="49" fontId="37" fillId="0" borderId="0" xfId="8" applyNumberFormat="1" applyFont="1" applyFill="1" applyBorder="1" applyAlignment="1" applyProtection="1">
      <alignment horizontal="center" vertical="center" wrapText="1"/>
      <protection hidden="1"/>
    </xf>
    <xf numFmtId="49" fontId="38" fillId="0" borderId="22" xfId="8" applyNumberFormat="1" applyFont="1" applyFill="1" applyBorder="1" applyAlignment="1" applyProtection="1">
      <alignment horizontal="center" vertical="top"/>
      <protection hidden="1"/>
    </xf>
    <xf numFmtId="168" fontId="38" fillId="0" borderId="22" xfId="8" applyNumberFormat="1" applyFont="1" applyFill="1" applyBorder="1" applyAlignment="1" applyProtection="1">
      <alignment vertical="top"/>
      <protection hidden="1"/>
    </xf>
    <xf numFmtId="168" fontId="38" fillId="0" borderId="22" xfId="8" applyNumberFormat="1" applyFont="1" applyFill="1" applyBorder="1" applyAlignment="1" applyProtection="1">
      <alignment horizontal="right" vertical="top"/>
      <protection hidden="1"/>
    </xf>
    <xf numFmtId="168" fontId="39" fillId="0" borderId="22" xfId="8" applyNumberFormat="1" applyFont="1" applyFill="1" applyBorder="1" applyAlignment="1" applyProtection="1">
      <alignment vertical="top"/>
      <protection hidden="1"/>
    </xf>
    <xf numFmtId="168" fontId="39" fillId="0" borderId="11" xfId="8" applyNumberFormat="1" applyFont="1" applyFill="1" applyBorder="1" applyAlignment="1" applyProtection="1">
      <alignment horizontal="center" vertical="center"/>
      <protection hidden="1"/>
    </xf>
    <xf numFmtId="1" fontId="41" fillId="0" borderId="9" xfId="8" applyNumberFormat="1" applyFont="1" applyFill="1" applyBorder="1" applyAlignment="1" applyProtection="1">
      <alignment horizontal="center" vertical="center"/>
      <protection hidden="1"/>
    </xf>
    <xf numFmtId="175" fontId="40" fillId="0" borderId="9" xfId="8" applyNumberFormat="1" applyFont="1" applyFill="1" applyBorder="1" applyAlignment="1" applyProtection="1">
      <alignment horizontal="center" vertical="center"/>
      <protection hidden="1"/>
    </xf>
    <xf numFmtId="49" fontId="42" fillId="0" borderId="9" xfId="8" applyNumberFormat="1" applyFont="1" applyFill="1" applyBorder="1" applyAlignment="1" applyProtection="1">
      <alignment horizontal="center" vertical="top"/>
      <protection hidden="1"/>
    </xf>
    <xf numFmtId="168" fontId="42" fillId="0" borderId="9" xfId="8" applyNumberFormat="1" applyFont="1" applyFill="1" applyBorder="1" applyAlignment="1" applyProtection="1">
      <alignment vertical="top"/>
      <protection hidden="1"/>
    </xf>
    <xf numFmtId="168" fontId="42" fillId="0" borderId="9" xfId="8" applyNumberFormat="1" applyFont="1" applyFill="1" applyBorder="1" applyAlignment="1" applyProtection="1">
      <alignment horizontal="right" vertical="top"/>
      <protection hidden="1"/>
    </xf>
    <xf numFmtId="168" fontId="43" fillId="0" borderId="9" xfId="8" applyNumberFormat="1" applyFont="1" applyFill="1" applyBorder="1" applyAlignment="1" applyProtection="1">
      <alignment vertical="top"/>
      <protection hidden="1"/>
    </xf>
    <xf numFmtId="4" fontId="43" fillId="0" borderId="9" xfId="10" applyNumberFormat="1" applyFont="1" applyFill="1" applyBorder="1" applyAlignment="1">
      <alignment horizontal="right" vertical="center"/>
    </xf>
    <xf numFmtId="168" fontId="43" fillId="0" borderId="9" xfId="8" applyNumberFormat="1" applyFont="1" applyFill="1" applyBorder="1" applyAlignment="1" applyProtection="1">
      <alignment horizontal="justify" vertical="center"/>
      <protection hidden="1"/>
    </xf>
    <xf numFmtId="174" fontId="44" fillId="0" borderId="9" xfId="8" applyNumberFormat="1" applyFont="1" applyFill="1" applyBorder="1" applyAlignment="1" applyProtection="1">
      <alignment horizontal="justify" vertical="center"/>
      <protection hidden="1"/>
    </xf>
    <xf numFmtId="177" fontId="0" fillId="0" borderId="0" xfId="0" applyNumberFormat="1"/>
    <xf numFmtId="10" fontId="44" fillId="7" borderId="9" xfId="8" applyNumberFormat="1" applyFont="1" applyFill="1" applyBorder="1" applyAlignment="1" applyProtection="1">
      <alignment horizontal="center" vertical="center"/>
      <protection hidden="1"/>
    </xf>
    <xf numFmtId="176" fontId="0" fillId="0" borderId="0" xfId="0" applyNumberFormat="1"/>
    <xf numFmtId="176" fontId="43" fillId="0" borderId="9" xfId="11" applyNumberFormat="1" applyFont="1" applyFill="1" applyBorder="1" applyAlignment="1" applyProtection="1">
      <alignment horizontal="left" vertical="center" wrapText="1"/>
    </xf>
    <xf numFmtId="176" fontId="44" fillId="0" borderId="9" xfId="11" applyNumberFormat="1" applyFont="1" applyFill="1" applyBorder="1" applyAlignment="1" applyProtection="1">
      <alignment horizontal="center" vertical="center" wrapText="1"/>
    </xf>
    <xf numFmtId="10" fontId="43" fillId="0" borderId="9" xfId="11" applyNumberFormat="1" applyFont="1" applyFill="1" applyBorder="1" applyAlignment="1" applyProtection="1">
      <alignment horizontal="left" vertical="center" wrapText="1"/>
    </xf>
    <xf numFmtId="10" fontId="42" fillId="0" borderId="9" xfId="11" applyNumberFormat="1" applyFont="1" applyFill="1" applyBorder="1" applyAlignment="1" applyProtection="1">
      <alignment horizontal="center" vertical="center" wrapText="1"/>
    </xf>
    <xf numFmtId="10" fontId="42" fillId="0" borderId="9" xfId="0" applyNumberFormat="1" applyFont="1" applyFill="1" applyBorder="1" applyAlignment="1" applyProtection="1">
      <alignment horizontal="center" vertical="center" wrapText="1"/>
    </xf>
    <xf numFmtId="0" fontId="16" fillId="0" borderId="5" xfId="7" applyNumberFormat="1" applyFont="1" applyFill="1" applyBorder="1" applyAlignment="1">
      <alignment horizontal="justify" vertical="center" wrapText="1"/>
    </xf>
    <xf numFmtId="0" fontId="25" fillId="0" borderId="9" xfId="6" applyFont="1" applyFill="1" applyBorder="1" applyAlignment="1" applyProtection="1">
      <alignment horizontal="left" wrapText="1"/>
      <protection hidden="1"/>
    </xf>
    <xf numFmtId="0" fontId="9" fillId="6" borderId="9" xfId="0" applyFont="1" applyFill="1" applyBorder="1" applyAlignment="1">
      <alignment horizontal="center" vertical="center"/>
    </xf>
    <xf numFmtId="2" fontId="11" fillId="0" borderId="27" xfId="12" applyNumberFormat="1" applyFont="1" applyFill="1" applyBorder="1" applyAlignment="1" applyProtection="1">
      <alignment horizontal="right" vertical="center" wrapText="1"/>
    </xf>
    <xf numFmtId="2" fontId="12" fillId="0" borderId="27" xfId="2" applyNumberFormat="1" applyFont="1" applyFill="1" applyBorder="1" applyAlignment="1">
      <alignment horizontal="righ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14" fillId="0" borderId="27" xfId="0" applyFont="1" applyBorder="1"/>
    <xf numFmtId="0" fontId="15" fillId="0" borderId="27" xfId="0" applyFont="1" applyBorder="1" applyAlignment="1">
      <alignment horizontal="justify"/>
    </xf>
    <xf numFmtId="4" fontId="15" fillId="3" borderId="27" xfId="0" applyNumberFormat="1" applyFont="1" applyFill="1" applyBorder="1" applyAlignment="1">
      <alignment horizontal="right" vertical="center"/>
    </xf>
    <xf numFmtId="0" fontId="15" fillId="3" borderId="27" xfId="0" applyFont="1" applyFill="1" applyBorder="1" applyAlignment="1">
      <alignment vertical="center"/>
    </xf>
    <xf numFmtId="4" fontId="15" fillId="0" borderId="27" xfId="0" applyNumberFormat="1" applyFont="1" applyFill="1" applyBorder="1" applyAlignment="1">
      <alignment horizontal="right" vertical="center"/>
    </xf>
    <xf numFmtId="0" fontId="15" fillId="0" borderId="27" xfId="0" applyFont="1" applyFill="1" applyBorder="1" applyAlignment="1">
      <alignment vertical="center"/>
    </xf>
    <xf numFmtId="0" fontId="15" fillId="0" borderId="27" xfId="0" applyFont="1" applyFill="1" applyBorder="1" applyAlignment="1">
      <alignment horizontal="justify"/>
    </xf>
    <xf numFmtId="4" fontId="11" fillId="6" borderId="27" xfId="0" applyNumberFormat="1" applyFont="1" applyFill="1" applyBorder="1" applyAlignment="1">
      <alignment horizontal="right" vertical="center"/>
    </xf>
    <xf numFmtId="44" fontId="1" fillId="0" borderId="0" xfId="1" applyAlignment="1">
      <alignment vertical="center"/>
    </xf>
    <xf numFmtId="173" fontId="0" fillId="0" borderId="0" xfId="0" applyNumberFormat="1"/>
    <xf numFmtId="178" fontId="30" fillId="0" borderId="20" xfId="0" applyNumberFormat="1" applyFont="1" applyBorder="1"/>
    <xf numFmtId="2" fontId="13" fillId="0" borderId="3" xfId="12" applyNumberFormat="1" applyFont="1" applyFill="1" applyBorder="1" applyAlignment="1" applyProtection="1">
      <alignment horizontal="right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3" borderId="0" xfId="0" applyFont="1" applyFill="1" applyAlignment="1">
      <alignment vertical="center"/>
    </xf>
    <xf numFmtId="180" fontId="7" fillId="0" borderId="0" xfId="0" applyNumberFormat="1" applyFont="1" applyAlignment="1">
      <alignment horizontal="right" vertical="center"/>
    </xf>
    <xf numFmtId="2" fontId="30" fillId="8" borderId="0" xfId="0" applyNumberFormat="1" applyFont="1" applyFill="1" applyBorder="1"/>
    <xf numFmtId="0" fontId="16" fillId="0" borderId="5" xfId="0" applyFont="1" applyBorder="1" applyAlignment="1">
      <alignment horizontal="center"/>
    </xf>
    <xf numFmtId="0" fontId="11" fillId="2" borderId="27" xfId="0" applyFont="1" applyFill="1" applyBorder="1" applyAlignment="1">
      <alignment horizontal="left" vertical="center" wrapText="1"/>
    </xf>
    <xf numFmtId="0" fontId="9" fillId="6" borderId="2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 readingOrder="2"/>
    </xf>
    <xf numFmtId="0" fontId="9" fillId="2" borderId="24" xfId="0" applyFont="1" applyFill="1" applyBorder="1" applyAlignment="1">
      <alignment horizontal="center" vertical="center" wrapText="1" readingOrder="2"/>
    </xf>
    <xf numFmtId="0" fontId="9" fillId="2" borderId="25" xfId="0" applyFont="1" applyFill="1" applyBorder="1" applyAlignment="1">
      <alignment horizontal="center" vertical="center" wrapText="1" readingOrder="2"/>
    </xf>
    <xf numFmtId="0" fontId="10" fillId="2" borderId="4" xfId="2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>
      <alignment horizontal="center" vertical="center" wrapText="1"/>
    </xf>
    <xf numFmtId="0" fontId="10" fillId="0" borderId="27" xfId="2" applyFont="1" applyFill="1" applyBorder="1" applyAlignment="1">
      <alignment horizontal="center" vertical="center" wrapText="1"/>
    </xf>
    <xf numFmtId="0" fontId="11" fillId="0" borderId="27" xfId="2" applyFont="1" applyFill="1" applyBorder="1" applyAlignment="1">
      <alignment horizontal="justify" vertic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2" fontId="12" fillId="0" borderId="23" xfId="12" applyNumberFormat="1" applyFont="1" applyFill="1" applyBorder="1" applyAlignment="1" applyProtection="1">
      <alignment horizontal="right" vertical="center" wrapText="1"/>
      <protection locked="0"/>
    </xf>
    <xf numFmtId="2" fontId="11" fillId="0" borderId="2" xfId="12" applyNumberFormat="1" applyFont="1" applyFill="1" applyBorder="1" applyAlignment="1" applyProtection="1">
      <alignment horizontal="righ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11" fillId="0" borderId="23" xfId="2" applyFont="1" applyFill="1" applyBorder="1" applyAlignment="1">
      <alignment horizontal="left" vertical="center" wrapText="1"/>
    </xf>
    <xf numFmtId="0" fontId="11" fillId="0" borderId="23" xfId="2" applyFont="1" applyFill="1" applyBorder="1" applyAlignment="1">
      <alignment horizontal="justify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 readingOrder="2"/>
    </xf>
    <xf numFmtId="0" fontId="10" fillId="2" borderId="9" xfId="2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30" fillId="7" borderId="19" xfId="0" applyFont="1" applyFill="1" applyBorder="1" applyAlignment="1">
      <alignment horizontal="center" vertical="center"/>
    </xf>
    <xf numFmtId="0" fontId="30" fillId="7" borderId="2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0" fillId="0" borderId="0" xfId="0" applyFont="1" applyBorder="1" applyAlignment="1"/>
    <xf numFmtId="2" fontId="13" fillId="0" borderId="18" xfId="0" applyNumberFormat="1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8" fillId="0" borderId="0" xfId="0" applyFont="1" applyBorder="1" applyAlignment="1"/>
    <xf numFmtId="49" fontId="36" fillId="0" borderId="0" xfId="8" applyNumberFormat="1" applyFont="1" applyFill="1" applyBorder="1" applyAlignment="1" applyProtection="1">
      <alignment horizontal="center" vertical="center"/>
      <protection hidden="1"/>
    </xf>
    <xf numFmtId="168" fontId="40" fillId="0" borderId="9" xfId="8" applyNumberFormat="1" applyFont="1" applyFill="1" applyBorder="1" applyAlignment="1" applyProtection="1">
      <alignment horizontal="center" vertical="center"/>
      <protection hidden="1"/>
    </xf>
    <xf numFmtId="168" fontId="40" fillId="0" borderId="9" xfId="8" applyNumberFormat="1" applyFont="1" applyFill="1" applyBorder="1" applyAlignment="1" applyProtection="1">
      <alignment horizontal="center" vertical="center" wrapText="1"/>
      <protection hidden="1"/>
    </xf>
    <xf numFmtId="168" fontId="41" fillId="0" borderId="26" xfId="8" applyNumberFormat="1" applyFont="1" applyFill="1" applyBorder="1" applyAlignment="1" applyProtection="1">
      <alignment horizontal="center" vertical="center"/>
      <protection hidden="1"/>
    </xf>
    <xf numFmtId="0" fontId="43" fillId="0" borderId="9" xfId="8" applyNumberFormat="1" applyFont="1" applyFill="1" applyBorder="1" applyAlignment="1" applyProtection="1">
      <alignment horizontal="center" vertical="center"/>
      <protection hidden="1"/>
    </xf>
    <xf numFmtId="39" fontId="43" fillId="0" borderId="9" xfId="7" applyNumberFormat="1" applyFont="1" applyFill="1" applyBorder="1" applyAlignment="1">
      <alignment horizontal="center" vertical="center" wrapText="1"/>
    </xf>
    <xf numFmtId="176" fontId="43" fillId="0" borderId="9" xfId="7" applyNumberFormat="1" applyFont="1" applyFill="1" applyBorder="1" applyAlignment="1">
      <alignment horizontal="left" vertical="center" wrapText="1"/>
    </xf>
    <xf numFmtId="0" fontId="43" fillId="0" borderId="9" xfId="7" applyNumberFormat="1" applyFont="1" applyFill="1" applyBorder="1" applyAlignment="1">
      <alignment horizontal="right" vertical="center" wrapText="1"/>
    </xf>
    <xf numFmtId="4" fontId="49" fillId="0" borderId="0" xfId="0" applyNumberFormat="1" applyFont="1"/>
  </cellXfs>
  <cellStyles count="14">
    <cellStyle name="Moeda" xfId="1" builtinId="4"/>
    <cellStyle name="Normal" xfId="0" builtinId="0"/>
    <cellStyle name="Normal 2 2" xfId="2"/>
    <cellStyle name="Normal 6" xfId="3"/>
    <cellStyle name="Normal_Construction Assemblies A-E" xfId="4"/>
    <cellStyle name="Normal_Construction Assemblies F-K" xfId="5"/>
    <cellStyle name="Normal_Construction Assemblies R-Z" xfId="6"/>
    <cellStyle name="Normal_ORÇAMENTO DE SERVIÇO" xfId="7"/>
    <cellStyle name="Normal_orçcomp" xfId="8"/>
    <cellStyle name="Normal_PEC - Reforma_Marituba" xfId="9"/>
    <cellStyle name="Normal_RESUMO REDE DE DISTRIBUIÇÃO" xfId="10"/>
    <cellStyle name="Separador de milhares 10" xfId="11"/>
    <cellStyle name="Separador de milhares 2" xfId="12"/>
    <cellStyle name="Título 1 1" xfId="1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104775</xdr:rowOff>
    </xdr:from>
    <xdr:to>
      <xdr:col>2</xdr:col>
      <xdr:colOff>647700</xdr:colOff>
      <xdr:row>1</xdr:row>
      <xdr:rowOff>219075</xdr:rowOff>
    </xdr:to>
    <xdr:pic>
      <xdr:nvPicPr>
        <xdr:cNvPr id="20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50" y="104775"/>
          <a:ext cx="1562100" cy="3333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P16"/>
  <sheetViews>
    <sheetView workbookViewId="0">
      <selection sqref="A1:C13"/>
    </sheetView>
  </sheetViews>
  <sheetFormatPr defaultRowHeight="12.75"/>
  <cols>
    <col min="1" max="1" width="6.85546875" style="1" customWidth="1"/>
    <col min="2" max="2" width="80" style="4" customWidth="1"/>
    <col min="3" max="3" width="16" style="6" customWidth="1"/>
    <col min="4" max="4" width="0" style="8" hidden="1" customWidth="1"/>
    <col min="5" max="16384" width="9.140625" style="9"/>
  </cols>
  <sheetData>
    <row r="1" spans="1:250" ht="15" customHeight="1">
      <c r="A1" s="247" t="s">
        <v>0</v>
      </c>
      <c r="B1" s="247"/>
      <c r="C1" s="247"/>
    </row>
    <row r="2" spans="1:250" ht="13.35" customHeight="1">
      <c r="A2" s="248" t="s">
        <v>1</v>
      </c>
      <c r="B2" s="248"/>
      <c r="C2" s="248"/>
    </row>
    <row r="3" spans="1:250" ht="18.600000000000001" customHeight="1" thickBot="1">
      <c r="A3" s="249" t="s">
        <v>2</v>
      </c>
      <c r="B3" s="249"/>
      <c r="C3" s="249"/>
    </row>
    <row r="4" spans="1:250" ht="27.75" customHeight="1" thickBot="1">
      <c r="A4" s="250" t="s">
        <v>3</v>
      </c>
      <c r="B4" s="250"/>
      <c r="C4" s="250"/>
    </row>
    <row r="5" spans="1:250" ht="31.35" customHeight="1">
      <c r="A5" s="251" t="s">
        <v>304</v>
      </c>
      <c r="B5" s="251"/>
      <c r="C5" s="251"/>
    </row>
    <row r="6" spans="1:250" ht="13.35" customHeight="1">
      <c r="A6" s="252" t="s">
        <v>4</v>
      </c>
      <c r="B6" s="253" t="s">
        <v>7</v>
      </c>
      <c r="C6" s="224"/>
    </row>
    <row r="7" spans="1:250" ht="15.75">
      <c r="A7" s="252"/>
      <c r="B7" s="253"/>
      <c r="C7" s="225" t="s">
        <v>12</v>
      </c>
    </row>
    <row r="8" spans="1:250" ht="15.75" customHeight="1">
      <c r="A8" s="226"/>
      <c r="B8" s="245"/>
      <c r="C8" s="245"/>
    </row>
    <row r="9" spans="1:250" ht="19.350000000000001" customHeight="1">
      <c r="A9" s="227" t="s">
        <v>14</v>
      </c>
      <c r="B9" s="228" t="s">
        <v>15</v>
      </c>
      <c r="C9" s="229">
        <f>'Planilha de serviços'!I17</f>
        <v>147397.53999999998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</row>
    <row r="10" spans="1:250" s="27" customFormat="1" ht="15">
      <c r="A10" s="230" t="s">
        <v>40</v>
      </c>
      <c r="B10" s="228" t="s">
        <v>41</v>
      </c>
      <c r="C10" s="231">
        <f>'Planilha de serviços'!I43</f>
        <v>299993.72000000003</v>
      </c>
      <c r="D10" s="26"/>
    </row>
    <row r="11" spans="1:250" s="27" customFormat="1" ht="27.95" customHeight="1">
      <c r="A11" s="232" t="s">
        <v>104</v>
      </c>
      <c r="B11" s="233" t="s">
        <v>105</v>
      </c>
      <c r="C11" s="231">
        <f>'Planilha de serviços'!I64</f>
        <v>53574.05</v>
      </c>
      <c r="D11" s="26"/>
    </row>
    <row r="12" spans="1:250" s="65" customFormat="1" ht="15.75">
      <c r="A12" s="232" t="s">
        <v>145</v>
      </c>
      <c r="B12" s="233" t="s">
        <v>146</v>
      </c>
      <c r="C12" s="231">
        <f>'Planilha de serviços'!I79</f>
        <v>11261.98</v>
      </c>
      <c r="D12" s="26"/>
    </row>
    <row r="13" spans="1:250" ht="15.75">
      <c r="A13" s="246" t="s">
        <v>172</v>
      </c>
      <c r="B13" s="246"/>
      <c r="C13" s="234">
        <f>'Planilha de serviços'!I81</f>
        <v>512227.29</v>
      </c>
    </row>
    <row r="15" spans="1:250" ht="15">
      <c r="C15" s="289"/>
    </row>
    <row r="16" spans="1:250">
      <c r="C16" s="242"/>
    </row>
  </sheetData>
  <mergeCells count="9">
    <mergeCell ref="B8:C8"/>
    <mergeCell ref="A13:B13"/>
    <mergeCell ref="A1:C1"/>
    <mergeCell ref="A2:C2"/>
    <mergeCell ref="A3:C3"/>
    <mergeCell ref="A4:C4"/>
    <mergeCell ref="A5:C5"/>
    <mergeCell ref="A6:A7"/>
    <mergeCell ref="B6:B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85"/>
  <sheetViews>
    <sheetView view="pageBreakPreview" topLeftCell="A73" zoomScale="90" zoomScaleNormal="110" zoomScaleSheetLayoutView="90" workbookViewId="0">
      <selection sqref="A1:I81"/>
    </sheetView>
  </sheetViews>
  <sheetFormatPr defaultRowHeight="12.75"/>
  <cols>
    <col min="1" max="1" width="6.85546875" style="1" customWidth="1"/>
    <col min="2" max="2" width="12.85546875" style="2" customWidth="1"/>
    <col min="3" max="3" width="14.42578125" style="3" customWidth="1"/>
    <col min="4" max="4" width="74.5703125" style="4" customWidth="1"/>
    <col min="5" max="5" width="9.7109375" style="5" customWidth="1"/>
    <col min="6" max="6" width="9.42578125" style="6" customWidth="1"/>
    <col min="7" max="7" width="11.28515625" style="7" customWidth="1"/>
    <col min="8" max="8" width="11.85546875" style="7" bestFit="1" customWidth="1"/>
    <col min="9" max="9" width="16" style="6" customWidth="1"/>
    <col min="10" max="10" width="0" style="8" hidden="1" customWidth="1"/>
    <col min="11" max="11" width="9.140625" style="9"/>
    <col min="12" max="12" width="15" style="9" bestFit="1" customWidth="1"/>
    <col min="13" max="16384" width="9.140625" style="9"/>
  </cols>
  <sheetData>
    <row r="1" spans="1:254" ht="15" customHeight="1">
      <c r="A1" s="247" t="s">
        <v>0</v>
      </c>
      <c r="B1" s="247"/>
      <c r="C1" s="247"/>
      <c r="D1" s="247"/>
      <c r="E1" s="247"/>
      <c r="F1" s="247"/>
      <c r="G1" s="247"/>
      <c r="H1" s="247"/>
      <c r="I1" s="247"/>
      <c r="L1" s="239"/>
    </row>
    <row r="2" spans="1:254" ht="13.35" customHeight="1">
      <c r="A2" s="248" t="s">
        <v>1</v>
      </c>
      <c r="B2" s="248"/>
      <c r="C2" s="248"/>
      <c r="D2" s="248"/>
      <c r="E2" s="248"/>
      <c r="F2" s="248"/>
      <c r="G2" s="248"/>
      <c r="H2" s="248"/>
      <c r="I2" s="248"/>
      <c r="L2" s="239"/>
    </row>
    <row r="3" spans="1:254" ht="18.600000000000001" customHeight="1">
      <c r="A3" s="249" t="s">
        <v>2</v>
      </c>
      <c r="B3" s="249"/>
      <c r="C3" s="249"/>
      <c r="D3" s="249"/>
      <c r="E3" s="249"/>
      <c r="F3" s="249"/>
      <c r="G3" s="249"/>
      <c r="H3" s="249"/>
      <c r="I3" s="249"/>
      <c r="L3" s="239"/>
    </row>
    <row r="4" spans="1:254" ht="27.75" customHeight="1">
      <c r="A4" s="250" t="s">
        <v>3</v>
      </c>
      <c r="B4" s="250"/>
      <c r="C4" s="250"/>
      <c r="D4" s="250"/>
      <c r="E4" s="250"/>
      <c r="F4" s="250"/>
      <c r="G4" s="250"/>
      <c r="H4" s="250"/>
      <c r="I4" s="250"/>
      <c r="L4" s="239"/>
    </row>
    <row r="5" spans="1:254" ht="31.35" customHeight="1">
      <c r="A5" s="254" t="s">
        <v>305</v>
      </c>
      <c r="B5" s="254"/>
      <c r="C5" s="254"/>
      <c r="D5" s="254"/>
      <c r="E5" s="254"/>
      <c r="F5" s="254"/>
      <c r="G5" s="254"/>
      <c r="H5" s="254"/>
      <c r="I5" s="254"/>
      <c r="L5" s="239"/>
    </row>
    <row r="6" spans="1:254" ht="13.35" customHeight="1">
      <c r="A6" s="262" t="s">
        <v>4</v>
      </c>
      <c r="B6" s="263" t="s">
        <v>5</v>
      </c>
      <c r="C6" s="262" t="s">
        <v>6</v>
      </c>
      <c r="D6" s="264" t="s">
        <v>7</v>
      </c>
      <c r="E6" s="265" t="s">
        <v>8</v>
      </c>
      <c r="F6" s="257" t="s">
        <v>9</v>
      </c>
      <c r="G6" s="258" t="s">
        <v>10</v>
      </c>
      <c r="H6" s="258"/>
      <c r="I6" s="258"/>
      <c r="L6" s="239"/>
    </row>
    <row r="7" spans="1:254" ht="25.5">
      <c r="A7" s="262"/>
      <c r="B7" s="263"/>
      <c r="C7" s="262"/>
      <c r="D7" s="264"/>
      <c r="E7" s="265"/>
      <c r="F7" s="257"/>
      <c r="G7" s="10" t="s">
        <v>11</v>
      </c>
      <c r="H7" s="238" t="s">
        <v>303</v>
      </c>
      <c r="I7" s="11" t="s">
        <v>12</v>
      </c>
      <c r="L7" s="239"/>
    </row>
    <row r="8" spans="1:254" ht="15.75" customHeight="1">
      <c r="A8" s="12"/>
      <c r="B8" s="259" t="s">
        <v>13</v>
      </c>
      <c r="C8" s="259"/>
      <c r="D8" s="259"/>
      <c r="E8" s="259"/>
      <c r="F8" s="259"/>
      <c r="G8" s="259"/>
      <c r="H8" s="259"/>
      <c r="I8" s="259"/>
      <c r="L8" s="239"/>
    </row>
    <row r="9" spans="1:254" ht="19.350000000000001" customHeight="1">
      <c r="A9" s="13" t="s">
        <v>14</v>
      </c>
      <c r="B9" s="14"/>
      <c r="C9" s="15"/>
      <c r="D9" s="16" t="s">
        <v>15</v>
      </c>
      <c r="E9" s="17"/>
      <c r="F9" s="17"/>
      <c r="G9" s="18"/>
      <c r="H9" s="18"/>
      <c r="I9" s="17"/>
      <c r="J9"/>
      <c r="K9"/>
      <c r="L9" s="240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</row>
    <row r="10" spans="1:254" s="27" customFormat="1" ht="19.350000000000001" customHeight="1">
      <c r="A10" s="54" t="s">
        <v>16</v>
      </c>
      <c r="B10" s="38" t="s">
        <v>17</v>
      </c>
      <c r="C10" s="39" t="s">
        <v>18</v>
      </c>
      <c r="D10" s="221" t="s">
        <v>19</v>
      </c>
      <c r="E10" s="48" t="s">
        <v>20</v>
      </c>
      <c r="F10" s="25">
        <v>1</v>
      </c>
      <c r="G10" s="25">
        <f>ROUND(CPU!H5,2)</f>
        <v>3197.4</v>
      </c>
      <c r="H10" s="25">
        <f>ROUND(G10+(G10*L10),2)</f>
        <v>4068.05</v>
      </c>
      <c r="I10" s="25">
        <f>ROUND(F10*H10,2)</f>
        <v>4068.05</v>
      </c>
      <c r="J10" s="26" t="e">
        <f>I10/#REF!</f>
        <v>#REF!</v>
      </c>
      <c r="L10" s="240">
        <v>0.27229999999999999</v>
      </c>
    </row>
    <row r="11" spans="1:254" s="27" customFormat="1" ht="15">
      <c r="A11" s="54" t="s">
        <v>21</v>
      </c>
      <c r="B11" s="38" t="s">
        <v>17</v>
      </c>
      <c r="C11" s="39" t="s">
        <v>22</v>
      </c>
      <c r="D11" s="221" t="s">
        <v>23</v>
      </c>
      <c r="E11" s="48" t="s">
        <v>20</v>
      </c>
      <c r="F11" s="25">
        <v>1</v>
      </c>
      <c r="G11" s="25">
        <f>G10</f>
        <v>3197.4</v>
      </c>
      <c r="H11" s="25">
        <f t="shared" ref="H11:H74" si="0">ROUND(G11+(G11*L11),2)</f>
        <v>4068.05</v>
      </c>
      <c r="I11" s="25">
        <f t="shared" ref="I11:I16" si="1">ROUND(F11*H11,2)</f>
        <v>4068.05</v>
      </c>
      <c r="J11" s="26" t="e">
        <f>I11/#REF!</f>
        <v>#REF!</v>
      </c>
      <c r="L11" s="240">
        <v>0.27229999999999999</v>
      </c>
    </row>
    <row r="12" spans="1:254" s="27" customFormat="1" ht="42.75">
      <c r="A12" s="54" t="s">
        <v>24</v>
      </c>
      <c r="B12" s="38">
        <v>93207</v>
      </c>
      <c r="C12" s="39" t="s">
        <v>25</v>
      </c>
      <c r="D12" s="221" t="s">
        <v>26</v>
      </c>
      <c r="E12" s="48" t="s">
        <v>27</v>
      </c>
      <c r="F12" s="25">
        <v>25.2</v>
      </c>
      <c r="G12" s="25">
        <f>ROUND(586.82,2)</f>
        <v>586.82000000000005</v>
      </c>
      <c r="H12" s="25">
        <f t="shared" si="0"/>
        <v>746.61</v>
      </c>
      <c r="I12" s="25">
        <f t="shared" si="1"/>
        <v>18814.57</v>
      </c>
      <c r="J12" s="26"/>
      <c r="L12" s="240">
        <v>0.27229999999999999</v>
      </c>
    </row>
    <row r="13" spans="1:254" s="27" customFormat="1" ht="28.5">
      <c r="A13" s="54" t="s">
        <v>28</v>
      </c>
      <c r="B13" s="38">
        <v>93208</v>
      </c>
      <c r="C13" s="39" t="s">
        <v>25</v>
      </c>
      <c r="D13" s="221" t="s">
        <v>29</v>
      </c>
      <c r="E13" s="48" t="s">
        <v>27</v>
      </c>
      <c r="F13" s="25">
        <v>9</v>
      </c>
      <c r="G13" s="25">
        <f>ROUND(447.23,2)</f>
        <v>447.23</v>
      </c>
      <c r="H13" s="25">
        <f t="shared" si="0"/>
        <v>569.01</v>
      </c>
      <c r="I13" s="25">
        <f t="shared" si="1"/>
        <v>5121.09</v>
      </c>
      <c r="J13" s="26"/>
      <c r="L13" s="240">
        <v>0.27229999999999999</v>
      </c>
    </row>
    <row r="14" spans="1:254" s="27" customFormat="1" ht="28.5">
      <c r="A14" s="54" t="s">
        <v>30</v>
      </c>
      <c r="B14" s="38">
        <v>93212</v>
      </c>
      <c r="C14" s="39" t="s">
        <v>25</v>
      </c>
      <c r="D14" s="221" t="s">
        <v>31</v>
      </c>
      <c r="E14" s="48" t="s">
        <v>27</v>
      </c>
      <c r="F14" s="25">
        <v>7.8</v>
      </c>
      <c r="G14" s="25">
        <f>ROUND(550.62,2)</f>
        <v>550.62</v>
      </c>
      <c r="H14" s="25">
        <f t="shared" si="0"/>
        <v>700.55</v>
      </c>
      <c r="I14" s="25">
        <f t="shared" si="1"/>
        <v>5464.29</v>
      </c>
      <c r="J14" s="26"/>
      <c r="L14" s="240">
        <v>0.27229999999999999</v>
      </c>
    </row>
    <row r="15" spans="1:254" s="27" customFormat="1" ht="27.6" customHeight="1">
      <c r="A15" s="54" t="s">
        <v>32</v>
      </c>
      <c r="B15" s="38" t="s">
        <v>33</v>
      </c>
      <c r="C15" s="39" t="s">
        <v>18</v>
      </c>
      <c r="D15" s="221" t="s">
        <v>34</v>
      </c>
      <c r="E15" s="48" t="s">
        <v>35</v>
      </c>
      <c r="F15" s="25">
        <v>1</v>
      </c>
      <c r="G15" s="25">
        <f>ROUND(CPU!G25,2)</f>
        <v>78735.240000000005</v>
      </c>
      <c r="H15" s="25">
        <f t="shared" si="0"/>
        <v>100174.85</v>
      </c>
      <c r="I15" s="25">
        <f t="shared" si="1"/>
        <v>100174.85</v>
      </c>
      <c r="J15" s="26" t="e">
        <f>I15/#REF!</f>
        <v>#REF!</v>
      </c>
      <c r="L15" s="240">
        <v>0.27229999999999999</v>
      </c>
    </row>
    <row r="16" spans="1:254" s="27" customFormat="1" ht="28.5">
      <c r="A16" s="19" t="s">
        <v>36</v>
      </c>
      <c r="B16" s="28" t="s">
        <v>37</v>
      </c>
      <c r="C16" s="21" t="s">
        <v>25</v>
      </c>
      <c r="D16" s="22" t="s">
        <v>38</v>
      </c>
      <c r="E16" s="23" t="s">
        <v>27</v>
      </c>
      <c r="F16" s="24">
        <v>24</v>
      </c>
      <c r="G16" s="25">
        <f>ROUND(317.23,2)</f>
        <v>317.23</v>
      </c>
      <c r="H16" s="25">
        <f t="shared" si="0"/>
        <v>403.61</v>
      </c>
      <c r="I16" s="25">
        <f t="shared" si="1"/>
        <v>9686.64</v>
      </c>
      <c r="J16" s="26" t="e">
        <f>I16/#REF!</f>
        <v>#REF!</v>
      </c>
      <c r="L16" s="240">
        <v>0.27229999999999999</v>
      </c>
    </row>
    <row r="17" spans="1:12" s="27" customFormat="1" ht="15">
      <c r="A17" s="260" t="s">
        <v>39</v>
      </c>
      <c r="B17" s="260"/>
      <c r="C17" s="260"/>
      <c r="D17" s="260"/>
      <c r="E17" s="23"/>
      <c r="F17" s="24"/>
      <c r="G17" s="25"/>
      <c r="H17" s="25"/>
      <c r="I17" s="29">
        <f>SUM(I10:I16)</f>
        <v>147397.53999999998</v>
      </c>
      <c r="J17" s="26"/>
      <c r="L17" s="240">
        <v>0.27229999999999999</v>
      </c>
    </row>
    <row r="18" spans="1:12" s="27" customFormat="1" ht="15">
      <c r="A18" s="30" t="s">
        <v>40</v>
      </c>
      <c r="B18" s="14"/>
      <c r="C18" s="15"/>
      <c r="D18" s="16" t="s">
        <v>41</v>
      </c>
      <c r="E18" s="23"/>
      <c r="F18" s="24"/>
      <c r="G18" s="25"/>
      <c r="H18" s="25"/>
      <c r="I18" s="24"/>
      <c r="J18" s="26"/>
      <c r="L18" s="240">
        <v>0.27229999999999999</v>
      </c>
    </row>
    <row r="19" spans="1:12" s="33" customFormat="1" ht="29.25">
      <c r="A19" s="19" t="s">
        <v>42</v>
      </c>
      <c r="B19" s="28">
        <v>73610</v>
      </c>
      <c r="C19" s="31" t="s">
        <v>25</v>
      </c>
      <c r="D19" s="32" t="s">
        <v>43</v>
      </c>
      <c r="E19" s="23" t="s">
        <v>44</v>
      </c>
      <c r="F19" s="25">
        <f>ROUND(Memória!C12,2)</f>
        <v>341.98</v>
      </c>
      <c r="G19" s="25">
        <f>ROUND(1.08,2)</f>
        <v>1.08</v>
      </c>
      <c r="H19" s="25">
        <f t="shared" si="0"/>
        <v>1.37</v>
      </c>
      <c r="I19" s="25">
        <f t="shared" ref="I19:I42" si="2">ROUND(F19*H19,2)</f>
        <v>468.51</v>
      </c>
      <c r="J19" s="26" t="e">
        <f>I19/#REF!</f>
        <v>#REF!</v>
      </c>
      <c r="L19" s="240">
        <v>0.27229999999999999</v>
      </c>
    </row>
    <row r="20" spans="1:12" s="27" customFormat="1" ht="42.75">
      <c r="A20" s="19" t="s">
        <v>45</v>
      </c>
      <c r="B20" s="28" t="s">
        <v>37</v>
      </c>
      <c r="C20" s="21" t="s">
        <v>25</v>
      </c>
      <c r="D20" s="34" t="s">
        <v>46</v>
      </c>
      <c r="E20" s="21" t="s">
        <v>27</v>
      </c>
      <c r="F20" s="25">
        <f>ROUND(1.2*1*2,2)</f>
        <v>2.4</v>
      </c>
      <c r="G20" s="25">
        <v>317.23</v>
      </c>
      <c r="H20" s="25">
        <f t="shared" si="0"/>
        <v>403.61</v>
      </c>
      <c r="I20" s="25">
        <f t="shared" si="2"/>
        <v>968.66</v>
      </c>
      <c r="J20" s="26" t="e">
        <f>I20/#REF!</f>
        <v>#REF!</v>
      </c>
      <c r="L20" s="240">
        <v>0.27229999999999999</v>
      </c>
    </row>
    <row r="21" spans="1:12" s="27" customFormat="1" ht="15">
      <c r="A21" s="19" t="s">
        <v>47</v>
      </c>
      <c r="B21" s="28" t="s">
        <v>48</v>
      </c>
      <c r="C21" s="21" t="s">
        <v>25</v>
      </c>
      <c r="D21" s="32" t="s">
        <v>49</v>
      </c>
      <c r="E21" s="23" t="s">
        <v>44</v>
      </c>
      <c r="F21" s="25">
        <f>Memória!C12*2</f>
        <v>683.96</v>
      </c>
      <c r="G21" s="25">
        <v>2.16</v>
      </c>
      <c r="H21" s="25">
        <f t="shared" si="0"/>
        <v>2.75</v>
      </c>
      <c r="I21" s="25">
        <f t="shared" si="2"/>
        <v>1880.89</v>
      </c>
      <c r="J21" s="26" t="e">
        <f>I21/#REF!</f>
        <v>#REF!</v>
      </c>
      <c r="L21" s="240">
        <v>0.27229999999999999</v>
      </c>
    </row>
    <row r="22" spans="1:12" s="27" customFormat="1" ht="15">
      <c r="A22" s="19" t="s">
        <v>50</v>
      </c>
      <c r="B22" s="28" t="s">
        <v>51</v>
      </c>
      <c r="C22" s="21" t="s">
        <v>25</v>
      </c>
      <c r="D22" s="32" t="s">
        <v>52</v>
      </c>
      <c r="E22" s="23" t="s">
        <v>27</v>
      </c>
      <c r="F22" s="25">
        <f>ROUND(5*1.5*2,2)</f>
        <v>15</v>
      </c>
      <c r="G22" s="25">
        <v>49.57</v>
      </c>
      <c r="H22" s="25">
        <f t="shared" si="0"/>
        <v>63.07</v>
      </c>
      <c r="I22" s="25">
        <f t="shared" si="2"/>
        <v>946.05</v>
      </c>
      <c r="J22" s="26" t="e">
        <f>I22/#REF!</f>
        <v>#REF!</v>
      </c>
      <c r="L22" s="240">
        <v>0.27229999999999999</v>
      </c>
    </row>
    <row r="23" spans="1:12" s="27" customFormat="1" ht="99.75">
      <c r="A23" s="19" t="s">
        <v>53</v>
      </c>
      <c r="B23" s="28">
        <v>90105</v>
      </c>
      <c r="C23" s="21" t="s">
        <v>25</v>
      </c>
      <c r="D23" s="35" t="s">
        <v>54</v>
      </c>
      <c r="E23" s="21" t="s">
        <v>55</v>
      </c>
      <c r="F23" s="25">
        <f>Memória!F12</f>
        <v>601.77449999999999</v>
      </c>
      <c r="G23" s="25">
        <v>10.31</v>
      </c>
      <c r="H23" s="25">
        <f t="shared" si="0"/>
        <v>13.12</v>
      </c>
      <c r="I23" s="25">
        <f t="shared" si="2"/>
        <v>7895.28</v>
      </c>
      <c r="J23" s="36" t="e">
        <f>I23/#REF!</f>
        <v>#REF!</v>
      </c>
      <c r="L23" s="240">
        <v>0.27229999999999999</v>
      </c>
    </row>
    <row r="24" spans="1:12" s="27" customFormat="1" ht="85.5">
      <c r="A24" s="19" t="s">
        <v>56</v>
      </c>
      <c r="B24" s="28">
        <v>90107</v>
      </c>
      <c r="C24" s="21" t="s">
        <v>25</v>
      </c>
      <c r="D24" s="34" t="s">
        <v>57</v>
      </c>
      <c r="E24" s="21" t="s">
        <v>55</v>
      </c>
      <c r="F24" s="25">
        <f>Memória!G12</f>
        <v>80.23660000000001</v>
      </c>
      <c r="G24" s="25">
        <v>8.69</v>
      </c>
      <c r="H24" s="25">
        <f t="shared" si="0"/>
        <v>11.06</v>
      </c>
      <c r="I24" s="25">
        <f t="shared" si="2"/>
        <v>887.42</v>
      </c>
      <c r="J24" s="36" t="e">
        <f>I24/#REF!</f>
        <v>#REF!</v>
      </c>
      <c r="L24" s="240">
        <v>0.27229999999999999</v>
      </c>
    </row>
    <row r="25" spans="1:12" s="27" customFormat="1" ht="28.5">
      <c r="A25" s="19" t="s">
        <v>58</v>
      </c>
      <c r="B25" s="38">
        <v>4522</v>
      </c>
      <c r="C25" s="39" t="s">
        <v>59</v>
      </c>
      <c r="D25" s="40" t="s">
        <v>60</v>
      </c>
      <c r="E25" s="39" t="s">
        <v>55</v>
      </c>
      <c r="F25" s="25">
        <f>Memória!H12</f>
        <v>570.95653333333337</v>
      </c>
      <c r="G25" s="25">
        <v>268.70999999999998</v>
      </c>
      <c r="H25" s="25">
        <f t="shared" si="0"/>
        <v>341.88</v>
      </c>
      <c r="I25" s="25">
        <f t="shared" si="2"/>
        <v>195198.62</v>
      </c>
      <c r="J25" s="36" t="e">
        <f>I25/#REF!</f>
        <v>#REF!</v>
      </c>
      <c r="L25" s="240">
        <v>0.27229999999999999</v>
      </c>
    </row>
    <row r="26" spans="1:12" s="27" customFormat="1" ht="43.5">
      <c r="A26" s="19" t="s">
        <v>61</v>
      </c>
      <c r="B26" s="28">
        <v>94045</v>
      </c>
      <c r="C26" s="21" t="s">
        <v>25</v>
      </c>
      <c r="D26" s="37" t="s">
        <v>62</v>
      </c>
      <c r="E26" s="21" t="s">
        <v>27</v>
      </c>
      <c r="F26" s="24">
        <f>Memória!E22</f>
        <v>2092.3250000000003</v>
      </c>
      <c r="G26" s="25">
        <v>9.3000000000000007</v>
      </c>
      <c r="H26" s="25">
        <f t="shared" si="0"/>
        <v>11.83</v>
      </c>
      <c r="I26" s="25">
        <f t="shared" si="2"/>
        <v>24752.2</v>
      </c>
      <c r="J26" s="26" t="e">
        <f>I26/#REF!</f>
        <v>#REF!</v>
      </c>
      <c r="L26" s="240">
        <v>0.27229999999999999</v>
      </c>
    </row>
    <row r="27" spans="1:12" s="27" customFormat="1" ht="43.5">
      <c r="A27" s="19" t="s">
        <v>63</v>
      </c>
      <c r="B27" s="28" t="s">
        <v>64</v>
      </c>
      <c r="C27" s="21" t="s">
        <v>25</v>
      </c>
      <c r="D27" s="32" t="s">
        <v>65</v>
      </c>
      <c r="E27" s="21" t="s">
        <v>55</v>
      </c>
      <c r="F27" s="24">
        <f>Memória!H12</f>
        <v>570.95653333333337</v>
      </c>
      <c r="G27" s="25">
        <v>1.5</v>
      </c>
      <c r="H27" s="25">
        <f t="shared" si="0"/>
        <v>1.91</v>
      </c>
      <c r="I27" s="25">
        <f t="shared" si="2"/>
        <v>1090.53</v>
      </c>
      <c r="J27" s="36" t="e">
        <f>I27/#REF!</f>
        <v>#REF!</v>
      </c>
      <c r="L27" s="240">
        <v>0.27229999999999999</v>
      </c>
    </row>
    <row r="28" spans="1:12" s="42" customFormat="1" ht="28.5">
      <c r="A28" s="19" t="s">
        <v>66</v>
      </c>
      <c r="B28" s="38">
        <v>72843</v>
      </c>
      <c r="C28" s="39" t="s">
        <v>25</v>
      </c>
      <c r="D28" s="40" t="s">
        <v>67</v>
      </c>
      <c r="E28" s="39" t="s">
        <v>297</v>
      </c>
      <c r="F28" s="25">
        <f>ROUND(F25*1.5,2)</f>
        <v>856.43</v>
      </c>
      <c r="G28" s="25">
        <v>0.65</v>
      </c>
      <c r="H28" s="25">
        <f t="shared" si="0"/>
        <v>0.83</v>
      </c>
      <c r="I28" s="25">
        <f t="shared" si="2"/>
        <v>710.84</v>
      </c>
      <c r="J28" s="41" t="e">
        <f>I28/#REF!</f>
        <v>#REF!</v>
      </c>
      <c r="L28" s="240">
        <v>0.27229999999999999</v>
      </c>
    </row>
    <row r="29" spans="1:12" s="27" customFormat="1" ht="28.5">
      <c r="A29" s="19" t="s">
        <v>68</v>
      </c>
      <c r="B29" s="38">
        <v>83344</v>
      </c>
      <c r="C29" s="39" t="s">
        <v>25</v>
      </c>
      <c r="D29" s="43" t="s">
        <v>69</v>
      </c>
      <c r="E29" s="39" t="s">
        <v>55</v>
      </c>
      <c r="F29" s="25">
        <f>F25</f>
        <v>570.95653333333337</v>
      </c>
      <c r="G29" s="25">
        <v>0.75</v>
      </c>
      <c r="H29" s="25">
        <f t="shared" si="0"/>
        <v>0.95</v>
      </c>
      <c r="I29" s="25">
        <f t="shared" si="2"/>
        <v>542.41</v>
      </c>
      <c r="J29" s="36" t="e">
        <f>I29/#REF!</f>
        <v>#REF!</v>
      </c>
      <c r="L29" s="240">
        <v>0.27229999999999999</v>
      </c>
    </row>
    <row r="30" spans="1:12" s="27" customFormat="1" ht="28.5">
      <c r="A30" s="19" t="s">
        <v>70</v>
      </c>
      <c r="B30" s="38">
        <v>90695</v>
      </c>
      <c r="C30" s="39" t="s">
        <v>25</v>
      </c>
      <c r="D30" s="43" t="s">
        <v>71</v>
      </c>
      <c r="E30" s="39" t="s">
        <v>44</v>
      </c>
      <c r="F30" s="25">
        <f>Memória!C12</f>
        <v>341.98</v>
      </c>
      <c r="G30" s="25">
        <v>39.68</v>
      </c>
      <c r="H30" s="25">
        <f t="shared" si="0"/>
        <v>50.48</v>
      </c>
      <c r="I30" s="25">
        <f t="shared" si="2"/>
        <v>17263.150000000001</v>
      </c>
      <c r="J30" s="26" t="e">
        <f>I30/#REF!</f>
        <v>#REF!</v>
      </c>
      <c r="L30" s="240">
        <v>0.27229999999999999</v>
      </c>
    </row>
    <row r="31" spans="1:12" s="27" customFormat="1" ht="42.75">
      <c r="A31" s="19" t="s">
        <v>72</v>
      </c>
      <c r="B31" s="38">
        <v>94111</v>
      </c>
      <c r="C31" s="39" t="s">
        <v>25</v>
      </c>
      <c r="D31" s="40" t="s">
        <v>73</v>
      </c>
      <c r="E31" s="39" t="s">
        <v>55</v>
      </c>
      <c r="F31" s="25">
        <f>Memória!J12</f>
        <v>89.557578000000007</v>
      </c>
      <c r="G31" s="25">
        <v>126.34</v>
      </c>
      <c r="H31" s="25">
        <f t="shared" si="0"/>
        <v>160.74</v>
      </c>
      <c r="I31" s="25">
        <f t="shared" si="2"/>
        <v>14395.49</v>
      </c>
      <c r="J31" s="36" t="e">
        <f>I31/#REF!</f>
        <v>#REF!</v>
      </c>
      <c r="L31" s="240">
        <v>0.27229999999999999</v>
      </c>
    </row>
    <row r="32" spans="1:12" s="27" customFormat="1" ht="72">
      <c r="A32" s="19" t="s">
        <v>74</v>
      </c>
      <c r="B32" s="20">
        <v>93381</v>
      </c>
      <c r="C32" s="39" t="s">
        <v>25</v>
      </c>
      <c r="D32" s="44" t="s">
        <v>75</v>
      </c>
      <c r="E32" s="39" t="s">
        <v>55</v>
      </c>
      <c r="F32" s="25">
        <f>Memória!I12</f>
        <v>601.77449999999999</v>
      </c>
      <c r="G32" s="25">
        <v>5.42</v>
      </c>
      <c r="H32" s="25">
        <f t="shared" si="0"/>
        <v>6.9</v>
      </c>
      <c r="I32" s="25">
        <f t="shared" si="2"/>
        <v>4152.24</v>
      </c>
      <c r="J32" s="36" t="e">
        <f>I32/#REF!</f>
        <v>#REF!</v>
      </c>
      <c r="L32" s="240">
        <v>0.27229999999999999</v>
      </c>
    </row>
    <row r="33" spans="1:12" s="27" customFormat="1" ht="28.5">
      <c r="A33" s="54" t="s">
        <v>76</v>
      </c>
      <c r="B33" s="38" t="s">
        <v>302</v>
      </c>
      <c r="C33" s="39" t="s">
        <v>18</v>
      </c>
      <c r="D33" s="40" t="s">
        <v>77</v>
      </c>
      <c r="E33" s="39" t="s">
        <v>78</v>
      </c>
      <c r="F33" s="25">
        <f>Memória!K12</f>
        <v>481.39895533333339</v>
      </c>
      <c r="G33" s="25">
        <f>CPU!H27</f>
        <v>15.549999999999999</v>
      </c>
      <c r="H33" s="25">
        <f t="shared" si="0"/>
        <v>19.78</v>
      </c>
      <c r="I33" s="25">
        <f t="shared" si="2"/>
        <v>9522.07</v>
      </c>
      <c r="J33" s="36" t="e">
        <f>I33/#REF!</f>
        <v>#REF!</v>
      </c>
      <c r="L33" s="240">
        <v>0.27229999999999999</v>
      </c>
    </row>
    <row r="34" spans="1:12" s="27" customFormat="1" ht="43.5">
      <c r="A34" s="19" t="s">
        <v>79</v>
      </c>
      <c r="B34" s="38" t="s">
        <v>64</v>
      </c>
      <c r="C34" s="39" t="s">
        <v>25</v>
      </c>
      <c r="D34" s="44" t="s">
        <v>80</v>
      </c>
      <c r="E34" s="39" t="s">
        <v>55</v>
      </c>
      <c r="F34" s="25">
        <f>Memória!K12</f>
        <v>481.39895533333339</v>
      </c>
      <c r="G34" s="25">
        <v>1.5</v>
      </c>
      <c r="H34" s="25">
        <f t="shared" si="0"/>
        <v>1.91</v>
      </c>
      <c r="I34" s="25">
        <f t="shared" si="2"/>
        <v>919.47</v>
      </c>
      <c r="J34" s="36" t="e">
        <f>I34/#REF!</f>
        <v>#REF!</v>
      </c>
      <c r="L34" s="240">
        <v>0.27229999999999999</v>
      </c>
    </row>
    <row r="35" spans="1:12" s="27" customFormat="1" ht="28.5">
      <c r="A35" s="19" t="s">
        <v>81</v>
      </c>
      <c r="B35" s="38">
        <v>72843</v>
      </c>
      <c r="C35" s="39" t="s">
        <v>25</v>
      </c>
      <c r="D35" s="40" t="s">
        <v>82</v>
      </c>
      <c r="E35" s="39" t="s">
        <v>297</v>
      </c>
      <c r="F35" s="25">
        <f>Memória!K12*2</f>
        <v>962.79791066666678</v>
      </c>
      <c r="G35" s="25">
        <v>0.65</v>
      </c>
      <c r="H35" s="25">
        <f t="shared" si="0"/>
        <v>0.83</v>
      </c>
      <c r="I35" s="25">
        <f t="shared" si="2"/>
        <v>799.12</v>
      </c>
      <c r="J35" s="36" t="e">
        <f>I35/#REF!</f>
        <v>#REF!</v>
      </c>
      <c r="L35" s="240">
        <v>0.27229999999999999</v>
      </c>
    </row>
    <row r="36" spans="1:12" s="27" customFormat="1" ht="47.25">
      <c r="A36" s="19" t="s">
        <v>83</v>
      </c>
      <c r="B36" s="20">
        <v>93381</v>
      </c>
      <c r="C36" s="39" t="s">
        <v>25</v>
      </c>
      <c r="D36" s="45" t="s">
        <v>84</v>
      </c>
      <c r="E36" s="39" t="s">
        <v>55</v>
      </c>
      <c r="F36" s="25">
        <f>Memória!K12</f>
        <v>481.39895533333339</v>
      </c>
      <c r="G36" s="25">
        <v>5.42</v>
      </c>
      <c r="H36" s="25">
        <f t="shared" si="0"/>
        <v>6.9</v>
      </c>
      <c r="I36" s="25">
        <f t="shared" si="2"/>
        <v>3321.65</v>
      </c>
      <c r="J36" s="36" t="e">
        <f>I36/#REF!</f>
        <v>#REF!</v>
      </c>
      <c r="L36" s="240">
        <v>0.27229999999999999</v>
      </c>
    </row>
    <row r="37" spans="1:12" s="27" customFormat="1" ht="15">
      <c r="A37" s="19" t="s">
        <v>85</v>
      </c>
      <c r="B37" s="38" t="s">
        <v>86</v>
      </c>
      <c r="C37" s="39" t="s">
        <v>25</v>
      </c>
      <c r="D37" s="40" t="s">
        <v>87</v>
      </c>
      <c r="E37" s="39" t="s">
        <v>88</v>
      </c>
      <c r="F37" s="25">
        <f>ROUND(30*4,2)</f>
        <v>120</v>
      </c>
      <c r="G37" s="25">
        <v>4.8099999999999996</v>
      </c>
      <c r="H37" s="25">
        <f t="shared" si="0"/>
        <v>6.12</v>
      </c>
      <c r="I37" s="25">
        <f t="shared" si="2"/>
        <v>734.4</v>
      </c>
      <c r="J37" s="26" t="e">
        <f>I37/#REF!</f>
        <v>#REF!</v>
      </c>
      <c r="L37" s="240">
        <v>0.27229999999999999</v>
      </c>
    </row>
    <row r="38" spans="1:12" s="27" customFormat="1" ht="42.75">
      <c r="A38" s="19" t="s">
        <v>89</v>
      </c>
      <c r="B38" s="38" t="s">
        <v>90</v>
      </c>
      <c r="C38" s="39" t="s">
        <v>25</v>
      </c>
      <c r="D38" s="46" t="s">
        <v>91</v>
      </c>
      <c r="E38" s="39" t="s">
        <v>20</v>
      </c>
      <c r="F38" s="25">
        <v>1</v>
      </c>
      <c r="G38" s="25">
        <v>1777.16</v>
      </c>
      <c r="H38" s="25">
        <f t="shared" si="0"/>
        <v>2261.08</v>
      </c>
      <c r="I38" s="25">
        <f t="shared" si="2"/>
        <v>2261.08</v>
      </c>
      <c r="J38" s="26" t="e">
        <f>I38/#REF!</f>
        <v>#REF!</v>
      </c>
      <c r="L38" s="240">
        <v>0.27229999999999999</v>
      </c>
    </row>
    <row r="39" spans="1:12" s="27" customFormat="1" ht="42.75">
      <c r="A39" s="19" t="s">
        <v>92</v>
      </c>
      <c r="B39" s="38" t="s">
        <v>93</v>
      </c>
      <c r="C39" s="39" t="s">
        <v>25</v>
      </c>
      <c r="D39" s="46" t="s">
        <v>94</v>
      </c>
      <c r="E39" s="39" t="s">
        <v>20</v>
      </c>
      <c r="F39" s="25">
        <v>1</v>
      </c>
      <c r="G39" s="25">
        <v>1874.68</v>
      </c>
      <c r="H39" s="25">
        <f t="shared" si="0"/>
        <v>2385.16</v>
      </c>
      <c r="I39" s="25">
        <f t="shared" si="2"/>
        <v>2385.16</v>
      </c>
      <c r="J39" s="26" t="e">
        <f>I39/#REF!</f>
        <v>#REF!</v>
      </c>
      <c r="L39" s="240">
        <v>0.27229999999999999</v>
      </c>
    </row>
    <row r="40" spans="1:12" s="27" customFormat="1" ht="42.75">
      <c r="A40" s="19" t="s">
        <v>95</v>
      </c>
      <c r="B40" s="38" t="s">
        <v>96</v>
      </c>
      <c r="C40" s="39" t="s">
        <v>25</v>
      </c>
      <c r="D40" s="46" t="s">
        <v>97</v>
      </c>
      <c r="E40" s="39" t="s">
        <v>20</v>
      </c>
      <c r="F40" s="25">
        <v>1</v>
      </c>
      <c r="G40" s="25">
        <v>1996.55</v>
      </c>
      <c r="H40" s="25">
        <f t="shared" si="0"/>
        <v>2540.21</v>
      </c>
      <c r="I40" s="25">
        <f t="shared" si="2"/>
        <v>2540.21</v>
      </c>
      <c r="J40" s="26" t="e">
        <f>I40/#REF!</f>
        <v>#REF!</v>
      </c>
      <c r="L40" s="240">
        <v>0.27229999999999999</v>
      </c>
    </row>
    <row r="41" spans="1:12" s="27" customFormat="1" ht="42.75">
      <c r="A41" s="19" t="s">
        <v>98</v>
      </c>
      <c r="B41" s="38">
        <v>83627</v>
      </c>
      <c r="C41" s="39" t="s">
        <v>25</v>
      </c>
      <c r="D41" s="46" t="s">
        <v>99</v>
      </c>
      <c r="E41" s="39" t="s">
        <v>20</v>
      </c>
      <c r="F41" s="25">
        <v>3</v>
      </c>
      <c r="G41" s="25">
        <v>391.64</v>
      </c>
      <c r="H41" s="25">
        <f t="shared" si="0"/>
        <v>498.28</v>
      </c>
      <c r="I41" s="25">
        <f t="shared" si="2"/>
        <v>1494.84</v>
      </c>
      <c r="J41" s="26" t="e">
        <f>I41/#REF!</f>
        <v>#REF!</v>
      </c>
      <c r="L41" s="240">
        <v>0.27229999999999999</v>
      </c>
    </row>
    <row r="42" spans="1:12" s="27" customFormat="1" ht="28.5">
      <c r="A42" s="19" t="s">
        <v>100</v>
      </c>
      <c r="B42" s="38" t="s">
        <v>101</v>
      </c>
      <c r="C42" s="39" t="s">
        <v>25</v>
      </c>
      <c r="D42" s="46" t="s">
        <v>102</v>
      </c>
      <c r="E42" s="39" t="s">
        <v>55</v>
      </c>
      <c r="F42" s="25">
        <f>ROUND(F32+F33,2)</f>
        <v>1083.17</v>
      </c>
      <c r="G42" s="25">
        <v>3.53</v>
      </c>
      <c r="H42" s="25">
        <f t="shared" si="0"/>
        <v>4.49</v>
      </c>
      <c r="I42" s="25">
        <f t="shared" si="2"/>
        <v>4863.43</v>
      </c>
      <c r="J42" s="26"/>
      <c r="L42" s="240">
        <v>0.27229999999999999</v>
      </c>
    </row>
    <row r="43" spans="1:12" s="27" customFormat="1" ht="15">
      <c r="A43" s="261" t="s">
        <v>103</v>
      </c>
      <c r="B43" s="261"/>
      <c r="C43" s="261"/>
      <c r="D43" s="261"/>
      <c r="E43" s="48"/>
      <c r="F43" s="25"/>
      <c r="G43" s="25"/>
      <c r="H43" s="25"/>
      <c r="I43" s="49">
        <f>SUM(I19:I42)</f>
        <v>299993.72000000003</v>
      </c>
      <c r="J43" s="26"/>
      <c r="L43" s="240">
        <v>0.27229999999999999</v>
      </c>
    </row>
    <row r="44" spans="1:12" s="27" customFormat="1" ht="27.95" customHeight="1">
      <c r="A44" s="50" t="s">
        <v>104</v>
      </c>
      <c r="B44" s="51"/>
      <c r="C44" s="47"/>
      <c r="D44" s="52" t="s">
        <v>105</v>
      </c>
      <c r="E44" s="39"/>
      <c r="F44" s="25"/>
      <c r="G44" s="25"/>
      <c r="H44" s="25"/>
      <c r="I44" s="53"/>
      <c r="J44" s="26"/>
      <c r="L44" s="240">
        <v>0.27229999999999999</v>
      </c>
    </row>
    <row r="45" spans="1:12" s="27" customFormat="1" ht="28.5">
      <c r="A45" s="54" t="s">
        <v>106</v>
      </c>
      <c r="B45" s="38">
        <v>94263</v>
      </c>
      <c r="C45" s="39" t="s">
        <v>25</v>
      </c>
      <c r="D45" s="40" t="s">
        <v>107</v>
      </c>
      <c r="E45" s="39" t="s">
        <v>44</v>
      </c>
      <c r="F45" s="25">
        <v>60</v>
      </c>
      <c r="G45" s="25">
        <v>18.12</v>
      </c>
      <c r="H45" s="25">
        <f t="shared" si="0"/>
        <v>23.05</v>
      </c>
      <c r="I45" s="25">
        <f t="shared" ref="I45:I63" si="3">ROUND(F45*H45,2)</f>
        <v>1383</v>
      </c>
      <c r="J45" s="26" t="e">
        <f>I45/#REF!</f>
        <v>#REF!</v>
      </c>
      <c r="L45" s="240">
        <v>0.27229999999999999</v>
      </c>
    </row>
    <row r="46" spans="1:12" s="27" customFormat="1" ht="28.5">
      <c r="A46" s="54" t="s">
        <v>108</v>
      </c>
      <c r="B46" s="38">
        <v>83683</v>
      </c>
      <c r="C46" s="39" t="s">
        <v>25</v>
      </c>
      <c r="D46" s="40" t="s">
        <v>109</v>
      </c>
      <c r="E46" s="39" t="s">
        <v>55</v>
      </c>
      <c r="F46" s="25">
        <v>152.24</v>
      </c>
      <c r="G46" s="25">
        <v>107.16</v>
      </c>
      <c r="H46" s="25">
        <f t="shared" si="0"/>
        <v>136.34</v>
      </c>
      <c r="I46" s="25">
        <f t="shared" si="3"/>
        <v>20756.400000000001</v>
      </c>
      <c r="J46" s="26" t="e">
        <f>I46/#REF!</f>
        <v>#REF!</v>
      </c>
      <c r="L46" s="240">
        <v>0.27229999999999999</v>
      </c>
    </row>
    <row r="47" spans="1:12" s="27" customFormat="1" ht="57">
      <c r="A47" s="54" t="s">
        <v>110</v>
      </c>
      <c r="B47" s="38" t="s">
        <v>111</v>
      </c>
      <c r="C47" s="39" t="s">
        <v>25</v>
      </c>
      <c r="D47" s="40" t="s">
        <v>112</v>
      </c>
      <c r="E47" s="39" t="s">
        <v>44</v>
      </c>
      <c r="F47" s="25">
        <v>172.7</v>
      </c>
      <c r="G47" s="25">
        <v>54.98</v>
      </c>
      <c r="H47" s="25">
        <f t="shared" si="0"/>
        <v>69.95</v>
      </c>
      <c r="I47" s="25">
        <f t="shared" si="3"/>
        <v>12080.37</v>
      </c>
      <c r="J47" s="26" t="e">
        <f>I47/#REF!</f>
        <v>#REF!</v>
      </c>
      <c r="L47" s="240">
        <v>0.27229999999999999</v>
      </c>
    </row>
    <row r="48" spans="1:12" s="27" customFormat="1" ht="28.5">
      <c r="A48" s="54" t="s">
        <v>113</v>
      </c>
      <c r="B48" s="38" t="s">
        <v>302</v>
      </c>
      <c r="C48" s="39" t="s">
        <v>18</v>
      </c>
      <c r="D48" s="40" t="s">
        <v>77</v>
      </c>
      <c r="E48" s="39" t="s">
        <v>78</v>
      </c>
      <c r="F48" s="25">
        <f>ROUND(24*2+212*1*0.5,2)</f>
        <v>154</v>
      </c>
      <c r="G48" s="25">
        <f>CPU!H27</f>
        <v>15.549999999999999</v>
      </c>
      <c r="H48" s="25">
        <f t="shared" si="0"/>
        <v>19.78</v>
      </c>
      <c r="I48" s="25">
        <f t="shared" si="3"/>
        <v>3046.12</v>
      </c>
      <c r="J48" s="36"/>
      <c r="L48" s="240">
        <v>0.27229999999999999</v>
      </c>
    </row>
    <row r="49" spans="1:12" s="27" customFormat="1" ht="43.5">
      <c r="A49" s="54" t="s">
        <v>114</v>
      </c>
      <c r="B49" s="38" t="s">
        <v>64</v>
      </c>
      <c r="C49" s="39" t="s">
        <v>25</v>
      </c>
      <c r="D49" s="44" t="s">
        <v>80</v>
      </c>
      <c r="E49" s="39" t="s">
        <v>55</v>
      </c>
      <c r="F49" s="25">
        <f>F48</f>
        <v>154</v>
      </c>
      <c r="G49" s="25">
        <v>1.5</v>
      </c>
      <c r="H49" s="25">
        <f t="shared" si="0"/>
        <v>1.91</v>
      </c>
      <c r="I49" s="25">
        <f t="shared" si="3"/>
        <v>294.14</v>
      </c>
      <c r="J49" s="36"/>
      <c r="L49" s="240">
        <v>0.27229999999999999</v>
      </c>
    </row>
    <row r="50" spans="1:12" s="27" customFormat="1" ht="28.5">
      <c r="A50" s="54" t="s">
        <v>115</v>
      </c>
      <c r="B50" s="55">
        <v>72843</v>
      </c>
      <c r="C50" s="56" t="s">
        <v>25</v>
      </c>
      <c r="D50" s="57" t="s">
        <v>82</v>
      </c>
      <c r="E50" s="56" t="s">
        <v>297</v>
      </c>
      <c r="F50" s="58">
        <f>ROUND(1.5*F48,2)</f>
        <v>231</v>
      </c>
      <c r="G50" s="58">
        <v>0.65</v>
      </c>
      <c r="H50" s="25">
        <f t="shared" si="0"/>
        <v>0.83</v>
      </c>
      <c r="I50" s="25">
        <f t="shared" si="3"/>
        <v>191.73</v>
      </c>
      <c r="J50" s="36"/>
      <c r="L50" s="240">
        <v>0.27229999999999999</v>
      </c>
    </row>
    <row r="51" spans="1:12" s="27" customFormat="1" ht="47.25">
      <c r="A51" s="54" t="s">
        <v>116</v>
      </c>
      <c r="B51" s="20">
        <v>93381</v>
      </c>
      <c r="C51" s="39" t="s">
        <v>25</v>
      </c>
      <c r="D51" s="45" t="s">
        <v>84</v>
      </c>
      <c r="E51" s="39" t="s">
        <v>55</v>
      </c>
      <c r="F51" s="25">
        <f>F48</f>
        <v>154</v>
      </c>
      <c r="G51" s="25">
        <v>5.42</v>
      </c>
      <c r="H51" s="25">
        <f t="shared" si="0"/>
        <v>6.9</v>
      </c>
      <c r="I51" s="25">
        <f t="shared" si="3"/>
        <v>1062.5999999999999</v>
      </c>
      <c r="J51" s="36"/>
      <c r="L51" s="240">
        <v>0.27229999999999999</v>
      </c>
    </row>
    <row r="52" spans="1:12" s="27" customFormat="1" ht="47.25">
      <c r="A52" s="54" t="s">
        <v>117</v>
      </c>
      <c r="B52" s="20">
        <v>90823</v>
      </c>
      <c r="C52" s="39" t="s">
        <v>25</v>
      </c>
      <c r="D52" s="45" t="s">
        <v>118</v>
      </c>
      <c r="E52" s="39" t="s">
        <v>20</v>
      </c>
      <c r="F52" s="25">
        <v>1</v>
      </c>
      <c r="G52" s="25">
        <v>291.23</v>
      </c>
      <c r="H52" s="25">
        <f t="shared" si="0"/>
        <v>370.53</v>
      </c>
      <c r="I52" s="25">
        <f t="shared" si="3"/>
        <v>370.53</v>
      </c>
      <c r="J52" s="36"/>
      <c r="L52" s="240">
        <v>0.27229999999999999</v>
      </c>
    </row>
    <row r="53" spans="1:12" s="27" customFormat="1" ht="47.25">
      <c r="A53" s="54" t="s">
        <v>119</v>
      </c>
      <c r="B53" s="20">
        <v>90821</v>
      </c>
      <c r="C53" s="39" t="s">
        <v>25</v>
      </c>
      <c r="D53" s="45" t="s">
        <v>120</v>
      </c>
      <c r="E53" s="39" t="s">
        <v>20</v>
      </c>
      <c r="F53" s="25">
        <v>3</v>
      </c>
      <c r="G53" s="25">
        <v>280.51</v>
      </c>
      <c r="H53" s="25">
        <f t="shared" si="0"/>
        <v>356.89</v>
      </c>
      <c r="I53" s="25">
        <f t="shared" si="3"/>
        <v>1070.67</v>
      </c>
      <c r="J53" s="36"/>
      <c r="L53" s="240">
        <v>0.27229999999999999</v>
      </c>
    </row>
    <row r="54" spans="1:12" s="27" customFormat="1" ht="31.5">
      <c r="A54" s="54" t="s">
        <v>121</v>
      </c>
      <c r="B54" s="20">
        <v>84848</v>
      </c>
      <c r="C54" s="39" t="s">
        <v>25</v>
      </c>
      <c r="D54" s="45" t="s">
        <v>122</v>
      </c>
      <c r="E54" s="39" t="s">
        <v>27</v>
      </c>
      <c r="F54" s="25">
        <f>ROUND(1.5*1+1+1.9+1*1,2)</f>
        <v>5.4</v>
      </c>
      <c r="G54" s="25">
        <v>357.37</v>
      </c>
      <c r="H54" s="25">
        <f t="shared" si="0"/>
        <v>454.68</v>
      </c>
      <c r="I54" s="25">
        <f t="shared" si="3"/>
        <v>2455.27</v>
      </c>
      <c r="J54" s="36"/>
      <c r="L54" s="240">
        <v>0.27229999999999999</v>
      </c>
    </row>
    <row r="55" spans="1:12" s="27" customFormat="1" ht="31.5">
      <c r="A55" s="54" t="s">
        <v>123</v>
      </c>
      <c r="B55" s="20" t="s">
        <v>124</v>
      </c>
      <c r="C55" s="39" t="s">
        <v>25</v>
      </c>
      <c r="D55" s="45" t="s">
        <v>125</v>
      </c>
      <c r="E55" s="39" t="s">
        <v>27</v>
      </c>
      <c r="F55" s="25">
        <f>ROUND((2.2*1.3)*2+1.8*1.3,2)</f>
        <v>8.06</v>
      </c>
      <c r="G55" s="25">
        <v>257.08</v>
      </c>
      <c r="H55" s="25">
        <f t="shared" si="0"/>
        <v>327.08</v>
      </c>
      <c r="I55" s="25">
        <f t="shared" si="3"/>
        <v>2636.26</v>
      </c>
      <c r="J55" s="36"/>
      <c r="L55" s="240">
        <v>0.27229999999999999</v>
      </c>
    </row>
    <row r="56" spans="1:12" s="27" customFormat="1" ht="15.75">
      <c r="A56" s="54" t="s">
        <v>126</v>
      </c>
      <c r="B56" s="20">
        <v>84659</v>
      </c>
      <c r="C56" s="39" t="s">
        <v>25</v>
      </c>
      <c r="D56" s="45" t="s">
        <v>127</v>
      </c>
      <c r="E56" s="39" t="s">
        <v>27</v>
      </c>
      <c r="F56" s="25">
        <f>ROUND(0.9*2.1*2.5+0.7*2.1*2.5*3+5.4*2.5,2)</f>
        <v>29.25</v>
      </c>
      <c r="G56" s="25">
        <v>11.33</v>
      </c>
      <c r="H56" s="25">
        <f t="shared" si="0"/>
        <v>14.42</v>
      </c>
      <c r="I56" s="25">
        <f t="shared" si="3"/>
        <v>421.79</v>
      </c>
      <c r="J56" s="36"/>
      <c r="L56" s="240">
        <v>0.27229999999999999</v>
      </c>
    </row>
    <row r="57" spans="1:12" s="27" customFormat="1" ht="31.5">
      <c r="A57" s="54" t="s">
        <v>128</v>
      </c>
      <c r="B57" s="20" t="s">
        <v>129</v>
      </c>
      <c r="C57" s="39" t="s">
        <v>25</v>
      </c>
      <c r="D57" s="45" t="s">
        <v>130</v>
      </c>
      <c r="E57" s="39" t="s">
        <v>27</v>
      </c>
      <c r="F57" s="25">
        <f>F55</f>
        <v>8.06</v>
      </c>
      <c r="G57" s="25">
        <v>25.17</v>
      </c>
      <c r="H57" s="25">
        <f t="shared" si="0"/>
        <v>32.020000000000003</v>
      </c>
      <c r="I57" s="25">
        <f t="shared" si="3"/>
        <v>258.08</v>
      </c>
      <c r="J57" s="36"/>
      <c r="L57" s="240">
        <v>0.27229999999999999</v>
      </c>
    </row>
    <row r="58" spans="1:12" s="27" customFormat="1" ht="31.5">
      <c r="A58" s="54" t="s">
        <v>131</v>
      </c>
      <c r="B58" s="38">
        <v>1748</v>
      </c>
      <c r="C58" s="39" t="s">
        <v>25</v>
      </c>
      <c r="D58" s="45" t="s">
        <v>132</v>
      </c>
      <c r="E58" s="39" t="s">
        <v>20</v>
      </c>
      <c r="F58" s="25">
        <v>1</v>
      </c>
      <c r="G58" s="25">
        <v>186.16</v>
      </c>
      <c r="H58" s="25">
        <f t="shared" si="0"/>
        <v>236.85</v>
      </c>
      <c r="I58" s="25">
        <f t="shared" si="3"/>
        <v>236.85</v>
      </c>
      <c r="J58" s="36"/>
      <c r="L58" s="240">
        <v>0.27229999999999999</v>
      </c>
    </row>
    <row r="59" spans="1:12" s="27" customFormat="1" ht="31.5">
      <c r="A59" s="54" t="s">
        <v>133</v>
      </c>
      <c r="B59" s="20">
        <v>86912</v>
      </c>
      <c r="C59" s="39" t="s">
        <v>25</v>
      </c>
      <c r="D59" s="45" t="s">
        <v>134</v>
      </c>
      <c r="E59" s="39" t="s">
        <v>20</v>
      </c>
      <c r="F59" s="25">
        <v>1</v>
      </c>
      <c r="G59" s="25">
        <v>36.590000000000003</v>
      </c>
      <c r="H59" s="25">
        <f t="shared" si="0"/>
        <v>46.55</v>
      </c>
      <c r="I59" s="25">
        <f t="shared" si="3"/>
        <v>46.55</v>
      </c>
      <c r="J59" s="36"/>
      <c r="L59" s="240">
        <v>0.27229999999999999</v>
      </c>
    </row>
    <row r="60" spans="1:12" s="27" customFormat="1" ht="31.5">
      <c r="A60" s="54" t="s">
        <v>135</v>
      </c>
      <c r="B60" s="20">
        <v>86888</v>
      </c>
      <c r="C60" s="39" t="s">
        <v>25</v>
      </c>
      <c r="D60" s="45" t="s">
        <v>136</v>
      </c>
      <c r="E60" s="39" t="s">
        <v>20</v>
      </c>
      <c r="F60" s="25">
        <v>1</v>
      </c>
      <c r="G60" s="25">
        <v>316.97000000000003</v>
      </c>
      <c r="H60" s="25">
        <f t="shared" si="0"/>
        <v>403.28</v>
      </c>
      <c r="I60" s="25">
        <f t="shared" si="3"/>
        <v>403.28</v>
      </c>
      <c r="J60" s="36"/>
      <c r="L60" s="240">
        <v>0.27229999999999999</v>
      </c>
    </row>
    <row r="61" spans="1:12" s="27" customFormat="1" ht="31.5">
      <c r="A61" s="54" t="s">
        <v>137</v>
      </c>
      <c r="B61" s="38">
        <v>10544</v>
      </c>
      <c r="C61" s="39" t="s">
        <v>25</v>
      </c>
      <c r="D61" s="45" t="s">
        <v>138</v>
      </c>
      <c r="E61" s="39" t="s">
        <v>44</v>
      </c>
      <c r="F61" s="25">
        <f>ROUND(70+28,2)</f>
        <v>98</v>
      </c>
      <c r="G61" s="25">
        <v>31.03</v>
      </c>
      <c r="H61" s="25">
        <f t="shared" si="0"/>
        <v>39.479999999999997</v>
      </c>
      <c r="I61" s="25">
        <f t="shared" si="3"/>
        <v>3869.04</v>
      </c>
      <c r="J61" s="36"/>
      <c r="L61" s="240">
        <v>0.27229999999999999</v>
      </c>
    </row>
    <row r="62" spans="1:12" s="27" customFormat="1" ht="15.75">
      <c r="A62" s="54" t="s">
        <v>139</v>
      </c>
      <c r="B62" s="20" t="s">
        <v>140</v>
      </c>
      <c r="C62" s="39" t="s">
        <v>25</v>
      </c>
      <c r="D62" s="45" t="s">
        <v>141</v>
      </c>
      <c r="E62" s="39" t="s">
        <v>27</v>
      </c>
      <c r="F62" s="25">
        <f>ROUND(212*0.3,2)</f>
        <v>63.6</v>
      </c>
      <c r="G62" s="25">
        <v>9.06</v>
      </c>
      <c r="H62" s="25">
        <f t="shared" si="0"/>
        <v>11.53</v>
      </c>
      <c r="I62" s="25">
        <f t="shared" si="3"/>
        <v>733.31</v>
      </c>
      <c r="J62" s="36"/>
      <c r="L62" s="240">
        <v>0.27229999999999999</v>
      </c>
    </row>
    <row r="63" spans="1:12" s="27" customFormat="1" ht="57">
      <c r="A63" s="54" t="s">
        <v>142</v>
      </c>
      <c r="B63" s="38">
        <v>6457</v>
      </c>
      <c r="C63" s="39" t="s">
        <v>59</v>
      </c>
      <c r="D63" s="46" t="s">
        <v>143</v>
      </c>
      <c r="E63" s="39" t="s">
        <v>55</v>
      </c>
      <c r="F63" s="25">
        <f>ROUND(0.6*0.6*0.6*6,2)</f>
        <v>1.3</v>
      </c>
      <c r="G63" s="25">
        <v>1365.22</v>
      </c>
      <c r="H63" s="25">
        <f t="shared" si="0"/>
        <v>1736.97</v>
      </c>
      <c r="I63" s="25">
        <f t="shared" si="3"/>
        <v>2258.06</v>
      </c>
      <c r="J63" s="36"/>
      <c r="L63" s="240">
        <v>0.27229999999999999</v>
      </c>
    </row>
    <row r="64" spans="1:12" s="27" customFormat="1" ht="26.1" customHeight="1">
      <c r="A64" s="261" t="s">
        <v>144</v>
      </c>
      <c r="B64" s="261"/>
      <c r="C64" s="261"/>
      <c r="D64" s="261"/>
      <c r="E64" s="48"/>
      <c r="F64" s="25"/>
      <c r="G64" s="25"/>
      <c r="H64" s="25"/>
      <c r="I64" s="49">
        <f>SUM(I45:I63)</f>
        <v>53574.05</v>
      </c>
      <c r="J64" s="26"/>
      <c r="L64" s="240">
        <v>0.27229999999999999</v>
      </c>
    </row>
    <row r="65" spans="1:254" s="65" customFormat="1" ht="15.75">
      <c r="A65" s="59" t="s">
        <v>145</v>
      </c>
      <c r="B65" s="60"/>
      <c r="C65" s="61"/>
      <c r="D65" s="62" t="s">
        <v>146</v>
      </c>
      <c r="E65" s="63"/>
      <c r="F65" s="64"/>
      <c r="G65" s="64"/>
      <c r="H65" s="25"/>
      <c r="I65" s="64"/>
      <c r="J65" s="26"/>
      <c r="L65" s="240">
        <v>0.27229999999999999</v>
      </c>
    </row>
    <row r="66" spans="1:254" s="65" customFormat="1" ht="29.25">
      <c r="A66" s="54" t="s">
        <v>147</v>
      </c>
      <c r="B66" s="28">
        <v>73610</v>
      </c>
      <c r="C66" s="39" t="s">
        <v>25</v>
      </c>
      <c r="D66" s="44" t="s">
        <v>43</v>
      </c>
      <c r="E66" s="48" t="s">
        <v>44</v>
      </c>
      <c r="F66" s="25">
        <f>Memória!C14</f>
        <v>80</v>
      </c>
      <c r="G66" s="25">
        <v>1.08</v>
      </c>
      <c r="H66" s="25">
        <f t="shared" si="0"/>
        <v>1.37</v>
      </c>
      <c r="I66" s="25">
        <f t="shared" ref="I66:I78" si="4">ROUND(F66*H66,2)</f>
        <v>109.6</v>
      </c>
      <c r="J66" s="26" t="e">
        <f>I66/#REF!</f>
        <v>#REF!</v>
      </c>
      <c r="L66" s="240">
        <v>0.27229999999999999</v>
      </c>
    </row>
    <row r="67" spans="1:254" s="65" customFormat="1" ht="99.75">
      <c r="A67" s="54" t="s">
        <v>148</v>
      </c>
      <c r="B67" s="28">
        <v>90105</v>
      </c>
      <c r="C67" s="39" t="s">
        <v>25</v>
      </c>
      <c r="D67" s="35" t="s">
        <v>54</v>
      </c>
      <c r="E67" s="39" t="s">
        <v>55</v>
      </c>
      <c r="F67" s="25">
        <f>Memória!F14</f>
        <v>76.8</v>
      </c>
      <c r="G67" s="25">
        <v>10.31</v>
      </c>
      <c r="H67" s="25">
        <f t="shared" si="0"/>
        <v>13.12</v>
      </c>
      <c r="I67" s="25">
        <f t="shared" si="4"/>
        <v>1007.62</v>
      </c>
      <c r="J67" s="26" t="e">
        <f>I67/#REF!</f>
        <v>#REF!</v>
      </c>
      <c r="L67" s="240">
        <v>0.27229999999999999</v>
      </c>
    </row>
    <row r="68" spans="1:254" s="65" customFormat="1" ht="57">
      <c r="A68" s="54" t="s">
        <v>149</v>
      </c>
      <c r="B68" s="38">
        <v>94111</v>
      </c>
      <c r="C68" s="39" t="s">
        <v>25</v>
      </c>
      <c r="D68" s="40" t="s">
        <v>150</v>
      </c>
      <c r="E68" s="39" t="s">
        <v>55</v>
      </c>
      <c r="F68" s="25">
        <f>Memória!J14</f>
        <v>16</v>
      </c>
      <c r="G68" s="25">
        <v>126.34</v>
      </c>
      <c r="H68" s="25">
        <f t="shared" si="0"/>
        <v>160.74</v>
      </c>
      <c r="I68" s="25">
        <f t="shared" si="4"/>
        <v>2571.84</v>
      </c>
      <c r="J68" s="26" t="e">
        <f>I68/#REF!</f>
        <v>#REF!</v>
      </c>
      <c r="L68" s="240">
        <v>0.27229999999999999</v>
      </c>
    </row>
    <row r="69" spans="1:254" s="65" customFormat="1" ht="72">
      <c r="A69" s="54" t="s">
        <v>151</v>
      </c>
      <c r="B69" s="38">
        <v>93379</v>
      </c>
      <c r="C69" s="39" t="s">
        <v>25</v>
      </c>
      <c r="D69" s="66" t="s">
        <v>152</v>
      </c>
      <c r="E69" s="39" t="s">
        <v>55</v>
      </c>
      <c r="F69" s="25">
        <f>Memória!I14</f>
        <v>60.8</v>
      </c>
      <c r="G69" s="25">
        <v>10.18</v>
      </c>
      <c r="H69" s="25">
        <f t="shared" si="0"/>
        <v>12.95</v>
      </c>
      <c r="I69" s="25">
        <f t="shared" si="4"/>
        <v>787.36</v>
      </c>
      <c r="J69" s="36" t="e">
        <f>I69/#REF!</f>
        <v>#REF!</v>
      </c>
      <c r="L69" s="240">
        <v>0.27229999999999999</v>
      </c>
    </row>
    <row r="70" spans="1:254" s="27" customFormat="1" ht="28.5">
      <c r="A70" s="54" t="s">
        <v>153</v>
      </c>
      <c r="B70" s="38">
        <v>90736</v>
      </c>
      <c r="C70" s="39" t="s">
        <v>25</v>
      </c>
      <c r="D70" s="46" t="s">
        <v>154</v>
      </c>
      <c r="E70" s="39" t="s">
        <v>44</v>
      </c>
      <c r="F70" s="25">
        <v>80</v>
      </c>
      <c r="G70" s="25">
        <v>3.87</v>
      </c>
      <c r="H70" s="25">
        <f t="shared" si="0"/>
        <v>4.92</v>
      </c>
      <c r="I70" s="25">
        <f t="shared" si="4"/>
        <v>393.6</v>
      </c>
      <c r="J70" s="26" t="e">
        <f>I70/#REF!</f>
        <v>#REF!</v>
      </c>
      <c r="L70" s="240">
        <v>0.27229999999999999</v>
      </c>
    </row>
    <row r="71" spans="1:254" s="27" customFormat="1" ht="28.5">
      <c r="A71" s="54" t="s">
        <v>155</v>
      </c>
      <c r="B71" s="38">
        <v>38034</v>
      </c>
      <c r="C71" s="39" t="s">
        <v>25</v>
      </c>
      <c r="D71" s="46" t="s">
        <v>156</v>
      </c>
      <c r="E71" s="39" t="s">
        <v>20</v>
      </c>
      <c r="F71" s="25">
        <v>5</v>
      </c>
      <c r="G71" s="25">
        <v>85.63</v>
      </c>
      <c r="H71" s="25">
        <f t="shared" si="0"/>
        <v>108.95</v>
      </c>
      <c r="I71" s="25">
        <f t="shared" si="4"/>
        <v>544.75</v>
      </c>
      <c r="J71" s="67" t="e">
        <f>I71/#REF!</f>
        <v>#REF!</v>
      </c>
      <c r="L71" s="240">
        <v>0.27229999999999999</v>
      </c>
    </row>
    <row r="72" spans="1:254" s="27" customFormat="1" ht="28.5">
      <c r="A72" s="54" t="s">
        <v>157</v>
      </c>
      <c r="B72" s="38">
        <v>307</v>
      </c>
      <c r="C72" s="39" t="s">
        <v>25</v>
      </c>
      <c r="D72" s="46" t="s">
        <v>158</v>
      </c>
      <c r="E72" s="39" t="s">
        <v>20</v>
      </c>
      <c r="F72" s="25">
        <v>6</v>
      </c>
      <c r="G72" s="25">
        <v>15.18</v>
      </c>
      <c r="H72" s="25">
        <f t="shared" si="0"/>
        <v>19.309999999999999</v>
      </c>
      <c r="I72" s="25">
        <f t="shared" si="4"/>
        <v>115.86</v>
      </c>
      <c r="J72" s="67" t="e">
        <f>I72/#REF!</f>
        <v>#REF!</v>
      </c>
      <c r="L72" s="240">
        <v>0.27229999999999999</v>
      </c>
    </row>
    <row r="73" spans="1:254" s="27" customFormat="1" ht="42.75">
      <c r="A73" s="54" t="s">
        <v>159</v>
      </c>
      <c r="B73" s="38" t="s">
        <v>160</v>
      </c>
      <c r="C73" s="39" t="s">
        <v>25</v>
      </c>
      <c r="D73" s="46" t="s">
        <v>161</v>
      </c>
      <c r="E73" s="39" t="s">
        <v>20</v>
      </c>
      <c r="F73" s="25">
        <v>2</v>
      </c>
      <c r="G73" s="25">
        <v>985.88</v>
      </c>
      <c r="H73" s="25">
        <f t="shared" si="0"/>
        <v>1254.3399999999999</v>
      </c>
      <c r="I73" s="25">
        <f t="shared" si="4"/>
        <v>2508.6799999999998</v>
      </c>
      <c r="J73" s="26" t="e">
        <f>I73/#REF!</f>
        <v>#REF!</v>
      </c>
      <c r="L73" s="240">
        <v>0.27229999999999999</v>
      </c>
    </row>
    <row r="74" spans="1:254" s="27" customFormat="1" ht="42.75">
      <c r="A74" s="54" t="s">
        <v>162</v>
      </c>
      <c r="B74" s="38">
        <v>83627</v>
      </c>
      <c r="C74" s="39" t="s">
        <v>25</v>
      </c>
      <c r="D74" s="46" t="s">
        <v>163</v>
      </c>
      <c r="E74" s="39" t="s">
        <v>20</v>
      </c>
      <c r="F74" s="25">
        <v>2</v>
      </c>
      <c r="G74" s="25">
        <v>391.64</v>
      </c>
      <c r="H74" s="25">
        <f t="shared" si="0"/>
        <v>498.28</v>
      </c>
      <c r="I74" s="25">
        <f t="shared" si="4"/>
        <v>996.56</v>
      </c>
      <c r="J74" s="26" t="e">
        <f>I74/#REF!</f>
        <v>#REF!</v>
      </c>
      <c r="L74" s="240">
        <v>0.27229999999999999</v>
      </c>
    </row>
    <row r="75" spans="1:254" s="27" customFormat="1" ht="57">
      <c r="A75" s="54" t="s">
        <v>164</v>
      </c>
      <c r="B75" s="38">
        <v>90734</v>
      </c>
      <c r="C75" s="39" t="s">
        <v>25</v>
      </c>
      <c r="D75" s="46" t="s">
        <v>165</v>
      </c>
      <c r="E75" s="39" t="s">
        <v>44</v>
      </c>
      <c r="F75" s="25">
        <v>12</v>
      </c>
      <c r="G75" s="25">
        <v>2.82</v>
      </c>
      <c r="H75" s="25">
        <f t="shared" ref="H75:H77" si="5">ROUND(G75+(G75*L75),2)</f>
        <v>3.59</v>
      </c>
      <c r="I75" s="25">
        <f t="shared" si="4"/>
        <v>43.08</v>
      </c>
      <c r="J75" s="26" t="e">
        <f>I75/#REF!</f>
        <v>#REF!</v>
      </c>
      <c r="L75" s="240">
        <v>0.27229999999999999</v>
      </c>
    </row>
    <row r="76" spans="1:254" s="27" customFormat="1" ht="57">
      <c r="A76" s="54" t="s">
        <v>166</v>
      </c>
      <c r="B76" s="38">
        <v>5419</v>
      </c>
      <c r="C76" s="39" t="s">
        <v>59</v>
      </c>
      <c r="D76" s="46" t="s">
        <v>167</v>
      </c>
      <c r="E76" s="39" t="s">
        <v>20</v>
      </c>
      <c r="F76" s="25">
        <v>2</v>
      </c>
      <c r="G76" s="25">
        <v>210.63</v>
      </c>
      <c r="H76" s="25">
        <f t="shared" si="5"/>
        <v>267.98</v>
      </c>
      <c r="I76" s="25">
        <f t="shared" si="4"/>
        <v>535.96</v>
      </c>
      <c r="J76" s="67" t="e">
        <f>I76/#REF!</f>
        <v>#REF!</v>
      </c>
      <c r="L76" s="240">
        <v>0.27229999999999999</v>
      </c>
    </row>
    <row r="77" spans="1:254" s="27" customFormat="1" ht="57">
      <c r="A77" s="54" t="s">
        <v>168</v>
      </c>
      <c r="B77" s="38">
        <v>6457</v>
      </c>
      <c r="C77" s="39" t="s">
        <v>59</v>
      </c>
      <c r="D77" s="46" t="s">
        <v>143</v>
      </c>
      <c r="E77" s="39" t="s">
        <v>55</v>
      </c>
      <c r="F77" s="25">
        <f>0.5*0.5*0.5*4</f>
        <v>0.5</v>
      </c>
      <c r="G77" s="25">
        <v>1365.22</v>
      </c>
      <c r="H77" s="25">
        <f t="shared" si="5"/>
        <v>1736.97</v>
      </c>
      <c r="I77" s="25">
        <f t="shared" si="4"/>
        <v>868.49</v>
      </c>
      <c r="J77" s="26" t="e">
        <f>I77/#REF!</f>
        <v>#REF!</v>
      </c>
      <c r="L77" s="240">
        <v>0.27229999999999999</v>
      </c>
    </row>
    <row r="78" spans="1:254" s="27" customFormat="1" ht="15">
      <c r="A78" s="54" t="s">
        <v>169</v>
      </c>
      <c r="B78" s="38">
        <v>9537</v>
      </c>
      <c r="C78" s="39" t="s">
        <v>25</v>
      </c>
      <c r="D78" s="46" t="s">
        <v>170</v>
      </c>
      <c r="E78" s="39" t="s">
        <v>27</v>
      </c>
      <c r="F78" s="25">
        <f>Memória!E29</f>
        <v>335.59500000000003</v>
      </c>
      <c r="G78" s="25">
        <v>1.82</v>
      </c>
      <c r="H78" s="25">
        <f>ROUND(G78+(G78*L78),2)</f>
        <v>2.3199999999999998</v>
      </c>
      <c r="I78" s="25">
        <f t="shared" si="4"/>
        <v>778.58</v>
      </c>
      <c r="J78" s="26" t="e">
        <f>I78/#REF!</f>
        <v>#REF!</v>
      </c>
      <c r="L78" s="240">
        <v>0.27229999999999999</v>
      </c>
    </row>
    <row r="79" spans="1:254" s="27" customFormat="1" ht="15">
      <c r="A79" s="255" t="s">
        <v>171</v>
      </c>
      <c r="B79" s="255"/>
      <c r="C79" s="255"/>
      <c r="D79" s="255"/>
      <c r="E79" s="68"/>
      <c r="F79" s="69"/>
      <c r="G79" s="69"/>
      <c r="H79" s="69"/>
      <c r="I79" s="70">
        <f>SUM(I66:I78)</f>
        <v>11261.98</v>
      </c>
      <c r="J79" s="26"/>
      <c r="L79" s="241"/>
    </row>
    <row r="80" spans="1:254" ht="30.75" customHeight="1">
      <c r="A80" s="71"/>
      <c r="B80" s="72"/>
      <c r="C80" s="73"/>
      <c r="D80" s="74"/>
      <c r="E80" s="71"/>
      <c r="F80" s="75"/>
      <c r="G80" s="76"/>
      <c r="H80" s="76"/>
      <c r="I80" s="75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</row>
    <row r="81" spans="1:12" ht="15.75">
      <c r="A81" s="256" t="s">
        <v>172</v>
      </c>
      <c r="B81" s="256"/>
      <c r="C81" s="256"/>
      <c r="D81" s="256"/>
      <c r="E81" s="256"/>
      <c r="F81" s="256"/>
      <c r="G81" s="256"/>
      <c r="H81" s="223"/>
      <c r="I81" s="77">
        <f>I79+I64+I43+I17</f>
        <v>512227.29</v>
      </c>
      <c r="L81" s="235"/>
    </row>
    <row r="83" spans="1:12">
      <c r="I83" s="6">
        <v>521960.63</v>
      </c>
    </row>
    <row r="84" spans="1:12">
      <c r="I84" s="242">
        <f>I81/I83</f>
        <v>0.98135234835623519</v>
      </c>
    </row>
    <row r="85" spans="1:12">
      <c r="I85" s="242">
        <f>1-I84</f>
        <v>1.8647651643764807E-2</v>
      </c>
    </row>
  </sheetData>
  <sheetProtection selectLockedCells="1" selectUnlockedCells="1"/>
  <mergeCells count="18">
    <mergeCell ref="A79:D79"/>
    <mergeCell ref="A81:G81"/>
    <mergeCell ref="F6:F7"/>
    <mergeCell ref="G6:I6"/>
    <mergeCell ref="B8:I8"/>
    <mergeCell ref="A17:D17"/>
    <mergeCell ref="A43:D43"/>
    <mergeCell ref="A64:D64"/>
    <mergeCell ref="A6:A7"/>
    <mergeCell ref="B6:B7"/>
    <mergeCell ref="C6:C7"/>
    <mergeCell ref="D6:D7"/>
    <mergeCell ref="E6:E7"/>
    <mergeCell ref="A1:I1"/>
    <mergeCell ref="A2:I2"/>
    <mergeCell ref="A3:I3"/>
    <mergeCell ref="A4:I4"/>
    <mergeCell ref="A5:I5"/>
  </mergeCells>
  <printOptions horizontalCentered="1"/>
  <pageMargins left="0.39374999999999999" right="0.39374999999999999" top="0.78749999999999998" bottom="0.39374999999999999" header="0.51180555555555551" footer="0.51180555555555551"/>
  <pageSetup paperSize="9" scale="52" firstPageNumber="0" orientation="portrait" horizontalDpi="300" verticalDpi="300" r:id="rId1"/>
  <headerFooter alignWithMargins="0"/>
  <rowBreaks count="1" manualBreakCount="1">
    <brk id="40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1"/>
  <sheetViews>
    <sheetView view="pageBreakPreview" topLeftCell="A4" zoomScale="115" zoomScaleNormal="110" zoomScaleSheetLayoutView="115" workbookViewId="0">
      <selection activeCell="H5" sqref="H5"/>
    </sheetView>
  </sheetViews>
  <sheetFormatPr defaultRowHeight="12"/>
  <cols>
    <col min="1" max="2" width="7.85546875" style="78" customWidth="1"/>
    <col min="3" max="3" width="55.140625" style="78" customWidth="1"/>
    <col min="4" max="4" width="4.7109375" style="78" customWidth="1"/>
    <col min="5" max="5" width="9.140625" style="78"/>
    <col min="6" max="6" width="10.5703125" style="78" customWidth="1"/>
    <col min="7" max="7" width="11.28515625" style="78" customWidth="1"/>
    <col min="8" max="8" width="11.42578125" style="79" customWidth="1"/>
    <col min="9" max="9" width="10.5703125" style="79" customWidth="1"/>
    <col min="10" max="16384" width="9.140625" style="78"/>
  </cols>
  <sheetData>
    <row r="1" spans="1:9" ht="17.25" customHeight="1">
      <c r="A1" s="266" t="s">
        <v>0</v>
      </c>
      <c r="B1" s="266"/>
      <c r="C1" s="266"/>
      <c r="D1" s="266"/>
      <c r="E1" s="266"/>
      <c r="F1" s="266"/>
      <c r="G1" s="266"/>
      <c r="H1" s="266"/>
      <c r="I1" s="266"/>
    </row>
    <row r="2" spans="1:9" ht="17.25" customHeight="1">
      <c r="A2" s="266" t="s">
        <v>1</v>
      </c>
      <c r="B2" s="266"/>
      <c r="C2" s="266"/>
      <c r="D2" s="266"/>
      <c r="E2" s="266"/>
      <c r="F2" s="266"/>
      <c r="G2" s="266"/>
      <c r="H2" s="266"/>
      <c r="I2" s="266"/>
    </row>
    <row r="3" spans="1:9" ht="17.25" customHeight="1">
      <c r="A3" s="266" t="s">
        <v>2</v>
      </c>
      <c r="B3" s="266"/>
      <c r="C3" s="266"/>
      <c r="D3" s="266"/>
      <c r="E3" s="266"/>
      <c r="F3" s="266"/>
      <c r="G3" s="266"/>
      <c r="H3" s="266"/>
      <c r="I3" s="266"/>
    </row>
    <row r="4" spans="1:9" ht="31.5" customHeight="1">
      <c r="A4" s="267" t="s">
        <v>3</v>
      </c>
      <c r="B4" s="267"/>
      <c r="C4" s="267"/>
      <c r="D4" s="267"/>
      <c r="E4" s="267"/>
      <c r="F4" s="267"/>
      <c r="G4" s="267"/>
      <c r="H4" s="267"/>
      <c r="I4" s="80"/>
    </row>
    <row r="5" spans="1:9" ht="12.75">
      <c r="A5" s="81" t="s">
        <v>173</v>
      </c>
      <c r="B5" s="81" t="s">
        <v>174</v>
      </c>
      <c r="C5" s="82" t="s">
        <v>175</v>
      </c>
      <c r="D5" s="83"/>
      <c r="E5" s="84"/>
      <c r="F5" s="83"/>
      <c r="G5" s="85" t="s">
        <v>176</v>
      </c>
      <c r="H5" s="86">
        <f>SUM(G7:G10)</f>
        <v>3197.4</v>
      </c>
      <c r="I5" s="87"/>
    </row>
    <row r="6" spans="1:9" ht="12.75">
      <c r="A6" s="88" t="s">
        <v>177</v>
      </c>
      <c r="B6" s="88"/>
      <c r="C6" s="89" t="s">
        <v>178</v>
      </c>
      <c r="D6" s="90" t="s">
        <v>20</v>
      </c>
      <c r="E6" s="91" t="s">
        <v>179</v>
      </c>
      <c r="F6" s="92" t="s">
        <v>180</v>
      </c>
      <c r="G6" s="91" t="s">
        <v>181</v>
      </c>
      <c r="H6" s="93"/>
      <c r="I6" s="87"/>
    </row>
    <row r="7" spans="1:9" ht="51">
      <c r="A7" s="94">
        <v>89876</v>
      </c>
      <c r="B7" s="94"/>
      <c r="C7" s="95" t="s">
        <v>182</v>
      </c>
      <c r="D7" s="96" t="s">
        <v>183</v>
      </c>
      <c r="E7" s="97">
        <v>12</v>
      </c>
      <c r="F7" s="98">
        <v>185.8</v>
      </c>
      <c r="G7" s="99">
        <f>ROUND(E7*F7,2)</f>
        <v>2229.6</v>
      </c>
      <c r="H7" s="100"/>
      <c r="I7" s="101"/>
    </row>
    <row r="8" spans="1:9" ht="51">
      <c r="A8" s="94">
        <v>5961</v>
      </c>
      <c r="B8" s="94"/>
      <c r="C8" s="102" t="s">
        <v>184</v>
      </c>
      <c r="D8" s="96" t="s">
        <v>183</v>
      </c>
      <c r="E8" s="97">
        <v>24</v>
      </c>
      <c r="F8" s="98">
        <v>30.43</v>
      </c>
      <c r="G8" s="99">
        <f>ROUND(E8*F8,2)</f>
        <v>730.32</v>
      </c>
      <c r="H8" s="100"/>
      <c r="I8" s="101"/>
    </row>
    <row r="9" spans="1:9" ht="76.5">
      <c r="A9" s="94">
        <v>91390</v>
      </c>
      <c r="B9" s="94"/>
      <c r="C9" s="95" t="s">
        <v>185</v>
      </c>
      <c r="D9" s="96" t="s">
        <v>183</v>
      </c>
      <c r="E9" s="97">
        <v>24</v>
      </c>
      <c r="F9" s="98">
        <v>6.77</v>
      </c>
      <c r="G9" s="99">
        <f>ROUND(E9*F9,2)</f>
        <v>162.47999999999999</v>
      </c>
      <c r="H9" s="100"/>
      <c r="I9" s="101"/>
    </row>
    <row r="10" spans="1:9" ht="12.75">
      <c r="A10" s="94" t="s">
        <v>186</v>
      </c>
      <c r="B10" s="94"/>
      <c r="C10" s="103" t="s">
        <v>187</v>
      </c>
      <c r="D10" s="104" t="s">
        <v>176</v>
      </c>
      <c r="E10" s="105">
        <v>3</v>
      </c>
      <c r="F10" s="106">
        <v>25</v>
      </c>
      <c r="G10" s="99">
        <f>ROUND(E10*F10,2)</f>
        <v>75</v>
      </c>
      <c r="H10" s="100"/>
      <c r="I10" s="101"/>
    </row>
    <row r="11" spans="1:9" ht="12.75">
      <c r="A11" s="107"/>
      <c r="B11" s="107"/>
      <c r="C11" s="107"/>
      <c r="D11" s="107"/>
      <c r="E11" s="107"/>
      <c r="F11" s="107"/>
      <c r="G11" s="107"/>
      <c r="H11" s="108"/>
      <c r="I11" s="101"/>
    </row>
    <row r="12" spans="1:9" ht="12.75">
      <c r="A12" s="107"/>
      <c r="B12" s="107"/>
      <c r="C12" s="107"/>
      <c r="D12" s="107"/>
      <c r="E12" s="107"/>
      <c r="F12" s="107"/>
      <c r="G12" s="107"/>
      <c r="H12" s="108"/>
      <c r="I12" s="101"/>
    </row>
    <row r="13" spans="1:9" ht="12.75">
      <c r="A13" s="109" t="s">
        <v>188</v>
      </c>
      <c r="B13" s="109"/>
      <c r="C13" s="110" t="s">
        <v>189</v>
      </c>
      <c r="D13" s="111"/>
      <c r="E13" s="112"/>
      <c r="F13" s="113"/>
      <c r="G13" s="114" t="s">
        <v>190</v>
      </c>
      <c r="H13" s="115">
        <f>SUM(G15:G23)</f>
        <v>13122.54</v>
      </c>
      <c r="I13" s="101"/>
    </row>
    <row r="14" spans="1:9" ht="12.75">
      <c r="A14" s="109" t="s">
        <v>191</v>
      </c>
      <c r="B14" s="109"/>
      <c r="C14" s="116" t="s">
        <v>178</v>
      </c>
      <c r="D14" s="111" t="s">
        <v>20</v>
      </c>
      <c r="E14" s="112" t="s">
        <v>179</v>
      </c>
      <c r="F14" s="113" t="s">
        <v>180</v>
      </c>
      <c r="G14" s="112" t="s">
        <v>181</v>
      </c>
      <c r="H14" s="112"/>
      <c r="I14" s="101"/>
    </row>
    <row r="15" spans="1:9" ht="12.75">
      <c r="A15" s="109">
        <v>2705</v>
      </c>
      <c r="B15" s="109" t="s">
        <v>25</v>
      </c>
      <c r="C15" s="102" t="s">
        <v>192</v>
      </c>
      <c r="D15" s="96" t="s">
        <v>193</v>
      </c>
      <c r="E15" s="117">
        <v>100</v>
      </c>
      <c r="F15" s="106">
        <v>0.56999999999999995</v>
      </c>
      <c r="G15" s="118">
        <f t="shared" ref="G15:G23" si="0">ROUND(E15*F15,2)</f>
        <v>57</v>
      </c>
      <c r="H15" s="112"/>
      <c r="I15" s="101"/>
    </row>
    <row r="16" spans="1:9" ht="12.75">
      <c r="A16" s="109">
        <v>14583</v>
      </c>
      <c r="B16" s="109" t="s">
        <v>25</v>
      </c>
      <c r="C16" s="102" t="s">
        <v>194</v>
      </c>
      <c r="D16" s="96" t="s">
        <v>55</v>
      </c>
      <c r="E16" s="117">
        <v>10</v>
      </c>
      <c r="F16" s="106">
        <v>10.97</v>
      </c>
      <c r="G16" s="118">
        <f t="shared" si="0"/>
        <v>109.7</v>
      </c>
      <c r="H16" s="112"/>
      <c r="I16" s="101"/>
    </row>
    <row r="17" spans="1:9" ht="12.75">
      <c r="A17" s="109"/>
      <c r="B17" s="109"/>
      <c r="C17" s="102" t="s">
        <v>195</v>
      </c>
      <c r="D17" s="96" t="s">
        <v>190</v>
      </c>
      <c r="E17" s="117">
        <v>1</v>
      </c>
      <c r="F17" s="106">
        <v>339.56</v>
      </c>
      <c r="G17" s="118">
        <f t="shared" si="0"/>
        <v>339.56</v>
      </c>
      <c r="H17" s="112"/>
      <c r="I17" s="101"/>
    </row>
    <row r="18" spans="1:9" ht="12.75">
      <c r="A18" s="109"/>
      <c r="B18" s="109"/>
      <c r="C18" s="102" t="s">
        <v>196</v>
      </c>
      <c r="D18" s="96" t="s">
        <v>190</v>
      </c>
      <c r="E18" s="117">
        <v>1</v>
      </c>
      <c r="F18" s="106">
        <v>130</v>
      </c>
      <c r="G18" s="118">
        <f t="shared" si="0"/>
        <v>130</v>
      </c>
      <c r="H18" s="112"/>
      <c r="I18" s="101"/>
    </row>
    <row r="19" spans="1:9" ht="12.75">
      <c r="A19" s="119">
        <v>2707</v>
      </c>
      <c r="B19" s="119"/>
      <c r="C19" s="102" t="s">
        <v>197</v>
      </c>
      <c r="D19" s="96" t="s">
        <v>183</v>
      </c>
      <c r="E19" s="120">
        <v>50</v>
      </c>
      <c r="F19" s="106">
        <v>84.88</v>
      </c>
      <c r="G19" s="118">
        <f t="shared" si="0"/>
        <v>4244</v>
      </c>
      <c r="H19" s="112"/>
      <c r="I19" s="101"/>
    </row>
    <row r="20" spans="1:9" ht="12.75">
      <c r="A20" s="119">
        <v>2350</v>
      </c>
      <c r="B20" s="119"/>
      <c r="C20" s="102" t="s">
        <v>198</v>
      </c>
      <c r="D20" s="96" t="s">
        <v>183</v>
      </c>
      <c r="E20" s="120">
        <v>50</v>
      </c>
      <c r="F20" s="106">
        <v>11.95</v>
      </c>
      <c r="G20" s="118">
        <f t="shared" si="0"/>
        <v>597.5</v>
      </c>
      <c r="H20" s="112"/>
      <c r="I20" s="101"/>
    </row>
    <row r="21" spans="1:9" ht="12.75">
      <c r="A21" s="119">
        <v>4069</v>
      </c>
      <c r="B21" s="119"/>
      <c r="C21" s="102" t="s">
        <v>199</v>
      </c>
      <c r="D21" s="96" t="s">
        <v>183</v>
      </c>
      <c r="E21" s="120">
        <v>176</v>
      </c>
      <c r="F21" s="106">
        <v>23.98</v>
      </c>
      <c r="G21" s="118">
        <f t="shared" si="0"/>
        <v>4220.4799999999996</v>
      </c>
      <c r="H21" s="112"/>
      <c r="I21" s="101"/>
    </row>
    <row r="22" spans="1:9" ht="12.75">
      <c r="A22" s="119">
        <v>41776</v>
      </c>
      <c r="B22" s="119"/>
      <c r="C22" s="102" t="s">
        <v>200</v>
      </c>
      <c r="D22" s="96" t="s">
        <v>183</v>
      </c>
      <c r="E22" s="120">
        <v>176</v>
      </c>
      <c r="F22" s="106">
        <v>13.05</v>
      </c>
      <c r="G22" s="118">
        <f>ROUND(E22*F22,2)</f>
        <v>2296.8000000000002</v>
      </c>
      <c r="H22" s="112"/>
      <c r="I22" s="101"/>
    </row>
    <row r="23" spans="1:9" ht="12.75">
      <c r="A23" s="119">
        <v>88321</v>
      </c>
      <c r="B23" s="119"/>
      <c r="C23" s="102" t="s">
        <v>296</v>
      </c>
      <c r="D23" s="96" t="s">
        <v>183</v>
      </c>
      <c r="E23" s="120">
        <v>50</v>
      </c>
      <c r="F23" s="106">
        <v>22.55</v>
      </c>
      <c r="G23" s="118">
        <f t="shared" si="0"/>
        <v>1127.5</v>
      </c>
      <c r="H23" s="112"/>
      <c r="I23" s="101"/>
    </row>
    <row r="24" spans="1:9" ht="25.5">
      <c r="A24" s="121"/>
      <c r="B24" s="121"/>
      <c r="C24" s="121"/>
      <c r="D24" s="122" t="s">
        <v>20</v>
      </c>
      <c r="E24" s="123" t="s">
        <v>179</v>
      </c>
      <c r="F24" s="124" t="s">
        <v>201</v>
      </c>
      <c r="G24" s="124"/>
      <c r="H24" s="124" t="s">
        <v>202</v>
      </c>
      <c r="I24" s="101"/>
    </row>
    <row r="25" spans="1:9" ht="12.75">
      <c r="A25" s="121"/>
      <c r="B25" s="121"/>
      <c r="C25" s="121"/>
      <c r="D25" s="125" t="s">
        <v>190</v>
      </c>
      <c r="E25" s="125">
        <v>6</v>
      </c>
      <c r="F25" s="126">
        <f>H13</f>
        <v>13122.54</v>
      </c>
      <c r="G25" s="127">
        <f>F25*E25</f>
        <v>78735.240000000005</v>
      </c>
      <c r="H25" s="128">
        <f>G25</f>
        <v>78735.240000000005</v>
      </c>
      <c r="I25" s="101"/>
    </row>
    <row r="26" spans="1:9" ht="12.75">
      <c r="A26" s="121"/>
      <c r="B26" s="121"/>
      <c r="C26" s="121"/>
      <c r="D26" s="125"/>
      <c r="E26" s="125"/>
      <c r="F26" s="126"/>
      <c r="G26" s="127"/>
      <c r="H26" s="128"/>
      <c r="I26" s="101"/>
    </row>
    <row r="27" spans="1:9" ht="38.25">
      <c r="A27" s="109" t="s">
        <v>298</v>
      </c>
      <c r="B27" s="109"/>
      <c r="C27" s="222" t="s">
        <v>299</v>
      </c>
      <c r="D27" s="111"/>
      <c r="E27" s="112"/>
      <c r="F27" s="113"/>
      <c r="G27" s="114" t="s">
        <v>55</v>
      </c>
      <c r="H27" s="115">
        <f>SUM(G29:G30)</f>
        <v>15.549999999999999</v>
      </c>
      <c r="I27" s="101"/>
    </row>
    <row r="28" spans="1:9" ht="12.75">
      <c r="A28" s="109" t="s">
        <v>191</v>
      </c>
      <c r="B28" s="109"/>
      <c r="C28" s="116" t="s">
        <v>178</v>
      </c>
      <c r="D28" s="111" t="s">
        <v>20</v>
      </c>
      <c r="E28" s="112" t="s">
        <v>179</v>
      </c>
      <c r="F28" s="113" t="s">
        <v>180</v>
      </c>
      <c r="G28" s="112" t="s">
        <v>181</v>
      </c>
      <c r="H28" s="112"/>
      <c r="I28" s="101"/>
    </row>
    <row r="29" spans="1:9" ht="38.25">
      <c r="A29" s="109">
        <v>3516</v>
      </c>
      <c r="B29" s="109" t="s">
        <v>59</v>
      </c>
      <c r="C29" s="102" t="s">
        <v>301</v>
      </c>
      <c r="D29" s="96" t="s">
        <v>55</v>
      </c>
      <c r="E29" s="117">
        <v>1</v>
      </c>
      <c r="F29" s="106">
        <v>5.0999999999999996</v>
      </c>
      <c r="G29" s="118">
        <f>ROUND(E29*F29,2)</f>
        <v>5.0999999999999996</v>
      </c>
      <c r="H29" s="112"/>
      <c r="I29" s="101"/>
    </row>
    <row r="30" spans="1:9" ht="12.75">
      <c r="A30" s="109">
        <v>9899</v>
      </c>
      <c r="B30" s="109" t="s">
        <v>59</v>
      </c>
      <c r="C30" s="102" t="s">
        <v>300</v>
      </c>
      <c r="D30" s="96" t="s">
        <v>55</v>
      </c>
      <c r="E30" s="117">
        <v>1</v>
      </c>
      <c r="F30" s="106">
        <v>10.45</v>
      </c>
      <c r="G30" s="118">
        <f>ROUND(E30*F30,2)</f>
        <v>10.45</v>
      </c>
      <c r="H30" s="112"/>
      <c r="I30" s="101"/>
    </row>
    <row r="31" spans="1:9" ht="12.75">
      <c r="A31" s="109"/>
      <c r="B31" s="109"/>
      <c r="C31" s="102"/>
      <c r="D31" s="96"/>
      <c r="E31" s="117"/>
      <c r="F31" s="106"/>
      <c r="G31" s="118"/>
      <c r="H31" s="112"/>
      <c r="I31" s="101"/>
    </row>
  </sheetData>
  <sheetProtection selectLockedCells="1" selectUnlockedCells="1"/>
  <mergeCells count="4">
    <mergeCell ref="A1:I1"/>
    <mergeCell ref="A2:I2"/>
    <mergeCell ref="A3:I3"/>
    <mergeCell ref="A4:H4"/>
  </mergeCells>
  <printOptions horizontalCentered="1"/>
  <pageMargins left="0.39374999999999999" right="0.39374999999999999" top="0.78749999999999998" bottom="0.39374999999999999" header="0.51180555555555551" footer="0.51180555555555551"/>
  <pageSetup paperSize="9" scale="72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IL49"/>
  <sheetViews>
    <sheetView view="pageBreakPreview" zoomScale="95" zoomScaleNormal="110" zoomScaleSheetLayoutView="95" workbookViewId="0">
      <selection activeCell="C5" sqref="C5:L14"/>
    </sheetView>
  </sheetViews>
  <sheetFormatPr defaultRowHeight="15"/>
  <cols>
    <col min="1" max="1" width="9" style="129" customWidth="1"/>
    <col min="2" max="2" width="13.5703125" style="129" customWidth="1"/>
    <col min="3" max="3" width="15.42578125" style="129" customWidth="1"/>
    <col min="4" max="4" width="14.5703125" style="129" customWidth="1"/>
    <col min="5" max="5" width="16.140625" style="129" customWidth="1"/>
    <col min="6" max="6" width="13.7109375" style="129" customWidth="1"/>
    <col min="7" max="7" width="14.28515625" style="129" customWidth="1"/>
    <col min="8" max="8" width="14.42578125" style="129" customWidth="1"/>
    <col min="9" max="9" width="10.5703125" style="129" customWidth="1"/>
    <col min="10" max="246" width="9" style="129" customWidth="1"/>
  </cols>
  <sheetData>
    <row r="2" spans="2:12" ht="14.1" customHeight="1">
      <c r="B2" s="130"/>
      <c r="C2" s="268" t="s">
        <v>203</v>
      </c>
      <c r="D2" s="268"/>
      <c r="E2" s="268"/>
      <c r="F2" s="130"/>
      <c r="G2" s="130"/>
      <c r="H2" s="130"/>
      <c r="I2" s="130"/>
      <c r="J2" s="130"/>
      <c r="K2" s="130"/>
      <c r="L2" s="130"/>
    </row>
    <row r="3" spans="2:12">
      <c r="B3" s="130" t="s">
        <v>204</v>
      </c>
      <c r="C3" s="130" t="s">
        <v>205</v>
      </c>
      <c r="D3" s="130" t="s">
        <v>206</v>
      </c>
      <c r="E3" s="130" t="s">
        <v>207</v>
      </c>
      <c r="F3" s="130" t="s">
        <v>208</v>
      </c>
      <c r="G3" s="130" t="s">
        <v>208</v>
      </c>
      <c r="H3" s="130" t="s">
        <v>209</v>
      </c>
      <c r="I3" s="132" t="s">
        <v>210</v>
      </c>
      <c r="J3" s="132" t="s">
        <v>211</v>
      </c>
      <c r="K3" s="132" t="s">
        <v>212</v>
      </c>
      <c r="L3" s="132" t="s">
        <v>213</v>
      </c>
    </row>
    <row r="4" spans="2:12">
      <c r="B4" s="130"/>
      <c r="C4" s="130"/>
      <c r="D4" s="130"/>
      <c r="E4" s="130"/>
      <c r="F4" s="130" t="s">
        <v>214</v>
      </c>
      <c r="G4" s="130" t="s">
        <v>215</v>
      </c>
      <c r="H4" s="130"/>
      <c r="I4" s="132"/>
      <c r="J4" s="132" t="s">
        <v>216</v>
      </c>
      <c r="K4" s="132"/>
      <c r="L4" s="132"/>
    </row>
    <row r="5" spans="2:12">
      <c r="B5" s="130" t="s">
        <v>217</v>
      </c>
      <c r="C5" s="130">
        <v>63.78</v>
      </c>
      <c r="D5" s="244">
        <v>3.15</v>
      </c>
      <c r="E5" s="133">
        <v>1.2</v>
      </c>
      <c r="F5" s="134">
        <f>C5*E5*1.5</f>
        <v>114.804</v>
      </c>
      <c r="G5" s="134">
        <f>C5*E5*0.2</f>
        <v>15.307200000000002</v>
      </c>
      <c r="H5" s="134">
        <f>C5*E5*(D5-1.7)</f>
        <v>110.9772</v>
      </c>
      <c r="I5" s="135">
        <f>F5</f>
        <v>114.804</v>
      </c>
      <c r="J5" s="135">
        <f>C5*E5*0.25-C5*0.1*0.1*3.14</f>
        <v>17.131308000000001</v>
      </c>
      <c r="K5" s="135">
        <f>H5-J5</f>
        <v>93.845891999999992</v>
      </c>
      <c r="L5" s="135">
        <f>H5</f>
        <v>110.9772</v>
      </c>
    </row>
    <row r="6" spans="2:12">
      <c r="B6" s="130" t="s">
        <v>218</v>
      </c>
      <c r="C6" s="130">
        <v>61.06</v>
      </c>
      <c r="D6" s="244">
        <v>3.2</v>
      </c>
      <c r="E6" s="133">
        <v>1.2</v>
      </c>
      <c r="F6" s="134">
        <f>C6*E6*1.5</f>
        <v>109.90800000000002</v>
      </c>
      <c r="G6" s="134">
        <f>C6*E6*0.2</f>
        <v>14.654400000000003</v>
      </c>
      <c r="H6" s="134">
        <f>C6*E6*(D6-1.7)</f>
        <v>109.90800000000003</v>
      </c>
      <c r="I6" s="135">
        <f>F6</f>
        <v>109.90800000000002</v>
      </c>
      <c r="J6" s="135">
        <f>C6*E6*0.25-C6*0.1*0.1*3.14</f>
        <v>16.400716000000003</v>
      </c>
      <c r="K6" s="135">
        <f>H6-J6</f>
        <v>93.507284000000027</v>
      </c>
      <c r="L6" s="135">
        <f>H6</f>
        <v>109.90800000000003</v>
      </c>
    </row>
    <row r="7" spans="2:12">
      <c r="B7" s="130" t="s">
        <v>219</v>
      </c>
      <c r="C7" s="130">
        <v>50.7</v>
      </c>
      <c r="D7" s="244">
        <v>3.35</v>
      </c>
      <c r="E7" s="133">
        <v>1.2</v>
      </c>
      <c r="F7" s="134">
        <f>C7*E7*1.5</f>
        <v>91.26</v>
      </c>
      <c r="G7" s="134">
        <f>C7*E7*0.2</f>
        <v>12.168000000000001</v>
      </c>
      <c r="H7" s="134">
        <f>C7*E7*(D7-1.7)</f>
        <v>100.38600000000001</v>
      </c>
      <c r="I7" s="135">
        <f>F7</f>
        <v>91.26</v>
      </c>
      <c r="J7" s="135">
        <f>C7*E7*0.25-C7*0.1*0.1*3.14</f>
        <v>13.618020000000001</v>
      </c>
      <c r="K7" s="135">
        <f>H7-J7</f>
        <v>86.767980000000009</v>
      </c>
      <c r="L7" s="135">
        <f>H7</f>
        <v>100.38600000000001</v>
      </c>
    </row>
    <row r="8" spans="2:12">
      <c r="B8" s="130" t="s">
        <v>220</v>
      </c>
      <c r="C8" s="130">
        <v>48.19</v>
      </c>
      <c r="D8" s="244">
        <v>3.9</v>
      </c>
      <c r="E8" s="133">
        <v>1.5</v>
      </c>
      <c r="F8" s="134">
        <f>C8*E8*1.5</f>
        <v>108.42749999999999</v>
      </c>
      <c r="G8" s="134">
        <f>C8*E8*0.2</f>
        <v>14.457000000000001</v>
      </c>
      <c r="H8" s="134">
        <f>C8*E8*(D8-1.7)</f>
        <v>159.02700000000002</v>
      </c>
      <c r="I8" s="135">
        <f>F8</f>
        <v>108.42749999999999</v>
      </c>
      <c r="J8" s="135">
        <f>C8*E8*0.25-C8*0.1*0.1*3.14</f>
        <v>16.558084000000001</v>
      </c>
      <c r="K8" s="135">
        <f>H8-J8</f>
        <v>142.46891600000001</v>
      </c>
      <c r="L8" s="135">
        <f>H8</f>
        <v>159.02700000000002</v>
      </c>
    </row>
    <row r="9" spans="2:12">
      <c r="B9" s="130" t="s">
        <v>221</v>
      </c>
      <c r="C9" s="130">
        <f>64.34+53.91</f>
        <v>118.25</v>
      </c>
      <c r="D9" s="133">
        <f>(1.53+2.53+3.34)/3</f>
        <v>2.4666666666666663</v>
      </c>
      <c r="E9" s="133">
        <v>1</v>
      </c>
      <c r="F9" s="134">
        <f>C9*E9*1.5</f>
        <v>177.375</v>
      </c>
      <c r="G9" s="134">
        <f>C9*E9*0.2</f>
        <v>23.650000000000002</v>
      </c>
      <c r="H9" s="134">
        <f>C9*E9*(D9-1.7)</f>
        <v>90.658333333333303</v>
      </c>
      <c r="I9" s="135">
        <f>F9</f>
        <v>177.375</v>
      </c>
      <c r="J9" s="135">
        <f>C9*E9*0.25-C9*0.1*0.1*3.14</f>
        <v>25.849450000000001</v>
      </c>
      <c r="K9" s="135">
        <f>H9-J9</f>
        <v>64.808883333333299</v>
      </c>
      <c r="L9" s="135">
        <f>H9</f>
        <v>90.658333333333303</v>
      </c>
    </row>
    <row r="10" spans="2:12">
      <c r="B10" s="130"/>
      <c r="C10" s="130"/>
      <c r="D10" s="244"/>
      <c r="E10" s="133"/>
      <c r="F10" s="130"/>
      <c r="G10" s="130"/>
      <c r="H10" s="130"/>
      <c r="I10" s="132"/>
      <c r="J10" s="132"/>
      <c r="K10" s="132"/>
      <c r="L10" s="132"/>
    </row>
    <row r="11" spans="2:12">
      <c r="B11" s="130"/>
      <c r="C11" s="130"/>
      <c r="D11" s="130"/>
      <c r="E11" s="130"/>
      <c r="F11" s="130"/>
      <c r="G11" s="130"/>
      <c r="H11" s="130"/>
      <c r="I11" s="132"/>
      <c r="J11" s="132"/>
      <c r="K11" s="132"/>
      <c r="L11" s="132"/>
    </row>
    <row r="12" spans="2:12">
      <c r="B12" s="130" t="s">
        <v>222</v>
      </c>
      <c r="C12" s="130">
        <f>SUM(C5:C9)</f>
        <v>341.98</v>
      </c>
      <c r="D12" s="130"/>
      <c r="E12" s="130"/>
      <c r="F12" s="134">
        <f t="shared" ref="F12:L12" si="0">SUM(F5:F9)</f>
        <v>601.77449999999999</v>
      </c>
      <c r="G12" s="134">
        <f t="shared" si="0"/>
        <v>80.23660000000001</v>
      </c>
      <c r="H12" s="134">
        <f t="shared" si="0"/>
        <v>570.95653333333337</v>
      </c>
      <c r="I12" s="134">
        <f t="shared" si="0"/>
        <v>601.77449999999999</v>
      </c>
      <c r="J12" s="134">
        <f t="shared" si="0"/>
        <v>89.557578000000007</v>
      </c>
      <c r="K12" s="134">
        <f t="shared" si="0"/>
        <v>481.39895533333339</v>
      </c>
      <c r="L12" s="134">
        <f t="shared" si="0"/>
        <v>570.95653333333337</v>
      </c>
    </row>
    <row r="13" spans="2:12">
      <c r="B13" s="130" t="s">
        <v>204</v>
      </c>
      <c r="C13" s="130" t="s">
        <v>205</v>
      </c>
      <c r="D13" s="130" t="s">
        <v>206</v>
      </c>
      <c r="E13" s="130" t="s">
        <v>207</v>
      </c>
      <c r="F13" s="130" t="s">
        <v>208</v>
      </c>
      <c r="G13" s="130" t="s">
        <v>208</v>
      </c>
      <c r="H13" s="130" t="s">
        <v>209</v>
      </c>
      <c r="I13" s="132" t="s">
        <v>210</v>
      </c>
      <c r="J13" s="132" t="s">
        <v>211</v>
      </c>
      <c r="K13" s="132" t="s">
        <v>212</v>
      </c>
      <c r="L13" s="132" t="s">
        <v>213</v>
      </c>
    </row>
    <row r="14" spans="2:12">
      <c r="B14" s="136" t="s">
        <v>223</v>
      </c>
      <c r="C14" s="132">
        <v>80</v>
      </c>
      <c r="D14" s="132">
        <v>1.2</v>
      </c>
      <c r="E14" s="132">
        <v>0.8</v>
      </c>
      <c r="F14" s="132">
        <f>C14*E14*1.2</f>
        <v>76.8</v>
      </c>
      <c r="G14" s="132"/>
      <c r="H14" s="132"/>
      <c r="I14" s="132">
        <f>F14-J14</f>
        <v>60.8</v>
      </c>
      <c r="J14" s="132">
        <f>C14*E14*0.25</f>
        <v>16</v>
      </c>
      <c r="K14" s="137"/>
      <c r="L14" s="132"/>
    </row>
    <row r="15" spans="2:12">
      <c r="B15" s="138"/>
      <c r="C15" s="139"/>
      <c r="D15" s="139"/>
      <c r="E15" s="139"/>
      <c r="F15" s="132"/>
      <c r="G15" s="132"/>
      <c r="H15" s="132"/>
      <c r="I15" s="132"/>
      <c r="J15" s="132"/>
    </row>
    <row r="16" spans="2:12">
      <c r="B16" s="140" t="s">
        <v>224</v>
      </c>
      <c r="C16" s="130" t="s">
        <v>205</v>
      </c>
      <c r="D16" s="130" t="s">
        <v>206</v>
      </c>
      <c r="E16" s="130" t="s">
        <v>225</v>
      </c>
      <c r="F16" s="141"/>
      <c r="G16" s="132"/>
      <c r="H16" s="132"/>
      <c r="I16" s="132"/>
      <c r="J16" s="132"/>
    </row>
    <row r="17" spans="2:10">
      <c r="B17" s="130" t="s">
        <v>217</v>
      </c>
      <c r="C17" s="130">
        <v>63.78</v>
      </c>
      <c r="D17" s="131">
        <v>3.15</v>
      </c>
      <c r="E17" s="130">
        <f>2*C17*D17</f>
        <v>401.81400000000002</v>
      </c>
      <c r="F17" s="141"/>
      <c r="G17" s="132"/>
      <c r="H17" s="132"/>
      <c r="I17" s="132"/>
      <c r="J17" s="132"/>
    </row>
    <row r="18" spans="2:10">
      <c r="B18" s="130" t="s">
        <v>218</v>
      </c>
      <c r="C18" s="130">
        <v>61.06</v>
      </c>
      <c r="D18" s="131">
        <v>3.2</v>
      </c>
      <c r="E18" s="130">
        <f>2*C18*D18</f>
        <v>390.78400000000005</v>
      </c>
      <c r="F18" s="141"/>
      <c r="G18" s="132"/>
      <c r="H18" s="132"/>
      <c r="I18" s="132"/>
      <c r="J18" s="132"/>
    </row>
    <row r="19" spans="2:10">
      <c r="B19" s="130" t="s">
        <v>219</v>
      </c>
      <c r="C19" s="130">
        <v>50.7</v>
      </c>
      <c r="D19" s="131">
        <v>3.35</v>
      </c>
      <c r="E19" s="130">
        <f>2*C19*D19</f>
        <v>339.69000000000005</v>
      </c>
      <c r="F19" s="141"/>
      <c r="G19" s="132"/>
      <c r="H19" s="132"/>
      <c r="I19" s="132"/>
      <c r="J19" s="132"/>
    </row>
    <row r="20" spans="2:10">
      <c r="B20" s="130" t="s">
        <v>220</v>
      </c>
      <c r="C20" s="130">
        <v>48.19</v>
      </c>
      <c r="D20" s="131">
        <v>3.9</v>
      </c>
      <c r="E20" s="130">
        <f>2*C20*D20</f>
        <v>375.88199999999995</v>
      </c>
      <c r="F20" s="141"/>
      <c r="G20" s="132"/>
      <c r="H20" s="132"/>
      <c r="I20" s="132"/>
      <c r="J20" s="132"/>
    </row>
    <row r="21" spans="2:10">
      <c r="B21" s="130" t="s">
        <v>221</v>
      </c>
      <c r="C21" s="130">
        <v>118.25</v>
      </c>
      <c r="D21" s="131">
        <v>2.4700000000000002</v>
      </c>
      <c r="E21" s="130">
        <f>2*C21*D21</f>
        <v>584.15500000000009</v>
      </c>
      <c r="F21" s="142"/>
      <c r="G21" s="142"/>
      <c r="H21" s="142"/>
      <c r="I21" s="142"/>
      <c r="J21" s="142"/>
    </row>
    <row r="22" spans="2:10">
      <c r="B22" s="130" t="s">
        <v>222</v>
      </c>
      <c r="C22" s="130"/>
      <c r="D22" s="130"/>
      <c r="E22" s="130">
        <f>SUM(E17:E21)</f>
        <v>2092.3250000000003</v>
      </c>
    </row>
    <row r="23" spans="2:10">
      <c r="C23" s="269" t="s">
        <v>226</v>
      </c>
      <c r="D23" s="269"/>
      <c r="E23" s="269"/>
      <c r="F23" s="269"/>
      <c r="G23" s="269"/>
      <c r="H23" s="269"/>
      <c r="I23" s="269"/>
      <c r="J23" s="269"/>
    </row>
    <row r="24" spans="2:10">
      <c r="B24" s="136" t="s">
        <v>227</v>
      </c>
      <c r="C24" s="132" t="s">
        <v>205</v>
      </c>
      <c r="D24" s="132" t="s">
        <v>228</v>
      </c>
      <c r="E24" s="132" t="s">
        <v>227</v>
      </c>
      <c r="F24" s="132"/>
      <c r="G24" s="132"/>
      <c r="H24" s="132"/>
      <c r="I24" s="132"/>
      <c r="J24" s="132"/>
    </row>
    <row r="25" spans="2:10">
      <c r="B25" s="130" t="s">
        <v>217</v>
      </c>
      <c r="C25" s="130">
        <v>63.78</v>
      </c>
      <c r="D25" s="133">
        <v>1.5</v>
      </c>
      <c r="E25" s="132">
        <f>C25*D25</f>
        <v>95.67</v>
      </c>
      <c r="F25" s="132"/>
      <c r="G25" s="132"/>
      <c r="H25" s="132"/>
      <c r="I25" s="132"/>
      <c r="J25" s="132"/>
    </row>
    <row r="26" spans="2:10">
      <c r="B26" s="130" t="s">
        <v>218</v>
      </c>
      <c r="C26" s="130">
        <v>61.06</v>
      </c>
      <c r="D26" s="133">
        <v>1.5</v>
      </c>
      <c r="E26" s="132">
        <f>C26*D26</f>
        <v>91.59</v>
      </c>
      <c r="F26" s="132"/>
      <c r="G26" s="132"/>
      <c r="H26" s="132"/>
      <c r="I26" s="132"/>
      <c r="J26" s="132"/>
    </row>
    <row r="27" spans="2:10">
      <c r="B27" s="130" t="s">
        <v>219</v>
      </c>
      <c r="C27" s="130">
        <v>50.7</v>
      </c>
      <c r="D27" s="133">
        <v>1.5</v>
      </c>
      <c r="E27" s="132">
        <f>C27*D27</f>
        <v>76.050000000000011</v>
      </c>
      <c r="F27" s="132"/>
      <c r="G27" s="132"/>
      <c r="H27" s="132"/>
      <c r="I27" s="132"/>
      <c r="J27" s="132"/>
    </row>
    <row r="28" spans="2:10">
      <c r="B28" s="130" t="s">
        <v>220</v>
      </c>
      <c r="C28" s="130">
        <v>48.19</v>
      </c>
      <c r="D28" s="133">
        <v>1.5</v>
      </c>
      <c r="E28" s="132">
        <f>C28*D28</f>
        <v>72.284999999999997</v>
      </c>
      <c r="F28" s="132"/>
      <c r="G28" s="132"/>
      <c r="H28" s="132"/>
      <c r="I28" s="132"/>
      <c r="J28" s="132"/>
    </row>
    <row r="29" spans="2:10">
      <c r="D29" s="129" t="s">
        <v>229</v>
      </c>
      <c r="E29" s="129">
        <f>SUM(E25:E28)+H24</f>
        <v>335.59500000000003</v>
      </c>
    </row>
    <row r="36" spans="3:7">
      <c r="C36" s="270" t="s">
        <v>230</v>
      </c>
      <c r="D36" s="270"/>
    </row>
    <row r="37" spans="3:7">
      <c r="C37" s="136" t="s">
        <v>231</v>
      </c>
      <c r="D37" s="136" t="s">
        <v>232</v>
      </c>
      <c r="F37" s="136"/>
      <c r="G37" s="136"/>
    </row>
    <row r="38" spans="3:7">
      <c r="C38" s="132" t="s">
        <v>233</v>
      </c>
      <c r="D38" s="132">
        <v>21.7</v>
      </c>
      <c r="F38" s="132"/>
      <c r="G38" s="132"/>
    </row>
    <row r="39" spans="3:7">
      <c r="C39" s="132" t="s">
        <v>234</v>
      </c>
      <c r="D39" s="132">
        <v>40</v>
      </c>
      <c r="F39" s="132"/>
      <c r="G39" s="132"/>
    </row>
    <row r="40" spans="3:7">
      <c r="C40" s="132" t="s">
        <v>235</v>
      </c>
      <c r="D40" s="132">
        <v>15</v>
      </c>
      <c r="F40" s="132"/>
      <c r="G40" s="132"/>
    </row>
    <row r="41" spans="3:7">
      <c r="C41" s="132" t="s">
        <v>236</v>
      </c>
      <c r="D41" s="132">
        <v>20</v>
      </c>
      <c r="F41" s="132"/>
      <c r="G41" s="132"/>
    </row>
    <row r="42" spans="3:7">
      <c r="C42" s="132" t="s">
        <v>237</v>
      </c>
      <c r="D42" s="132">
        <v>20</v>
      </c>
      <c r="F42" s="132"/>
      <c r="G42" s="132"/>
    </row>
    <row r="43" spans="3:7">
      <c r="C43" s="132" t="s">
        <v>238</v>
      </c>
      <c r="D43" s="132">
        <v>3.7</v>
      </c>
      <c r="F43" s="132"/>
      <c r="G43" s="132"/>
    </row>
    <row r="44" spans="3:7">
      <c r="C44" s="132" t="s">
        <v>239</v>
      </c>
      <c r="D44" s="132">
        <v>20</v>
      </c>
      <c r="F44" s="132"/>
      <c r="G44" s="132"/>
    </row>
    <row r="45" spans="3:7">
      <c r="C45" s="132" t="s">
        <v>240</v>
      </c>
      <c r="D45" s="132">
        <v>6.7</v>
      </c>
      <c r="F45" s="132"/>
      <c r="G45" s="132"/>
    </row>
    <row r="46" spans="3:7">
      <c r="C46" s="132" t="s">
        <v>241</v>
      </c>
      <c r="D46" s="132">
        <v>25.6</v>
      </c>
      <c r="F46" s="132"/>
      <c r="G46" s="132"/>
    </row>
    <row r="47" spans="3:7">
      <c r="C47" s="136" t="s">
        <v>12</v>
      </c>
      <c r="D47" s="136">
        <v>172.7</v>
      </c>
      <c r="F47" s="132"/>
      <c r="G47" s="132"/>
    </row>
    <row r="48" spans="3:7">
      <c r="F48" s="132"/>
      <c r="G48" s="132"/>
    </row>
    <row r="49" spans="6:7">
      <c r="F49" s="136"/>
      <c r="G49" s="136"/>
    </row>
  </sheetData>
  <sheetProtection selectLockedCells="1" selectUnlockedCells="1"/>
  <mergeCells count="4">
    <mergeCell ref="C2:E2"/>
    <mergeCell ref="C23:E23"/>
    <mergeCell ref="F23:J23"/>
    <mergeCell ref="C36:D36"/>
  </mergeCells>
  <pageMargins left="0.51180555555555551" right="0.51180555555555551" top="0.78749999999999998" bottom="0.78749999999999998" header="0.51180555555555551" footer="0.51180555555555551"/>
  <pageSetup paperSize="9" scale="57" firstPageNumber="0" orientation="portrait" horizontalDpi="300" verticalDpi="300" r:id="rId1"/>
  <headerFooter alignWithMargins="0"/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2:U38"/>
  <sheetViews>
    <sheetView view="pageBreakPreview" zoomScale="95" zoomScaleNormal="110" zoomScaleSheetLayoutView="95" workbookViewId="0">
      <selection activeCell="D29" sqref="D29"/>
    </sheetView>
  </sheetViews>
  <sheetFormatPr defaultRowHeight="15"/>
  <cols>
    <col min="1" max="1" width="3.7109375" customWidth="1"/>
    <col min="2" max="2" width="6.7109375" customWidth="1"/>
    <col min="3" max="3" width="33.7109375" customWidth="1"/>
    <col min="4" max="4" width="11.42578125" customWidth="1"/>
    <col min="5" max="5" width="18.5703125" customWidth="1"/>
    <col min="6" max="6" width="3.7109375" customWidth="1"/>
    <col min="7" max="7" width="7.7109375" customWidth="1"/>
    <col min="10" max="10" width="5.7109375" customWidth="1"/>
    <col min="18" max="18" width="14.140625" customWidth="1"/>
  </cols>
  <sheetData>
    <row r="2" spans="2:21" ht="16.149999999999999" customHeight="1">
      <c r="B2" s="271" t="s">
        <v>242</v>
      </c>
      <c r="C2" s="271"/>
      <c r="D2" s="271"/>
      <c r="E2" s="271"/>
    </row>
    <row r="3" spans="2:21" ht="16.149999999999999" customHeight="1">
      <c r="B3" s="272" t="s">
        <v>243</v>
      </c>
      <c r="C3" s="272"/>
      <c r="D3" s="272"/>
      <c r="E3" s="272"/>
    </row>
    <row r="4" spans="2:21">
      <c r="E4" s="143" t="s">
        <v>186</v>
      </c>
      <c r="G4" s="143" t="s">
        <v>186</v>
      </c>
    </row>
    <row r="5" spans="2:21">
      <c r="B5" s="144" t="s">
        <v>244</v>
      </c>
      <c r="C5" s="145" t="e">
        <f>'Planilha de serviços'!#REF!</f>
        <v>#REF!</v>
      </c>
      <c r="E5" s="146" t="s">
        <v>186</v>
      </c>
      <c r="G5" s="146"/>
    </row>
    <row r="6" spans="2:21">
      <c r="G6" s="143" t="s">
        <v>186</v>
      </c>
    </row>
    <row r="7" spans="2:21" ht="16.149999999999999" customHeight="1">
      <c r="B7" s="273" t="s">
        <v>245</v>
      </c>
      <c r="C7" s="274" t="s">
        <v>246</v>
      </c>
      <c r="D7" s="147" t="s">
        <v>247</v>
      </c>
      <c r="E7" s="148" t="s">
        <v>247</v>
      </c>
      <c r="F7" s="143" t="s">
        <v>186</v>
      </c>
      <c r="H7" s="275" t="s">
        <v>248</v>
      </c>
      <c r="I7" s="275"/>
      <c r="J7" s="275"/>
      <c r="K7" s="275"/>
      <c r="L7" s="275"/>
      <c r="M7" s="275"/>
    </row>
    <row r="8" spans="2:21" ht="16.149999999999999" customHeight="1">
      <c r="B8" s="273"/>
      <c r="C8" s="274"/>
      <c r="D8" s="149" t="s">
        <v>249</v>
      </c>
      <c r="E8" s="150" t="s">
        <v>250</v>
      </c>
      <c r="G8" s="276" t="s">
        <v>186</v>
      </c>
      <c r="H8" s="276"/>
      <c r="I8" s="276"/>
      <c r="J8" s="276"/>
      <c r="K8" s="276"/>
    </row>
    <row r="9" spans="2:21">
      <c r="B9" s="151"/>
      <c r="C9" s="152"/>
      <c r="D9" s="153"/>
      <c r="E9" s="154"/>
      <c r="G9" s="155"/>
      <c r="H9" s="155"/>
      <c r="I9" s="155"/>
      <c r="J9" s="155"/>
      <c r="K9" s="155"/>
    </row>
    <row r="10" spans="2:21">
      <c r="B10" s="156">
        <v>1</v>
      </c>
      <c r="C10" s="157" t="s">
        <v>251</v>
      </c>
      <c r="D10" s="158">
        <v>4.93</v>
      </c>
      <c r="E10" s="159"/>
      <c r="F10" t="s">
        <v>186</v>
      </c>
      <c r="G10" s="155" t="s">
        <v>186</v>
      </c>
      <c r="H10" s="160" t="s">
        <v>252</v>
      </c>
      <c r="I10" s="161">
        <v>4.9299999999999997E-2</v>
      </c>
      <c r="J10" s="162"/>
      <c r="K10" s="162" t="s">
        <v>253</v>
      </c>
      <c r="L10" s="163"/>
      <c r="M10" s="163"/>
      <c r="N10" s="164">
        <f>D10/100</f>
        <v>4.9299999999999997E-2</v>
      </c>
      <c r="R10" s="165"/>
      <c r="S10" s="165"/>
      <c r="T10" s="165"/>
      <c r="U10" s="165"/>
    </row>
    <row r="11" spans="2:21">
      <c r="B11" s="166" t="s">
        <v>16</v>
      </c>
      <c r="C11" s="167" t="s">
        <v>254</v>
      </c>
      <c r="D11" s="168" t="s">
        <v>186</v>
      </c>
      <c r="E11" s="159"/>
      <c r="G11" s="276" t="s">
        <v>186</v>
      </c>
      <c r="H11" s="276"/>
      <c r="I11" s="276"/>
      <c r="J11" s="276"/>
      <c r="N11" s="164"/>
      <c r="R11" s="165"/>
      <c r="S11" s="165"/>
      <c r="T11" s="165"/>
    </row>
    <row r="12" spans="2:21">
      <c r="B12" s="166" t="s">
        <v>21</v>
      </c>
      <c r="C12" s="167" t="s">
        <v>255</v>
      </c>
      <c r="D12" s="168" t="s">
        <v>186</v>
      </c>
      <c r="E12" s="159"/>
      <c r="G12" s="169"/>
      <c r="H12" s="169"/>
      <c r="I12" s="169"/>
      <c r="J12" s="169"/>
      <c r="N12" s="164"/>
    </row>
    <row r="13" spans="2:21">
      <c r="B13" s="166" t="s">
        <v>24</v>
      </c>
      <c r="C13" s="167" t="s">
        <v>256</v>
      </c>
      <c r="D13" s="168" t="s">
        <v>186</v>
      </c>
      <c r="E13" s="159"/>
      <c r="G13" s="276" t="s">
        <v>186</v>
      </c>
      <c r="H13" s="276"/>
      <c r="I13" s="276"/>
      <c r="J13" s="276"/>
      <c r="K13" s="276"/>
      <c r="N13" s="164"/>
    </row>
    <row r="14" spans="2:21">
      <c r="B14" s="166" t="s">
        <v>186</v>
      </c>
      <c r="C14" s="167" t="s">
        <v>186</v>
      </c>
      <c r="D14" s="168" t="s">
        <v>186</v>
      </c>
      <c r="E14" s="159"/>
      <c r="G14" s="276" t="s">
        <v>186</v>
      </c>
      <c r="H14" s="276"/>
      <c r="I14" s="276"/>
      <c r="J14" s="276"/>
      <c r="K14" s="276"/>
      <c r="N14" s="164"/>
    </row>
    <row r="15" spans="2:21">
      <c r="B15" s="156">
        <v>2</v>
      </c>
      <c r="C15" s="157" t="s">
        <v>257</v>
      </c>
      <c r="D15" s="170">
        <f>SUM(D16:D19)</f>
        <v>10.65</v>
      </c>
      <c r="E15" s="159"/>
      <c r="G15" s="162"/>
      <c r="H15" s="160" t="s">
        <v>258</v>
      </c>
      <c r="I15" s="161">
        <v>8.1500000000000003E-2</v>
      </c>
      <c r="J15" s="162"/>
      <c r="K15" s="280" t="s">
        <v>259</v>
      </c>
      <c r="L15" s="280"/>
      <c r="M15" s="280"/>
      <c r="N15" s="164">
        <f>D15/100</f>
        <v>0.1065</v>
      </c>
    </row>
    <row r="16" spans="2:21">
      <c r="B16" s="166" t="s">
        <v>106</v>
      </c>
      <c r="C16" s="171" t="s">
        <v>260</v>
      </c>
      <c r="D16" s="168">
        <v>2.5</v>
      </c>
      <c r="E16" s="159"/>
      <c r="G16" s="280" t="s">
        <v>186</v>
      </c>
      <c r="H16" s="280"/>
      <c r="I16" s="280"/>
      <c r="J16" s="280"/>
      <c r="K16" s="280"/>
      <c r="L16" s="172"/>
      <c r="M16" s="172"/>
      <c r="N16" s="164"/>
    </row>
    <row r="17" spans="2:14">
      <c r="B17" s="166" t="s">
        <v>108</v>
      </c>
      <c r="C17" s="167" t="s">
        <v>261</v>
      </c>
      <c r="D17" s="168">
        <v>0.65</v>
      </c>
      <c r="E17" s="159"/>
      <c r="G17" s="280" t="s">
        <v>186</v>
      </c>
      <c r="H17" s="280"/>
      <c r="I17" s="280"/>
      <c r="J17" s="280"/>
      <c r="K17" s="280"/>
      <c r="L17" s="172"/>
      <c r="M17" s="172"/>
      <c r="N17" s="164"/>
    </row>
    <row r="18" spans="2:14">
      <c r="B18" s="166" t="s">
        <v>110</v>
      </c>
      <c r="C18" s="167" t="s">
        <v>262</v>
      </c>
      <c r="D18" s="173">
        <v>3</v>
      </c>
      <c r="E18" s="159"/>
      <c r="G18" s="162"/>
      <c r="H18" s="160" t="s">
        <v>186</v>
      </c>
      <c r="I18" s="161" t="s">
        <v>186</v>
      </c>
      <c r="J18" s="162" t="s">
        <v>186</v>
      </c>
      <c r="K18" s="162" t="s">
        <v>186</v>
      </c>
      <c r="L18" s="162"/>
      <c r="M18" s="162"/>
      <c r="N18" s="164"/>
    </row>
    <row r="19" spans="2:14">
      <c r="B19" s="166" t="s">
        <v>113</v>
      </c>
      <c r="C19" s="167" t="s">
        <v>263</v>
      </c>
      <c r="D19" s="173">
        <v>4.5</v>
      </c>
      <c r="E19" s="159"/>
      <c r="G19" s="162"/>
      <c r="H19" s="160"/>
      <c r="I19" s="161"/>
      <c r="J19" s="162"/>
      <c r="K19" s="162"/>
      <c r="L19" s="162"/>
      <c r="M19" s="162"/>
      <c r="N19" s="164"/>
    </row>
    <row r="20" spans="2:14">
      <c r="B20" s="166"/>
      <c r="C20" s="167"/>
      <c r="D20" s="174"/>
      <c r="E20" s="159"/>
      <c r="G20" s="162"/>
      <c r="H20" s="162"/>
      <c r="I20" s="162"/>
      <c r="J20" s="162"/>
      <c r="K20" s="162"/>
      <c r="L20" s="172"/>
      <c r="M20" s="172"/>
      <c r="N20" s="164"/>
    </row>
    <row r="21" spans="2:14">
      <c r="B21" s="156">
        <v>3</v>
      </c>
      <c r="C21" s="157" t="s">
        <v>264</v>
      </c>
      <c r="D21" s="170">
        <f>SUM(D22:D25)</f>
        <v>1.24</v>
      </c>
      <c r="E21" s="159"/>
      <c r="F21" t="s">
        <v>186</v>
      </c>
      <c r="G21" s="162"/>
      <c r="H21" s="160" t="s">
        <v>265</v>
      </c>
      <c r="I21" s="161">
        <v>1.24E-2</v>
      </c>
      <c r="J21" s="162"/>
      <c r="K21" s="162" t="s">
        <v>266</v>
      </c>
      <c r="L21" s="162"/>
      <c r="M21" s="162"/>
      <c r="N21" s="164">
        <f>D21/100</f>
        <v>1.24E-2</v>
      </c>
    </row>
    <row r="22" spans="2:14">
      <c r="B22" s="175" t="s">
        <v>106</v>
      </c>
      <c r="C22" s="176" t="s">
        <v>267</v>
      </c>
      <c r="D22" s="177">
        <v>0.75</v>
      </c>
      <c r="E22" s="159"/>
      <c r="G22" s="162"/>
      <c r="H22" s="160"/>
      <c r="I22" s="161"/>
      <c r="J22" s="162"/>
      <c r="K22" s="162"/>
      <c r="L22" s="162"/>
      <c r="M22" s="162"/>
      <c r="N22" s="164"/>
    </row>
    <row r="23" spans="2:14">
      <c r="B23" s="175" t="s">
        <v>108</v>
      </c>
      <c r="C23" s="178" t="s">
        <v>268</v>
      </c>
      <c r="D23" s="277">
        <v>0.49</v>
      </c>
      <c r="E23" s="159"/>
      <c r="G23" s="162"/>
      <c r="H23" s="160"/>
      <c r="I23" s="161"/>
      <c r="J23" s="162"/>
      <c r="K23" s="162"/>
      <c r="L23" s="162"/>
      <c r="M23" s="162"/>
      <c r="N23" s="164"/>
    </row>
    <row r="24" spans="2:14">
      <c r="B24" s="175" t="s">
        <v>110</v>
      </c>
      <c r="C24" s="178" t="s">
        <v>269</v>
      </c>
      <c r="D24" s="277"/>
      <c r="E24" s="159"/>
      <c r="G24" s="162"/>
      <c r="H24" s="160"/>
      <c r="I24" s="161"/>
      <c r="J24" s="162"/>
      <c r="K24" s="162"/>
      <c r="L24" s="162"/>
      <c r="M24" s="162"/>
      <c r="N24" s="164"/>
    </row>
    <row r="25" spans="2:14">
      <c r="B25" s="175"/>
      <c r="C25" s="178"/>
      <c r="D25" s="177"/>
      <c r="E25" s="159"/>
      <c r="G25" s="162"/>
      <c r="H25" s="160"/>
      <c r="I25" s="161"/>
      <c r="J25" s="162"/>
      <c r="K25" s="162"/>
      <c r="L25" s="162"/>
      <c r="M25" s="162"/>
      <c r="N25" s="164"/>
    </row>
    <row r="26" spans="2:14">
      <c r="B26" s="166"/>
      <c r="C26" s="167"/>
      <c r="D26" s="174"/>
      <c r="E26" s="159"/>
      <c r="G26" s="162"/>
      <c r="H26" s="160" t="s">
        <v>186</v>
      </c>
      <c r="I26" s="161" t="s">
        <v>186</v>
      </c>
      <c r="J26" s="162"/>
      <c r="K26" s="162" t="s">
        <v>186</v>
      </c>
      <c r="L26" s="172"/>
      <c r="M26" s="172"/>
      <c r="N26" s="164"/>
    </row>
    <row r="27" spans="2:14">
      <c r="B27" s="156">
        <v>4</v>
      </c>
      <c r="C27" s="157" t="s">
        <v>270</v>
      </c>
      <c r="D27" s="179">
        <v>0.99</v>
      </c>
      <c r="E27" s="159"/>
      <c r="F27" t="s">
        <v>186</v>
      </c>
      <c r="G27" s="155"/>
      <c r="H27" s="160" t="s">
        <v>271</v>
      </c>
      <c r="I27" s="161">
        <v>9.8999999999999991E-3</v>
      </c>
      <c r="J27" s="162"/>
      <c r="K27" s="162" t="s">
        <v>272</v>
      </c>
      <c r="L27" s="172"/>
      <c r="N27" s="164">
        <f>D27/100</f>
        <v>9.8999999999999991E-3</v>
      </c>
    </row>
    <row r="28" spans="2:14">
      <c r="B28" s="166"/>
      <c r="C28" s="167"/>
      <c r="D28" s="174"/>
      <c r="E28" s="159"/>
      <c r="G28" s="155"/>
      <c r="H28" s="155"/>
      <c r="I28" s="155"/>
      <c r="J28" s="155"/>
      <c r="K28" s="155"/>
      <c r="N28" s="164"/>
    </row>
    <row r="29" spans="2:14">
      <c r="B29" s="156">
        <v>5</v>
      </c>
      <c r="C29" s="157" t="s">
        <v>273</v>
      </c>
      <c r="D29" s="243">
        <v>6.0279999999999996</v>
      </c>
      <c r="E29" s="159"/>
      <c r="G29" s="155"/>
      <c r="H29" s="160" t="s">
        <v>274</v>
      </c>
      <c r="I29" s="161">
        <v>8.0399999999999985E-2</v>
      </c>
      <c r="J29" s="162"/>
      <c r="K29" s="162" t="s">
        <v>275</v>
      </c>
      <c r="L29" s="172"/>
      <c r="N29" s="164">
        <f>D29/100</f>
        <v>6.0279999999999993E-2</v>
      </c>
    </row>
    <row r="30" spans="2:14">
      <c r="B30" s="166"/>
      <c r="C30" s="167"/>
      <c r="D30" s="168"/>
      <c r="E30" s="180"/>
    </row>
    <row r="31" spans="2:14">
      <c r="B31" s="181" t="s">
        <v>186</v>
      </c>
      <c r="C31" s="182" t="s">
        <v>186</v>
      </c>
      <c r="D31" s="237">
        <f>(((((1+(N10+N21))*(1+N27)*(1+N29))/(1-N15))-1)*100)</f>
        <v>27.234885151919428</v>
      </c>
      <c r="E31" s="183">
        <v>27.23</v>
      </c>
      <c r="G31" s="184" t="s">
        <v>186</v>
      </c>
    </row>
    <row r="32" spans="2:14">
      <c r="D32" s="236"/>
    </row>
    <row r="33" spans="3:13" ht="18.75">
      <c r="C33" s="185" t="s">
        <v>276</v>
      </c>
      <c r="D33" t="s">
        <v>277</v>
      </c>
      <c r="E33" s="186" t="e">
        <f>C5</f>
        <v>#REF!</v>
      </c>
      <c r="G33" s="278" t="s">
        <v>278</v>
      </c>
      <c r="H33" s="278"/>
      <c r="I33" s="278"/>
      <c r="J33" s="278"/>
      <c r="K33" s="278"/>
      <c r="L33" s="278"/>
      <c r="M33" s="278"/>
    </row>
    <row r="34" spans="3:13" ht="18">
      <c r="C34" s="185" t="s">
        <v>279</v>
      </c>
      <c r="D34" t="s">
        <v>279</v>
      </c>
      <c r="E34" s="186" t="e">
        <f>E33*E31/100</f>
        <v>#REF!</v>
      </c>
      <c r="G34" s="279" t="s">
        <v>280</v>
      </c>
      <c r="H34" s="279"/>
      <c r="I34" s="279"/>
      <c r="J34" s="279"/>
      <c r="K34" s="279"/>
      <c r="L34" s="279"/>
      <c r="M34" s="279"/>
    </row>
    <row r="35" spans="3:13">
      <c r="C35" s="187" t="s">
        <v>281</v>
      </c>
      <c r="D35" s="188" t="s">
        <v>282</v>
      </c>
      <c r="E35" s="186" t="e">
        <f>E33+E34</f>
        <v>#REF!</v>
      </c>
    </row>
    <row r="36" spans="3:13">
      <c r="C36" s="189" t="s">
        <v>186</v>
      </c>
      <c r="E36" s="235"/>
    </row>
    <row r="38" spans="3:13">
      <c r="E38">
        <v>0.27272803000000001</v>
      </c>
    </row>
  </sheetData>
  <sheetProtection selectLockedCells="1" selectUnlockedCells="1"/>
  <mergeCells count="15">
    <mergeCell ref="D23:D24"/>
    <mergeCell ref="G33:M33"/>
    <mergeCell ref="G34:M34"/>
    <mergeCell ref="G11:J11"/>
    <mergeCell ref="G13:K13"/>
    <mergeCell ref="G14:K14"/>
    <mergeCell ref="K15:M15"/>
    <mergeCell ref="G16:K16"/>
    <mergeCell ref="G17:K17"/>
    <mergeCell ref="B2:E2"/>
    <mergeCell ref="B3:E3"/>
    <mergeCell ref="B7:B8"/>
    <mergeCell ref="C7:C8"/>
    <mergeCell ref="H7:M7"/>
    <mergeCell ref="G8:K8"/>
  </mergeCells>
  <pageMargins left="0.51180555555555551" right="0.51180555555555551" top="0.78749999999999998" bottom="0.78749999999999998" header="0.51180555555555551" footer="0.51180555555555551"/>
  <pageSetup paperSize="9" scale="56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3"/>
  <sheetViews>
    <sheetView tabSelected="1" view="pageBreakPreview" zoomScale="95" zoomScaleNormal="110" zoomScaleSheetLayoutView="95" workbookViewId="0">
      <selection activeCell="N17" sqref="N17"/>
    </sheetView>
  </sheetViews>
  <sheetFormatPr defaultRowHeight="15"/>
  <cols>
    <col min="1" max="1" width="5.7109375" customWidth="1"/>
    <col min="2" max="2" width="14.42578125" customWidth="1"/>
    <col min="3" max="3" width="16.28515625" customWidth="1"/>
    <col min="4" max="4" width="16.5703125" customWidth="1"/>
    <col min="5" max="5" width="14.28515625" customWidth="1"/>
    <col min="6" max="6" width="12.5703125" customWidth="1"/>
    <col min="7" max="7" width="10" customWidth="1"/>
    <col min="8" max="8" width="10.28515625" customWidth="1"/>
    <col min="9" max="9" width="13.42578125" customWidth="1"/>
    <col min="10" max="10" width="11" customWidth="1"/>
    <col min="11" max="11" width="11.5703125" customWidth="1"/>
    <col min="12" max="12" width="12.140625" customWidth="1"/>
    <col min="13" max="13" width="11" customWidth="1"/>
  </cols>
  <sheetData>
    <row r="1" spans="1:13" ht="18">
      <c r="A1" s="190"/>
      <c r="B1" s="190"/>
      <c r="C1" s="190"/>
      <c r="D1" s="191" t="s">
        <v>283</v>
      </c>
      <c r="E1" s="191"/>
      <c r="F1" s="191"/>
      <c r="G1" s="191"/>
      <c r="H1" s="191"/>
      <c r="I1" s="191"/>
      <c r="J1" s="191"/>
      <c r="K1" s="192"/>
    </row>
    <row r="2" spans="1:13" ht="18">
      <c r="A2" s="190"/>
      <c r="B2" s="190"/>
      <c r="C2" s="190"/>
      <c r="D2" s="193" t="s">
        <v>1</v>
      </c>
      <c r="E2" s="193"/>
      <c r="F2" s="193"/>
      <c r="G2" s="193"/>
      <c r="H2" s="193"/>
      <c r="I2" s="193"/>
      <c r="J2" s="193"/>
      <c r="K2" s="194"/>
    </row>
    <row r="3" spans="1:13" ht="18">
      <c r="A3" s="190"/>
      <c r="B3" s="190"/>
      <c r="C3" s="190"/>
      <c r="D3" s="195" t="s">
        <v>284</v>
      </c>
      <c r="E3" s="195"/>
      <c r="F3" s="195"/>
      <c r="G3" s="195"/>
      <c r="H3" s="195"/>
      <c r="I3" s="195"/>
      <c r="J3" s="195"/>
      <c r="K3" s="196"/>
    </row>
    <row r="4" spans="1:13" ht="18">
      <c r="A4" s="190"/>
      <c r="B4" s="190"/>
      <c r="C4" s="190"/>
      <c r="D4" s="195" t="s">
        <v>285</v>
      </c>
      <c r="E4" s="195"/>
      <c r="F4" s="195"/>
      <c r="G4" s="195"/>
      <c r="H4" s="195"/>
      <c r="I4" s="195"/>
      <c r="J4" s="195"/>
      <c r="K4" s="196"/>
    </row>
    <row r="5" spans="1:13" ht="18">
      <c r="A5" s="190"/>
      <c r="B5" s="190"/>
      <c r="C5" s="190"/>
      <c r="D5" s="195" t="s">
        <v>286</v>
      </c>
      <c r="E5" s="195"/>
      <c r="F5" s="195"/>
      <c r="G5" s="195"/>
      <c r="H5" s="195"/>
      <c r="I5" s="195"/>
      <c r="J5" s="195"/>
      <c r="K5" s="196"/>
    </row>
    <row r="6" spans="1:13" ht="18" customHeight="1">
      <c r="A6" s="281" t="s">
        <v>287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197"/>
      <c r="M6" s="197"/>
    </row>
    <row r="7" spans="1:13" ht="18">
      <c r="A7" s="198"/>
      <c r="B7" s="198"/>
      <c r="C7" s="198"/>
      <c r="D7" s="198"/>
      <c r="E7" s="198"/>
      <c r="F7" s="198"/>
      <c r="G7" s="198"/>
      <c r="H7" s="198"/>
      <c r="I7" s="198"/>
      <c r="J7" s="198"/>
      <c r="K7" s="198"/>
    </row>
    <row r="8" spans="1:13">
      <c r="A8" s="199"/>
      <c r="B8" s="200"/>
      <c r="C8" s="201"/>
      <c r="D8" s="200"/>
      <c r="E8" s="202"/>
      <c r="F8" s="202"/>
      <c r="G8" s="202"/>
      <c r="H8" s="202"/>
      <c r="I8" s="202"/>
      <c r="J8" s="202"/>
      <c r="K8" s="200"/>
    </row>
    <row r="9" spans="1:13" ht="16.149999999999999" customHeight="1">
      <c r="A9" s="282" t="s">
        <v>4</v>
      </c>
      <c r="B9" s="282" t="s">
        <v>288</v>
      </c>
      <c r="C9" s="282" t="s">
        <v>289</v>
      </c>
      <c r="D9" s="283" t="s">
        <v>290</v>
      </c>
      <c r="E9" s="284" t="s">
        <v>291</v>
      </c>
      <c r="F9" s="284"/>
      <c r="G9" s="284"/>
      <c r="H9" s="284"/>
      <c r="I9" s="284"/>
      <c r="J9" s="284"/>
      <c r="K9" s="203"/>
    </row>
    <row r="10" spans="1:13">
      <c r="A10" s="282"/>
      <c r="B10" s="282"/>
      <c r="C10" s="282"/>
      <c r="D10" s="283"/>
      <c r="E10" s="204">
        <v>1</v>
      </c>
      <c r="F10" s="204">
        <v>2</v>
      </c>
      <c r="G10" s="204">
        <v>3</v>
      </c>
      <c r="H10" s="204">
        <v>4</v>
      </c>
      <c r="I10" s="204">
        <v>5</v>
      </c>
      <c r="J10" s="204">
        <v>6</v>
      </c>
      <c r="K10" s="205" t="s">
        <v>12</v>
      </c>
    </row>
    <row r="11" spans="1:13">
      <c r="A11" s="206"/>
      <c r="B11" s="207"/>
      <c r="C11" s="208"/>
      <c r="D11" s="207"/>
      <c r="E11" s="209"/>
      <c r="F11" s="209"/>
      <c r="G11" s="209"/>
      <c r="H11" s="209"/>
      <c r="I11" s="209"/>
      <c r="J11" s="209"/>
      <c r="K11" s="207"/>
    </row>
    <row r="12" spans="1:13">
      <c r="A12" s="285" t="s">
        <v>292</v>
      </c>
      <c r="B12" s="285"/>
      <c r="C12" s="210"/>
      <c r="D12" s="211"/>
      <c r="E12" s="211"/>
      <c r="F12" s="211"/>
      <c r="G12" s="211"/>
      <c r="H12" s="211"/>
      <c r="I12" s="211"/>
      <c r="J12" s="211"/>
      <c r="K12" s="211"/>
    </row>
    <row r="13" spans="1:13" ht="18" customHeight="1">
      <c r="A13" s="286" t="s">
        <v>14</v>
      </c>
      <c r="B13" s="286" t="s">
        <v>15</v>
      </c>
      <c r="C13" s="287">
        <f>'planilha redusida'!C9</f>
        <v>147397.53999999998</v>
      </c>
      <c r="D13" s="212">
        <f>C13</f>
        <v>147397.53999999998</v>
      </c>
      <c r="E13" s="212">
        <f t="shared" ref="E13:J13" si="0">ROUND(E14*$D$13,4)</f>
        <v>36849.385000000002</v>
      </c>
      <c r="F13" s="212">
        <f t="shared" si="0"/>
        <v>22109.631000000001</v>
      </c>
      <c r="G13" s="212">
        <f t="shared" si="0"/>
        <v>22109.631000000001</v>
      </c>
      <c r="H13" s="212">
        <f t="shared" si="0"/>
        <v>22109.631000000001</v>
      </c>
      <c r="I13" s="212">
        <f t="shared" si="0"/>
        <v>22109.631000000001</v>
      </c>
      <c r="J13" s="212">
        <f t="shared" si="0"/>
        <v>22109.631000000001</v>
      </c>
      <c r="K13" s="212">
        <f>SUM(E13:J13)</f>
        <v>147397.53999999998</v>
      </c>
      <c r="L13" s="213"/>
    </row>
    <row r="14" spans="1:13" ht="22.5" customHeight="1">
      <c r="A14" s="286"/>
      <c r="B14" s="286"/>
      <c r="C14" s="287"/>
      <c r="D14" s="214">
        <f>ROUND(D13/$C$21,4)</f>
        <v>0.2878</v>
      </c>
      <c r="E14" s="214">
        <v>0.25</v>
      </c>
      <c r="F14" s="214">
        <v>0.15</v>
      </c>
      <c r="G14" s="214">
        <v>0.15</v>
      </c>
      <c r="H14" s="214">
        <v>0.15</v>
      </c>
      <c r="I14" s="214">
        <v>0.15</v>
      </c>
      <c r="J14" s="214">
        <v>0.15</v>
      </c>
      <c r="K14" s="214">
        <f>ROUND(K13/C13,4)</f>
        <v>1</v>
      </c>
    </row>
    <row r="15" spans="1:13" ht="18.75" customHeight="1">
      <c r="A15" s="286" t="s">
        <v>40</v>
      </c>
      <c r="B15" s="286" t="s">
        <v>41</v>
      </c>
      <c r="C15" s="287">
        <f>'planilha redusida'!C10</f>
        <v>299993.72000000003</v>
      </c>
      <c r="D15" s="212">
        <f>C15</f>
        <v>299993.72000000003</v>
      </c>
      <c r="E15" s="212">
        <f t="shared" ref="E15:J15" si="1">ROUND(E16*$D$15,4)</f>
        <v>20999.560399999998</v>
      </c>
      <c r="F15" s="212">
        <f t="shared" si="1"/>
        <v>50998.932399999998</v>
      </c>
      <c r="G15" s="212">
        <f t="shared" si="1"/>
        <v>50998.932399999998</v>
      </c>
      <c r="H15" s="212">
        <f t="shared" si="1"/>
        <v>50998.932399999998</v>
      </c>
      <c r="I15" s="212">
        <f t="shared" si="1"/>
        <v>50998.932399999998</v>
      </c>
      <c r="J15" s="212">
        <f t="shared" si="1"/>
        <v>74998.429999999993</v>
      </c>
      <c r="K15" s="212">
        <f>ROUND(SUM(E15:J15),2)</f>
        <v>299993.71999999997</v>
      </c>
      <c r="L15" s="215"/>
    </row>
    <row r="16" spans="1:13">
      <c r="A16" s="286"/>
      <c r="B16" s="286"/>
      <c r="C16" s="287"/>
      <c r="D16" s="214">
        <f>ROUND(D15/$C$21,4)</f>
        <v>0.5857</v>
      </c>
      <c r="E16" s="214">
        <v>7.0000000000000007E-2</v>
      </c>
      <c r="F16" s="214">
        <v>0.17</v>
      </c>
      <c r="G16" s="214">
        <v>0.17</v>
      </c>
      <c r="H16" s="214">
        <v>0.17</v>
      </c>
      <c r="I16" s="214">
        <v>0.17</v>
      </c>
      <c r="J16" s="214">
        <v>0.25</v>
      </c>
      <c r="K16" s="214">
        <f>ROUND(K15/C15,4)</f>
        <v>1</v>
      </c>
      <c r="M16" s="213"/>
    </row>
    <row r="17" spans="1:12" ht="16.149999999999999" customHeight="1">
      <c r="A17" s="286" t="s">
        <v>104</v>
      </c>
      <c r="B17" s="286" t="s">
        <v>105</v>
      </c>
      <c r="C17" s="287">
        <f>'planilha redusida'!C11</f>
        <v>53574.05</v>
      </c>
      <c r="D17" s="212">
        <f>C17</f>
        <v>53574.05</v>
      </c>
      <c r="E17" s="212">
        <f t="shared" ref="E17:J17" si="2">ROUND(E18*$D$17,4)</f>
        <v>2678.7024999999999</v>
      </c>
      <c r="F17" s="212">
        <f t="shared" si="2"/>
        <v>10714.81</v>
      </c>
      <c r="G17" s="212">
        <f t="shared" si="2"/>
        <v>10714.81</v>
      </c>
      <c r="H17" s="212">
        <f t="shared" si="2"/>
        <v>10714.81</v>
      </c>
      <c r="I17" s="212">
        <f t="shared" si="2"/>
        <v>13393.512500000001</v>
      </c>
      <c r="J17" s="212">
        <f t="shared" si="2"/>
        <v>5357.4049999999997</v>
      </c>
      <c r="K17" s="212">
        <f>ROUND(SUM(E17:J17),2)</f>
        <v>53574.05</v>
      </c>
      <c r="L17" s="213"/>
    </row>
    <row r="18" spans="1:12" ht="36.6" customHeight="1">
      <c r="A18" s="286"/>
      <c r="B18" s="286"/>
      <c r="C18" s="287"/>
      <c r="D18" s="214">
        <f>ROUND(D17/$C$21,4)</f>
        <v>0.1046</v>
      </c>
      <c r="E18" s="214">
        <v>0.05</v>
      </c>
      <c r="F18" s="214">
        <v>0.2</v>
      </c>
      <c r="G18" s="214">
        <v>0.2</v>
      </c>
      <c r="H18" s="214">
        <v>0.2</v>
      </c>
      <c r="I18" s="214">
        <v>0.25</v>
      </c>
      <c r="J18" s="214">
        <v>0.1</v>
      </c>
      <c r="K18" s="214">
        <f>ROUND(K17/C17,4)</f>
        <v>1</v>
      </c>
    </row>
    <row r="19" spans="1:12" ht="16.149999999999999" customHeight="1">
      <c r="A19" s="286" t="s">
        <v>145</v>
      </c>
      <c r="B19" s="286" t="s">
        <v>146</v>
      </c>
      <c r="C19" s="287">
        <f>'planilha redusida'!C12</f>
        <v>11261.98</v>
      </c>
      <c r="D19" s="212">
        <f>C19</f>
        <v>11261.98</v>
      </c>
      <c r="E19" s="212">
        <f t="shared" ref="E19:J19" si="3">ROUND(E20*$D$19,4)</f>
        <v>563.09900000000005</v>
      </c>
      <c r="F19" s="212">
        <f t="shared" si="3"/>
        <v>3941.6930000000002</v>
      </c>
      <c r="G19" s="212">
        <f t="shared" si="3"/>
        <v>3941.6930000000002</v>
      </c>
      <c r="H19" s="212">
        <f t="shared" si="3"/>
        <v>2815.4949999999999</v>
      </c>
      <c r="I19" s="212">
        <f t="shared" si="3"/>
        <v>0</v>
      </c>
      <c r="J19" s="212">
        <f t="shared" si="3"/>
        <v>0</v>
      </c>
      <c r="K19" s="212">
        <f>ROUND(SUM(E19:J19),2)</f>
        <v>11261.98</v>
      </c>
      <c r="L19" s="213"/>
    </row>
    <row r="20" spans="1:12">
      <c r="A20" s="286"/>
      <c r="B20" s="286"/>
      <c r="C20" s="287"/>
      <c r="D20" s="214">
        <f>ROUND(D19/$C$21,4)</f>
        <v>2.1999999999999999E-2</v>
      </c>
      <c r="E20" s="214">
        <v>0.05</v>
      </c>
      <c r="F20" s="214">
        <v>0.35</v>
      </c>
      <c r="G20" s="214">
        <v>0.35</v>
      </c>
      <c r="H20" s="214">
        <v>0.25</v>
      </c>
      <c r="I20" s="214"/>
      <c r="J20" s="214"/>
      <c r="K20" s="214">
        <f>ROUND(K19/C19,4)</f>
        <v>1</v>
      </c>
    </row>
    <row r="21" spans="1:12" ht="16.149999999999999" customHeight="1">
      <c r="A21" s="288" t="s">
        <v>293</v>
      </c>
      <c r="B21" s="288"/>
      <c r="C21" s="216">
        <f>SUM(C13:C20)</f>
        <v>512227.29</v>
      </c>
      <c r="D21" s="217">
        <f>D13+D15+D17+D19</f>
        <v>512227.29</v>
      </c>
      <c r="E21" s="217">
        <f t="shared" ref="E21:K21" si="4">E13+E15+E17+E19</f>
        <v>61090.746899999998</v>
      </c>
      <c r="F21" s="217">
        <f t="shared" si="4"/>
        <v>87765.066399999996</v>
      </c>
      <c r="G21" s="217">
        <f t="shared" si="4"/>
        <v>87765.066399999996</v>
      </c>
      <c r="H21" s="217">
        <f t="shared" si="4"/>
        <v>86638.868399999992</v>
      </c>
      <c r="I21" s="217">
        <f t="shared" si="4"/>
        <v>86502.075899999996</v>
      </c>
      <c r="J21" s="217">
        <f t="shared" si="4"/>
        <v>102465.46599999999</v>
      </c>
      <c r="K21" s="217">
        <f t="shared" si="4"/>
        <v>512227.28999999992</v>
      </c>
    </row>
    <row r="22" spans="1:12" ht="16.149999999999999" customHeight="1">
      <c r="A22" s="288" t="s">
        <v>294</v>
      </c>
      <c r="B22" s="288"/>
      <c r="C22" s="218">
        <v>1</v>
      </c>
      <c r="D22" s="219">
        <f t="shared" ref="D22:K22" si="5">D21/$C$21</f>
        <v>1</v>
      </c>
      <c r="E22" s="219">
        <f t="shared" si="5"/>
        <v>0.11926492026615763</v>
      </c>
      <c r="F22" s="219">
        <f t="shared" si="5"/>
        <v>0.17134008303228046</v>
      </c>
      <c r="G22" s="219">
        <f t="shared" si="5"/>
        <v>0.17134008303228046</v>
      </c>
      <c r="H22" s="219">
        <f t="shared" si="5"/>
        <v>0.16914145359182248</v>
      </c>
      <c r="I22" s="219">
        <f t="shared" si="5"/>
        <v>0.16887439929254844</v>
      </c>
      <c r="J22" s="219">
        <f t="shared" si="5"/>
        <v>0.20003906078491052</v>
      </c>
      <c r="K22" s="220">
        <f t="shared" si="5"/>
        <v>0.99999999999999989</v>
      </c>
    </row>
    <row r="23" spans="1:12" ht="16.149999999999999" customHeight="1">
      <c r="A23" s="288" t="s">
        <v>295</v>
      </c>
      <c r="B23" s="288"/>
      <c r="C23" s="288"/>
      <c r="D23" s="288"/>
      <c r="E23" s="219">
        <f>E22</f>
        <v>0.11926492026615763</v>
      </c>
      <c r="F23" s="219">
        <f>E23+F22</f>
        <v>0.29060500329843808</v>
      </c>
      <c r="G23" s="219">
        <f>F23+G22</f>
        <v>0.46194508633071851</v>
      </c>
      <c r="H23" s="219">
        <f>G23+H22</f>
        <v>0.63108653992254093</v>
      </c>
      <c r="I23" s="219">
        <f>H23+I22</f>
        <v>0.79996093921508937</v>
      </c>
      <c r="J23" s="219">
        <f>I23+J22</f>
        <v>0.99999999999999989</v>
      </c>
      <c r="K23" s="219"/>
    </row>
  </sheetData>
  <sheetProtection selectLockedCells="1" selectUnlockedCells="1"/>
  <mergeCells count="22">
    <mergeCell ref="A21:B21"/>
    <mergeCell ref="A22:B22"/>
    <mergeCell ref="A23:D23"/>
    <mergeCell ref="A17:A18"/>
    <mergeCell ref="B17:B18"/>
    <mergeCell ref="C17:C18"/>
    <mergeCell ref="A19:A20"/>
    <mergeCell ref="B19:B20"/>
    <mergeCell ref="C19:C20"/>
    <mergeCell ref="A12:B12"/>
    <mergeCell ref="A13:A14"/>
    <mergeCell ref="B13:B14"/>
    <mergeCell ref="C13:C14"/>
    <mergeCell ref="A15:A16"/>
    <mergeCell ref="B15:B16"/>
    <mergeCell ref="C15:C16"/>
    <mergeCell ref="A6:K6"/>
    <mergeCell ref="A9:A10"/>
    <mergeCell ref="B9:B10"/>
    <mergeCell ref="C9:C10"/>
    <mergeCell ref="D9:D10"/>
    <mergeCell ref="E9:J9"/>
  </mergeCells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62" firstPageNumber="0" orientation="landscape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planilha redusida</vt:lpstr>
      <vt:lpstr>Planilha de serviços</vt:lpstr>
      <vt:lpstr>CPU</vt:lpstr>
      <vt:lpstr>Memória</vt:lpstr>
      <vt:lpstr>BDI </vt:lpstr>
      <vt:lpstr>cronograma físico finaceiro</vt:lpstr>
      <vt:lpstr>'BDI '!Area_de_impressao</vt:lpstr>
      <vt:lpstr>CPU!Area_de_impressao</vt:lpstr>
      <vt:lpstr>'Planilha de serviços'!Area_de_impressao</vt:lpstr>
      <vt:lpstr>Excel_BuiltIn__FilterDatabase_1</vt:lpstr>
      <vt:lpstr>'Planilha de serviços'!Excel_BuiltIn_Print_Area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Cristiane Kelly Alves Dias</dc:creator>
  <cp:lastModifiedBy>pc</cp:lastModifiedBy>
  <cp:lastPrinted>2017-10-30T19:55:32Z</cp:lastPrinted>
  <dcterms:created xsi:type="dcterms:W3CDTF">2017-10-27T18:01:25Z</dcterms:created>
  <dcterms:modified xsi:type="dcterms:W3CDTF">2017-12-28T13:22:35Z</dcterms:modified>
</cp:coreProperties>
</file>