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omments2.xml" ContentType="application/vnd.openxmlformats-officedocument.spreadsheetml.comments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omments3.xml" ContentType="application/vnd.openxmlformats-officedocument.spreadsheetml.comments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3250" windowHeight="12570" tabRatio="799"/>
  </bookViews>
  <sheets>
    <sheet name="ORCAMENTO_RESUMO" sheetId="91" r:id="rId1"/>
    <sheet name="ORCAMENTO_CONSOLIDADO" sheetId="89" r:id="rId2"/>
    <sheet name="Mobilizacao_Desmobilizacao" sheetId="34" r:id="rId3"/>
    <sheet name="CPU_MOBILIZACAO" sheetId="67" r:id="rId4"/>
    <sheet name="CPU_DESMOBILIZAZAO" sheetId="71" r:id="rId5"/>
    <sheet name="Canteiros" sheetId="66" r:id="rId6"/>
    <sheet name="Reforma_Canteiros" sheetId="69" r:id="rId7"/>
    <sheet name="Moveis_Equipamentos" sheetId="33" r:id="rId8"/>
    <sheet name="Mao_de_Obra" sheetId="87" r:id="rId9"/>
    <sheet name="Mao_de_Obra (Total)" sheetId="88" r:id="rId10"/>
    <sheet name="Mem_Calculo_EQUIPE" sheetId="47" r:id="rId11"/>
    <sheet name="CPU_SALARIOS" sheetId="48" r:id="rId12"/>
    <sheet name="Encargos Sociais e Benefícios" sheetId="41" r:id="rId13"/>
    <sheet name="Viagens_Diárias" sheetId="38" r:id="rId14"/>
    <sheet name="CPU_Viagens" sheetId="42" r:id="rId15"/>
    <sheet name="Veiculos" sheetId="49" r:id="rId16"/>
    <sheet name="Mem_Calculo_VEICULOS" sheetId="72" r:id="rId17"/>
    <sheet name="Frentes_Moveis" sheetId="63" r:id="rId18"/>
    <sheet name="Materiais_Consumo" sheetId="25" r:id="rId19"/>
    <sheet name="CPU_MANUTENCAO_CANTEIRO" sheetId="90" r:id="rId20"/>
    <sheet name="Ferramentas" sheetId="22" r:id="rId21"/>
    <sheet name="Equipamentos" sheetId="23" r:id="rId22"/>
    <sheet name="Instrumentos" sheetId="24" r:id="rId23"/>
    <sheet name="Radios_Comunicadores" sheetId="15" r:id="rId24"/>
    <sheet name="Custos Administração" sheetId="39" r:id="rId25"/>
    <sheet name="Despesas Fiscais" sheetId="40" r:id="rId26"/>
  </sheets>
  <definedNames>
    <definedName name="_xlnm._FilterDatabase" localSheetId="5" hidden="1">Canteiros!$A$12:$H$25</definedName>
    <definedName name="_xlnm._FilterDatabase" localSheetId="4" hidden="1">CPU_DESMOBILIZAZAO!$A$8:$I$164</definedName>
    <definedName name="_xlnm._FilterDatabase" localSheetId="19" hidden="1">CPU_MANUTENCAO_CANTEIRO!$A$12:$G$71</definedName>
    <definedName name="_xlnm._FilterDatabase" localSheetId="3" hidden="1">CPU_MOBILIZACAO!$A$8:$I$164</definedName>
    <definedName name="_xlnm._FilterDatabase" localSheetId="11" hidden="1">CPU_SALARIOS!$A$12:$E$30</definedName>
    <definedName name="_xlnm._FilterDatabase" localSheetId="14" hidden="1">CPU_Viagens!$A$12:$G$77</definedName>
    <definedName name="_xlnm._FilterDatabase" localSheetId="12" hidden="1">'Encargos Sociais e Benefícios'!$A$11:$C$66</definedName>
    <definedName name="_xlnm._FilterDatabase" localSheetId="21" hidden="1">Equipamentos!$A$12:$L$145</definedName>
    <definedName name="_xlnm._FilterDatabase" localSheetId="20" hidden="1">Ferramentas!$A$12:$H$268</definedName>
    <definedName name="_xlnm._FilterDatabase" localSheetId="17" hidden="1">Frentes_Moveis!$A$12:$O$16</definedName>
    <definedName name="_xlnm._FilterDatabase" localSheetId="22" hidden="1">Instrumentos!$A$12:$G$55</definedName>
    <definedName name="_xlnm._FilterDatabase" localSheetId="8" hidden="1">Mao_de_Obra!$A$12:$G$75</definedName>
    <definedName name="_xlnm._FilterDatabase" localSheetId="9" hidden="1">'Mao_de_Obra (Total)'!$A$13:$AG$127</definedName>
    <definedName name="_xlnm._FilterDatabase" localSheetId="18" hidden="1">Materiais_Consumo!$A$12:$H$184</definedName>
    <definedName name="_xlnm._FilterDatabase" localSheetId="10" hidden="1">Mem_Calculo_EQUIPE!$A$11:$G$141</definedName>
    <definedName name="_xlnm._FilterDatabase" localSheetId="16" hidden="1">Mem_Calculo_VEICULOS!$A$38:$I$128</definedName>
    <definedName name="_xlnm._FilterDatabase" localSheetId="2" hidden="1">Mobilizacao_Desmobilizacao!$A$12:$G$24</definedName>
    <definedName name="_xlnm._FilterDatabase" localSheetId="7" hidden="1">Moveis_Equipamentos!$A$12:$G$66</definedName>
    <definedName name="_xlnm._FilterDatabase" localSheetId="1" hidden="1">ORCAMENTO_CONSOLIDADO!$A$11:$H$782</definedName>
    <definedName name="_xlnm._FilterDatabase" localSheetId="0" hidden="1">ORCAMENTO_RESUMO!$A$11:$E$45</definedName>
    <definedName name="_xlnm._FilterDatabase" localSheetId="23" hidden="1">Radios_Comunicadores!$A$12:$G$18</definedName>
    <definedName name="_xlnm._FilterDatabase" localSheetId="6" hidden="1">Reforma_Canteiros!$A$12:$I$49</definedName>
    <definedName name="_xlnm._FilterDatabase" localSheetId="15" hidden="1">Veiculos!$A$12:$J$19</definedName>
    <definedName name="_xlnm._FilterDatabase" localSheetId="13" hidden="1">Viagens_Diárias!$A$12:$G$21</definedName>
    <definedName name="_xlnm.Print_Area" localSheetId="5">Canteiros!$A$1:$H$35</definedName>
    <definedName name="_xlnm.Print_Area" localSheetId="4">CPU_DESMOBILIZAZAO!$A$1:$I$177</definedName>
    <definedName name="_xlnm.Print_Area" localSheetId="19">CPU_MANUTENCAO_CANTEIRO!$A$1:$G$101</definedName>
    <definedName name="_xlnm.Print_Area" localSheetId="3">CPU_MOBILIZACAO!$A$1:$I$177</definedName>
    <definedName name="_xlnm.Print_Area" localSheetId="11">CPU_SALARIOS!$A$1:$E$41</definedName>
    <definedName name="_xlnm.Print_Area" localSheetId="24">'Custos Administração'!$A$1:$C$32</definedName>
    <definedName name="_xlnm.Print_Area" localSheetId="25">'Despesas Fiscais'!$A$1:$D$35</definedName>
    <definedName name="_xlnm.Print_Area" localSheetId="12">'Encargos Sociais e Benefícios'!$A$1:$C$77</definedName>
    <definedName name="_xlnm.Print_Area" localSheetId="21">Equipamentos!$A$1:$G$167</definedName>
    <definedName name="_xlnm.Print_Area" localSheetId="20">Ferramentas!$A$1:$G$288</definedName>
    <definedName name="_xlnm.Print_Area" localSheetId="17">Frentes_Moveis!$A$1:$G$32</definedName>
    <definedName name="_xlnm.Print_Area" localSheetId="22">Instrumentos!$A$1:$G$77</definedName>
    <definedName name="_xlnm.Print_Area" localSheetId="9">'Mao_de_Obra (Total)'!$A$1:$V$127</definedName>
    <definedName name="_xlnm.Print_Area" localSheetId="18">Materiais_Consumo!$A$1:$G$203</definedName>
    <definedName name="_xlnm.Print_Area" localSheetId="10">Mem_Calculo_EQUIPE!$A$1:$G$151</definedName>
    <definedName name="_xlnm.Print_Area" localSheetId="2">Mobilizacao_Desmobilizacao!$A$1:$G$47</definedName>
    <definedName name="_xlnm.Print_Area" localSheetId="7">Moveis_Equipamentos!$A$1:$G$91</definedName>
    <definedName name="_xlnm.Print_Area" localSheetId="1">ORCAMENTO_CONSOLIDADO!$A$1:$H$790</definedName>
    <definedName name="_xlnm.Print_Area" localSheetId="0">ORCAMENTO_RESUMO!$A$1:$E$45</definedName>
    <definedName name="_xlnm.Print_Area" localSheetId="23">Radios_Comunicadores!$A$1:$G$34</definedName>
    <definedName name="_xlnm.Print_Area" localSheetId="6">Reforma_Canteiros!$A$1:$G$74</definedName>
    <definedName name="_xlnm.Print_Area" localSheetId="15">Veiculos!$A$1:$G$37</definedName>
    <definedName name="Equip">Equipamentos!$F$156</definedName>
    <definedName name="Ferramentas">Ferramentas!$F$279</definedName>
    <definedName name="Frentes_Mov">Frentes_Moveis!$F$23</definedName>
    <definedName name="Instrum">Instrumentos!$F$66</definedName>
    <definedName name="Mao_Obra">Mao_de_Obra!$F$82</definedName>
    <definedName name="Mat_Cons">Materiais_Consumo!$F$194</definedName>
    <definedName name="Mob_Desmob">Mobilizacao_Desmobilizacao!$F$34</definedName>
    <definedName name="Mov_Equip">Moveis_Equipamentos!$F$73</definedName>
    <definedName name="Radio">Radios_Comunicadores!$F$25</definedName>
    <definedName name="Ref_Cant">Reforma_Canteiros!$F$58</definedName>
    <definedName name="_xlnm.Print_Titles" localSheetId="4">CPU_DESMOBILIZAZAO!$1:$7</definedName>
    <definedName name="_xlnm.Print_Titles" localSheetId="19">CPU_MANUTENCAO_CANTEIRO!$1:$12</definedName>
    <definedName name="_xlnm.Print_Titles" localSheetId="3">CPU_MOBILIZACAO!$1:$7</definedName>
    <definedName name="_xlnm.Print_Titles" localSheetId="21">Equipamentos!#REF!</definedName>
    <definedName name="_xlnm.Print_Titles" localSheetId="9">'Mao_de_Obra (Total)'!$10:$13</definedName>
    <definedName name="_xlnm.Print_Titles" localSheetId="18">Materiais_Consumo!$1:$12</definedName>
    <definedName name="_xlnm.Print_Titles" localSheetId="10">Mem_Calculo_EQUIPE!$1:$11</definedName>
    <definedName name="_xlnm.Print_Titles" localSheetId="16">Mem_Calculo_VEICULOS!$1:$7</definedName>
    <definedName name="_xlnm.Print_Titles" localSheetId="1">ORCAMENTO_CONSOLIDADO!$10:$11</definedName>
    <definedName name="_xlnm.Print_Titles" localSheetId="0">ORCAMENTO_RESUMO!$10:$11</definedName>
    <definedName name="_xlnm.Print_Titles" localSheetId="6">Reforma_Canteiros!$10:$12</definedName>
    <definedName name="Veic">Veiculos!$F$26</definedName>
    <definedName name="Viag">Viagens_Diárias!$F$31</definedName>
  </definedNames>
  <calcPr calcId="144525" iterate="1" iterateCount="10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89" l="1"/>
  <c r="AF110" i="88" l="1"/>
  <c r="AF107" i="88"/>
  <c r="E18" i="33"/>
  <c r="E59" i="89" s="1"/>
  <c r="E17" i="33"/>
  <c r="E58" i="89" s="1"/>
  <c r="E107" i="89"/>
  <c r="D107" i="89"/>
  <c r="C107" i="89"/>
  <c r="B107" i="89"/>
  <c r="E106" i="89"/>
  <c r="D106" i="89"/>
  <c r="C106" i="89"/>
  <c r="B106" i="89"/>
  <c r="E105" i="89"/>
  <c r="D105" i="89"/>
  <c r="C105" i="89"/>
  <c r="B105" i="89"/>
  <c r="E104" i="89"/>
  <c r="D104" i="89"/>
  <c r="C104" i="89"/>
  <c r="B104" i="89"/>
  <c r="E103" i="89"/>
  <c r="D103" i="89"/>
  <c r="C103" i="89"/>
  <c r="B103" i="89"/>
  <c r="E102" i="89"/>
  <c r="D102" i="89"/>
  <c r="C102" i="89"/>
  <c r="B102" i="89"/>
  <c r="E101" i="89"/>
  <c r="D101" i="89"/>
  <c r="C101" i="89"/>
  <c r="B101" i="89"/>
  <c r="E100" i="89"/>
  <c r="D100" i="89"/>
  <c r="C100" i="89"/>
  <c r="B100" i="89"/>
  <c r="E99" i="89"/>
  <c r="D99" i="89"/>
  <c r="C99" i="89"/>
  <c r="B99" i="89"/>
  <c r="E98" i="89"/>
  <c r="D98" i="89"/>
  <c r="C98" i="89"/>
  <c r="B98" i="89"/>
  <c r="E97" i="89"/>
  <c r="D97" i="89"/>
  <c r="C97" i="89"/>
  <c r="B97" i="89"/>
  <c r="E96" i="89"/>
  <c r="D96" i="89"/>
  <c r="C96" i="89"/>
  <c r="B96" i="89"/>
  <c r="E95" i="89"/>
  <c r="D95" i="89"/>
  <c r="C95" i="89"/>
  <c r="B95" i="89"/>
  <c r="E94" i="89"/>
  <c r="D94" i="89"/>
  <c r="C94" i="89"/>
  <c r="B94" i="89"/>
  <c r="E93" i="89"/>
  <c r="D93" i="89"/>
  <c r="C93" i="89"/>
  <c r="B93" i="89"/>
  <c r="D92" i="89"/>
  <c r="C92" i="89"/>
  <c r="B92" i="89"/>
  <c r="D91" i="89"/>
  <c r="C91" i="89"/>
  <c r="B91" i="89"/>
  <c r="E90" i="89"/>
  <c r="D90" i="89"/>
  <c r="C90" i="89"/>
  <c r="B90" i="89"/>
  <c r="E89" i="89"/>
  <c r="D89" i="89"/>
  <c r="C89" i="89"/>
  <c r="B89" i="89"/>
  <c r="E88" i="89"/>
  <c r="D88" i="89"/>
  <c r="C88" i="89"/>
  <c r="B88" i="89"/>
  <c r="E87" i="89"/>
  <c r="D87" i="89"/>
  <c r="C87" i="89"/>
  <c r="B87" i="89"/>
  <c r="E86" i="89"/>
  <c r="D86" i="89"/>
  <c r="C86" i="89"/>
  <c r="B86" i="89"/>
  <c r="E85" i="89"/>
  <c r="D85" i="89"/>
  <c r="C85" i="89"/>
  <c r="B85" i="89"/>
  <c r="D84" i="89"/>
  <c r="C84" i="89"/>
  <c r="B84" i="89"/>
  <c r="E83" i="89"/>
  <c r="D83" i="89"/>
  <c r="C83" i="89"/>
  <c r="B83" i="89"/>
  <c r="E82" i="89"/>
  <c r="D82" i="89"/>
  <c r="C82" i="89"/>
  <c r="B82" i="89"/>
  <c r="E81" i="89"/>
  <c r="D81" i="89"/>
  <c r="C81" i="89"/>
  <c r="B81" i="89"/>
  <c r="E80" i="89"/>
  <c r="D80" i="89"/>
  <c r="C80" i="89"/>
  <c r="B80" i="89"/>
  <c r="E79" i="89"/>
  <c r="D79" i="89"/>
  <c r="C79" i="89"/>
  <c r="B79" i="89"/>
  <c r="E78" i="89"/>
  <c r="D78" i="89"/>
  <c r="C78" i="89"/>
  <c r="B78" i="89"/>
  <c r="E77" i="89"/>
  <c r="D77" i="89"/>
  <c r="C77" i="89"/>
  <c r="B77" i="89"/>
  <c r="E76" i="89"/>
  <c r="D76" i="89"/>
  <c r="C76" i="89"/>
  <c r="B76" i="89"/>
  <c r="E75" i="89"/>
  <c r="D75" i="89"/>
  <c r="C75" i="89"/>
  <c r="B75" i="89"/>
  <c r="E74" i="89"/>
  <c r="D74" i="89"/>
  <c r="C74" i="89"/>
  <c r="B74" i="89"/>
  <c r="E73" i="89"/>
  <c r="D73" i="89"/>
  <c r="C73" i="89"/>
  <c r="B73" i="89"/>
  <c r="E72" i="89"/>
  <c r="D72" i="89"/>
  <c r="C72" i="89"/>
  <c r="B72" i="89"/>
  <c r="E71" i="89"/>
  <c r="D71" i="89"/>
  <c r="C71" i="89"/>
  <c r="B71" i="89"/>
  <c r="E70" i="89"/>
  <c r="D70" i="89"/>
  <c r="C70" i="89"/>
  <c r="B70" i="89"/>
  <c r="E69" i="89"/>
  <c r="D69" i="89"/>
  <c r="C69" i="89"/>
  <c r="B69" i="89"/>
  <c r="E68" i="89"/>
  <c r="D68" i="89"/>
  <c r="C68" i="89"/>
  <c r="B68" i="89"/>
  <c r="E67" i="89"/>
  <c r="D67" i="89"/>
  <c r="C67" i="89"/>
  <c r="B67" i="89"/>
  <c r="E66" i="89"/>
  <c r="D66" i="89"/>
  <c r="C66" i="89"/>
  <c r="B66" i="89"/>
  <c r="E65" i="89"/>
  <c r="D65" i="89"/>
  <c r="C65" i="89"/>
  <c r="B65" i="89"/>
  <c r="E64" i="89"/>
  <c r="D64" i="89"/>
  <c r="C64" i="89"/>
  <c r="B64" i="89"/>
  <c r="E63" i="89"/>
  <c r="D63" i="89"/>
  <c r="C63" i="89"/>
  <c r="B63" i="89"/>
  <c r="E62" i="89"/>
  <c r="D62" i="89"/>
  <c r="C62" i="89"/>
  <c r="B62" i="89"/>
  <c r="E61" i="89"/>
  <c r="D61" i="89"/>
  <c r="C61" i="89"/>
  <c r="B61" i="89"/>
  <c r="E60" i="89"/>
  <c r="D60" i="89"/>
  <c r="C60" i="89"/>
  <c r="B60" i="89"/>
  <c r="D59" i="89"/>
  <c r="C59" i="89"/>
  <c r="B59" i="89"/>
  <c r="D58" i="89"/>
  <c r="C58" i="89"/>
  <c r="B58" i="89"/>
  <c r="E57" i="89"/>
  <c r="D57" i="89"/>
  <c r="C57" i="89"/>
  <c r="B57" i="89"/>
  <c r="E56" i="89"/>
  <c r="D56" i="89"/>
  <c r="C56" i="89"/>
  <c r="B56" i="89"/>
  <c r="F66" i="33"/>
  <c r="F107" i="89" s="1"/>
  <c r="F65" i="33"/>
  <c r="F106" i="89" s="1"/>
  <c r="F64" i="33"/>
  <c r="F105" i="89" s="1"/>
  <c r="F63" i="33"/>
  <c r="F104" i="89" s="1"/>
  <c r="F62" i="33"/>
  <c r="F103" i="89" s="1"/>
  <c r="F61" i="33"/>
  <c r="F102" i="89" s="1"/>
  <c r="F60" i="33"/>
  <c r="F101" i="89" s="1"/>
  <c r="F59" i="33"/>
  <c r="F100" i="89" s="1"/>
  <c r="F58" i="33"/>
  <c r="F99" i="89" s="1"/>
  <c r="F57" i="33"/>
  <c r="F98" i="89" s="1"/>
  <c r="F56" i="33"/>
  <c r="F97" i="89" s="1"/>
  <c r="F55" i="33"/>
  <c r="F96" i="89" s="1"/>
  <c r="F54" i="33"/>
  <c r="F95" i="89" s="1"/>
  <c r="F53" i="33"/>
  <c r="F94" i="89" s="1"/>
  <c r="F52" i="33"/>
  <c r="F93" i="89" s="1"/>
  <c r="F51" i="33"/>
  <c r="F92" i="89" s="1"/>
  <c r="F50" i="33"/>
  <c r="F91" i="89" s="1"/>
  <c r="F49" i="33"/>
  <c r="F90" i="89" s="1"/>
  <c r="F48" i="33"/>
  <c r="F89" i="89" s="1"/>
  <c r="F47" i="33"/>
  <c r="F88" i="89" s="1"/>
  <c r="F46" i="33"/>
  <c r="F87" i="89" s="1"/>
  <c r="F45" i="33"/>
  <c r="F86" i="89" s="1"/>
  <c r="F44" i="33"/>
  <c r="F85" i="89" s="1"/>
  <c r="F43" i="33"/>
  <c r="F84" i="89" s="1"/>
  <c r="F42" i="33"/>
  <c r="F83" i="89" s="1"/>
  <c r="F41" i="33"/>
  <c r="F82" i="89" s="1"/>
  <c r="F40" i="33"/>
  <c r="F81" i="89" s="1"/>
  <c r="F39" i="33"/>
  <c r="F80" i="89" s="1"/>
  <c r="F38" i="33"/>
  <c r="F79" i="89" s="1"/>
  <c r="F37" i="33"/>
  <c r="F78" i="89" s="1"/>
  <c r="F36" i="33"/>
  <c r="F77" i="89" s="1"/>
  <c r="F35" i="33"/>
  <c r="F76" i="89" s="1"/>
  <c r="F34" i="33"/>
  <c r="F75" i="89" s="1"/>
  <c r="F33" i="33"/>
  <c r="F74" i="89" s="1"/>
  <c r="F32" i="33"/>
  <c r="F73" i="89" s="1"/>
  <c r="F31" i="33"/>
  <c r="F72" i="89" s="1"/>
  <c r="F30" i="33"/>
  <c r="F71" i="89" s="1"/>
  <c r="F29" i="33"/>
  <c r="F70" i="89" s="1"/>
  <c r="F28" i="33"/>
  <c r="F69" i="89" s="1"/>
  <c r="F27" i="33"/>
  <c r="F68" i="89" s="1"/>
  <c r="F26" i="33"/>
  <c r="F67" i="89" s="1"/>
  <c r="F25" i="33"/>
  <c r="F66" i="89" s="1"/>
  <c r="F24" i="33"/>
  <c r="F65" i="89" s="1"/>
  <c r="F23" i="33"/>
  <c r="F64" i="89" s="1"/>
  <c r="F22" i="33"/>
  <c r="F63" i="89" s="1"/>
  <c r="F21" i="33"/>
  <c r="F62" i="89" s="1"/>
  <c r="F20" i="33"/>
  <c r="F61" i="89" s="1"/>
  <c r="F19" i="33"/>
  <c r="F60" i="89" s="1"/>
  <c r="F18" i="33"/>
  <c r="F59" i="89" s="1"/>
  <c r="F17" i="33"/>
  <c r="F58" i="89" s="1"/>
  <c r="F16" i="33"/>
  <c r="F57" i="89" s="1"/>
  <c r="F15" i="33"/>
  <c r="F56" i="89" s="1"/>
  <c r="F14" i="33"/>
  <c r="E14" i="33"/>
  <c r="A70" i="33"/>
  <c r="A73" i="33" s="1"/>
  <c r="A67" i="33"/>
  <c r="E42" i="33"/>
  <c r="G42" i="33" s="1"/>
  <c r="A164" i="67"/>
  <c r="A112" i="67"/>
  <c r="A64" i="67"/>
  <c r="G107" i="89" l="1"/>
  <c r="E43" i="33"/>
  <c r="E84" i="89" s="1"/>
  <c r="E182" i="23"/>
  <c r="G182" i="23" s="1"/>
  <c r="F182" i="23"/>
  <c r="E279" i="23"/>
  <c r="G232" i="23"/>
  <c r="E184" i="23"/>
  <c r="E272" i="23"/>
  <c r="F272" i="23"/>
  <c r="E275" i="23"/>
  <c r="F143" i="23"/>
  <c r="F125" i="23"/>
  <c r="F109" i="23"/>
  <c r="F106" i="23"/>
  <c r="F105" i="23"/>
  <c r="F104" i="23"/>
  <c r="F102" i="23"/>
  <c r="F99" i="23"/>
  <c r="F98" i="23"/>
  <c r="F89" i="23"/>
  <c r="F85" i="23"/>
  <c r="F84" i="23"/>
  <c r="F83" i="23"/>
  <c r="F80" i="23"/>
  <c r="F79" i="23"/>
  <c r="F73" i="23"/>
  <c r="F72" i="23"/>
  <c r="F71" i="23"/>
  <c r="F69" i="23"/>
  <c r="F66" i="23"/>
  <c r="F65" i="23"/>
  <c r="F64" i="23"/>
  <c r="F63" i="23"/>
  <c r="F59" i="23"/>
  <c r="F55" i="23"/>
  <c r="F54" i="23"/>
  <c r="F52" i="23"/>
  <c r="F51" i="23"/>
  <c r="F50" i="23"/>
  <c r="F48" i="23"/>
  <c r="F46" i="23"/>
  <c r="F45" i="23"/>
  <c r="F44" i="23"/>
  <c r="F43" i="23"/>
  <c r="F42" i="23"/>
  <c r="F41" i="23"/>
  <c r="F38" i="23"/>
  <c r="F37" i="23"/>
  <c r="F36" i="23"/>
  <c r="F33" i="23"/>
  <c r="F32" i="23"/>
  <c r="F31" i="23"/>
  <c r="F30" i="23"/>
  <c r="F29" i="23"/>
  <c r="F28" i="23"/>
  <c r="F27" i="23"/>
  <c r="F26" i="23"/>
  <c r="F25" i="23"/>
  <c r="F24" i="23"/>
  <c r="F23" i="23"/>
  <c r="F21" i="23"/>
  <c r="F20" i="23"/>
  <c r="F19" i="23"/>
  <c r="F18" i="23"/>
  <c r="F17" i="23"/>
  <c r="F16" i="23"/>
  <c r="E29" i="23"/>
  <c r="E28" i="23"/>
  <c r="E226" i="23"/>
  <c r="G43" i="33" l="1"/>
  <c r="F216" i="23"/>
  <c r="E216" i="23"/>
  <c r="E284" i="23"/>
  <c r="E283" i="23"/>
  <c r="E282" i="23"/>
  <c r="E273" i="23"/>
  <c r="E270" i="23"/>
  <c r="E269" i="23"/>
  <c r="E262" i="23"/>
  <c r="E259" i="23"/>
  <c r="E257" i="23"/>
  <c r="E256" i="23"/>
  <c r="E253" i="23"/>
  <c r="E251" i="23"/>
  <c r="E252" i="23"/>
  <c r="E250" i="23"/>
  <c r="E241" i="23"/>
  <c r="E239" i="23"/>
  <c r="E244" i="23"/>
  <c r="E235" i="23"/>
  <c r="E249" i="23"/>
  <c r="E225" i="23"/>
  <c r="E171" i="23"/>
  <c r="E224" i="23"/>
  <c r="E219" i="23"/>
  <c r="E218" i="23"/>
  <c r="E16" i="63" l="1"/>
  <c r="E51" i="33" l="1"/>
  <c r="E92" i="89" s="1"/>
  <c r="E16" i="33" l="1"/>
  <c r="E15" i="33"/>
  <c r="F67" i="90"/>
  <c r="F59" i="90"/>
  <c r="F48" i="90"/>
  <c r="E37" i="90"/>
  <c r="D170" i="89" l="1"/>
  <c r="C170" i="89"/>
  <c r="D169" i="89"/>
  <c r="C169" i="89"/>
  <c r="D168" i="89"/>
  <c r="C168" i="89"/>
  <c r="D167" i="89"/>
  <c r="C167" i="89"/>
  <c r="D166" i="89"/>
  <c r="C166" i="89"/>
  <c r="D165" i="89"/>
  <c r="C165" i="89"/>
  <c r="D164" i="89"/>
  <c r="C164" i="89"/>
  <c r="D163" i="89"/>
  <c r="C163" i="89"/>
  <c r="D162" i="89"/>
  <c r="C162" i="89"/>
  <c r="D161" i="89"/>
  <c r="C161" i="89"/>
  <c r="D160" i="89"/>
  <c r="C160" i="89"/>
  <c r="D159" i="89"/>
  <c r="C159" i="89"/>
  <c r="D158" i="89"/>
  <c r="C158" i="89"/>
  <c r="D157" i="89"/>
  <c r="C157" i="89"/>
  <c r="D156" i="89"/>
  <c r="C156" i="89"/>
  <c r="D155" i="89"/>
  <c r="C155" i="89"/>
  <c r="D154" i="89"/>
  <c r="C154" i="89"/>
  <c r="D153" i="89"/>
  <c r="C153" i="89"/>
  <c r="D152" i="89"/>
  <c r="C152" i="89"/>
  <c r="D151" i="89"/>
  <c r="C151" i="89"/>
  <c r="D150" i="89"/>
  <c r="C150" i="89"/>
  <c r="D149" i="89"/>
  <c r="C149" i="89"/>
  <c r="D148" i="89"/>
  <c r="C148" i="89"/>
  <c r="D147" i="89"/>
  <c r="C147" i="89"/>
  <c r="D146" i="89"/>
  <c r="C146" i="89"/>
  <c r="D145" i="89"/>
  <c r="C145" i="89"/>
  <c r="D144" i="89"/>
  <c r="C144" i="89"/>
  <c r="D143" i="89"/>
  <c r="C143" i="89"/>
  <c r="D142" i="89"/>
  <c r="C142" i="89"/>
  <c r="D141" i="89"/>
  <c r="C141" i="89"/>
  <c r="D140" i="89"/>
  <c r="C140" i="89"/>
  <c r="D139" i="89"/>
  <c r="C139" i="89"/>
  <c r="D138" i="89"/>
  <c r="C138" i="89"/>
  <c r="D137" i="89"/>
  <c r="C137" i="89"/>
  <c r="D136" i="89"/>
  <c r="C136" i="89"/>
  <c r="D135" i="89"/>
  <c r="C135" i="89"/>
  <c r="D134" i="89"/>
  <c r="C134" i="89"/>
  <c r="D133" i="89"/>
  <c r="C133" i="89"/>
  <c r="D132" i="89"/>
  <c r="C132" i="89"/>
  <c r="D131" i="89"/>
  <c r="C131" i="89"/>
  <c r="D130" i="89"/>
  <c r="C130" i="89"/>
  <c r="D129" i="89"/>
  <c r="C129" i="89"/>
  <c r="D128" i="89"/>
  <c r="C128" i="89"/>
  <c r="D127" i="89"/>
  <c r="C127" i="89"/>
  <c r="D126" i="89"/>
  <c r="C126" i="89"/>
  <c r="D125" i="89"/>
  <c r="C125" i="89"/>
  <c r="D124" i="89"/>
  <c r="C124" i="89"/>
  <c r="D123" i="89"/>
  <c r="C123" i="89"/>
  <c r="D122" i="89"/>
  <c r="C122" i="89"/>
  <c r="D121" i="89"/>
  <c r="C121" i="89"/>
  <c r="D120" i="89"/>
  <c r="C120" i="89"/>
  <c r="D119" i="89"/>
  <c r="C119" i="89"/>
  <c r="D118" i="89"/>
  <c r="C118" i="89"/>
  <c r="D117" i="89"/>
  <c r="C117" i="89"/>
  <c r="D116" i="89"/>
  <c r="C116" i="89"/>
  <c r="D115" i="89"/>
  <c r="C115" i="89"/>
  <c r="D114" i="89"/>
  <c r="C114" i="89"/>
  <c r="D113" i="89"/>
  <c r="C113" i="89"/>
  <c r="D112" i="89"/>
  <c r="C112" i="89"/>
  <c r="D111" i="89"/>
  <c r="C111" i="89"/>
  <c r="F258" i="22"/>
  <c r="F111" i="25"/>
  <c r="F171" i="25"/>
  <c r="F117" i="25"/>
  <c r="F116" i="25"/>
  <c r="F115" i="25"/>
  <c r="E159" i="25"/>
  <c r="E53" i="25"/>
  <c r="F158" i="25"/>
  <c r="F150" i="25"/>
  <c r="F36" i="25"/>
  <c r="F149" i="25"/>
  <c r="F109" i="25"/>
  <c r="F26" i="25" l="1"/>
  <c r="F17" i="25"/>
  <c r="F16" i="63"/>
  <c r="D37" i="63"/>
  <c r="E37" i="63" s="1"/>
  <c r="E36" i="63"/>
  <c r="B74" i="87"/>
  <c r="B170" i="89" s="1"/>
  <c r="B73" i="87"/>
  <c r="B169" i="89" s="1"/>
  <c r="B72" i="87"/>
  <c r="B168" i="89" s="1"/>
  <c r="B71" i="87"/>
  <c r="B167" i="89" s="1"/>
  <c r="B70" i="87"/>
  <c r="B166" i="89" s="1"/>
  <c r="B69" i="87"/>
  <c r="B165" i="89" s="1"/>
  <c r="B68" i="87"/>
  <c r="B164" i="89" s="1"/>
  <c r="B67" i="87"/>
  <c r="B163" i="89" s="1"/>
  <c r="B66" i="87"/>
  <c r="B162" i="89" s="1"/>
  <c r="B65" i="87"/>
  <c r="B161" i="89" s="1"/>
  <c r="B64" i="87"/>
  <c r="B160" i="89" s="1"/>
  <c r="B63" i="87"/>
  <c r="B159" i="89" s="1"/>
  <c r="B62" i="87"/>
  <c r="B158" i="89" s="1"/>
  <c r="B61" i="87"/>
  <c r="B157" i="89" s="1"/>
  <c r="B60" i="87"/>
  <c r="B156" i="89" s="1"/>
  <c r="B59" i="87"/>
  <c r="B155" i="89" s="1"/>
  <c r="B58" i="87"/>
  <c r="B154" i="89" s="1"/>
  <c r="B57" i="87"/>
  <c r="B153" i="89" s="1"/>
  <c r="B56" i="87"/>
  <c r="B152" i="89" s="1"/>
  <c r="B55" i="87"/>
  <c r="B151" i="89" s="1"/>
  <c r="B54" i="87"/>
  <c r="B150" i="89" s="1"/>
  <c r="B53" i="87"/>
  <c r="B149" i="89" s="1"/>
  <c r="B52" i="87"/>
  <c r="B148" i="89" s="1"/>
  <c r="B51" i="87"/>
  <c r="B147" i="89" s="1"/>
  <c r="B50" i="87"/>
  <c r="B146" i="89" s="1"/>
  <c r="B49" i="87"/>
  <c r="B145" i="89" s="1"/>
  <c r="B48" i="87"/>
  <c r="B144" i="89" s="1"/>
  <c r="B47" i="87"/>
  <c r="B143" i="89" s="1"/>
  <c r="B46" i="87"/>
  <c r="B142" i="89" s="1"/>
  <c r="B45" i="87"/>
  <c r="B141" i="89" s="1"/>
  <c r="B44" i="87"/>
  <c r="B140" i="89" s="1"/>
  <c r="B43" i="87"/>
  <c r="B139" i="89" s="1"/>
  <c r="B42" i="87"/>
  <c r="B138" i="89" s="1"/>
  <c r="B41" i="87"/>
  <c r="B137" i="89" s="1"/>
  <c r="B40" i="87"/>
  <c r="B136" i="89" s="1"/>
  <c r="B39" i="87"/>
  <c r="B135" i="89" s="1"/>
  <c r="B38" i="87"/>
  <c r="B134" i="89" s="1"/>
  <c r="B37" i="87"/>
  <c r="B133" i="89" s="1"/>
  <c r="B36" i="87"/>
  <c r="B132" i="89" s="1"/>
  <c r="B35" i="87"/>
  <c r="B131" i="89" s="1"/>
  <c r="B34" i="87"/>
  <c r="B130" i="89" s="1"/>
  <c r="B33" i="87"/>
  <c r="B129" i="89" s="1"/>
  <c r="B32" i="87"/>
  <c r="B128" i="89" s="1"/>
  <c r="B31" i="87"/>
  <c r="B127" i="89" s="1"/>
  <c r="B30" i="87"/>
  <c r="B126" i="89" s="1"/>
  <c r="B29" i="87"/>
  <c r="B125" i="89" s="1"/>
  <c r="B28" i="87"/>
  <c r="B124" i="89" s="1"/>
  <c r="B27" i="87"/>
  <c r="B123" i="89" s="1"/>
  <c r="B26" i="87"/>
  <c r="B122" i="89" s="1"/>
  <c r="B25" i="87"/>
  <c r="B121" i="89" s="1"/>
  <c r="B24" i="87"/>
  <c r="B120" i="89" s="1"/>
  <c r="B23" i="87"/>
  <c r="B119" i="89" s="1"/>
  <c r="B22" i="87"/>
  <c r="B118" i="89" s="1"/>
  <c r="B21" i="87"/>
  <c r="B117" i="89" s="1"/>
  <c r="B20" i="87"/>
  <c r="B116" i="89" s="1"/>
  <c r="B19" i="87"/>
  <c r="B115" i="89" s="1"/>
  <c r="B18" i="87"/>
  <c r="B114" i="89" s="1"/>
  <c r="B17" i="87"/>
  <c r="B113" i="89" s="1"/>
  <c r="B16" i="87"/>
  <c r="B112" i="89" s="1"/>
  <c r="B15" i="87"/>
  <c r="B111" i="89" s="1"/>
  <c r="B14" i="87"/>
  <c r="F15" i="63" l="1"/>
  <c r="F37" i="63"/>
  <c r="F36" i="63"/>
  <c r="F14" i="63" s="1"/>
  <c r="C45" i="91"/>
  <c r="C44" i="91"/>
  <c r="C776" i="89"/>
  <c r="C780" i="89"/>
  <c r="B769" i="89"/>
  <c r="E773" i="89"/>
  <c r="D773" i="89"/>
  <c r="C773" i="89"/>
  <c r="B773" i="89"/>
  <c r="F772" i="89"/>
  <c r="D772" i="89"/>
  <c r="C772" i="89"/>
  <c r="B772" i="89"/>
  <c r="F771" i="89"/>
  <c r="D771" i="89"/>
  <c r="C771" i="89"/>
  <c r="B771" i="89"/>
  <c r="F770" i="89"/>
  <c r="D770" i="89"/>
  <c r="C770" i="89"/>
  <c r="B770" i="89"/>
  <c r="F769" i="89"/>
  <c r="D769" i="89"/>
  <c r="C769" i="89"/>
  <c r="C768" i="89"/>
  <c r="C43" i="91" s="1"/>
  <c r="F766" i="89"/>
  <c r="D766" i="89"/>
  <c r="C766" i="89"/>
  <c r="B766" i="89"/>
  <c r="F765" i="89"/>
  <c r="D765" i="89"/>
  <c r="C765" i="89"/>
  <c r="B765" i="89"/>
  <c r="F764" i="89"/>
  <c r="D764" i="89"/>
  <c r="C764" i="89"/>
  <c r="B764" i="89"/>
  <c r="C763" i="89"/>
  <c r="C42" i="91" s="1"/>
  <c r="F762" i="89"/>
  <c r="D762" i="89"/>
  <c r="C762" i="89"/>
  <c r="B762" i="89"/>
  <c r="F761" i="89"/>
  <c r="D761" i="89"/>
  <c r="C761" i="89"/>
  <c r="B761" i="89"/>
  <c r="F760" i="89"/>
  <c r="D760" i="89"/>
  <c r="C760" i="89"/>
  <c r="B760" i="89"/>
  <c r="F759" i="89"/>
  <c r="D759" i="89"/>
  <c r="C759" i="89"/>
  <c r="B759" i="89"/>
  <c r="F758" i="89"/>
  <c r="D758" i="89"/>
  <c r="C758" i="89"/>
  <c r="B758" i="89"/>
  <c r="F757" i="89"/>
  <c r="D757" i="89"/>
  <c r="C757" i="89"/>
  <c r="B757" i="89"/>
  <c r="F756" i="89"/>
  <c r="D756" i="89"/>
  <c r="C756" i="89"/>
  <c r="B756" i="89"/>
  <c r="F755" i="89"/>
  <c r="D755" i="89"/>
  <c r="C755" i="89"/>
  <c r="B755" i="89"/>
  <c r="F754" i="89"/>
  <c r="D754" i="89"/>
  <c r="C754" i="89"/>
  <c r="B754" i="89"/>
  <c r="F753" i="89"/>
  <c r="D753" i="89"/>
  <c r="C753" i="89"/>
  <c r="B753" i="89"/>
  <c r="F752" i="89"/>
  <c r="D752" i="89"/>
  <c r="C752" i="89"/>
  <c r="B752" i="89"/>
  <c r="F751" i="89"/>
  <c r="D751" i="89"/>
  <c r="C751" i="89"/>
  <c r="B751" i="89"/>
  <c r="F750" i="89"/>
  <c r="D750" i="89"/>
  <c r="C750" i="89"/>
  <c r="B750" i="89"/>
  <c r="F749" i="89"/>
  <c r="D749" i="89"/>
  <c r="C749" i="89"/>
  <c r="B749" i="89"/>
  <c r="F748" i="89"/>
  <c r="D748" i="89"/>
  <c r="C748" i="89"/>
  <c r="B748" i="89"/>
  <c r="F747" i="89"/>
  <c r="D747" i="89"/>
  <c r="C747" i="89"/>
  <c r="B747" i="89"/>
  <c r="F746" i="89"/>
  <c r="D746" i="89"/>
  <c r="C746" i="89"/>
  <c r="B746" i="89"/>
  <c r="F745" i="89"/>
  <c r="D745" i="89"/>
  <c r="C745" i="89"/>
  <c r="B745" i="89"/>
  <c r="C744" i="89"/>
  <c r="C41" i="91" s="1"/>
  <c r="F743" i="89"/>
  <c r="D743" i="89"/>
  <c r="C743" i="89"/>
  <c r="B743" i="89"/>
  <c r="F742" i="89"/>
  <c r="D742" i="89"/>
  <c r="C742" i="89"/>
  <c r="B742" i="89"/>
  <c r="F741" i="89"/>
  <c r="D741" i="89"/>
  <c r="C741" i="89"/>
  <c r="B741" i="89"/>
  <c r="F740" i="89"/>
  <c r="D740" i="89"/>
  <c r="C740" i="89"/>
  <c r="B740" i="89"/>
  <c r="F739" i="89"/>
  <c r="D739" i="89"/>
  <c r="C739" i="89"/>
  <c r="B739" i="89"/>
  <c r="F738" i="89"/>
  <c r="D738" i="89"/>
  <c r="C738" i="89"/>
  <c r="B738" i="89"/>
  <c r="F737" i="89"/>
  <c r="D737" i="89"/>
  <c r="C737" i="89"/>
  <c r="B737" i="89"/>
  <c r="F736" i="89"/>
  <c r="D736" i="89"/>
  <c r="C736" i="89"/>
  <c r="B736" i="89"/>
  <c r="F735" i="89"/>
  <c r="D735" i="89"/>
  <c r="C735" i="89"/>
  <c r="B735" i="89"/>
  <c r="F734" i="89"/>
  <c r="D734" i="89"/>
  <c r="C734" i="89"/>
  <c r="B734" i="89"/>
  <c r="F733" i="89"/>
  <c r="D733" i="89"/>
  <c r="C733" i="89"/>
  <c r="B733" i="89"/>
  <c r="F732" i="89"/>
  <c r="D732" i="89"/>
  <c r="C732" i="89"/>
  <c r="B732" i="89"/>
  <c r="F731" i="89"/>
  <c r="D731" i="89"/>
  <c r="C731" i="89"/>
  <c r="B731" i="89"/>
  <c r="C730" i="89"/>
  <c r="C40" i="91" s="1"/>
  <c r="E28" i="24"/>
  <c r="G28" i="24" s="1"/>
  <c r="C13" i="24"/>
  <c r="A58" i="24" s="1"/>
  <c r="C729" i="89" l="1"/>
  <c r="C39" i="91" s="1"/>
  <c r="E743" i="89"/>
  <c r="G743" i="89" s="1"/>
  <c r="F727" i="89"/>
  <c r="E727" i="89"/>
  <c r="D727" i="89"/>
  <c r="C727" i="89"/>
  <c r="B727" i="89"/>
  <c r="E726" i="89"/>
  <c r="D726" i="89"/>
  <c r="C726" i="89"/>
  <c r="B726" i="89"/>
  <c r="E725" i="89"/>
  <c r="D725" i="89"/>
  <c r="C725" i="89"/>
  <c r="B725" i="89"/>
  <c r="E724" i="89"/>
  <c r="D724" i="89"/>
  <c r="C724" i="89"/>
  <c r="B724" i="89"/>
  <c r="E723" i="89"/>
  <c r="D723" i="89"/>
  <c r="C723" i="89"/>
  <c r="B723" i="89"/>
  <c r="E722" i="89"/>
  <c r="D722" i="89"/>
  <c r="C722" i="89"/>
  <c r="B722" i="89"/>
  <c r="E721" i="89"/>
  <c r="D721" i="89"/>
  <c r="C721" i="89"/>
  <c r="B721" i="89"/>
  <c r="E720" i="89"/>
  <c r="D720" i="89"/>
  <c r="C720" i="89"/>
  <c r="B720" i="89"/>
  <c r="E719" i="89"/>
  <c r="D719" i="89"/>
  <c r="C719" i="89"/>
  <c r="B719" i="89"/>
  <c r="C718" i="89"/>
  <c r="D717" i="89"/>
  <c r="C717" i="89"/>
  <c r="B717" i="89"/>
  <c r="D716" i="89"/>
  <c r="C716" i="89"/>
  <c r="B716" i="89"/>
  <c r="D715" i="89"/>
  <c r="C715" i="89"/>
  <c r="B715" i="89"/>
  <c r="D714" i="89"/>
  <c r="C714" i="89"/>
  <c r="B714" i="89"/>
  <c r="D713" i="89"/>
  <c r="C713" i="89"/>
  <c r="B713" i="89"/>
  <c r="D712" i="89"/>
  <c r="C712" i="89"/>
  <c r="B712" i="89"/>
  <c r="F711" i="89"/>
  <c r="D711" i="89"/>
  <c r="C711" i="89"/>
  <c r="B711" i="89"/>
  <c r="D710" i="89"/>
  <c r="C710" i="89"/>
  <c r="B710" i="89"/>
  <c r="D709" i="89"/>
  <c r="C709" i="89"/>
  <c r="B709" i="89"/>
  <c r="D708" i="89"/>
  <c r="C708" i="89"/>
  <c r="B708" i="89"/>
  <c r="D707" i="89"/>
  <c r="C707" i="89"/>
  <c r="B707" i="89"/>
  <c r="D706" i="89"/>
  <c r="C706" i="89"/>
  <c r="B706" i="89"/>
  <c r="D705" i="89"/>
  <c r="C705" i="89"/>
  <c r="B705" i="89"/>
  <c r="D704" i="89"/>
  <c r="C704" i="89"/>
  <c r="B704" i="89"/>
  <c r="D703" i="89"/>
  <c r="C703" i="89"/>
  <c r="B703" i="89"/>
  <c r="D702" i="89"/>
  <c r="C702" i="89"/>
  <c r="B702" i="89"/>
  <c r="D701" i="89"/>
  <c r="C701" i="89"/>
  <c r="B701" i="89"/>
  <c r="D700" i="89"/>
  <c r="C700" i="89"/>
  <c r="B700" i="89"/>
  <c r="D699" i="89"/>
  <c r="C699" i="89"/>
  <c r="B699" i="89"/>
  <c r="D698" i="89"/>
  <c r="C698" i="89"/>
  <c r="B698" i="89"/>
  <c r="D697" i="89"/>
  <c r="C697" i="89"/>
  <c r="B697" i="89"/>
  <c r="D696" i="89"/>
  <c r="C696" i="89"/>
  <c r="B696" i="89"/>
  <c r="F695" i="89"/>
  <c r="D695" i="89"/>
  <c r="C695" i="89"/>
  <c r="B695" i="89"/>
  <c r="D694" i="89"/>
  <c r="C694" i="89"/>
  <c r="B694" i="89"/>
  <c r="D693" i="89"/>
  <c r="C693" i="89"/>
  <c r="B693" i="89"/>
  <c r="F692" i="89"/>
  <c r="D692" i="89"/>
  <c r="C692" i="89"/>
  <c r="B692" i="89"/>
  <c r="F691" i="89"/>
  <c r="D691" i="89"/>
  <c r="C691" i="89"/>
  <c r="B691" i="89"/>
  <c r="F690" i="89"/>
  <c r="D690" i="89"/>
  <c r="C690" i="89"/>
  <c r="B690" i="89"/>
  <c r="D689" i="89"/>
  <c r="C689" i="89"/>
  <c r="B689" i="89"/>
  <c r="F688" i="89"/>
  <c r="D688" i="89"/>
  <c r="C688" i="89"/>
  <c r="B688" i="89"/>
  <c r="D687" i="89"/>
  <c r="C687" i="89"/>
  <c r="B687" i="89"/>
  <c r="D686" i="89"/>
  <c r="C686" i="89"/>
  <c r="B686" i="89"/>
  <c r="F685" i="89"/>
  <c r="D685" i="89"/>
  <c r="C685" i="89"/>
  <c r="B685" i="89"/>
  <c r="F684" i="89"/>
  <c r="D684" i="89"/>
  <c r="C684" i="89"/>
  <c r="B684" i="89"/>
  <c r="D683" i="89"/>
  <c r="C683" i="89"/>
  <c r="B683" i="89"/>
  <c r="D682" i="89"/>
  <c r="C682" i="89"/>
  <c r="B682" i="89"/>
  <c r="D681" i="89"/>
  <c r="C681" i="89"/>
  <c r="B681" i="89"/>
  <c r="D680" i="89"/>
  <c r="C680" i="89"/>
  <c r="B680" i="89"/>
  <c r="D679" i="89"/>
  <c r="C679" i="89"/>
  <c r="B679" i="89"/>
  <c r="D678" i="89"/>
  <c r="C678" i="89"/>
  <c r="B678" i="89"/>
  <c r="D677" i="89"/>
  <c r="C677" i="89"/>
  <c r="B677" i="89"/>
  <c r="D676" i="89"/>
  <c r="C676" i="89"/>
  <c r="B676" i="89"/>
  <c r="F675" i="89"/>
  <c r="D675" i="89"/>
  <c r="C675" i="89"/>
  <c r="B675" i="89"/>
  <c r="D674" i="89"/>
  <c r="C674" i="89"/>
  <c r="B674" i="89"/>
  <c r="D673" i="89"/>
  <c r="C673" i="89"/>
  <c r="B673" i="89"/>
  <c r="D672" i="89"/>
  <c r="C672" i="89"/>
  <c r="B672" i="89"/>
  <c r="F671" i="89"/>
  <c r="D671" i="89"/>
  <c r="C671" i="89"/>
  <c r="B671" i="89"/>
  <c r="F670" i="89"/>
  <c r="D670" i="89"/>
  <c r="C670" i="89"/>
  <c r="B670" i="89"/>
  <c r="F669" i="89"/>
  <c r="D669" i="89"/>
  <c r="C669" i="89"/>
  <c r="B669" i="89"/>
  <c r="D668" i="89"/>
  <c r="C668" i="89"/>
  <c r="B668" i="89"/>
  <c r="D667" i="89"/>
  <c r="C667" i="89"/>
  <c r="B667" i="89"/>
  <c r="F666" i="89"/>
  <c r="D666" i="89"/>
  <c r="C666" i="89"/>
  <c r="B666" i="89"/>
  <c r="F665" i="89"/>
  <c r="D665" i="89"/>
  <c r="C665" i="89"/>
  <c r="B665" i="89"/>
  <c r="D664" i="89"/>
  <c r="C664" i="89"/>
  <c r="B664" i="89"/>
  <c r="C663" i="89"/>
  <c r="C662" i="89"/>
  <c r="C38" i="91" s="1"/>
  <c r="F661" i="89"/>
  <c r="D661" i="89"/>
  <c r="C661" i="89"/>
  <c r="B661" i="89"/>
  <c r="F660" i="89"/>
  <c r="D660" i="89"/>
  <c r="C660" i="89"/>
  <c r="B660" i="89"/>
  <c r="F659" i="89"/>
  <c r="D659" i="89"/>
  <c r="C659" i="89"/>
  <c r="B659" i="89"/>
  <c r="D658" i="89"/>
  <c r="C658" i="89"/>
  <c r="B658" i="89"/>
  <c r="F657" i="89"/>
  <c r="D657" i="89"/>
  <c r="C657" i="89"/>
  <c r="B657" i="89"/>
  <c r="D656" i="89"/>
  <c r="C656" i="89"/>
  <c r="B656" i="89"/>
  <c r="D655" i="89"/>
  <c r="C655" i="89"/>
  <c r="B655" i="89"/>
  <c r="F654" i="89"/>
  <c r="D654" i="89"/>
  <c r="C654" i="89"/>
  <c r="B654" i="89"/>
  <c r="F653" i="89"/>
  <c r="D653" i="89"/>
  <c r="C653" i="89"/>
  <c r="B653" i="89"/>
  <c r="F652" i="89"/>
  <c r="D652" i="89"/>
  <c r="C652" i="89"/>
  <c r="B652" i="89"/>
  <c r="F651" i="89"/>
  <c r="D651" i="89"/>
  <c r="C651" i="89"/>
  <c r="B651" i="89"/>
  <c r="C650" i="89"/>
  <c r="C37" i="91" s="1"/>
  <c r="F649" i="89"/>
  <c r="D649" i="89"/>
  <c r="C649" i="89"/>
  <c r="B649" i="89"/>
  <c r="D648" i="89"/>
  <c r="C648" i="89"/>
  <c r="B648" i="89"/>
  <c r="D647" i="89"/>
  <c r="C647" i="89"/>
  <c r="B647" i="89"/>
  <c r="D646" i="89"/>
  <c r="C646" i="89"/>
  <c r="B646" i="89"/>
  <c r="F645" i="89"/>
  <c r="D645" i="89"/>
  <c r="C645" i="89"/>
  <c r="B645" i="89"/>
  <c r="F644" i="89"/>
  <c r="D644" i="89"/>
  <c r="C644" i="89"/>
  <c r="B644" i="89"/>
  <c r="D643" i="89"/>
  <c r="C643" i="89"/>
  <c r="B643" i="89"/>
  <c r="F642" i="89"/>
  <c r="D642" i="89"/>
  <c r="C642" i="89"/>
  <c r="B642" i="89"/>
  <c r="F641" i="89"/>
  <c r="D641" i="89"/>
  <c r="C641" i="89"/>
  <c r="B641" i="89"/>
  <c r="F640" i="89"/>
  <c r="D640" i="89"/>
  <c r="C640" i="89"/>
  <c r="B640" i="89"/>
  <c r="D639" i="89"/>
  <c r="C639" i="89"/>
  <c r="B639" i="89"/>
  <c r="F638" i="89"/>
  <c r="D638" i="89"/>
  <c r="C638" i="89"/>
  <c r="B638" i="89"/>
  <c r="D637" i="89"/>
  <c r="C637" i="89"/>
  <c r="B637" i="89"/>
  <c r="F636" i="89"/>
  <c r="D636" i="89"/>
  <c r="C636" i="89"/>
  <c r="B636" i="89"/>
  <c r="F635" i="89"/>
  <c r="D635" i="89"/>
  <c r="C635" i="89"/>
  <c r="B635" i="89"/>
  <c r="F634" i="89"/>
  <c r="D634" i="89"/>
  <c r="C634" i="89"/>
  <c r="B634" i="89"/>
  <c r="F633" i="89"/>
  <c r="D633" i="89"/>
  <c r="C633" i="89"/>
  <c r="B633" i="89"/>
  <c r="F632" i="89"/>
  <c r="D632" i="89"/>
  <c r="C632" i="89"/>
  <c r="B632" i="89"/>
  <c r="F631" i="89"/>
  <c r="D631" i="89"/>
  <c r="C631" i="89"/>
  <c r="B631" i="89"/>
  <c r="D630" i="89"/>
  <c r="C630" i="89"/>
  <c r="B630" i="89"/>
  <c r="D629" i="89"/>
  <c r="C629" i="89"/>
  <c r="B629" i="89"/>
  <c r="F628" i="89"/>
  <c r="D628" i="89"/>
  <c r="C628" i="89"/>
  <c r="B628" i="89"/>
  <c r="F627" i="89"/>
  <c r="D627" i="89"/>
  <c r="C627" i="89"/>
  <c r="B627" i="89"/>
  <c r="F626" i="89"/>
  <c r="D626" i="89"/>
  <c r="C626" i="89"/>
  <c r="B626" i="89"/>
  <c r="D625" i="89"/>
  <c r="C625" i="89"/>
  <c r="B625" i="89"/>
  <c r="D624" i="89"/>
  <c r="C624" i="89"/>
  <c r="B624" i="89"/>
  <c r="F623" i="89"/>
  <c r="D623" i="89"/>
  <c r="C623" i="89"/>
  <c r="B623" i="89"/>
  <c r="F622" i="89"/>
  <c r="D622" i="89"/>
  <c r="C622" i="89"/>
  <c r="B622" i="89"/>
  <c r="F621" i="89"/>
  <c r="D621" i="89"/>
  <c r="C621" i="89"/>
  <c r="B621" i="89"/>
  <c r="F620" i="89"/>
  <c r="D620" i="89"/>
  <c r="C620" i="89"/>
  <c r="B620" i="89"/>
  <c r="F619" i="89"/>
  <c r="D619" i="89"/>
  <c r="C619" i="89"/>
  <c r="B619" i="89"/>
  <c r="F618" i="89"/>
  <c r="D618" i="89"/>
  <c r="C618" i="89"/>
  <c r="B618" i="89"/>
  <c r="F617" i="89"/>
  <c r="D617" i="89"/>
  <c r="C617" i="89"/>
  <c r="B617" i="89"/>
  <c r="F616" i="89"/>
  <c r="D616" i="89"/>
  <c r="C616" i="89"/>
  <c r="B616" i="89"/>
  <c r="F615" i="89"/>
  <c r="D615" i="89"/>
  <c r="C615" i="89"/>
  <c r="B615" i="89"/>
  <c r="F614" i="89"/>
  <c r="D614" i="89"/>
  <c r="C614" i="89"/>
  <c r="B614" i="89"/>
  <c r="F613" i="89"/>
  <c r="D613" i="89"/>
  <c r="C613" i="89"/>
  <c r="B613" i="89"/>
  <c r="D612" i="89"/>
  <c r="C612" i="89"/>
  <c r="B612" i="89"/>
  <c r="F611" i="89"/>
  <c r="D611" i="89"/>
  <c r="C611" i="89"/>
  <c r="B611" i="89"/>
  <c r="F610" i="89"/>
  <c r="D610" i="89"/>
  <c r="C610" i="89"/>
  <c r="B610" i="89"/>
  <c r="F609" i="89"/>
  <c r="D609" i="89"/>
  <c r="C609" i="89"/>
  <c r="B609" i="89"/>
  <c r="F608" i="89"/>
  <c r="D608" i="89"/>
  <c r="C608" i="89"/>
  <c r="B608" i="89"/>
  <c r="F607" i="89"/>
  <c r="D607" i="89"/>
  <c r="C607" i="89"/>
  <c r="B607" i="89"/>
  <c r="F606" i="89"/>
  <c r="D606" i="89"/>
  <c r="C606" i="89"/>
  <c r="B606" i="89"/>
  <c r="C605" i="89"/>
  <c r="C36" i="91" s="1"/>
  <c r="C13" i="23"/>
  <c r="F602" i="89"/>
  <c r="E602" i="89"/>
  <c r="D602" i="89"/>
  <c r="C602" i="89"/>
  <c r="B602" i="89"/>
  <c r="F601" i="89"/>
  <c r="E601" i="89"/>
  <c r="D601" i="89"/>
  <c r="C601" i="89"/>
  <c r="B601" i="89"/>
  <c r="F600" i="89"/>
  <c r="E600" i="89"/>
  <c r="D600" i="89"/>
  <c r="C600" i="89"/>
  <c r="B600" i="89"/>
  <c r="F599" i="89"/>
  <c r="E599" i="89"/>
  <c r="D599" i="89"/>
  <c r="C599" i="89"/>
  <c r="B599" i="89"/>
  <c r="F598" i="89"/>
  <c r="E598" i="89"/>
  <c r="D598" i="89"/>
  <c r="C598" i="89"/>
  <c r="B598" i="89"/>
  <c r="F597" i="89"/>
  <c r="E597" i="89"/>
  <c r="D597" i="89"/>
  <c r="C597" i="89"/>
  <c r="B597" i="89"/>
  <c r="F596" i="89"/>
  <c r="E596" i="89"/>
  <c r="D596" i="89"/>
  <c r="C596" i="89"/>
  <c r="B596" i="89"/>
  <c r="F595" i="89"/>
  <c r="E595" i="89"/>
  <c r="D595" i="89"/>
  <c r="C595" i="89"/>
  <c r="B595" i="89"/>
  <c r="F594" i="89"/>
  <c r="E594" i="89"/>
  <c r="D594" i="89"/>
  <c r="C594" i="89"/>
  <c r="B594" i="89"/>
  <c r="F593" i="89"/>
  <c r="E593" i="89"/>
  <c r="D593" i="89"/>
  <c r="C593" i="89"/>
  <c r="B593" i="89"/>
  <c r="E592" i="89"/>
  <c r="D592" i="89"/>
  <c r="C592" i="89"/>
  <c r="B592" i="89"/>
  <c r="F591" i="89"/>
  <c r="E591" i="89"/>
  <c r="D591" i="89"/>
  <c r="C591" i="89"/>
  <c r="B591" i="89"/>
  <c r="F590" i="89"/>
  <c r="E590" i="89"/>
  <c r="D590" i="89"/>
  <c r="C590" i="89"/>
  <c r="B590" i="89"/>
  <c r="F589" i="89"/>
  <c r="E589" i="89"/>
  <c r="D589" i="89"/>
  <c r="C589" i="89"/>
  <c r="B589" i="89"/>
  <c r="E588" i="89"/>
  <c r="D588" i="89"/>
  <c r="C588" i="89"/>
  <c r="B588" i="89"/>
  <c r="F587" i="89"/>
  <c r="E587" i="89"/>
  <c r="D587" i="89"/>
  <c r="C587" i="89"/>
  <c r="B587" i="89"/>
  <c r="F586" i="89"/>
  <c r="E586" i="89"/>
  <c r="D586" i="89"/>
  <c r="C586" i="89"/>
  <c r="B586" i="89"/>
  <c r="F585" i="89"/>
  <c r="E585" i="89"/>
  <c r="D585" i="89"/>
  <c r="C585" i="89"/>
  <c r="B585" i="89"/>
  <c r="E584" i="89"/>
  <c r="D584" i="89"/>
  <c r="C584" i="89"/>
  <c r="B584" i="89"/>
  <c r="F583" i="89"/>
  <c r="E583" i="89"/>
  <c r="D583" i="89"/>
  <c r="C583" i="89"/>
  <c r="B583" i="89"/>
  <c r="E582" i="89"/>
  <c r="D582" i="89"/>
  <c r="C582" i="89"/>
  <c r="B582" i="89"/>
  <c r="E581" i="89"/>
  <c r="D581" i="89"/>
  <c r="C581" i="89"/>
  <c r="B581" i="89"/>
  <c r="F580" i="89"/>
  <c r="E580" i="89"/>
  <c r="D580" i="89"/>
  <c r="C580" i="89"/>
  <c r="B580" i="89"/>
  <c r="F579" i="89"/>
  <c r="E579" i="89"/>
  <c r="D579" i="89"/>
  <c r="C579" i="89"/>
  <c r="B579" i="89"/>
  <c r="F578" i="89"/>
  <c r="E578" i="89"/>
  <c r="D578" i="89"/>
  <c r="C578" i="89"/>
  <c r="B578" i="89"/>
  <c r="F577" i="89"/>
  <c r="E577" i="89"/>
  <c r="D577" i="89"/>
  <c r="C577" i="89"/>
  <c r="B577" i="89"/>
  <c r="F576" i="89"/>
  <c r="E576" i="89"/>
  <c r="D576" i="89"/>
  <c r="C576" i="89"/>
  <c r="B576" i="89"/>
  <c r="F575" i="89"/>
  <c r="E575" i="89"/>
  <c r="D575" i="89"/>
  <c r="C575" i="89"/>
  <c r="B575" i="89"/>
  <c r="F574" i="89"/>
  <c r="E574" i="89"/>
  <c r="D574" i="89"/>
  <c r="C574" i="89"/>
  <c r="B574" i="89"/>
  <c r="F573" i="89"/>
  <c r="E573" i="89"/>
  <c r="D573" i="89"/>
  <c r="C573" i="89"/>
  <c r="B573" i="89"/>
  <c r="F572" i="89"/>
  <c r="E572" i="89"/>
  <c r="D572" i="89"/>
  <c r="C572" i="89"/>
  <c r="B572" i="89"/>
  <c r="F571" i="89"/>
  <c r="E571" i="89"/>
  <c r="D571" i="89"/>
  <c r="C571" i="89"/>
  <c r="B571" i="89"/>
  <c r="F570" i="89"/>
  <c r="E570" i="89"/>
  <c r="D570" i="89"/>
  <c r="C570" i="89"/>
  <c r="B570" i="89"/>
  <c r="F569" i="89"/>
  <c r="E569" i="89"/>
  <c r="D569" i="89"/>
  <c r="C569" i="89"/>
  <c r="B569" i="89"/>
  <c r="F568" i="89"/>
  <c r="E568" i="89"/>
  <c r="D568" i="89"/>
  <c r="C568" i="89"/>
  <c r="B568" i="89"/>
  <c r="F567" i="89"/>
  <c r="E567" i="89"/>
  <c r="D567" i="89"/>
  <c r="C567" i="89"/>
  <c r="B567" i="89"/>
  <c r="F566" i="89"/>
  <c r="E566" i="89"/>
  <c r="D566" i="89"/>
  <c r="C566" i="89"/>
  <c r="B566" i="89"/>
  <c r="F565" i="89"/>
  <c r="E565" i="89"/>
  <c r="D565" i="89"/>
  <c r="C565" i="89"/>
  <c r="B565" i="89"/>
  <c r="F564" i="89"/>
  <c r="E564" i="89"/>
  <c r="D564" i="89"/>
  <c r="C564" i="89"/>
  <c r="B564" i="89"/>
  <c r="F563" i="89"/>
  <c r="E563" i="89"/>
  <c r="D563" i="89"/>
  <c r="C563" i="89"/>
  <c r="B563" i="89"/>
  <c r="F562" i="89"/>
  <c r="E562" i="89"/>
  <c r="D562" i="89"/>
  <c r="C562" i="89"/>
  <c r="B562" i="89"/>
  <c r="F561" i="89"/>
  <c r="E561" i="89"/>
  <c r="D561" i="89"/>
  <c r="C561" i="89"/>
  <c r="B561" i="89"/>
  <c r="F560" i="89"/>
  <c r="E560" i="89"/>
  <c r="D560" i="89"/>
  <c r="C560" i="89"/>
  <c r="B560" i="89"/>
  <c r="F559" i="89"/>
  <c r="E559" i="89"/>
  <c r="D559" i="89"/>
  <c r="C559" i="89"/>
  <c r="B559" i="89"/>
  <c r="F558" i="89"/>
  <c r="E558" i="89"/>
  <c r="D558" i="89"/>
  <c r="C558" i="89"/>
  <c r="B558" i="89"/>
  <c r="F557" i="89"/>
  <c r="E557" i="89"/>
  <c r="D557" i="89"/>
  <c r="C557" i="89"/>
  <c r="B557" i="89"/>
  <c r="F556" i="89"/>
  <c r="E556" i="89"/>
  <c r="D556" i="89"/>
  <c r="C556" i="89"/>
  <c r="B556" i="89"/>
  <c r="F555" i="89"/>
  <c r="E555" i="89"/>
  <c r="D555" i="89"/>
  <c r="C555" i="89"/>
  <c r="B555" i="89"/>
  <c r="F554" i="89"/>
  <c r="E554" i="89"/>
  <c r="D554" i="89"/>
  <c r="C554" i="89"/>
  <c r="B554" i="89"/>
  <c r="E553" i="89"/>
  <c r="D553" i="89"/>
  <c r="C553" i="89"/>
  <c r="B553" i="89"/>
  <c r="F552" i="89"/>
  <c r="E552" i="89"/>
  <c r="D552" i="89"/>
  <c r="C552" i="89"/>
  <c r="B552" i="89"/>
  <c r="F551" i="89"/>
  <c r="E551" i="89"/>
  <c r="D551" i="89"/>
  <c r="C551" i="89"/>
  <c r="B551" i="89"/>
  <c r="E550" i="89"/>
  <c r="D550" i="89"/>
  <c r="C550" i="89"/>
  <c r="B550" i="89"/>
  <c r="F549" i="89"/>
  <c r="E549" i="89"/>
  <c r="D549" i="89"/>
  <c r="C549" i="89"/>
  <c r="B549" i="89"/>
  <c r="F548" i="89"/>
  <c r="E548" i="89"/>
  <c r="D548" i="89"/>
  <c r="C548" i="89"/>
  <c r="B548" i="89"/>
  <c r="C547" i="89"/>
  <c r="C34" i="91" s="1"/>
  <c r="F546" i="89"/>
  <c r="E546" i="89"/>
  <c r="D546" i="89"/>
  <c r="C546" i="89"/>
  <c r="B546" i="89"/>
  <c r="F545" i="89"/>
  <c r="E545" i="89"/>
  <c r="D545" i="89"/>
  <c r="C545" i="89"/>
  <c r="B545" i="89"/>
  <c r="F544" i="89"/>
  <c r="E544" i="89"/>
  <c r="D544" i="89"/>
  <c r="C544" i="89"/>
  <c r="B544" i="89"/>
  <c r="F543" i="89"/>
  <c r="E543" i="89"/>
  <c r="D543" i="89"/>
  <c r="C543" i="89"/>
  <c r="B543" i="89"/>
  <c r="F542" i="89"/>
  <c r="E542" i="89"/>
  <c r="D542" i="89"/>
  <c r="C542" i="89"/>
  <c r="B542" i="89"/>
  <c r="F541" i="89"/>
  <c r="E541" i="89"/>
  <c r="D541" i="89"/>
  <c r="C541" i="89"/>
  <c r="B541" i="89"/>
  <c r="F540" i="89"/>
  <c r="E540" i="89"/>
  <c r="D540" i="89"/>
  <c r="C540" i="89"/>
  <c r="B540" i="89"/>
  <c r="F539" i="89"/>
  <c r="E539" i="89"/>
  <c r="D539" i="89"/>
  <c r="C539" i="89"/>
  <c r="B539" i="89"/>
  <c r="F538" i="89"/>
  <c r="E538" i="89"/>
  <c r="D538" i="89"/>
  <c r="C538" i="89"/>
  <c r="B538" i="89"/>
  <c r="F537" i="89"/>
  <c r="E537" i="89"/>
  <c r="D537" i="89"/>
  <c r="C537" i="89"/>
  <c r="B537" i="89"/>
  <c r="F536" i="89"/>
  <c r="E536" i="89"/>
  <c r="D536" i="89"/>
  <c r="C536" i="89"/>
  <c r="B536" i="89"/>
  <c r="F535" i="89"/>
  <c r="E535" i="89"/>
  <c r="D535" i="89"/>
  <c r="C535" i="89"/>
  <c r="B535" i="89"/>
  <c r="F534" i="89"/>
  <c r="E534" i="89"/>
  <c r="D534" i="89"/>
  <c r="C534" i="89"/>
  <c r="B534" i="89"/>
  <c r="F533" i="89"/>
  <c r="E533" i="89"/>
  <c r="D533" i="89"/>
  <c r="C533" i="89"/>
  <c r="B533" i="89"/>
  <c r="F532" i="89"/>
  <c r="E532" i="89"/>
  <c r="D532" i="89"/>
  <c r="C532" i="89"/>
  <c r="B532" i="89"/>
  <c r="F531" i="89"/>
  <c r="E531" i="89"/>
  <c r="D531" i="89"/>
  <c r="C531" i="89"/>
  <c r="B531" i="89"/>
  <c r="F530" i="89"/>
  <c r="E530" i="89"/>
  <c r="D530" i="89"/>
  <c r="C530" i="89"/>
  <c r="B530" i="89"/>
  <c r="F529" i="89"/>
  <c r="E529" i="89"/>
  <c r="D529" i="89"/>
  <c r="C529" i="89"/>
  <c r="B529" i="89"/>
  <c r="F528" i="89"/>
  <c r="E528" i="89"/>
  <c r="D528" i="89"/>
  <c r="C528" i="89"/>
  <c r="B528" i="89"/>
  <c r="F527" i="89"/>
  <c r="E527" i="89"/>
  <c r="D527" i="89"/>
  <c r="C527" i="89"/>
  <c r="B527" i="89"/>
  <c r="F526" i="89"/>
  <c r="E526" i="89"/>
  <c r="D526" i="89"/>
  <c r="C526" i="89"/>
  <c r="B526" i="89"/>
  <c r="F525" i="89"/>
  <c r="E525" i="89"/>
  <c r="D525" i="89"/>
  <c r="C525" i="89"/>
  <c r="B525" i="89"/>
  <c r="F524" i="89"/>
  <c r="E524" i="89"/>
  <c r="D524" i="89"/>
  <c r="C524" i="89"/>
  <c r="B524" i="89"/>
  <c r="F523" i="89"/>
  <c r="E523" i="89"/>
  <c r="D523" i="89"/>
  <c r="C523" i="89"/>
  <c r="B523" i="89"/>
  <c r="F522" i="89"/>
  <c r="E522" i="89"/>
  <c r="D522" i="89"/>
  <c r="C522" i="89"/>
  <c r="B522" i="89"/>
  <c r="F521" i="89"/>
  <c r="E521" i="89"/>
  <c r="D521" i="89"/>
  <c r="C521" i="89"/>
  <c r="B521" i="89"/>
  <c r="F520" i="89"/>
  <c r="E520" i="89"/>
  <c r="D520" i="89"/>
  <c r="C520" i="89"/>
  <c r="B520" i="89"/>
  <c r="F519" i="89"/>
  <c r="E519" i="89"/>
  <c r="D519" i="89"/>
  <c r="C519" i="89"/>
  <c r="B519" i="89"/>
  <c r="F518" i="89"/>
  <c r="E518" i="89"/>
  <c r="D518" i="89"/>
  <c r="C518" i="89"/>
  <c r="B518" i="89"/>
  <c r="F517" i="89"/>
  <c r="E517" i="89"/>
  <c r="D517" i="89"/>
  <c r="C517" i="89"/>
  <c r="B517" i="89"/>
  <c r="F516" i="89"/>
  <c r="E516" i="89"/>
  <c r="D516" i="89"/>
  <c r="C516" i="89"/>
  <c r="B516" i="89"/>
  <c r="F515" i="89"/>
  <c r="E515" i="89"/>
  <c r="D515" i="89"/>
  <c r="C515" i="89"/>
  <c r="B515" i="89"/>
  <c r="F514" i="89"/>
  <c r="E514" i="89"/>
  <c r="D514" i="89"/>
  <c r="C514" i="89"/>
  <c r="B514" i="89"/>
  <c r="F513" i="89"/>
  <c r="E513" i="89"/>
  <c r="D513" i="89"/>
  <c r="C513" i="89"/>
  <c r="B513" i="89"/>
  <c r="F512" i="89"/>
  <c r="E512" i="89"/>
  <c r="D512" i="89"/>
  <c r="C512" i="89"/>
  <c r="B512" i="89"/>
  <c r="F511" i="89"/>
  <c r="E511" i="89"/>
  <c r="D511" i="89"/>
  <c r="C511" i="89"/>
  <c r="B511" i="89"/>
  <c r="F510" i="89"/>
  <c r="E510" i="89"/>
  <c r="D510" i="89"/>
  <c r="C510" i="89"/>
  <c r="B510" i="89"/>
  <c r="F509" i="89"/>
  <c r="E509" i="89"/>
  <c r="D509" i="89"/>
  <c r="C509" i="89"/>
  <c r="B509" i="89"/>
  <c r="F508" i="89"/>
  <c r="E508" i="89"/>
  <c r="D508" i="89"/>
  <c r="C508" i="89"/>
  <c r="B508" i="89"/>
  <c r="F507" i="89"/>
  <c r="E507" i="89"/>
  <c r="D507" i="89"/>
  <c r="C507" i="89"/>
  <c r="B507" i="89"/>
  <c r="F506" i="89"/>
  <c r="E506" i="89"/>
  <c r="D506" i="89"/>
  <c r="C506" i="89"/>
  <c r="B506" i="89"/>
  <c r="F505" i="89"/>
  <c r="E505" i="89"/>
  <c r="D505" i="89"/>
  <c r="C505" i="89"/>
  <c r="B505" i="89"/>
  <c r="F504" i="89"/>
  <c r="E504" i="89"/>
  <c r="D504" i="89"/>
  <c r="C504" i="89"/>
  <c r="B504" i="89"/>
  <c r="F503" i="89"/>
  <c r="E503" i="89"/>
  <c r="D503" i="89"/>
  <c r="C503" i="89"/>
  <c r="B503" i="89"/>
  <c r="F502" i="89"/>
  <c r="E502" i="89"/>
  <c r="D502" i="89"/>
  <c r="C502" i="89"/>
  <c r="B502" i="89"/>
  <c r="F501" i="89"/>
  <c r="E501" i="89"/>
  <c r="D501" i="89"/>
  <c r="C501" i="89"/>
  <c r="B501" i="89"/>
  <c r="F500" i="89"/>
  <c r="E500" i="89"/>
  <c r="D500" i="89"/>
  <c r="C500" i="89"/>
  <c r="B500" i="89"/>
  <c r="F499" i="89"/>
  <c r="E499" i="89"/>
  <c r="D499" i="89"/>
  <c r="C499" i="89"/>
  <c r="B499" i="89"/>
  <c r="F498" i="89"/>
  <c r="E498" i="89"/>
  <c r="D498" i="89"/>
  <c r="C498" i="89"/>
  <c r="B498" i="89"/>
  <c r="F497" i="89"/>
  <c r="E497" i="89"/>
  <c r="D497" i="89"/>
  <c r="C497" i="89"/>
  <c r="B497" i="89"/>
  <c r="F496" i="89"/>
  <c r="E496" i="89"/>
  <c r="D496" i="89"/>
  <c r="C496" i="89"/>
  <c r="B496" i="89"/>
  <c r="F495" i="89"/>
  <c r="E495" i="89"/>
  <c r="D495" i="89"/>
  <c r="C495" i="89"/>
  <c r="B495" i="89"/>
  <c r="F494" i="89"/>
  <c r="E494" i="89"/>
  <c r="D494" i="89"/>
  <c r="C494" i="89"/>
  <c r="B494" i="89"/>
  <c r="F493" i="89"/>
  <c r="E493" i="89"/>
  <c r="D493" i="89"/>
  <c r="C493" i="89"/>
  <c r="B493" i="89"/>
  <c r="F492" i="89"/>
  <c r="E492" i="89"/>
  <c r="D492" i="89"/>
  <c r="C492" i="89"/>
  <c r="B492" i="89"/>
  <c r="F491" i="89"/>
  <c r="E491" i="89"/>
  <c r="D491" i="89"/>
  <c r="C491" i="89"/>
  <c r="B491" i="89"/>
  <c r="F490" i="89"/>
  <c r="E490" i="89"/>
  <c r="D490" i="89"/>
  <c r="C490" i="89"/>
  <c r="B490" i="89"/>
  <c r="F489" i="89"/>
  <c r="E489" i="89"/>
  <c r="D489" i="89"/>
  <c r="C489" i="89"/>
  <c r="B489" i="89"/>
  <c r="F488" i="89"/>
  <c r="E488" i="89"/>
  <c r="D488" i="89"/>
  <c r="C488" i="89"/>
  <c r="B488" i="89"/>
  <c r="F487" i="89"/>
  <c r="E487" i="89"/>
  <c r="D487" i="89"/>
  <c r="C487" i="89"/>
  <c r="B487" i="89"/>
  <c r="F486" i="89"/>
  <c r="E486" i="89"/>
  <c r="D486" i="89"/>
  <c r="C486" i="89"/>
  <c r="B486" i="89"/>
  <c r="F485" i="89"/>
  <c r="E485" i="89"/>
  <c r="D485" i="89"/>
  <c r="C485" i="89"/>
  <c r="B485" i="89"/>
  <c r="F484" i="89"/>
  <c r="E484" i="89"/>
  <c r="D484" i="89"/>
  <c r="C484" i="89"/>
  <c r="B484" i="89"/>
  <c r="F483" i="89"/>
  <c r="E483" i="89"/>
  <c r="D483" i="89"/>
  <c r="C483" i="89"/>
  <c r="B483" i="89"/>
  <c r="F482" i="89"/>
  <c r="E482" i="89"/>
  <c r="D482" i="89"/>
  <c r="C482" i="89"/>
  <c r="B482" i="89"/>
  <c r="F481" i="89"/>
  <c r="E481" i="89"/>
  <c r="D481" i="89"/>
  <c r="C481" i="89"/>
  <c r="B481" i="89"/>
  <c r="F480" i="89"/>
  <c r="E480" i="89"/>
  <c r="D480" i="89"/>
  <c r="C480" i="89"/>
  <c r="B480" i="89"/>
  <c r="F479" i="89"/>
  <c r="E479" i="89"/>
  <c r="D479" i="89"/>
  <c r="C479" i="89"/>
  <c r="B479" i="89"/>
  <c r="F478" i="89"/>
  <c r="E478" i="89"/>
  <c r="D478" i="89"/>
  <c r="C478" i="89"/>
  <c r="B478" i="89"/>
  <c r="F477" i="89"/>
  <c r="E477" i="89"/>
  <c r="D477" i="89"/>
  <c r="C477" i="89"/>
  <c r="B477" i="89"/>
  <c r="F476" i="89"/>
  <c r="E476" i="89"/>
  <c r="D476" i="89"/>
  <c r="C476" i="89"/>
  <c r="B476" i="89"/>
  <c r="F475" i="89"/>
  <c r="E475" i="89"/>
  <c r="D475" i="89"/>
  <c r="C475" i="89"/>
  <c r="B475" i="89"/>
  <c r="F474" i="89"/>
  <c r="E474" i="89"/>
  <c r="D474" i="89"/>
  <c r="C474" i="89"/>
  <c r="B474" i="89"/>
  <c r="F473" i="89"/>
  <c r="E473" i="89"/>
  <c r="D473" i="89"/>
  <c r="C473" i="89"/>
  <c r="B473" i="89"/>
  <c r="F472" i="89"/>
  <c r="E472" i="89"/>
  <c r="D472" i="89"/>
  <c r="C472" i="89"/>
  <c r="B472" i="89"/>
  <c r="F471" i="89"/>
  <c r="E471" i="89"/>
  <c r="D471" i="89"/>
  <c r="C471" i="89"/>
  <c r="B471" i="89"/>
  <c r="F470" i="89"/>
  <c r="E470" i="89"/>
  <c r="D470" i="89"/>
  <c r="C470" i="89"/>
  <c r="B470" i="89"/>
  <c r="F469" i="89"/>
  <c r="E469" i="89"/>
  <c r="D469" i="89"/>
  <c r="C469" i="89"/>
  <c r="B469" i="89"/>
  <c r="F468" i="89"/>
  <c r="E468" i="89"/>
  <c r="D468" i="89"/>
  <c r="C468" i="89"/>
  <c r="B468" i="89"/>
  <c r="F467" i="89"/>
  <c r="E467" i="89"/>
  <c r="D467" i="89"/>
  <c r="C467" i="89"/>
  <c r="B467" i="89"/>
  <c r="F466" i="89"/>
  <c r="E466" i="89"/>
  <c r="D466" i="89"/>
  <c r="C466" i="89"/>
  <c r="B466" i="89"/>
  <c r="F465" i="89"/>
  <c r="E465" i="89"/>
  <c r="D465" i="89"/>
  <c r="C465" i="89"/>
  <c r="B465" i="89"/>
  <c r="F464" i="89"/>
  <c r="E464" i="89"/>
  <c r="D464" i="89"/>
  <c r="C464" i="89"/>
  <c r="B464" i="89"/>
  <c r="F463" i="89"/>
  <c r="E463" i="89"/>
  <c r="D463" i="89"/>
  <c r="C463" i="89"/>
  <c r="B463" i="89"/>
  <c r="F462" i="89"/>
  <c r="E462" i="89"/>
  <c r="D462" i="89"/>
  <c r="C462" i="89"/>
  <c r="B462" i="89"/>
  <c r="F461" i="89"/>
  <c r="E461" i="89"/>
  <c r="D461" i="89"/>
  <c r="C461" i="89"/>
  <c r="B461" i="89"/>
  <c r="F460" i="89"/>
  <c r="E460" i="89"/>
  <c r="D460" i="89"/>
  <c r="C460" i="89"/>
  <c r="B460" i="89"/>
  <c r="F459" i="89"/>
  <c r="E459" i="89"/>
  <c r="D459" i="89"/>
  <c r="C459" i="89"/>
  <c r="B459" i="89"/>
  <c r="F458" i="89"/>
  <c r="E458" i="89"/>
  <c r="D458" i="89"/>
  <c r="C458" i="89"/>
  <c r="B458" i="89"/>
  <c r="F457" i="89"/>
  <c r="E457" i="89"/>
  <c r="D457" i="89"/>
  <c r="C457" i="89"/>
  <c r="B457" i="89"/>
  <c r="F456" i="89"/>
  <c r="E456" i="89"/>
  <c r="D456" i="89"/>
  <c r="C456" i="89"/>
  <c r="B456" i="89"/>
  <c r="F455" i="89"/>
  <c r="E455" i="89"/>
  <c r="D455" i="89"/>
  <c r="C455" i="89"/>
  <c r="B455" i="89"/>
  <c r="F454" i="89"/>
  <c r="E454" i="89"/>
  <c r="D454" i="89"/>
  <c r="C454" i="89"/>
  <c r="B454" i="89"/>
  <c r="F453" i="89"/>
  <c r="E453" i="89"/>
  <c r="D453" i="89"/>
  <c r="C453" i="89"/>
  <c r="B453" i="89"/>
  <c r="F452" i="89"/>
  <c r="E452" i="89"/>
  <c r="D452" i="89"/>
  <c r="C452" i="89"/>
  <c r="B452" i="89"/>
  <c r="F451" i="89"/>
  <c r="E451" i="89"/>
  <c r="D451" i="89"/>
  <c r="C451" i="89"/>
  <c r="B451" i="89"/>
  <c r="F450" i="89"/>
  <c r="E450" i="89"/>
  <c r="D450" i="89"/>
  <c r="C450" i="89"/>
  <c r="B450" i="89"/>
  <c r="F449" i="89"/>
  <c r="E449" i="89"/>
  <c r="D449" i="89"/>
  <c r="C449" i="89"/>
  <c r="B449" i="89"/>
  <c r="F448" i="89"/>
  <c r="E448" i="89"/>
  <c r="D448" i="89"/>
  <c r="C448" i="89"/>
  <c r="B448" i="89"/>
  <c r="F447" i="89"/>
  <c r="E447" i="89"/>
  <c r="D447" i="89"/>
  <c r="C447" i="89"/>
  <c r="B447" i="89"/>
  <c r="F446" i="89"/>
  <c r="E446" i="89"/>
  <c r="D446" i="89"/>
  <c r="C446" i="89"/>
  <c r="B446" i="89"/>
  <c r="F445" i="89"/>
  <c r="E445" i="89"/>
  <c r="D445" i="89"/>
  <c r="C445" i="89"/>
  <c r="B445" i="89"/>
  <c r="F444" i="89"/>
  <c r="E444" i="89"/>
  <c r="D444" i="89"/>
  <c r="C444" i="89"/>
  <c r="B444" i="89"/>
  <c r="F443" i="89"/>
  <c r="E443" i="89"/>
  <c r="D443" i="89"/>
  <c r="C443" i="89"/>
  <c r="B443" i="89"/>
  <c r="F442" i="89"/>
  <c r="E442" i="89"/>
  <c r="D442" i="89"/>
  <c r="C442" i="89"/>
  <c r="B442" i="89"/>
  <c r="F441" i="89"/>
  <c r="E441" i="89"/>
  <c r="D441" i="89"/>
  <c r="C441" i="89"/>
  <c r="B441" i="89"/>
  <c r="F440" i="89"/>
  <c r="E440" i="89"/>
  <c r="D440" i="89"/>
  <c r="C440" i="89"/>
  <c r="B440" i="89"/>
  <c r="F439" i="89"/>
  <c r="E439" i="89"/>
  <c r="D439" i="89"/>
  <c r="C439" i="89"/>
  <c r="B439" i="89"/>
  <c r="F438" i="89"/>
  <c r="E438" i="89"/>
  <c r="D438" i="89"/>
  <c r="C438" i="89"/>
  <c r="B438" i="89"/>
  <c r="F437" i="89"/>
  <c r="E437" i="89"/>
  <c r="D437" i="89"/>
  <c r="C437" i="89"/>
  <c r="B437" i="89"/>
  <c r="C436" i="89"/>
  <c r="C33" i="91" s="1"/>
  <c r="F435" i="89"/>
  <c r="E435" i="89"/>
  <c r="D435" i="89"/>
  <c r="C435" i="89"/>
  <c r="B435" i="89"/>
  <c r="F434" i="89"/>
  <c r="E434" i="89"/>
  <c r="D434" i="89"/>
  <c r="C434" i="89"/>
  <c r="B434" i="89"/>
  <c r="F433" i="89"/>
  <c r="E433" i="89"/>
  <c r="D433" i="89"/>
  <c r="C433" i="89"/>
  <c r="B433" i="89"/>
  <c r="F432" i="89"/>
  <c r="E432" i="89"/>
  <c r="D432" i="89"/>
  <c r="C432" i="89"/>
  <c r="B432" i="89"/>
  <c r="F431" i="89"/>
  <c r="E431" i="89"/>
  <c r="D431" i="89"/>
  <c r="C431" i="89"/>
  <c r="B431" i="89"/>
  <c r="F430" i="89"/>
  <c r="E430" i="89"/>
  <c r="D430" i="89"/>
  <c r="C430" i="89"/>
  <c r="B430" i="89"/>
  <c r="F429" i="89"/>
  <c r="E429" i="89"/>
  <c r="D429" i="89"/>
  <c r="C429" i="89"/>
  <c r="B429" i="89"/>
  <c r="F428" i="89"/>
  <c r="E428" i="89"/>
  <c r="D428" i="89"/>
  <c r="C428" i="89"/>
  <c r="B428" i="89"/>
  <c r="F427" i="89"/>
  <c r="E427" i="89"/>
  <c r="D427" i="89"/>
  <c r="C427" i="89"/>
  <c r="B427" i="89"/>
  <c r="F426" i="89"/>
  <c r="E426" i="89"/>
  <c r="D426" i="89"/>
  <c r="C426" i="89"/>
  <c r="B426" i="89"/>
  <c r="F425" i="89"/>
  <c r="E425" i="89"/>
  <c r="D425" i="89"/>
  <c r="C425" i="89"/>
  <c r="B425" i="89"/>
  <c r="F424" i="89"/>
  <c r="E424" i="89"/>
  <c r="D424" i="89"/>
  <c r="C424" i="89"/>
  <c r="B424" i="89"/>
  <c r="F423" i="89"/>
  <c r="E423" i="89"/>
  <c r="D423" i="89"/>
  <c r="C423" i="89"/>
  <c r="B423" i="89"/>
  <c r="F422" i="89"/>
  <c r="E422" i="89"/>
  <c r="D422" i="89"/>
  <c r="C422" i="89"/>
  <c r="B422" i="89"/>
  <c r="F421" i="89"/>
  <c r="E421" i="89"/>
  <c r="D421" i="89"/>
  <c r="C421" i="89"/>
  <c r="B421" i="89"/>
  <c r="F420" i="89"/>
  <c r="E420" i="89"/>
  <c r="D420" i="89"/>
  <c r="C420" i="89"/>
  <c r="B420" i="89"/>
  <c r="F419" i="89"/>
  <c r="E419" i="89"/>
  <c r="D419" i="89"/>
  <c r="C419" i="89"/>
  <c r="B419" i="89"/>
  <c r="F418" i="89"/>
  <c r="E418" i="89"/>
  <c r="D418" i="89"/>
  <c r="C418" i="89"/>
  <c r="B418" i="89"/>
  <c r="F417" i="89"/>
  <c r="E417" i="89"/>
  <c r="D417" i="89"/>
  <c r="C417" i="89"/>
  <c r="B417" i="89"/>
  <c r="F416" i="89"/>
  <c r="E416" i="89"/>
  <c r="D416" i="89"/>
  <c r="C416" i="89"/>
  <c r="B416" i="89"/>
  <c r="F415" i="89"/>
  <c r="E415" i="89"/>
  <c r="D415" i="89"/>
  <c r="C415" i="89"/>
  <c r="B415" i="89"/>
  <c r="F414" i="89"/>
  <c r="E414" i="89"/>
  <c r="D414" i="89"/>
  <c r="C414" i="89"/>
  <c r="B414" i="89"/>
  <c r="F413" i="89"/>
  <c r="E413" i="89"/>
  <c r="D413" i="89"/>
  <c r="C413" i="89"/>
  <c r="B413" i="89"/>
  <c r="F412" i="89"/>
  <c r="E412" i="89"/>
  <c r="D412" i="89"/>
  <c r="C412" i="89"/>
  <c r="B412" i="89"/>
  <c r="F411" i="89"/>
  <c r="E411" i="89"/>
  <c r="D411" i="89"/>
  <c r="C411" i="89"/>
  <c r="B411" i="89"/>
  <c r="F410" i="89"/>
  <c r="E410" i="89"/>
  <c r="D410" i="89"/>
  <c r="C410" i="89"/>
  <c r="B410" i="89"/>
  <c r="F409" i="89"/>
  <c r="E409" i="89"/>
  <c r="D409" i="89"/>
  <c r="C409" i="89"/>
  <c r="B409" i="89"/>
  <c r="F408" i="89"/>
  <c r="E408" i="89"/>
  <c r="D408" i="89"/>
  <c r="C408" i="89"/>
  <c r="B408" i="89"/>
  <c r="F407" i="89"/>
  <c r="E407" i="89"/>
  <c r="D407" i="89"/>
  <c r="C407" i="89"/>
  <c r="B407" i="89"/>
  <c r="E406" i="89"/>
  <c r="D406" i="89"/>
  <c r="C406" i="89"/>
  <c r="B406" i="89"/>
  <c r="F405" i="89"/>
  <c r="E405" i="89"/>
  <c r="D405" i="89"/>
  <c r="C405" i="89"/>
  <c r="B405" i="89"/>
  <c r="F404" i="89"/>
  <c r="E404" i="89"/>
  <c r="D404" i="89"/>
  <c r="C404" i="89"/>
  <c r="B404" i="89"/>
  <c r="F403" i="89"/>
  <c r="E403" i="89"/>
  <c r="D403" i="89"/>
  <c r="C403" i="89"/>
  <c r="B403" i="89"/>
  <c r="F402" i="89"/>
  <c r="E402" i="89"/>
  <c r="D402" i="89"/>
  <c r="C402" i="89"/>
  <c r="B402" i="89"/>
  <c r="F401" i="89"/>
  <c r="E401" i="89"/>
  <c r="D401" i="89"/>
  <c r="C401" i="89"/>
  <c r="B401" i="89"/>
  <c r="F400" i="89"/>
  <c r="E400" i="89"/>
  <c r="D400" i="89"/>
  <c r="C400" i="89"/>
  <c r="B400" i="89"/>
  <c r="F399" i="89"/>
  <c r="E399" i="89"/>
  <c r="D399" i="89"/>
  <c r="C399" i="89"/>
  <c r="B399" i="89"/>
  <c r="F398" i="89"/>
  <c r="E398" i="89"/>
  <c r="D398" i="89"/>
  <c r="C398" i="89"/>
  <c r="B398" i="89"/>
  <c r="F397" i="89"/>
  <c r="E397" i="89"/>
  <c r="D397" i="89"/>
  <c r="C397" i="89"/>
  <c r="B397" i="89"/>
  <c r="F396" i="89"/>
  <c r="E396" i="89"/>
  <c r="D396" i="89"/>
  <c r="C396" i="89"/>
  <c r="B396" i="89"/>
  <c r="F395" i="89"/>
  <c r="E395" i="89"/>
  <c r="D395" i="89"/>
  <c r="C395" i="89"/>
  <c r="B395" i="89"/>
  <c r="F394" i="89"/>
  <c r="E394" i="89"/>
  <c r="D394" i="89"/>
  <c r="C394" i="89"/>
  <c r="B394" i="89"/>
  <c r="F393" i="89"/>
  <c r="E393" i="89"/>
  <c r="D393" i="89"/>
  <c r="C393" i="89"/>
  <c r="B393" i="89"/>
  <c r="F392" i="89"/>
  <c r="E392" i="89"/>
  <c r="D392" i="89"/>
  <c r="C392" i="89"/>
  <c r="B392" i="89"/>
  <c r="F391" i="89"/>
  <c r="E391" i="89"/>
  <c r="D391" i="89"/>
  <c r="C391" i="89"/>
  <c r="B391" i="89"/>
  <c r="F390" i="89"/>
  <c r="E390" i="89"/>
  <c r="D390" i="89"/>
  <c r="C390" i="89"/>
  <c r="B390" i="89"/>
  <c r="F389" i="89"/>
  <c r="E389" i="89"/>
  <c r="D389" i="89"/>
  <c r="C389" i="89"/>
  <c r="B389" i="89"/>
  <c r="F388" i="89"/>
  <c r="E388" i="89"/>
  <c r="D388" i="89"/>
  <c r="C388" i="89"/>
  <c r="B388" i="89"/>
  <c r="F387" i="89"/>
  <c r="E387" i="89"/>
  <c r="D387" i="89"/>
  <c r="C387" i="89"/>
  <c r="B387" i="89"/>
  <c r="F386" i="89"/>
  <c r="E386" i="89"/>
  <c r="D386" i="89"/>
  <c r="C386" i="89"/>
  <c r="B386" i="89"/>
  <c r="F385" i="89"/>
  <c r="E385" i="89"/>
  <c r="D385" i="89"/>
  <c r="C385" i="89"/>
  <c r="B385" i="89"/>
  <c r="F384" i="89"/>
  <c r="E384" i="89"/>
  <c r="D384" i="89"/>
  <c r="C384" i="89"/>
  <c r="B384" i="89"/>
  <c r="F383" i="89"/>
  <c r="E383" i="89"/>
  <c r="D383" i="89"/>
  <c r="C383" i="89"/>
  <c r="B383" i="89"/>
  <c r="F382" i="89"/>
  <c r="E382" i="89"/>
  <c r="D382" i="89"/>
  <c r="C382" i="89"/>
  <c r="B382" i="89"/>
  <c r="F381" i="89"/>
  <c r="E381" i="89"/>
  <c r="D381" i="89"/>
  <c r="C381" i="89"/>
  <c r="B381" i="89"/>
  <c r="F380" i="89"/>
  <c r="E380" i="89"/>
  <c r="D380" i="89"/>
  <c r="C380" i="89"/>
  <c r="B380" i="89"/>
  <c r="F379" i="89"/>
  <c r="E379" i="89"/>
  <c r="D379" i="89"/>
  <c r="C379" i="89"/>
  <c r="B379" i="89"/>
  <c r="F378" i="89"/>
  <c r="E378" i="89"/>
  <c r="D378" i="89"/>
  <c r="C378" i="89"/>
  <c r="B378" i="89"/>
  <c r="F377" i="89"/>
  <c r="E377" i="89"/>
  <c r="D377" i="89"/>
  <c r="C377" i="89"/>
  <c r="B377" i="89"/>
  <c r="F376" i="89"/>
  <c r="E376" i="89"/>
  <c r="D376" i="89"/>
  <c r="C376" i="89"/>
  <c r="B376" i="89"/>
  <c r="F375" i="89"/>
  <c r="E375" i="89"/>
  <c r="D375" i="89"/>
  <c r="C375" i="89"/>
  <c r="B375" i="89"/>
  <c r="F374" i="89"/>
  <c r="E374" i="89"/>
  <c r="D374" i="89"/>
  <c r="C374" i="89"/>
  <c r="B374" i="89"/>
  <c r="F373" i="89"/>
  <c r="E373" i="89"/>
  <c r="D373" i="89"/>
  <c r="C373" i="89"/>
  <c r="B373" i="89"/>
  <c r="F372" i="89"/>
  <c r="E372" i="89"/>
  <c r="D372" i="89"/>
  <c r="C372" i="89"/>
  <c r="B372" i="89"/>
  <c r="F371" i="89"/>
  <c r="E371" i="89"/>
  <c r="D371" i="89"/>
  <c r="C371" i="89"/>
  <c r="B371" i="89"/>
  <c r="F370" i="89"/>
  <c r="E370" i="89"/>
  <c r="D370" i="89"/>
  <c r="C370" i="89"/>
  <c r="B370" i="89"/>
  <c r="F369" i="89"/>
  <c r="E369" i="89"/>
  <c r="D369" i="89"/>
  <c r="C369" i="89"/>
  <c r="B369" i="89"/>
  <c r="F368" i="89"/>
  <c r="E368" i="89"/>
  <c r="D368" i="89"/>
  <c r="C368" i="89"/>
  <c r="B368" i="89"/>
  <c r="F367" i="89"/>
  <c r="E367" i="89"/>
  <c r="D367" i="89"/>
  <c r="C367" i="89"/>
  <c r="B367" i="89"/>
  <c r="F366" i="89"/>
  <c r="E366" i="89"/>
  <c r="D366" i="89"/>
  <c r="C366" i="89"/>
  <c r="B366" i="89"/>
  <c r="F365" i="89"/>
  <c r="E365" i="89"/>
  <c r="D365" i="89"/>
  <c r="C365" i="89"/>
  <c r="B365" i="89"/>
  <c r="F364" i="89"/>
  <c r="E364" i="89"/>
  <c r="D364" i="89"/>
  <c r="C364" i="89"/>
  <c r="B364" i="89"/>
  <c r="F363" i="89"/>
  <c r="E363" i="89"/>
  <c r="D363" i="89"/>
  <c r="C363" i="89"/>
  <c r="B363" i="89"/>
  <c r="E362" i="89"/>
  <c r="D362" i="89"/>
  <c r="C362" i="89"/>
  <c r="B362" i="89"/>
  <c r="E361" i="89"/>
  <c r="D361" i="89"/>
  <c r="B361" i="89"/>
  <c r="F360" i="89"/>
  <c r="E360" i="89"/>
  <c r="D360" i="89"/>
  <c r="C360" i="89"/>
  <c r="B360" i="89"/>
  <c r="F359" i="89"/>
  <c r="E359" i="89"/>
  <c r="D359" i="89"/>
  <c r="C359" i="89"/>
  <c r="B359" i="89"/>
  <c r="F358" i="89"/>
  <c r="E358" i="89"/>
  <c r="D358" i="89"/>
  <c r="C358" i="89"/>
  <c r="B358" i="89"/>
  <c r="F357" i="89"/>
  <c r="E357" i="89"/>
  <c r="D357" i="89"/>
  <c r="C357" i="89"/>
  <c r="B357" i="89"/>
  <c r="F356" i="89"/>
  <c r="E356" i="89"/>
  <c r="D356" i="89"/>
  <c r="C356" i="89"/>
  <c r="B356" i="89"/>
  <c r="F355" i="89"/>
  <c r="E355" i="89"/>
  <c r="D355" i="89"/>
  <c r="C355" i="89"/>
  <c r="B355" i="89"/>
  <c r="F354" i="89"/>
  <c r="E354" i="89"/>
  <c r="D354" i="89"/>
  <c r="C354" i="89"/>
  <c r="B354" i="89"/>
  <c r="C353" i="89"/>
  <c r="C32" i="91" s="1"/>
  <c r="A269" i="22"/>
  <c r="A211" i="22"/>
  <c r="A98" i="22"/>
  <c r="C13" i="22"/>
  <c r="C352" i="89" s="1"/>
  <c r="C31" i="91" s="1"/>
  <c r="E75" i="90"/>
  <c r="G75" i="90" s="1"/>
  <c r="D350" i="89"/>
  <c r="C350" i="89"/>
  <c r="B350" i="89"/>
  <c r="F348" i="89"/>
  <c r="E348" i="89"/>
  <c r="D348" i="89"/>
  <c r="C348" i="89"/>
  <c r="B348" i="89"/>
  <c r="F347" i="89"/>
  <c r="E347" i="89"/>
  <c r="D347" i="89"/>
  <c r="C347" i="89"/>
  <c r="B347" i="89"/>
  <c r="F346" i="89"/>
  <c r="E346" i="89"/>
  <c r="D346" i="89"/>
  <c r="C346" i="89"/>
  <c r="B346" i="89"/>
  <c r="F345" i="89"/>
  <c r="E345" i="89"/>
  <c r="D345" i="89"/>
  <c r="C345" i="89"/>
  <c r="B345" i="89"/>
  <c r="F344" i="89"/>
  <c r="E344" i="89"/>
  <c r="D344" i="89"/>
  <c r="C344" i="89"/>
  <c r="B344" i="89"/>
  <c r="F343" i="89"/>
  <c r="E343" i="89"/>
  <c r="D343" i="89"/>
  <c r="C343" i="89"/>
  <c r="B343" i="89"/>
  <c r="F342" i="89"/>
  <c r="E342" i="89"/>
  <c r="D342" i="89"/>
  <c r="C342" i="89"/>
  <c r="B342" i="89"/>
  <c r="F341" i="89"/>
  <c r="E341" i="89"/>
  <c r="D341" i="89"/>
  <c r="C341" i="89"/>
  <c r="B341" i="89"/>
  <c r="F340" i="89"/>
  <c r="E340" i="89"/>
  <c r="D340" i="89"/>
  <c r="C340" i="89"/>
  <c r="B340" i="89"/>
  <c r="F339" i="89"/>
  <c r="E339" i="89"/>
  <c r="D339" i="89"/>
  <c r="C339" i="89"/>
  <c r="B339" i="89"/>
  <c r="F338" i="89"/>
  <c r="E338" i="89"/>
  <c r="D338" i="89"/>
  <c r="C338" i="89"/>
  <c r="B338" i="89"/>
  <c r="F337" i="89"/>
  <c r="E337" i="89"/>
  <c r="D337" i="89"/>
  <c r="C337" i="89"/>
  <c r="B337" i="89"/>
  <c r="F336" i="89"/>
  <c r="E336" i="89"/>
  <c r="D336" i="89"/>
  <c r="C336" i="89"/>
  <c r="B336" i="89"/>
  <c r="F335" i="89"/>
  <c r="E335" i="89"/>
  <c r="D335" i="89"/>
  <c r="C335" i="89"/>
  <c r="B335" i="89"/>
  <c r="F334" i="89"/>
  <c r="E334" i="89"/>
  <c r="D334" i="89"/>
  <c r="C334" i="89"/>
  <c r="B334" i="89"/>
  <c r="F333" i="89"/>
  <c r="E333" i="89"/>
  <c r="D333" i="89"/>
  <c r="C333" i="89"/>
  <c r="B333" i="89"/>
  <c r="F332" i="89"/>
  <c r="E332" i="89"/>
  <c r="D332" i="89"/>
  <c r="C332" i="89"/>
  <c r="B332" i="89"/>
  <c r="F331" i="89"/>
  <c r="E331" i="89"/>
  <c r="D331" i="89"/>
  <c r="C331" i="89"/>
  <c r="B331" i="89"/>
  <c r="F330" i="89"/>
  <c r="E330" i="89"/>
  <c r="D330" i="89"/>
  <c r="C330" i="89"/>
  <c r="B330" i="89"/>
  <c r="F329" i="89"/>
  <c r="E329" i="89"/>
  <c r="D329" i="89"/>
  <c r="C329" i="89"/>
  <c r="B329" i="89"/>
  <c r="F328" i="89"/>
  <c r="E328" i="89"/>
  <c r="D328" i="89"/>
  <c r="C328" i="89"/>
  <c r="B328" i="89"/>
  <c r="F327" i="89"/>
  <c r="E327" i="89"/>
  <c r="D327" i="89"/>
  <c r="C327" i="89"/>
  <c r="B327" i="89"/>
  <c r="F326" i="89"/>
  <c r="E326" i="89"/>
  <c r="D326" i="89"/>
  <c r="C326" i="89"/>
  <c r="B326" i="89"/>
  <c r="F325" i="89"/>
  <c r="E325" i="89"/>
  <c r="D325" i="89"/>
  <c r="C325" i="89"/>
  <c r="B325" i="89"/>
  <c r="F324" i="89"/>
  <c r="E324" i="89"/>
  <c r="D324" i="89"/>
  <c r="C324" i="89"/>
  <c r="B324" i="89"/>
  <c r="F323" i="89"/>
  <c r="E323" i="89"/>
  <c r="D323" i="89"/>
  <c r="C323" i="89"/>
  <c r="B323" i="89"/>
  <c r="E322" i="89"/>
  <c r="D322" i="89"/>
  <c r="C322" i="89"/>
  <c r="B322" i="89"/>
  <c r="F321" i="89"/>
  <c r="E321" i="89"/>
  <c r="D321" i="89"/>
  <c r="C321" i="89"/>
  <c r="B321" i="89"/>
  <c r="F320" i="89"/>
  <c r="E320" i="89"/>
  <c r="D320" i="89"/>
  <c r="C320" i="89"/>
  <c r="B320" i="89"/>
  <c r="F319" i="89"/>
  <c r="E319" i="89"/>
  <c r="D319" i="89"/>
  <c r="C319" i="89"/>
  <c r="B319" i="89"/>
  <c r="F318" i="89"/>
  <c r="E318" i="89"/>
  <c r="D318" i="89"/>
  <c r="C318" i="89"/>
  <c r="B318" i="89"/>
  <c r="F317" i="89"/>
  <c r="E317" i="89"/>
  <c r="D317" i="89"/>
  <c r="C317" i="89"/>
  <c r="B317" i="89"/>
  <c r="F316" i="89"/>
  <c r="E316" i="89"/>
  <c r="D316" i="89"/>
  <c r="C316" i="89"/>
  <c r="B316" i="89"/>
  <c r="F315" i="89"/>
  <c r="E315" i="89"/>
  <c r="D315" i="89"/>
  <c r="C315" i="89"/>
  <c r="B315" i="89"/>
  <c r="F314" i="89"/>
  <c r="E314" i="89"/>
  <c r="D314" i="89"/>
  <c r="C314" i="89"/>
  <c r="B314" i="89"/>
  <c r="F313" i="89"/>
  <c r="E313" i="89"/>
  <c r="D313" i="89"/>
  <c r="C313" i="89"/>
  <c r="B313" i="89"/>
  <c r="E312" i="89"/>
  <c r="D312" i="89"/>
  <c r="C312" i="89"/>
  <c r="B312" i="89"/>
  <c r="F311" i="89"/>
  <c r="E311" i="89"/>
  <c r="D311" i="89"/>
  <c r="C311" i="89"/>
  <c r="B311" i="89"/>
  <c r="F310" i="89"/>
  <c r="E310" i="89"/>
  <c r="D310" i="89"/>
  <c r="C310" i="89"/>
  <c r="B310" i="89"/>
  <c r="F309" i="89"/>
  <c r="E309" i="89"/>
  <c r="D309" i="89"/>
  <c r="C309" i="89"/>
  <c r="B309" i="89"/>
  <c r="F308" i="89"/>
  <c r="E308" i="89"/>
  <c r="D308" i="89"/>
  <c r="C308" i="89"/>
  <c r="B308" i="89"/>
  <c r="F307" i="89"/>
  <c r="E307" i="89"/>
  <c r="D307" i="89"/>
  <c r="C307" i="89"/>
  <c r="B307" i="89"/>
  <c r="F306" i="89"/>
  <c r="E306" i="89"/>
  <c r="D306" i="89"/>
  <c r="C306" i="89"/>
  <c r="B306" i="89"/>
  <c r="F305" i="89"/>
  <c r="E305" i="89"/>
  <c r="D305" i="89"/>
  <c r="C305" i="89"/>
  <c r="B305" i="89"/>
  <c r="C304" i="89"/>
  <c r="C29" i="91" s="1"/>
  <c r="F303" i="89"/>
  <c r="E303" i="89"/>
  <c r="D303" i="89"/>
  <c r="C303" i="89"/>
  <c r="B303" i="89"/>
  <c r="F302" i="89"/>
  <c r="E302" i="89"/>
  <c r="D302" i="89"/>
  <c r="C302" i="89"/>
  <c r="B302" i="89"/>
  <c r="F301" i="89"/>
  <c r="E301" i="89"/>
  <c r="D301" i="89"/>
  <c r="C301" i="89"/>
  <c r="B301" i="89"/>
  <c r="F300" i="89"/>
  <c r="E300" i="89"/>
  <c r="D300" i="89"/>
  <c r="C300" i="89"/>
  <c r="B300" i="89"/>
  <c r="F299" i="89"/>
  <c r="E299" i="89"/>
  <c r="D299" i="89"/>
  <c r="C299" i="89"/>
  <c r="B299" i="89"/>
  <c r="F298" i="89"/>
  <c r="E298" i="89"/>
  <c r="D298" i="89"/>
  <c r="C298" i="89"/>
  <c r="B298" i="89"/>
  <c r="F297" i="89"/>
  <c r="E297" i="89"/>
  <c r="D297" i="89"/>
  <c r="C297" i="89"/>
  <c r="B297" i="89"/>
  <c r="F296" i="89"/>
  <c r="E296" i="89"/>
  <c r="D296" i="89"/>
  <c r="C296" i="89"/>
  <c r="B296" i="89"/>
  <c r="F295" i="89"/>
  <c r="E295" i="89"/>
  <c r="D295" i="89"/>
  <c r="C295" i="89"/>
  <c r="B295" i="89"/>
  <c r="F294" i="89"/>
  <c r="E294" i="89"/>
  <c r="D294" i="89"/>
  <c r="C294" i="89"/>
  <c r="B294" i="89"/>
  <c r="F293" i="89"/>
  <c r="E293" i="89"/>
  <c r="D293" i="89"/>
  <c r="C293" i="89"/>
  <c r="B293" i="89"/>
  <c r="F292" i="89"/>
  <c r="E292" i="89"/>
  <c r="D292" i="89"/>
  <c r="C292" i="89"/>
  <c r="B292" i="89"/>
  <c r="F291" i="89"/>
  <c r="E291" i="89"/>
  <c r="D291" i="89"/>
  <c r="C291" i="89"/>
  <c r="B291" i="89"/>
  <c r="F290" i="89"/>
  <c r="E290" i="89"/>
  <c r="D290" i="89"/>
  <c r="C290" i="89"/>
  <c r="B290" i="89"/>
  <c r="F289" i="89"/>
  <c r="E289" i="89"/>
  <c r="D289" i="89"/>
  <c r="C289" i="89"/>
  <c r="B289" i="89"/>
  <c r="F288" i="89"/>
  <c r="E288" i="89"/>
  <c r="D288" i="89"/>
  <c r="C288" i="89"/>
  <c r="B288" i="89"/>
  <c r="F287" i="89"/>
  <c r="E287" i="89"/>
  <c r="D287" i="89"/>
  <c r="C287" i="89"/>
  <c r="B287" i="89"/>
  <c r="F286" i="89"/>
  <c r="E286" i="89"/>
  <c r="D286" i="89"/>
  <c r="C286" i="89"/>
  <c r="B286" i="89"/>
  <c r="F285" i="89"/>
  <c r="E285" i="89"/>
  <c r="D285" i="89"/>
  <c r="C285" i="89"/>
  <c r="B285" i="89"/>
  <c r="F284" i="89"/>
  <c r="E284" i="89"/>
  <c r="D284" i="89"/>
  <c r="C284" i="89"/>
  <c r="B284" i="89"/>
  <c r="F283" i="89"/>
  <c r="E283" i="89"/>
  <c r="D283" i="89"/>
  <c r="C283" i="89"/>
  <c r="B283" i="89"/>
  <c r="F282" i="89"/>
  <c r="E282" i="89"/>
  <c r="D282" i="89"/>
  <c r="C282" i="89"/>
  <c r="B282" i="89"/>
  <c r="F281" i="89"/>
  <c r="E281" i="89"/>
  <c r="D281" i="89"/>
  <c r="C281" i="89"/>
  <c r="B281" i="89"/>
  <c r="F280" i="89"/>
  <c r="E280" i="89"/>
  <c r="D280" i="89"/>
  <c r="C280" i="89"/>
  <c r="B280" i="89"/>
  <c r="F279" i="89"/>
  <c r="E279" i="89"/>
  <c r="D279" i="89"/>
  <c r="C279" i="89"/>
  <c r="B279" i="89"/>
  <c r="F278" i="89"/>
  <c r="E278" i="89"/>
  <c r="D278" i="89"/>
  <c r="C278" i="89"/>
  <c r="B278" i="89"/>
  <c r="F277" i="89"/>
  <c r="E277" i="89"/>
  <c r="D277" i="89"/>
  <c r="C277" i="89"/>
  <c r="B277" i="89"/>
  <c r="F276" i="89"/>
  <c r="E276" i="89"/>
  <c r="D276" i="89"/>
  <c r="C276" i="89"/>
  <c r="B276" i="89"/>
  <c r="F275" i="89"/>
  <c r="E275" i="89"/>
  <c r="D275" i="89"/>
  <c r="C275" i="89"/>
  <c r="B275" i="89"/>
  <c r="F274" i="89"/>
  <c r="E274" i="89"/>
  <c r="D274" i="89"/>
  <c r="C274" i="89"/>
  <c r="B274" i="89"/>
  <c r="F273" i="89"/>
  <c r="E273" i="89"/>
  <c r="D273" i="89"/>
  <c r="C273" i="89"/>
  <c r="B273" i="89"/>
  <c r="F272" i="89"/>
  <c r="E272" i="89"/>
  <c r="D272" i="89"/>
  <c r="C272" i="89"/>
  <c r="B272" i="89"/>
  <c r="F271" i="89"/>
  <c r="E271" i="89"/>
  <c r="D271" i="89"/>
  <c r="C271" i="89"/>
  <c r="B271" i="89"/>
  <c r="F270" i="89"/>
  <c r="E270" i="89"/>
  <c r="D270" i="89"/>
  <c r="C270" i="89"/>
  <c r="B270" i="89"/>
  <c r="F269" i="89"/>
  <c r="E269" i="89"/>
  <c r="D269" i="89"/>
  <c r="C269" i="89"/>
  <c r="B269" i="89"/>
  <c r="F268" i="89"/>
  <c r="E268" i="89"/>
  <c r="D268" i="89"/>
  <c r="C268" i="89"/>
  <c r="B268" i="89"/>
  <c r="F267" i="89"/>
  <c r="E267" i="89"/>
  <c r="D267" i="89"/>
  <c r="C267" i="89"/>
  <c r="B267" i="89"/>
  <c r="F266" i="89"/>
  <c r="E266" i="89"/>
  <c r="D266" i="89"/>
  <c r="C266" i="89"/>
  <c r="B266" i="89"/>
  <c r="F265" i="89"/>
  <c r="E265" i="89"/>
  <c r="D265" i="89"/>
  <c r="C265" i="89"/>
  <c r="B265" i="89"/>
  <c r="F264" i="89"/>
  <c r="E264" i="89"/>
  <c r="D264" i="89"/>
  <c r="C264" i="89"/>
  <c r="B264" i="89"/>
  <c r="F263" i="89"/>
  <c r="E263" i="89"/>
  <c r="D263" i="89"/>
  <c r="C263" i="89"/>
  <c r="B263" i="89"/>
  <c r="F262" i="89"/>
  <c r="E262" i="89"/>
  <c r="D262" i="89"/>
  <c r="C262" i="89"/>
  <c r="B262" i="89"/>
  <c r="F261" i="89"/>
  <c r="E261" i="89"/>
  <c r="D261" i="89"/>
  <c r="C261" i="89"/>
  <c r="B261" i="89"/>
  <c r="F260" i="89"/>
  <c r="E260" i="89"/>
  <c r="D260" i="89"/>
  <c r="C260" i="89"/>
  <c r="B260" i="89"/>
  <c r="F259" i="89"/>
  <c r="E259" i="89"/>
  <c r="D259" i="89"/>
  <c r="C259" i="89"/>
  <c r="B259" i="89"/>
  <c r="F258" i="89"/>
  <c r="E258" i="89"/>
  <c r="D258" i="89"/>
  <c r="C258" i="89"/>
  <c r="B258" i="89"/>
  <c r="F257" i="89"/>
  <c r="E257" i="89"/>
  <c r="D257" i="89"/>
  <c r="C257" i="89"/>
  <c r="B257" i="89"/>
  <c r="F256" i="89"/>
  <c r="E256" i="89"/>
  <c r="D256" i="89"/>
  <c r="C256" i="89"/>
  <c r="B256" i="89"/>
  <c r="F255" i="89"/>
  <c r="E255" i="89"/>
  <c r="D255" i="89"/>
  <c r="C255" i="89"/>
  <c r="B255" i="89"/>
  <c r="F254" i="89"/>
  <c r="E254" i="89"/>
  <c r="D254" i="89"/>
  <c r="C254" i="89"/>
  <c r="B254" i="89"/>
  <c r="F253" i="89"/>
  <c r="E253" i="89"/>
  <c r="D253" i="89"/>
  <c r="C253" i="89"/>
  <c r="B253" i="89"/>
  <c r="F252" i="89"/>
  <c r="E252" i="89"/>
  <c r="D252" i="89"/>
  <c r="C252" i="89"/>
  <c r="B252" i="89"/>
  <c r="F251" i="89"/>
  <c r="E251" i="89"/>
  <c r="D251" i="89"/>
  <c r="C251" i="89"/>
  <c r="B251" i="89"/>
  <c r="F250" i="89"/>
  <c r="E250" i="89"/>
  <c r="D250" i="89"/>
  <c r="C250" i="89"/>
  <c r="B250" i="89"/>
  <c r="C249" i="89"/>
  <c r="C28" i="91" s="1"/>
  <c r="F248" i="89"/>
  <c r="E248" i="89"/>
  <c r="D248" i="89"/>
  <c r="C248" i="89"/>
  <c r="B248" i="89"/>
  <c r="F247" i="89"/>
  <c r="E247" i="89"/>
  <c r="D247" i="89"/>
  <c r="C247" i="89"/>
  <c r="B247" i="89"/>
  <c r="F246" i="89"/>
  <c r="E246" i="89"/>
  <c r="D246" i="89"/>
  <c r="C246" i="89"/>
  <c r="B246" i="89"/>
  <c r="F245" i="89"/>
  <c r="E245" i="89"/>
  <c r="D245" i="89"/>
  <c r="C245" i="89"/>
  <c r="B245" i="89"/>
  <c r="F244" i="89"/>
  <c r="E244" i="89"/>
  <c r="D244" i="89"/>
  <c r="C244" i="89"/>
  <c r="B244" i="89"/>
  <c r="F243" i="89"/>
  <c r="E243" i="89"/>
  <c r="D243" i="89"/>
  <c r="C243" i="89"/>
  <c r="B243" i="89"/>
  <c r="F242" i="89"/>
  <c r="E242" i="89"/>
  <c r="D242" i="89"/>
  <c r="C242" i="89"/>
  <c r="B242" i="89"/>
  <c r="F241" i="89"/>
  <c r="E241" i="89"/>
  <c r="D241" i="89"/>
  <c r="C241" i="89"/>
  <c r="B241" i="89"/>
  <c r="F240" i="89"/>
  <c r="E240" i="89"/>
  <c r="D240" i="89"/>
  <c r="C240" i="89"/>
  <c r="B240" i="89"/>
  <c r="F239" i="89"/>
  <c r="E239" i="89"/>
  <c r="D239" i="89"/>
  <c r="C239" i="89"/>
  <c r="B239" i="89"/>
  <c r="F238" i="89"/>
  <c r="E238" i="89"/>
  <c r="D238" i="89"/>
  <c r="C238" i="89"/>
  <c r="B238" i="89"/>
  <c r="F237" i="89"/>
  <c r="E237" i="89"/>
  <c r="D237" i="89"/>
  <c r="C237" i="89"/>
  <c r="B237" i="89"/>
  <c r="F236" i="89"/>
  <c r="E236" i="89"/>
  <c r="D236" i="89"/>
  <c r="C236" i="89"/>
  <c r="B236" i="89"/>
  <c r="F235" i="89"/>
  <c r="E235" i="89"/>
  <c r="D235" i="89"/>
  <c r="C235" i="89"/>
  <c r="B235" i="89"/>
  <c r="F234" i="89"/>
  <c r="E234" i="89"/>
  <c r="D234" i="89"/>
  <c r="C234" i="89"/>
  <c r="B234" i="89"/>
  <c r="F233" i="89"/>
  <c r="E233" i="89"/>
  <c r="D233" i="89"/>
  <c r="C233" i="89"/>
  <c r="B233" i="89"/>
  <c r="F232" i="89"/>
  <c r="E232" i="89"/>
  <c r="D232" i="89"/>
  <c r="C232" i="89"/>
  <c r="B232" i="89"/>
  <c r="F231" i="89"/>
  <c r="E231" i="89"/>
  <c r="D231" i="89"/>
  <c r="C231" i="89"/>
  <c r="B231" i="89"/>
  <c r="F230" i="89"/>
  <c r="E230" i="89"/>
  <c r="D230" i="89"/>
  <c r="C230" i="89"/>
  <c r="B230" i="89"/>
  <c r="E229" i="89"/>
  <c r="D229" i="89"/>
  <c r="C229" i="89"/>
  <c r="B229" i="89"/>
  <c r="F228" i="89"/>
  <c r="E228" i="89"/>
  <c r="D228" i="89"/>
  <c r="C228" i="89"/>
  <c r="B228" i="89"/>
  <c r="F227" i="89"/>
  <c r="E227" i="89"/>
  <c r="D227" i="89"/>
  <c r="C227" i="89"/>
  <c r="B227" i="89"/>
  <c r="F226" i="89"/>
  <c r="E226" i="89"/>
  <c r="D226" i="89"/>
  <c r="C226" i="89"/>
  <c r="B226" i="89"/>
  <c r="F225" i="89"/>
  <c r="E225" i="89"/>
  <c r="D225" i="89"/>
  <c r="C225" i="89"/>
  <c r="B225" i="89"/>
  <c r="F224" i="89"/>
  <c r="E224" i="89"/>
  <c r="D224" i="89"/>
  <c r="C224" i="89"/>
  <c r="B224" i="89"/>
  <c r="F223" i="89"/>
  <c r="E223" i="89"/>
  <c r="D223" i="89"/>
  <c r="C223" i="89"/>
  <c r="B223" i="89"/>
  <c r="F222" i="89"/>
  <c r="E222" i="89"/>
  <c r="D222" i="89"/>
  <c r="C222" i="89"/>
  <c r="B222" i="89"/>
  <c r="F221" i="89"/>
  <c r="E221" i="89"/>
  <c r="D221" i="89"/>
  <c r="C221" i="89"/>
  <c r="B221" i="89"/>
  <c r="F220" i="89"/>
  <c r="E220" i="89"/>
  <c r="D220" i="89"/>
  <c r="C220" i="89"/>
  <c r="B220" i="89"/>
  <c r="F219" i="89"/>
  <c r="E219" i="89"/>
  <c r="D219" i="89"/>
  <c r="C219" i="89"/>
  <c r="B219" i="89"/>
  <c r="F218" i="89"/>
  <c r="E218" i="89"/>
  <c r="D218" i="89"/>
  <c r="C218" i="89"/>
  <c r="B218" i="89"/>
  <c r="F217" i="89"/>
  <c r="E217" i="89"/>
  <c r="D217" i="89"/>
  <c r="C217" i="89"/>
  <c r="B217" i="89"/>
  <c r="F216" i="89"/>
  <c r="E216" i="89"/>
  <c r="D216" i="89"/>
  <c r="C216" i="89"/>
  <c r="B216" i="89"/>
  <c r="F215" i="89"/>
  <c r="E215" i="89"/>
  <c r="D215" i="89"/>
  <c r="C215" i="89"/>
  <c r="B215" i="89"/>
  <c r="F214" i="89"/>
  <c r="E214" i="89"/>
  <c r="D214" i="89"/>
  <c r="C214" i="89"/>
  <c r="B214" i="89"/>
  <c r="F213" i="89"/>
  <c r="E213" i="89"/>
  <c r="D213" i="89"/>
  <c r="C213" i="89"/>
  <c r="B213" i="89"/>
  <c r="F212" i="89"/>
  <c r="E212" i="89"/>
  <c r="D212" i="89"/>
  <c r="C212" i="89"/>
  <c r="B212" i="89"/>
  <c r="F211" i="89"/>
  <c r="E211" i="89"/>
  <c r="D211" i="89"/>
  <c r="C211" i="89"/>
  <c r="B211" i="89"/>
  <c r="F210" i="89"/>
  <c r="E210" i="89"/>
  <c r="D210" i="89"/>
  <c r="C210" i="89"/>
  <c r="B210" i="89"/>
  <c r="F209" i="89"/>
  <c r="E209" i="89"/>
  <c r="D209" i="89"/>
  <c r="C209" i="89"/>
  <c r="B209" i="89"/>
  <c r="F208" i="89"/>
  <c r="E208" i="89"/>
  <c r="D208" i="89"/>
  <c r="C208" i="89"/>
  <c r="B208" i="89"/>
  <c r="F207" i="89"/>
  <c r="E207" i="89"/>
  <c r="D207" i="89"/>
  <c r="C207" i="89"/>
  <c r="B207" i="89"/>
  <c r="F206" i="89"/>
  <c r="E206" i="89"/>
  <c r="D206" i="89"/>
  <c r="C206" i="89"/>
  <c r="B206" i="89"/>
  <c r="F205" i="89"/>
  <c r="E205" i="89"/>
  <c r="D205" i="89"/>
  <c r="C205" i="89"/>
  <c r="B205" i="89"/>
  <c r="F204" i="89"/>
  <c r="E204" i="89"/>
  <c r="D204" i="89"/>
  <c r="C204" i="89"/>
  <c r="B204" i="89"/>
  <c r="F203" i="89"/>
  <c r="E203" i="89"/>
  <c r="D203" i="89"/>
  <c r="C203" i="89"/>
  <c r="B203" i="89"/>
  <c r="F202" i="89"/>
  <c r="E202" i="89"/>
  <c r="D202" i="89"/>
  <c r="C202" i="89"/>
  <c r="B202" i="89"/>
  <c r="F201" i="89"/>
  <c r="E201" i="89"/>
  <c r="D201" i="89"/>
  <c r="C201" i="89"/>
  <c r="B201" i="89"/>
  <c r="F200" i="89"/>
  <c r="E200" i="89"/>
  <c r="D200" i="89"/>
  <c r="C200" i="89"/>
  <c r="B200" i="89"/>
  <c r="E199" i="89"/>
  <c r="D199" i="89"/>
  <c r="C199" i="89"/>
  <c r="B199" i="89"/>
  <c r="F198" i="89"/>
  <c r="E198" i="89"/>
  <c r="D198" i="89"/>
  <c r="C198" i="89"/>
  <c r="B198" i="89"/>
  <c r="F197" i="89"/>
  <c r="E197" i="89"/>
  <c r="D197" i="89"/>
  <c r="C197" i="89"/>
  <c r="B197" i="89"/>
  <c r="F196" i="89"/>
  <c r="E196" i="89"/>
  <c r="D196" i="89"/>
  <c r="C196" i="89"/>
  <c r="B196" i="89"/>
  <c r="F195" i="89"/>
  <c r="E195" i="89"/>
  <c r="D195" i="89"/>
  <c r="C195" i="89"/>
  <c r="B195" i="89"/>
  <c r="F194" i="89"/>
  <c r="E194" i="89"/>
  <c r="D194" i="89"/>
  <c r="C194" i="89"/>
  <c r="B194" i="89"/>
  <c r="C193" i="89"/>
  <c r="C27" i="91" s="1"/>
  <c r="E181" i="25"/>
  <c r="E350" i="89" s="1"/>
  <c r="E77" i="90"/>
  <c r="C13" i="90"/>
  <c r="A83" i="90" s="1"/>
  <c r="F77" i="90"/>
  <c r="C89" i="90"/>
  <c r="A81" i="90"/>
  <c r="E76" i="90"/>
  <c r="G76" i="90" s="1"/>
  <c r="E79" i="90"/>
  <c r="G79" i="90" s="1"/>
  <c r="E78" i="90"/>
  <c r="G78" i="90" s="1"/>
  <c r="A92" i="90"/>
  <c r="A271" i="22" l="1"/>
  <c r="C604" i="89"/>
  <c r="C35" i="91" s="1"/>
  <c r="A148" i="23"/>
  <c r="C180" i="25"/>
  <c r="C349" i="89" s="1"/>
  <c r="C30" i="91" s="1"/>
  <c r="G530" i="89"/>
  <c r="G572" i="89"/>
  <c r="G545" i="89"/>
  <c r="G577" i="89"/>
  <c r="G445" i="89"/>
  <c r="G565" i="89"/>
  <c r="G593" i="89"/>
  <c r="G514" i="89"/>
  <c r="G356" i="89"/>
  <c r="G360" i="89"/>
  <c r="G364" i="89"/>
  <c r="G368" i="89"/>
  <c r="G372" i="89"/>
  <c r="G376" i="89"/>
  <c r="G380" i="89"/>
  <c r="G384" i="89"/>
  <c r="G388" i="89"/>
  <c r="G392" i="89"/>
  <c r="G396" i="89"/>
  <c r="G400" i="89"/>
  <c r="G404" i="89"/>
  <c r="G408" i="89"/>
  <c r="G412" i="89"/>
  <c r="G416" i="89"/>
  <c r="G420" i="89"/>
  <c r="G424" i="89"/>
  <c r="G428" i="89"/>
  <c r="G432" i="89"/>
  <c r="G492" i="89"/>
  <c r="G548" i="89"/>
  <c r="G552" i="89"/>
  <c r="G556" i="89"/>
  <c r="G560" i="89"/>
  <c r="G564" i="89"/>
  <c r="G568" i="89"/>
  <c r="G576" i="89"/>
  <c r="G580" i="89"/>
  <c r="G596" i="89"/>
  <c r="G481" i="89"/>
  <c r="G509" i="89"/>
  <c r="G549" i="89"/>
  <c r="G557" i="89"/>
  <c r="G561" i="89"/>
  <c r="G569" i="89"/>
  <c r="G573" i="89"/>
  <c r="G458" i="89"/>
  <c r="G474" i="89"/>
  <c r="G486" i="89"/>
  <c r="G502" i="89"/>
  <c r="G585" i="89"/>
  <c r="G600" i="89"/>
  <c r="G727" i="89"/>
  <c r="G419" i="89"/>
  <c r="G439" i="89"/>
  <c r="G443" i="89"/>
  <c r="G447" i="89"/>
  <c r="G451" i="89"/>
  <c r="G455" i="89"/>
  <c r="G459" i="89"/>
  <c r="G463" i="89"/>
  <c r="G467" i="89"/>
  <c r="G471" i="89"/>
  <c r="G475" i="89"/>
  <c r="G479" i="89"/>
  <c r="G483" i="89"/>
  <c r="G487" i="89"/>
  <c r="G491" i="89"/>
  <c r="G495" i="89"/>
  <c r="G499" i="89"/>
  <c r="G503" i="89"/>
  <c r="G507" i="89"/>
  <c r="G511" i="89"/>
  <c r="G515" i="89"/>
  <c r="G519" i="89"/>
  <c r="G523" i="89"/>
  <c r="G527" i="89"/>
  <c r="G531" i="89"/>
  <c r="G535" i="89"/>
  <c r="G539" i="89"/>
  <c r="G543" i="89"/>
  <c r="G571" i="89"/>
  <c r="G587" i="89"/>
  <c r="G355" i="89"/>
  <c r="G383" i="89"/>
  <c r="G589" i="89"/>
  <c r="G597" i="89"/>
  <c r="G601" i="89"/>
  <c r="G430" i="89"/>
  <c r="G438" i="89"/>
  <c r="G442" i="89"/>
  <c r="G446" i="89"/>
  <c r="G450" i="89"/>
  <c r="G454" i="89"/>
  <c r="G462" i="89"/>
  <c r="G466" i="89"/>
  <c r="G470" i="89"/>
  <c r="G478" i="89"/>
  <c r="G482" i="89"/>
  <c r="G490" i="89"/>
  <c r="G494" i="89"/>
  <c r="G498" i="89"/>
  <c r="G506" i="89"/>
  <c r="G510" i="89"/>
  <c r="G518" i="89"/>
  <c r="G522" i="89"/>
  <c r="G526" i="89"/>
  <c r="G534" i="89"/>
  <c r="G538" i="89"/>
  <c r="G542" i="89"/>
  <c r="G546" i="89"/>
  <c r="G554" i="89"/>
  <c r="G437" i="89"/>
  <c r="G441" i="89"/>
  <c r="G449" i="89"/>
  <c r="G453" i="89"/>
  <c r="G457" i="89"/>
  <c r="G461" i="89"/>
  <c r="G465" i="89"/>
  <c r="G469" i="89"/>
  <c r="G473" i="89"/>
  <c r="G485" i="89"/>
  <c r="G489" i="89"/>
  <c r="G493" i="89"/>
  <c r="G497" i="89"/>
  <c r="G501" i="89"/>
  <c r="G505" i="89"/>
  <c r="G513" i="89"/>
  <c r="G517" i="89"/>
  <c r="G521" i="89"/>
  <c r="G525" i="89"/>
  <c r="G529" i="89"/>
  <c r="G533" i="89"/>
  <c r="G477" i="89"/>
  <c r="G537" i="89"/>
  <c r="G357" i="89"/>
  <c r="G365" i="89"/>
  <c r="G366" i="89"/>
  <c r="G369" i="89"/>
  <c r="G373" i="89"/>
  <c r="G377" i="89"/>
  <c r="G381" i="89"/>
  <c r="G385" i="89"/>
  <c r="G389" i="89"/>
  <c r="G393" i="89"/>
  <c r="G397" i="89"/>
  <c r="G401" i="89"/>
  <c r="G405" i="89"/>
  <c r="G409" i="89"/>
  <c r="G413" i="89"/>
  <c r="G417" i="89"/>
  <c r="G421" i="89"/>
  <c r="G425" i="89"/>
  <c r="G429" i="89"/>
  <c r="G433" i="89"/>
  <c r="G321" i="89"/>
  <c r="G359" i="89"/>
  <c r="G363" i="89"/>
  <c r="G367" i="89"/>
  <c r="G371" i="89"/>
  <c r="G375" i="89"/>
  <c r="G379" i="89"/>
  <c r="G387" i="89"/>
  <c r="G391" i="89"/>
  <c r="G395" i="89"/>
  <c r="G399" i="89"/>
  <c r="G403" i="89"/>
  <c r="G407" i="89"/>
  <c r="G411" i="89"/>
  <c r="G415" i="89"/>
  <c r="G423" i="89"/>
  <c r="G427" i="89"/>
  <c r="G431" i="89"/>
  <c r="G435" i="89"/>
  <c r="G382" i="89"/>
  <c r="G398" i="89"/>
  <c r="G414" i="89"/>
  <c r="G444" i="89"/>
  <c r="G460" i="89"/>
  <c r="G476" i="89"/>
  <c r="G508" i="89"/>
  <c r="G524" i="89"/>
  <c r="G540" i="89"/>
  <c r="G541" i="89"/>
  <c r="G241" i="89"/>
  <c r="G551" i="89"/>
  <c r="G555" i="89"/>
  <c r="G559" i="89"/>
  <c r="G563" i="89"/>
  <c r="G567" i="89"/>
  <c r="G575" i="89"/>
  <c r="G579" i="89"/>
  <c r="G583" i="89"/>
  <c r="G591" i="89"/>
  <c r="G595" i="89"/>
  <c r="G599" i="89"/>
  <c r="G311" i="89"/>
  <c r="G354" i="89"/>
  <c r="G358" i="89"/>
  <c r="G370" i="89"/>
  <c r="G374" i="89"/>
  <c r="G378" i="89"/>
  <c r="G386" i="89"/>
  <c r="G390" i="89"/>
  <c r="G394" i="89"/>
  <c r="G402" i="89"/>
  <c r="G410" i="89"/>
  <c r="G418" i="89"/>
  <c r="G422" i="89"/>
  <c r="G426" i="89"/>
  <c r="G434" i="89"/>
  <c r="G440" i="89"/>
  <c r="G448" i="89"/>
  <c r="G452" i="89"/>
  <c r="G456" i="89"/>
  <c r="G464" i="89"/>
  <c r="G468" i="89"/>
  <c r="G472" i="89"/>
  <c r="G480" i="89"/>
  <c r="G484" i="89"/>
  <c r="G488" i="89"/>
  <c r="G496" i="89"/>
  <c r="G500" i="89"/>
  <c r="G504" i="89"/>
  <c r="G512" i="89"/>
  <c r="G516" i="89"/>
  <c r="G520" i="89"/>
  <c r="G528" i="89"/>
  <c r="G532" i="89"/>
  <c r="G536" i="89"/>
  <c r="G544" i="89"/>
  <c r="G558" i="89"/>
  <c r="G562" i="89"/>
  <c r="G566" i="89"/>
  <c r="G570" i="89"/>
  <c r="G574" i="89"/>
  <c r="G578" i="89"/>
  <c r="G586" i="89"/>
  <c r="G590" i="89"/>
  <c r="G594" i="89"/>
  <c r="G598" i="89"/>
  <c r="G602" i="89"/>
  <c r="G245" i="89"/>
  <c r="G252" i="89"/>
  <c r="G305" i="89"/>
  <c r="G309" i="89"/>
  <c r="G313" i="89"/>
  <c r="G317" i="89"/>
  <c r="G325" i="89"/>
  <c r="G329" i="89"/>
  <c r="G333" i="89"/>
  <c r="G337" i="89"/>
  <c r="G341" i="89"/>
  <c r="G345" i="89"/>
  <c r="G303" i="89"/>
  <c r="G291" i="89"/>
  <c r="G279" i="89"/>
  <c r="G300" i="89"/>
  <c r="G328" i="89"/>
  <c r="G246" i="89"/>
  <c r="G258" i="89"/>
  <c r="G270" i="89"/>
  <c r="G251" i="89"/>
  <c r="G255" i="89"/>
  <c r="G259" i="89"/>
  <c r="G263" i="89"/>
  <c r="G267" i="89"/>
  <c r="G271" i="89"/>
  <c r="G275" i="89"/>
  <c r="G283" i="89"/>
  <c r="G287" i="89"/>
  <c r="G295" i="89"/>
  <c r="G299" i="89"/>
  <c r="G308" i="89"/>
  <c r="G316" i="89"/>
  <c r="G320" i="89"/>
  <c r="G324" i="89"/>
  <c r="G332" i="89"/>
  <c r="G336" i="89"/>
  <c r="G340" i="89"/>
  <c r="G344" i="89"/>
  <c r="G348" i="89"/>
  <c r="G327" i="89"/>
  <c r="G343" i="89"/>
  <c r="G240" i="89"/>
  <c r="G253" i="89"/>
  <c r="G257" i="89"/>
  <c r="G261" i="89"/>
  <c r="G265" i="89"/>
  <c r="G269" i="89"/>
  <c r="G273" i="89"/>
  <c r="G277" i="89"/>
  <c r="G281" i="89"/>
  <c r="G285" i="89"/>
  <c r="G302" i="89"/>
  <c r="G307" i="89"/>
  <c r="G315" i="89"/>
  <c r="G319" i="89"/>
  <c r="G323" i="89"/>
  <c r="G331" i="89"/>
  <c r="G335" i="89"/>
  <c r="G339" i="89"/>
  <c r="G347" i="89"/>
  <c r="G254" i="89"/>
  <c r="G274" i="89"/>
  <c r="G286" i="89"/>
  <c r="G290" i="89"/>
  <c r="G244" i="89"/>
  <c r="G248" i="89"/>
  <c r="G268" i="89"/>
  <c r="G243" i="89"/>
  <c r="G247" i="89"/>
  <c r="G256" i="89"/>
  <c r="G260" i="89"/>
  <c r="G264" i="89"/>
  <c r="G272" i="89"/>
  <c r="G276" i="89"/>
  <c r="G280" i="89"/>
  <c r="G284" i="89"/>
  <c r="G288" i="89"/>
  <c r="G289" i="89"/>
  <c r="G292" i="89"/>
  <c r="G293" i="89"/>
  <c r="G296" i="89"/>
  <c r="G297" i="89"/>
  <c r="G239" i="89"/>
  <c r="G250" i="89"/>
  <c r="G262" i="89"/>
  <c r="G266" i="89"/>
  <c r="G278" i="89"/>
  <c r="G282" i="89"/>
  <c r="G294" i="89"/>
  <c r="G298" i="89"/>
  <c r="G301" i="89"/>
  <c r="G306" i="89"/>
  <c r="G310" i="89"/>
  <c r="G314" i="89"/>
  <c r="G318" i="89"/>
  <c r="G326" i="89"/>
  <c r="G330" i="89"/>
  <c r="G334" i="89"/>
  <c r="G338" i="89"/>
  <c r="G342" i="89"/>
  <c r="G346" i="89"/>
  <c r="G242" i="89"/>
  <c r="G77" i="90"/>
  <c r="G249" i="89" l="1"/>
  <c r="D28" i="91" s="1"/>
  <c r="G436" i="89"/>
  <c r="D33" i="91" s="1"/>
  <c r="G81" i="90"/>
  <c r="F89" i="90" s="1"/>
  <c r="F141" i="23" l="1"/>
  <c r="A86" i="90"/>
  <c r="A72" i="90"/>
  <c r="G70" i="90"/>
  <c r="G69" i="90"/>
  <c r="G68" i="90"/>
  <c r="G67" i="90"/>
  <c r="G66" i="90"/>
  <c r="G65" i="90"/>
  <c r="G64" i="90"/>
  <c r="G63" i="90"/>
  <c r="G62" i="90"/>
  <c r="G61" i="90"/>
  <c r="G60" i="90"/>
  <c r="G59" i="90"/>
  <c r="G58" i="90"/>
  <c r="G57" i="90"/>
  <c r="G56" i="90"/>
  <c r="G55" i="90"/>
  <c r="G54" i="90"/>
  <c r="G53" i="90"/>
  <c r="G52" i="90"/>
  <c r="G51" i="90"/>
  <c r="G50" i="90"/>
  <c r="G49" i="90"/>
  <c r="G48" i="90"/>
  <c r="G47" i="90"/>
  <c r="G46" i="90"/>
  <c r="G45" i="90"/>
  <c r="G44" i="90"/>
  <c r="G43" i="90"/>
  <c r="G42" i="90"/>
  <c r="G41" i="90"/>
  <c r="G40" i="90"/>
  <c r="G39" i="90"/>
  <c r="G38" i="90"/>
  <c r="G37" i="90"/>
  <c r="G36" i="90"/>
  <c r="G35" i="90"/>
  <c r="G34" i="90"/>
  <c r="G33" i="90"/>
  <c r="G32" i="90"/>
  <c r="G31" i="90"/>
  <c r="G30" i="90"/>
  <c r="G29" i="90"/>
  <c r="G28" i="90"/>
  <c r="G27" i="90"/>
  <c r="G26" i="90"/>
  <c r="G25" i="90"/>
  <c r="G24" i="90"/>
  <c r="G23" i="90"/>
  <c r="G22" i="90"/>
  <c r="G21" i="90"/>
  <c r="G20" i="90"/>
  <c r="G19" i="90"/>
  <c r="G18" i="90"/>
  <c r="G17" i="90"/>
  <c r="G16" i="90"/>
  <c r="A178" i="25"/>
  <c r="A130" i="25"/>
  <c r="A72" i="25"/>
  <c r="A185" i="25"/>
  <c r="A183" i="25"/>
  <c r="G176" i="25"/>
  <c r="G128" i="25"/>
  <c r="G70" i="25"/>
  <c r="C13" i="25"/>
  <c r="C192" i="89" s="1"/>
  <c r="C26" i="91" s="1"/>
  <c r="G236" i="89"/>
  <c r="G235" i="89"/>
  <c r="G234" i="89"/>
  <c r="G233" i="89"/>
  <c r="G232" i="89"/>
  <c r="G231" i="89"/>
  <c r="G230" i="89"/>
  <c r="G228" i="89"/>
  <c r="G227" i="89"/>
  <c r="G226" i="89"/>
  <c r="G225" i="89"/>
  <c r="G224" i="89"/>
  <c r="G223" i="89"/>
  <c r="G222" i="89"/>
  <c r="G221" i="89"/>
  <c r="G220" i="89"/>
  <c r="G219" i="89"/>
  <c r="G218" i="89"/>
  <c r="G217" i="89"/>
  <c r="G216" i="89"/>
  <c r="G215" i="89"/>
  <c r="G214" i="89"/>
  <c r="G213" i="89"/>
  <c r="G212" i="89"/>
  <c r="G211" i="89"/>
  <c r="G210" i="89"/>
  <c r="G209" i="89"/>
  <c r="G208" i="89"/>
  <c r="G207" i="89"/>
  <c r="G206" i="89"/>
  <c r="G198" i="89"/>
  <c r="G194" i="89"/>
  <c r="F190" i="89"/>
  <c r="D190" i="89"/>
  <c r="C190" i="89"/>
  <c r="B190" i="89"/>
  <c r="F189" i="89"/>
  <c r="D189" i="89"/>
  <c r="C189" i="89"/>
  <c r="B189" i="89"/>
  <c r="F188" i="89"/>
  <c r="D188" i="89"/>
  <c r="C188" i="89"/>
  <c r="B188" i="89"/>
  <c r="C187" i="89"/>
  <c r="C25" i="91" s="1"/>
  <c r="B185" i="89"/>
  <c r="B184" i="89"/>
  <c r="B183" i="89"/>
  <c r="B182" i="89"/>
  <c r="B181" i="89"/>
  <c r="B180" i="89"/>
  <c r="D185" i="89"/>
  <c r="C185" i="89"/>
  <c r="D184" i="89"/>
  <c r="C184" i="89"/>
  <c r="D183" i="89"/>
  <c r="C183" i="89"/>
  <c r="D182" i="89"/>
  <c r="C182" i="89"/>
  <c r="D181" i="89"/>
  <c r="C181" i="89"/>
  <c r="D180" i="89"/>
  <c r="C180" i="89"/>
  <c r="C179" i="89"/>
  <c r="C24" i="91" s="1"/>
  <c r="G237" i="89"/>
  <c r="G205" i="89"/>
  <c r="G202" i="89"/>
  <c r="G201" i="89"/>
  <c r="G197" i="89"/>
  <c r="F177" i="89"/>
  <c r="D177" i="89"/>
  <c r="C177" i="89"/>
  <c r="B177" i="89"/>
  <c r="C176" i="89"/>
  <c r="C23" i="91" s="1"/>
  <c r="D175" i="89"/>
  <c r="C175" i="89"/>
  <c r="B175" i="89"/>
  <c r="D174" i="89"/>
  <c r="C174" i="89"/>
  <c r="B174" i="89"/>
  <c r="C173" i="89"/>
  <c r="C22" i="91" s="1"/>
  <c r="A48" i="69"/>
  <c r="A36" i="69"/>
  <c r="A24" i="69"/>
  <c r="C13" i="38"/>
  <c r="C172" i="89" s="1"/>
  <c r="C21" i="91" s="1"/>
  <c r="G196" i="89"/>
  <c r="G195" i="89"/>
  <c r="F55" i="89"/>
  <c r="D55" i="89"/>
  <c r="C55" i="89"/>
  <c r="B55" i="89"/>
  <c r="C54" i="89"/>
  <c r="C19" i="91" s="1"/>
  <c r="B21" i="89"/>
  <c r="B20" i="89"/>
  <c r="B19" i="89"/>
  <c r="B17" i="89"/>
  <c r="B16" i="89"/>
  <c r="B15" i="89"/>
  <c r="B52" i="89"/>
  <c r="B51" i="89"/>
  <c r="B50" i="89"/>
  <c r="B49" i="89"/>
  <c r="B48" i="89"/>
  <c r="B47" i="89"/>
  <c r="B46" i="89"/>
  <c r="B45" i="89"/>
  <c r="B44" i="89"/>
  <c r="B42" i="89"/>
  <c r="B41" i="89"/>
  <c r="B40" i="89"/>
  <c r="B39" i="89"/>
  <c r="B38" i="89"/>
  <c r="B37" i="89"/>
  <c r="B36" i="89"/>
  <c r="B35" i="89"/>
  <c r="B34" i="89"/>
  <c r="B32" i="89"/>
  <c r="B31" i="89"/>
  <c r="B30" i="89"/>
  <c r="B29" i="89"/>
  <c r="B28" i="89"/>
  <c r="B27" i="89"/>
  <c r="B26" i="89"/>
  <c r="B25" i="89"/>
  <c r="E52" i="89"/>
  <c r="D52" i="89"/>
  <c r="C52" i="89"/>
  <c r="E51" i="89"/>
  <c r="D51" i="89"/>
  <c r="C51" i="89"/>
  <c r="E50" i="89"/>
  <c r="D50" i="89"/>
  <c r="C50" i="89"/>
  <c r="E49" i="89"/>
  <c r="D49" i="89"/>
  <c r="C49" i="89"/>
  <c r="E48" i="89"/>
  <c r="D48" i="89"/>
  <c r="C48" i="89"/>
  <c r="E47" i="89"/>
  <c r="D47" i="89"/>
  <c r="C47" i="89"/>
  <c r="E46" i="89"/>
  <c r="D46" i="89"/>
  <c r="C46" i="89"/>
  <c r="E45" i="89"/>
  <c r="D45" i="89"/>
  <c r="C45" i="89"/>
  <c r="E44" i="89"/>
  <c r="D44" i="89"/>
  <c r="C44" i="89"/>
  <c r="C43" i="89"/>
  <c r="C18" i="91" s="1"/>
  <c r="E42" i="89"/>
  <c r="D42" i="89"/>
  <c r="C42" i="89"/>
  <c r="E41" i="89"/>
  <c r="D41" i="89"/>
  <c r="C41" i="89"/>
  <c r="E40" i="89"/>
  <c r="D40" i="89"/>
  <c r="C40" i="89"/>
  <c r="E39" i="89"/>
  <c r="D39" i="89"/>
  <c r="C39" i="89"/>
  <c r="E38" i="89"/>
  <c r="D38" i="89"/>
  <c r="C38" i="89"/>
  <c r="E37" i="89"/>
  <c r="D37" i="89"/>
  <c r="C37" i="89"/>
  <c r="E36" i="89"/>
  <c r="D36" i="89"/>
  <c r="C36" i="89"/>
  <c r="E35" i="89"/>
  <c r="D35" i="89"/>
  <c r="C35" i="89"/>
  <c r="E34" i="89"/>
  <c r="D34" i="89"/>
  <c r="C34" i="89"/>
  <c r="C33" i="89"/>
  <c r="C17" i="91" s="1"/>
  <c r="E32" i="89"/>
  <c r="D32" i="89"/>
  <c r="C32" i="89"/>
  <c r="E31" i="89"/>
  <c r="D31" i="89"/>
  <c r="C31" i="89"/>
  <c r="E30" i="89"/>
  <c r="D30" i="89"/>
  <c r="C30" i="89"/>
  <c r="E29" i="89"/>
  <c r="D29" i="89"/>
  <c r="C29" i="89"/>
  <c r="E28" i="89"/>
  <c r="D28" i="89"/>
  <c r="C28" i="89"/>
  <c r="E27" i="89"/>
  <c r="D27" i="89"/>
  <c r="C27" i="89"/>
  <c r="E26" i="89"/>
  <c r="D26" i="89"/>
  <c r="C26" i="89"/>
  <c r="E25" i="89"/>
  <c r="D25" i="89"/>
  <c r="C25" i="89"/>
  <c r="C24" i="89"/>
  <c r="C13" i="69"/>
  <c r="A50" i="69" s="1"/>
  <c r="E21" i="89"/>
  <c r="D21" i="89"/>
  <c r="C21" i="89"/>
  <c r="E20" i="89"/>
  <c r="D20" i="89"/>
  <c r="C20" i="89"/>
  <c r="E19" i="89"/>
  <c r="D19" i="89"/>
  <c r="C19" i="89"/>
  <c r="C18" i="89"/>
  <c r="C14" i="91" s="1"/>
  <c r="E17" i="89"/>
  <c r="D17" i="89"/>
  <c r="C17" i="89"/>
  <c r="E16" i="89"/>
  <c r="D16" i="89"/>
  <c r="C16" i="89"/>
  <c r="D15" i="89"/>
  <c r="C15" i="89"/>
  <c r="C14" i="89"/>
  <c r="C13" i="91" s="1"/>
  <c r="C13" i="87"/>
  <c r="A76" i="87" s="1"/>
  <c r="C13" i="34"/>
  <c r="A27" i="34" s="1"/>
  <c r="B110" i="89"/>
  <c r="G238" i="89"/>
  <c r="G204" i="89"/>
  <c r="G203" i="89"/>
  <c r="G200" i="89"/>
  <c r="D110" i="89"/>
  <c r="C110" i="89"/>
  <c r="A164" i="71"/>
  <c r="A112" i="71"/>
  <c r="A64" i="71"/>
  <c r="H139" i="71"/>
  <c r="H138" i="71"/>
  <c r="H137" i="71"/>
  <c r="H136" i="71"/>
  <c r="H135" i="71"/>
  <c r="H134" i="71"/>
  <c r="H133" i="71"/>
  <c r="H132" i="71"/>
  <c r="H131" i="71"/>
  <c r="H130" i="71"/>
  <c r="H129" i="71"/>
  <c r="H128" i="71"/>
  <c r="H127" i="71"/>
  <c r="H126" i="71"/>
  <c r="H125" i="71"/>
  <c r="H124" i="71"/>
  <c r="H123" i="71"/>
  <c r="H122" i="71"/>
  <c r="H87" i="71"/>
  <c r="H86" i="71"/>
  <c r="H85" i="71"/>
  <c r="H84" i="71"/>
  <c r="H83" i="71"/>
  <c r="H82" i="71"/>
  <c r="H81" i="71"/>
  <c r="H80" i="71"/>
  <c r="H79" i="71"/>
  <c r="H78" i="71"/>
  <c r="H77" i="71"/>
  <c r="H76" i="71"/>
  <c r="H75" i="71"/>
  <c r="H74" i="71"/>
  <c r="H39" i="71"/>
  <c r="H38" i="71"/>
  <c r="H37" i="71"/>
  <c r="H36" i="71"/>
  <c r="H35" i="71"/>
  <c r="H34" i="71"/>
  <c r="H33" i="71"/>
  <c r="H32" i="71"/>
  <c r="H31" i="71"/>
  <c r="H30" i="71"/>
  <c r="H29" i="71"/>
  <c r="H28" i="71"/>
  <c r="H27" i="71"/>
  <c r="H26" i="71"/>
  <c r="H25" i="71"/>
  <c r="H24" i="71"/>
  <c r="H23" i="71"/>
  <c r="H22" i="71"/>
  <c r="H21" i="71"/>
  <c r="H20" i="71"/>
  <c r="H19" i="71"/>
  <c r="H18" i="71"/>
  <c r="H17" i="71"/>
  <c r="H16" i="71"/>
  <c r="H16" i="67"/>
  <c r="C189" i="67"/>
  <c r="H145" i="71" s="1"/>
  <c r="H139" i="67"/>
  <c r="H138" i="67"/>
  <c r="H137" i="67"/>
  <c r="H136" i="67"/>
  <c r="H135" i="67"/>
  <c r="H134" i="67"/>
  <c r="H133" i="67"/>
  <c r="H132" i="67"/>
  <c r="H131" i="67"/>
  <c r="H130" i="67"/>
  <c r="H129" i="67"/>
  <c r="H128" i="67"/>
  <c r="H127" i="67"/>
  <c r="H126" i="67"/>
  <c r="H125" i="67"/>
  <c r="H124" i="67"/>
  <c r="H123" i="67"/>
  <c r="H122" i="67"/>
  <c r="H87" i="67"/>
  <c r="H86" i="67"/>
  <c r="H85" i="67"/>
  <c r="H84" i="67"/>
  <c r="H83" i="67"/>
  <c r="H82" i="67"/>
  <c r="H81" i="67"/>
  <c r="H80" i="67"/>
  <c r="H79" i="67"/>
  <c r="H78" i="67"/>
  <c r="H77" i="67"/>
  <c r="H76" i="67"/>
  <c r="H75" i="67"/>
  <c r="H74" i="67"/>
  <c r="H39" i="67"/>
  <c r="H38" i="67"/>
  <c r="H37" i="67"/>
  <c r="H36" i="67"/>
  <c r="H35" i="67"/>
  <c r="H34" i="67"/>
  <c r="H33" i="67"/>
  <c r="H32" i="67"/>
  <c r="H31" i="67"/>
  <c r="H30" i="67"/>
  <c r="H29" i="67"/>
  <c r="H28" i="67"/>
  <c r="H27" i="67"/>
  <c r="H26" i="67"/>
  <c r="H25" i="67"/>
  <c r="H24" i="67"/>
  <c r="H23" i="67"/>
  <c r="H22" i="67"/>
  <c r="H21" i="67"/>
  <c r="H20" i="67"/>
  <c r="H19" i="67"/>
  <c r="H18" i="67"/>
  <c r="H17" i="67"/>
  <c r="F725" i="89" l="1"/>
  <c r="G725" i="89" s="1"/>
  <c r="C109" i="89"/>
  <c r="C20" i="91" s="1"/>
  <c r="A24" i="38"/>
  <c r="H45" i="67"/>
  <c r="H93" i="67"/>
  <c r="H145" i="67"/>
  <c r="H46" i="71"/>
  <c r="H94" i="71"/>
  <c r="H146" i="71"/>
  <c r="H46" i="67"/>
  <c r="H94" i="67"/>
  <c r="H146" i="67"/>
  <c r="H45" i="71"/>
  <c r="H93" i="71"/>
  <c r="C23" i="89"/>
  <c r="C15" i="91" s="1"/>
  <c r="G93" i="89"/>
  <c r="G56" i="89"/>
  <c r="G60" i="89"/>
  <c r="G64" i="89"/>
  <c r="G68" i="89"/>
  <c r="G72" i="89"/>
  <c r="G76" i="89"/>
  <c r="G80" i="89"/>
  <c r="G84" i="89"/>
  <c r="G88" i="89"/>
  <c r="G92" i="89"/>
  <c r="G96" i="89"/>
  <c r="G100" i="89"/>
  <c r="G104" i="89"/>
  <c r="G65" i="89"/>
  <c r="G89" i="89"/>
  <c r="C88" i="90"/>
  <c r="G72" i="90"/>
  <c r="F88" i="90" s="1"/>
  <c r="F92" i="90" s="1"/>
  <c r="F181" i="25" s="1"/>
  <c r="F350" i="89" s="1"/>
  <c r="G350" i="89" s="1"/>
  <c r="G349" i="89" s="1"/>
  <c r="D30" i="91" s="1"/>
  <c r="G75" i="89"/>
  <c r="G57" i="89"/>
  <c r="G61" i="89"/>
  <c r="G69" i="89"/>
  <c r="G73" i="89"/>
  <c r="G77" i="89"/>
  <c r="G81" i="89"/>
  <c r="G85" i="89"/>
  <c r="G97" i="89"/>
  <c r="G101" i="89"/>
  <c r="G105" i="89"/>
  <c r="G62" i="89"/>
  <c r="G63" i="89"/>
  <c r="G66" i="89"/>
  <c r="G67" i="89"/>
  <c r="G70" i="89"/>
  <c r="G71" i="89"/>
  <c r="G74" i="89"/>
  <c r="G78" i="89"/>
  <c r="G79" i="89"/>
  <c r="G82" i="89"/>
  <c r="G83" i="89"/>
  <c r="G86" i="89"/>
  <c r="G87" i="89"/>
  <c r="G95" i="89"/>
  <c r="G98" i="89"/>
  <c r="G99" i="89"/>
  <c r="G102" i="89"/>
  <c r="G103" i="89"/>
  <c r="G106" i="89"/>
  <c r="C13" i="89"/>
  <c r="C12" i="91" s="1"/>
  <c r="D45" i="67"/>
  <c r="F35" i="69"/>
  <c r="F42" i="89" s="1"/>
  <c r="G42" i="89" s="1"/>
  <c r="F30" i="69"/>
  <c r="F37" i="89" s="1"/>
  <c r="G37" i="89" s="1"/>
  <c r="F28" i="69"/>
  <c r="F35" i="89" s="1"/>
  <c r="G35" i="89" s="1"/>
  <c r="F27" i="69"/>
  <c r="F34" i="89" s="1"/>
  <c r="G34" i="89" s="1"/>
  <c r="E83" i="69"/>
  <c r="F34" i="69" s="1"/>
  <c r="F41" i="89" s="1"/>
  <c r="G41" i="89" s="1"/>
  <c r="E82" i="69"/>
  <c r="F33" i="69" s="1"/>
  <c r="F40" i="89" s="1"/>
  <c r="G40" i="89" s="1"/>
  <c r="E81" i="69"/>
  <c r="F43" i="69" s="1"/>
  <c r="F48" i="89" s="1"/>
  <c r="G48" i="89" s="1"/>
  <c r="E80" i="69"/>
  <c r="F44" i="69" s="1"/>
  <c r="F49" i="89" s="1"/>
  <c r="G49" i="89" s="1"/>
  <c r="E79" i="69"/>
  <c r="F29" i="69" s="1"/>
  <c r="F36" i="89" s="1"/>
  <c r="G36" i="89" s="1"/>
  <c r="E78" i="69"/>
  <c r="F40" i="69" s="1"/>
  <c r="F45" i="89" s="1"/>
  <c r="G45" i="89" s="1"/>
  <c r="G184" i="23" l="1"/>
  <c r="F81" i="23" s="1"/>
  <c r="G83" i="90"/>
  <c r="F20" i="69"/>
  <c r="F29" i="89" s="1"/>
  <c r="G29" i="89" s="1"/>
  <c r="F31" i="69"/>
  <c r="F38" i="89" s="1"/>
  <c r="G38" i="89" s="1"/>
  <c r="F46" i="69"/>
  <c r="F51" i="89" s="1"/>
  <c r="G51" i="89" s="1"/>
  <c r="F16" i="69"/>
  <c r="F25" i="89" s="1"/>
  <c r="G25" i="89" s="1"/>
  <c r="F19" i="69"/>
  <c r="F28" i="89" s="1"/>
  <c r="G28" i="89" s="1"/>
  <c r="F23" i="69"/>
  <c r="F32" i="89" s="1"/>
  <c r="G32" i="89" s="1"/>
  <c r="F41" i="69"/>
  <c r="F46" i="89" s="1"/>
  <c r="G46" i="89" s="1"/>
  <c r="F45" i="69"/>
  <c r="F50" i="89" s="1"/>
  <c r="G50" i="89" s="1"/>
  <c r="F42" i="69"/>
  <c r="F47" i="89" s="1"/>
  <c r="G47" i="89" s="1"/>
  <c r="F17" i="69"/>
  <c r="F26" i="89" s="1"/>
  <c r="G26" i="89" s="1"/>
  <c r="F21" i="69"/>
  <c r="F30" i="89" s="1"/>
  <c r="G30" i="89" s="1"/>
  <c r="F32" i="69"/>
  <c r="F39" i="89" s="1"/>
  <c r="G39" i="89" s="1"/>
  <c r="F39" i="69"/>
  <c r="F44" i="89" s="1"/>
  <c r="G44" i="89" s="1"/>
  <c r="F47" i="69"/>
  <c r="F52" i="89" s="1"/>
  <c r="G52" i="89" s="1"/>
  <c r="F18" i="69"/>
  <c r="F27" i="89" s="1"/>
  <c r="G27" i="89" s="1"/>
  <c r="F22" i="69"/>
  <c r="F31" i="89" s="1"/>
  <c r="G31" i="89" s="1"/>
  <c r="A36" i="49"/>
  <c r="A35" i="49"/>
  <c r="A34" i="49"/>
  <c r="A20" i="49"/>
  <c r="F19" i="49"/>
  <c r="F185" i="89" s="1"/>
  <c r="F18" i="49"/>
  <c r="F184" i="89" s="1"/>
  <c r="F17" i="49"/>
  <c r="F183" i="89" s="1"/>
  <c r="F16" i="49"/>
  <c r="F182" i="89" s="1"/>
  <c r="F15" i="49"/>
  <c r="F181" i="89" s="1"/>
  <c r="F14" i="49"/>
  <c r="F180" i="89" s="1"/>
  <c r="F667" i="89" l="1"/>
  <c r="G33" i="89"/>
  <c r="D17" i="91" s="1"/>
  <c r="G43" i="89"/>
  <c r="D18" i="91" s="1"/>
  <c r="G24" i="89"/>
  <c r="D16" i="91" s="1"/>
  <c r="G59" i="89"/>
  <c r="E17" i="15"/>
  <c r="E772" i="89" s="1"/>
  <c r="G772" i="89" s="1"/>
  <c r="E15" i="15"/>
  <c r="E770" i="89" s="1"/>
  <c r="G770" i="89" s="1"/>
  <c r="G23" i="89" l="1"/>
  <c r="D15" i="91"/>
  <c r="Z110" i="88"/>
  <c r="G187" i="23" l="1"/>
  <c r="F78" i="23" s="1"/>
  <c r="AE107" i="88"/>
  <c r="AD107" i="88"/>
  <c r="F118" i="47"/>
  <c r="F126" i="47"/>
  <c r="F134" i="47"/>
  <c r="F664" i="89" l="1"/>
  <c r="AC70" i="88"/>
  <c r="F68" i="47"/>
  <c r="G189" i="23" l="1"/>
  <c r="F86" i="23" s="1"/>
  <c r="F672" i="89" l="1"/>
  <c r="G190" i="23"/>
  <c r="F87" i="23" s="1"/>
  <c r="A125" i="72"/>
  <c r="A118" i="72"/>
  <c r="A113" i="72"/>
  <c r="A108" i="72"/>
  <c r="A103" i="72"/>
  <c r="A98" i="72"/>
  <c r="A93" i="72"/>
  <c r="A88" i="72"/>
  <c r="A81" i="72"/>
  <c r="A75" i="72"/>
  <c r="A70" i="72"/>
  <c r="A65" i="72"/>
  <c r="A57" i="72"/>
  <c r="A52" i="72"/>
  <c r="A47" i="72"/>
  <c r="A42" i="72"/>
  <c r="E125" i="72"/>
  <c r="E118" i="72"/>
  <c r="E113" i="72"/>
  <c r="E108" i="72"/>
  <c r="E103" i="72"/>
  <c r="E98" i="72"/>
  <c r="E93" i="72"/>
  <c r="E88" i="72"/>
  <c r="E81" i="72"/>
  <c r="E75" i="72"/>
  <c r="E70" i="72"/>
  <c r="E65" i="72"/>
  <c r="E57" i="72"/>
  <c r="E52" i="72"/>
  <c r="E47" i="72"/>
  <c r="E42" i="72"/>
  <c r="F123" i="72"/>
  <c r="F122" i="72"/>
  <c r="F121" i="72"/>
  <c r="F116" i="72"/>
  <c r="F118" i="72" s="1"/>
  <c r="F111" i="72"/>
  <c r="F113" i="72" s="1"/>
  <c r="F101" i="72"/>
  <c r="F103" i="72" s="1"/>
  <c r="F96" i="72"/>
  <c r="F98" i="72" s="1"/>
  <c r="F91" i="72"/>
  <c r="F93" i="72" s="1"/>
  <c r="F78" i="72"/>
  <c r="F73" i="72"/>
  <c r="F75" i="72" s="1"/>
  <c r="F60" i="72"/>
  <c r="F55" i="72"/>
  <c r="F57" i="72" s="1"/>
  <c r="F50" i="72"/>
  <c r="F52" i="72" s="1"/>
  <c r="F106" i="72"/>
  <c r="F108" i="72" s="1"/>
  <c r="F86" i="72"/>
  <c r="E17" i="49" s="1"/>
  <c r="E183" i="89" s="1"/>
  <c r="G183" i="89" s="1"/>
  <c r="F85" i="72"/>
  <c r="F84" i="72"/>
  <c r="F79" i="72"/>
  <c r="F68" i="72"/>
  <c r="F70" i="72" s="1"/>
  <c r="F63" i="72"/>
  <c r="F62" i="72"/>
  <c r="E15" i="49" s="1"/>
  <c r="E181" i="89" s="1"/>
  <c r="G181" i="89" s="1"/>
  <c r="F61" i="72"/>
  <c r="F45" i="72"/>
  <c r="F47" i="72" s="1"/>
  <c r="F40" i="72"/>
  <c r="F42" i="72" s="1"/>
  <c r="A19" i="15"/>
  <c r="A22" i="15"/>
  <c r="A25" i="15" s="1"/>
  <c r="A56" i="24"/>
  <c r="A50" i="24"/>
  <c r="A29" i="24"/>
  <c r="A61" i="24"/>
  <c r="A66" i="24" s="1"/>
  <c r="A132" i="23"/>
  <c r="A74" i="23"/>
  <c r="A60" i="23"/>
  <c r="A146" i="23"/>
  <c r="A144" i="23"/>
  <c r="A151" i="23"/>
  <c r="A156" i="23" s="1"/>
  <c r="A274" i="22"/>
  <c r="A279" i="22" s="1"/>
  <c r="A17" i="63"/>
  <c r="E15" i="63"/>
  <c r="E14" i="63"/>
  <c r="B65" i="41"/>
  <c r="B64" i="41"/>
  <c r="B63" i="41"/>
  <c r="B62" i="41"/>
  <c r="B61" i="41"/>
  <c r="A59" i="41"/>
  <c r="A66" i="41" s="1"/>
  <c r="A23" i="41"/>
  <c r="A36" i="41"/>
  <c r="A44" i="41"/>
  <c r="A49" i="41"/>
  <c r="A56" i="41"/>
  <c r="F673" i="89" l="1"/>
  <c r="G16" i="63"/>
  <c r="E190" i="89"/>
  <c r="G190" i="89" s="1"/>
  <c r="G14" i="63"/>
  <c r="E188" i="89"/>
  <c r="G188" i="89" s="1"/>
  <c r="G15" i="63"/>
  <c r="E189" i="89"/>
  <c r="G189" i="89" s="1"/>
  <c r="E18" i="49"/>
  <c r="E184" i="89" s="1"/>
  <c r="G184" i="89" s="1"/>
  <c r="G191" i="23"/>
  <c r="F88" i="23" s="1"/>
  <c r="F88" i="72"/>
  <c r="E14" i="49"/>
  <c r="E180" i="89" s="1"/>
  <c r="G180" i="89" s="1"/>
  <c r="E16" i="49"/>
  <c r="E182" i="89" s="1"/>
  <c r="G182" i="89" s="1"/>
  <c r="E19" i="49"/>
  <c r="E185" i="89" s="1"/>
  <c r="G185" i="89" s="1"/>
  <c r="F65" i="72"/>
  <c r="F81" i="72"/>
  <c r="F125" i="72"/>
  <c r="A82" i="87"/>
  <c r="C81" i="87"/>
  <c r="A79" i="87"/>
  <c r="E17" i="38"/>
  <c r="E175" i="89" s="1"/>
  <c r="E16" i="38"/>
  <c r="E174" i="89" s="1"/>
  <c r="C30" i="38"/>
  <c r="C29" i="38"/>
  <c r="A31" i="38"/>
  <c r="A27" i="38"/>
  <c r="A22" i="38"/>
  <c r="A18" i="38"/>
  <c r="A84" i="42"/>
  <c r="F674" i="89" l="1"/>
  <c r="G17" i="63"/>
  <c r="G187" i="89"/>
  <c r="D25" i="91" s="1"/>
  <c r="G179" i="89"/>
  <c r="D24" i="91" s="1"/>
  <c r="E16" i="15"/>
  <c r="E771" i="89" s="1"/>
  <c r="G771" i="89" s="1"/>
  <c r="E21" i="38"/>
  <c r="E177" i="89" s="1"/>
  <c r="G177" i="89" s="1"/>
  <c r="G176" i="89" s="1"/>
  <c r="D23" i="91" s="1"/>
  <c r="G193" i="23" l="1"/>
  <c r="F90" i="23" s="1"/>
  <c r="G21" i="38"/>
  <c r="G22" i="38" s="1"/>
  <c r="F30" i="38" s="1"/>
  <c r="G76" i="42"/>
  <c r="G75" i="42"/>
  <c r="G74" i="42"/>
  <c r="F676" i="89" l="1"/>
  <c r="G194" i="23"/>
  <c r="F91" i="23" s="1"/>
  <c r="G63" i="42"/>
  <c r="G73" i="42"/>
  <c r="G72" i="42"/>
  <c r="G71" i="42"/>
  <c r="G70" i="42"/>
  <c r="G69" i="42"/>
  <c r="G68" i="42"/>
  <c r="G67" i="42"/>
  <c r="G66" i="42"/>
  <c r="G65" i="42"/>
  <c r="G64" i="42"/>
  <c r="G62" i="42"/>
  <c r="G61" i="42"/>
  <c r="G60" i="42"/>
  <c r="G59" i="42"/>
  <c r="G58" i="42"/>
  <c r="G57" i="42"/>
  <c r="G56" i="42"/>
  <c r="G55" i="42"/>
  <c r="G54" i="42"/>
  <c r="F677" i="89" l="1"/>
  <c r="G195" i="23"/>
  <c r="F142" i="23" s="1"/>
  <c r="B83" i="42"/>
  <c r="B82" i="42"/>
  <c r="A80" i="42"/>
  <c r="A77" i="42"/>
  <c r="G53" i="42"/>
  <c r="G77" i="42" s="1"/>
  <c r="A50" i="42"/>
  <c r="D118" i="71"/>
  <c r="D70" i="71"/>
  <c r="D12" i="71"/>
  <c r="I118" i="71"/>
  <c r="I70" i="71"/>
  <c r="I118" i="67"/>
  <c r="D118" i="67"/>
  <c r="D12" i="67"/>
  <c r="D70" i="67"/>
  <c r="I70" i="67"/>
  <c r="A16" i="40"/>
  <c r="B21" i="40"/>
  <c r="C16" i="40"/>
  <c r="D14" i="40" s="1"/>
  <c r="A22" i="40"/>
  <c r="A19" i="40"/>
  <c r="A22" i="39"/>
  <c r="A19" i="39"/>
  <c r="A23" i="49"/>
  <c r="A26" i="49" s="1"/>
  <c r="C33" i="34"/>
  <c r="C32" i="34"/>
  <c r="A34" i="34"/>
  <c r="A23" i="63"/>
  <c r="A30" i="34"/>
  <c r="A20" i="63"/>
  <c r="A188" i="25"/>
  <c r="A194" i="25" s="1"/>
  <c r="G58" i="89"/>
  <c r="C72" i="33"/>
  <c r="A53" i="69"/>
  <c r="A58" i="69" s="1"/>
  <c r="C57" i="69"/>
  <c r="C56" i="69"/>
  <c r="C55" i="69"/>
  <c r="F22" i="63"/>
  <c r="F23" i="63" s="1"/>
  <c r="C22" i="63"/>
  <c r="C56" i="41"/>
  <c r="F73" i="47"/>
  <c r="F71" i="47"/>
  <c r="F72" i="47"/>
  <c r="F70" i="47"/>
  <c r="B21" i="39"/>
  <c r="C16" i="39"/>
  <c r="C21" i="39" s="1"/>
  <c r="C22" i="39" s="1"/>
  <c r="A16" i="39"/>
  <c r="C25" i="49"/>
  <c r="F726" i="89" l="1"/>
  <c r="G726" i="89" s="1"/>
  <c r="E779" i="89"/>
  <c r="C779" i="89" s="1"/>
  <c r="G196" i="23"/>
  <c r="F83" i="42"/>
  <c r="F17" i="38" s="1"/>
  <c r="D15" i="40"/>
  <c r="D13" i="40"/>
  <c r="F93" i="23" l="1"/>
  <c r="F139" i="23"/>
  <c r="D16" i="40"/>
  <c r="G17" i="38"/>
  <c r="F175" i="89"/>
  <c r="G175" i="89" s="1"/>
  <c r="E14" i="15"/>
  <c r="E769" i="89" s="1"/>
  <c r="G769" i="89" s="1"/>
  <c r="F723" i="89" l="1"/>
  <c r="G723" i="89" s="1"/>
  <c r="F679" i="89"/>
  <c r="G17" i="15"/>
  <c r="G15" i="15"/>
  <c r="G14" i="15"/>
  <c r="C24" i="15"/>
  <c r="G66" i="33"/>
  <c r="G65" i="33"/>
  <c r="G64" i="33"/>
  <c r="G63" i="33"/>
  <c r="G62" i="33"/>
  <c r="G61" i="33"/>
  <c r="G60" i="33"/>
  <c r="G59" i="33"/>
  <c r="G58" i="33"/>
  <c r="G57" i="33"/>
  <c r="G56" i="33"/>
  <c r="G55" i="33"/>
  <c r="G53" i="33"/>
  <c r="G52" i="33"/>
  <c r="G51" i="33"/>
  <c r="G49" i="33"/>
  <c r="G48" i="33"/>
  <c r="G47" i="33"/>
  <c r="G46" i="33"/>
  <c r="G45" i="33"/>
  <c r="G44" i="33"/>
  <c r="G41" i="33"/>
  <c r="G40" i="33"/>
  <c r="G39" i="33"/>
  <c r="G38" i="33"/>
  <c r="G37" i="33"/>
  <c r="G36" i="33"/>
  <c r="G35" i="33"/>
  <c r="G34" i="33"/>
  <c r="G33" i="33"/>
  <c r="G32" i="33"/>
  <c r="G31" i="33"/>
  <c r="G30" i="33"/>
  <c r="G29" i="33"/>
  <c r="G28" i="33"/>
  <c r="G27" i="33"/>
  <c r="G26" i="33"/>
  <c r="G25" i="33"/>
  <c r="G24" i="33"/>
  <c r="G23" i="33"/>
  <c r="G22" i="33"/>
  <c r="G21" i="33"/>
  <c r="G20" i="33"/>
  <c r="G19" i="33"/>
  <c r="G16" i="33"/>
  <c r="G15" i="33"/>
  <c r="G181" i="25"/>
  <c r="G175" i="25"/>
  <c r="G174" i="25"/>
  <c r="G173" i="25"/>
  <c r="G172" i="25"/>
  <c r="G171" i="25"/>
  <c r="G170" i="25"/>
  <c r="G169" i="25"/>
  <c r="G168" i="25"/>
  <c r="G167" i="25"/>
  <c r="G166" i="25"/>
  <c r="G165" i="25"/>
  <c r="G164" i="25"/>
  <c r="G163" i="25"/>
  <c r="G162" i="25"/>
  <c r="G161" i="25"/>
  <c r="G160" i="25"/>
  <c r="G159" i="25"/>
  <c r="G158" i="25"/>
  <c r="G157" i="25"/>
  <c r="G156" i="25"/>
  <c r="G155" i="25"/>
  <c r="G154" i="25"/>
  <c r="G153" i="25"/>
  <c r="G152" i="25"/>
  <c r="G151" i="25"/>
  <c r="G149" i="25"/>
  <c r="G148" i="25"/>
  <c r="G147" i="25"/>
  <c r="G146" i="25"/>
  <c r="G145" i="25"/>
  <c r="G144" i="25"/>
  <c r="G143" i="25"/>
  <c r="G142" i="25"/>
  <c r="G141" i="25"/>
  <c r="G139" i="25"/>
  <c r="G138" i="25"/>
  <c r="G137" i="25"/>
  <c r="G136" i="25"/>
  <c r="G135" i="25"/>
  <c r="G134" i="25"/>
  <c r="G133" i="25"/>
  <c r="G127" i="25"/>
  <c r="G126" i="25"/>
  <c r="G125" i="25"/>
  <c r="G124" i="25"/>
  <c r="G123" i="25"/>
  <c r="G122" i="25"/>
  <c r="G121" i="25"/>
  <c r="G120" i="25"/>
  <c r="G119" i="25"/>
  <c r="G118" i="25"/>
  <c r="G117" i="25"/>
  <c r="G116" i="25"/>
  <c r="G115" i="25"/>
  <c r="G114" i="25"/>
  <c r="G113" i="25"/>
  <c r="G112" i="25"/>
  <c r="G111" i="25"/>
  <c r="G110" i="25"/>
  <c r="G109" i="25"/>
  <c r="G108" i="25"/>
  <c r="G107" i="25"/>
  <c r="G106" i="25"/>
  <c r="G105" i="25"/>
  <c r="G104" i="25"/>
  <c r="G103" i="25"/>
  <c r="G102" i="25"/>
  <c r="G101" i="25"/>
  <c r="G100" i="25"/>
  <c r="G99" i="25"/>
  <c r="G98" i="25"/>
  <c r="G97" i="25"/>
  <c r="G96" i="25"/>
  <c r="G95" i="25"/>
  <c r="G94" i="25"/>
  <c r="G93" i="25"/>
  <c r="G92" i="25"/>
  <c r="G91" i="25"/>
  <c r="G90" i="25"/>
  <c r="G89" i="25"/>
  <c r="G88" i="25"/>
  <c r="G87" i="25"/>
  <c r="G86" i="25"/>
  <c r="G85" i="25"/>
  <c r="G84" i="25"/>
  <c r="G83" i="25"/>
  <c r="G82" i="25"/>
  <c r="G81" i="25"/>
  <c r="G80" i="25"/>
  <c r="G79" i="25"/>
  <c r="G78" i="25"/>
  <c r="G77" i="25"/>
  <c r="G76" i="25"/>
  <c r="G75" i="25"/>
  <c r="G69" i="25"/>
  <c r="G68" i="25"/>
  <c r="G67" i="25"/>
  <c r="G66" i="25"/>
  <c r="G65" i="25"/>
  <c r="G64" i="25"/>
  <c r="G63" i="25"/>
  <c r="G62" i="25"/>
  <c r="G61" i="25"/>
  <c r="G60" i="25"/>
  <c r="G59" i="25"/>
  <c r="G58" i="25"/>
  <c r="G57" i="25"/>
  <c r="G56" i="25"/>
  <c r="G55" i="25"/>
  <c r="G54" i="25"/>
  <c r="G53" i="25"/>
  <c r="G52" i="25"/>
  <c r="G50" i="25"/>
  <c r="G49" i="25"/>
  <c r="G48" i="25"/>
  <c r="G47" i="25"/>
  <c r="G46" i="25"/>
  <c r="G45" i="25"/>
  <c r="G44" i="25"/>
  <c r="G43" i="25"/>
  <c r="G42" i="25"/>
  <c r="G41" i="25"/>
  <c r="G40" i="25"/>
  <c r="G39" i="25"/>
  <c r="G38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G23" i="25"/>
  <c r="G22" i="25"/>
  <c r="G20" i="25"/>
  <c r="G19" i="25"/>
  <c r="G18" i="25"/>
  <c r="G17" i="25"/>
  <c r="G16" i="25"/>
  <c r="G268" i="22"/>
  <c r="G267" i="22"/>
  <c r="G266" i="22"/>
  <c r="G265" i="22"/>
  <c r="G264" i="22"/>
  <c r="G263" i="22"/>
  <c r="G262" i="22"/>
  <c r="G261" i="22"/>
  <c r="G260" i="22"/>
  <c r="G259" i="22"/>
  <c r="G257" i="22"/>
  <c r="G256" i="22"/>
  <c r="G255" i="22"/>
  <c r="G253" i="22"/>
  <c r="G252" i="22"/>
  <c r="G251" i="22"/>
  <c r="G249" i="22"/>
  <c r="G246" i="22"/>
  <c r="G245" i="22"/>
  <c r="G244" i="22"/>
  <c r="G243" i="22"/>
  <c r="G242" i="22"/>
  <c r="G241" i="22"/>
  <c r="G240" i="22"/>
  <c r="G239" i="22"/>
  <c r="G238" i="22"/>
  <c r="G237" i="22"/>
  <c r="G236" i="22"/>
  <c r="G235" i="22"/>
  <c r="G234" i="22"/>
  <c r="G233" i="22"/>
  <c r="G232" i="22"/>
  <c r="G231" i="22"/>
  <c r="G230" i="22"/>
  <c r="G229" i="22"/>
  <c r="G228" i="22"/>
  <c r="G227" i="22"/>
  <c r="G226" i="22"/>
  <c r="G225" i="22"/>
  <c r="G224" i="22"/>
  <c r="G223" i="22"/>
  <c r="G222" i="22"/>
  <c r="G221" i="22"/>
  <c r="G220" i="22"/>
  <c r="G218" i="22"/>
  <c r="G217" i="22"/>
  <c r="G215" i="22"/>
  <c r="G214" i="22"/>
  <c r="G210" i="22"/>
  <c r="G209" i="22"/>
  <c r="G208" i="22"/>
  <c r="G207" i="22"/>
  <c r="G206" i="22"/>
  <c r="G205" i="22"/>
  <c r="G204" i="22"/>
  <c r="G203" i="22"/>
  <c r="G202" i="22"/>
  <c r="G201" i="22"/>
  <c r="G200" i="22"/>
  <c r="G199" i="22"/>
  <c r="G198" i="22"/>
  <c r="G196" i="22"/>
  <c r="G194" i="22"/>
  <c r="G193" i="22"/>
  <c r="G192" i="22"/>
  <c r="G191" i="22"/>
  <c r="G190" i="22"/>
  <c r="G189" i="22"/>
  <c r="G188" i="22"/>
  <c r="G187" i="22"/>
  <c r="G186" i="22"/>
  <c r="G185" i="22"/>
  <c r="G184" i="22"/>
  <c r="G183" i="22"/>
  <c r="G182" i="22"/>
  <c r="G181" i="22"/>
  <c r="G180" i="22"/>
  <c r="G179" i="22"/>
  <c r="G178" i="22"/>
  <c r="G177" i="22"/>
  <c r="G176" i="22"/>
  <c r="G174" i="22"/>
  <c r="G173" i="22"/>
  <c r="G172" i="22"/>
  <c r="G171" i="22"/>
  <c r="G170" i="22"/>
  <c r="G169" i="22"/>
  <c r="G168" i="22"/>
  <c r="G167" i="22"/>
  <c r="G166" i="22"/>
  <c r="G165" i="22"/>
  <c r="G164" i="22"/>
  <c r="G163" i="22"/>
  <c r="G162" i="22"/>
  <c r="G161" i="22"/>
  <c r="G160" i="22"/>
  <c r="G159" i="22"/>
  <c r="G158" i="22"/>
  <c r="G157" i="22"/>
  <c r="G156" i="22"/>
  <c r="G155" i="22"/>
  <c r="G154" i="22"/>
  <c r="G153" i="22"/>
  <c r="G152" i="22"/>
  <c r="G151" i="22"/>
  <c r="G150" i="22"/>
  <c r="G148" i="22"/>
  <c r="G147" i="22"/>
  <c r="G146" i="22"/>
  <c r="G145" i="22"/>
  <c r="G144" i="22"/>
  <c r="G143" i="22"/>
  <c r="G142" i="22"/>
  <c r="G141" i="22"/>
  <c r="G140" i="22"/>
  <c r="G139" i="22"/>
  <c r="G138" i="22"/>
  <c r="G137" i="22"/>
  <c r="G136" i="22"/>
  <c r="G135" i="22"/>
  <c r="G134" i="22"/>
  <c r="G133" i="22"/>
  <c r="G132" i="22"/>
  <c r="G131" i="22"/>
  <c r="G130" i="22"/>
  <c r="G129" i="22"/>
  <c r="G127" i="22"/>
  <c r="G126" i="22"/>
  <c r="G125" i="22"/>
  <c r="G124" i="22"/>
  <c r="G123" i="22"/>
  <c r="G122" i="22"/>
  <c r="G121" i="22"/>
  <c r="G120" i="22"/>
  <c r="G119" i="22"/>
  <c r="G118" i="22"/>
  <c r="G117" i="22"/>
  <c r="G116" i="22"/>
  <c r="G115" i="22"/>
  <c r="G114" i="22"/>
  <c r="G113" i="22"/>
  <c r="G112" i="22"/>
  <c r="G111" i="22"/>
  <c r="G110" i="22"/>
  <c r="G109" i="22"/>
  <c r="G108" i="22"/>
  <c r="G107" i="22"/>
  <c r="G106" i="22"/>
  <c r="G105" i="22"/>
  <c r="G104" i="22"/>
  <c r="G103" i="22"/>
  <c r="G102" i="22"/>
  <c r="G101" i="22"/>
  <c r="G97" i="22"/>
  <c r="G96" i="22"/>
  <c r="G95" i="22"/>
  <c r="G94" i="22"/>
  <c r="G93" i="22"/>
  <c r="G92" i="22"/>
  <c r="G91" i="22"/>
  <c r="G90" i="22"/>
  <c r="G89" i="22"/>
  <c r="G88" i="22"/>
  <c r="G87" i="22"/>
  <c r="G86" i="22"/>
  <c r="G85" i="22"/>
  <c r="G84" i="22"/>
  <c r="G83" i="22"/>
  <c r="G82" i="22"/>
  <c r="G81" i="22"/>
  <c r="G80" i="22"/>
  <c r="G79" i="22"/>
  <c r="G78" i="22"/>
  <c r="G77" i="22"/>
  <c r="G76" i="22"/>
  <c r="G75" i="22"/>
  <c r="G74" i="22"/>
  <c r="G73" i="22"/>
  <c r="G72" i="22"/>
  <c r="G71" i="22"/>
  <c r="G70" i="22"/>
  <c r="G69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2" i="22"/>
  <c r="G21" i="22"/>
  <c r="G20" i="22"/>
  <c r="G19" i="22"/>
  <c r="G18" i="22"/>
  <c r="G17" i="22"/>
  <c r="G16" i="22"/>
  <c r="G143" i="23"/>
  <c r="G142" i="23"/>
  <c r="G141" i="23"/>
  <c r="G139" i="23"/>
  <c r="C65" i="24"/>
  <c r="C64" i="24"/>
  <c r="C63" i="24"/>
  <c r="C155" i="23"/>
  <c r="C154" i="23"/>
  <c r="C153" i="23"/>
  <c r="C278" i="22"/>
  <c r="C277" i="22"/>
  <c r="C276" i="22"/>
  <c r="C193" i="25"/>
  <c r="C192" i="25"/>
  <c r="C191" i="25"/>
  <c r="C190" i="25"/>
  <c r="G130" i="25" l="1"/>
  <c r="I60" i="71"/>
  <c r="I160" i="67"/>
  <c r="R13" i="88" l="1"/>
  <c r="AB17" i="88" l="1"/>
  <c r="AB20" i="88"/>
  <c r="AB22" i="88"/>
  <c r="AB25" i="88"/>
  <c r="AB27" i="88"/>
  <c r="AB29" i="88"/>
  <c r="AB31" i="88"/>
  <c r="AB34" i="88"/>
  <c r="AB36" i="88"/>
  <c r="AB39" i="88"/>
  <c r="AB41" i="88"/>
  <c r="AB44" i="88"/>
  <c r="E44" i="88" s="1"/>
  <c r="AB46" i="88"/>
  <c r="AB47" i="88"/>
  <c r="AB48" i="88"/>
  <c r="AB50" i="88"/>
  <c r="AB52" i="88"/>
  <c r="E52" i="88" s="1"/>
  <c r="AB54" i="88"/>
  <c r="E54" i="88" s="1"/>
  <c r="AB55" i="88"/>
  <c r="AB56" i="88"/>
  <c r="AB57" i="88"/>
  <c r="AB58" i="88"/>
  <c r="AB60" i="88"/>
  <c r="AB70" i="88"/>
  <c r="AB73" i="88"/>
  <c r="AB76" i="88"/>
  <c r="E76" i="88" s="1"/>
  <c r="AB78" i="88"/>
  <c r="E78" i="88" s="1"/>
  <c r="AB98" i="88"/>
  <c r="AB99" i="88"/>
  <c r="AB100" i="88"/>
  <c r="AB102" i="88"/>
  <c r="AB104" i="88"/>
  <c r="AB105" i="88"/>
  <c r="AB106" i="88"/>
  <c r="AB108" i="88"/>
  <c r="AB80" i="88"/>
  <c r="E80" i="88" s="1"/>
  <c r="AB82" i="88"/>
  <c r="AB84" i="88"/>
  <c r="E84" i="88" s="1"/>
  <c r="AB85" i="88"/>
  <c r="E85" i="88" s="1"/>
  <c r="AB88" i="88"/>
  <c r="E88" i="88" s="1"/>
  <c r="AB91" i="88"/>
  <c r="E91" i="88" s="1"/>
  <c r="AB94" i="88"/>
  <c r="AB23" i="88"/>
  <c r="AB28" i="88"/>
  <c r="AB32" i="88"/>
  <c r="AB38" i="88"/>
  <c r="AB42" i="88"/>
  <c r="AB51" i="88"/>
  <c r="AB19" i="88"/>
  <c r="AB26" i="88"/>
  <c r="AB30" i="88"/>
  <c r="AB35" i="88"/>
  <c r="AB40" i="88"/>
  <c r="AB45" i="88"/>
  <c r="AB49" i="88"/>
  <c r="AB53" i="88"/>
  <c r="AB59" i="88"/>
  <c r="AB71" i="88"/>
  <c r="AB74" i="88"/>
  <c r="AB77" i="88"/>
  <c r="AB101" i="88"/>
  <c r="AB103" i="88"/>
  <c r="AB81" i="88"/>
  <c r="E81" i="88" s="1"/>
  <c r="AB87" i="88"/>
  <c r="E87" i="88" s="1"/>
  <c r="AB89" i="88"/>
  <c r="AB92" i="88"/>
  <c r="AB96" i="88"/>
  <c r="AB16" i="88"/>
  <c r="Y53" i="88" l="1"/>
  <c r="AA53" i="88"/>
  <c r="Y28" i="88"/>
  <c r="AA28" i="88"/>
  <c r="Y88" i="88"/>
  <c r="AA88" i="88"/>
  <c r="Y100" i="88"/>
  <c r="AA100" i="88"/>
  <c r="Y52" i="88"/>
  <c r="AA52" i="88"/>
  <c r="Y36" i="88"/>
  <c r="AA36" i="88"/>
  <c r="Y27" i="88"/>
  <c r="AA27" i="88"/>
  <c r="Y87" i="88"/>
  <c r="AA87" i="88"/>
  <c r="Y101" i="88"/>
  <c r="AA101" i="88"/>
  <c r="Y71" i="88"/>
  <c r="AA71" i="88"/>
  <c r="Y49" i="88"/>
  <c r="AA49" i="88"/>
  <c r="Y30" i="88"/>
  <c r="AA30" i="88"/>
  <c r="Y42" i="88"/>
  <c r="AA42" i="88"/>
  <c r="Y23" i="88"/>
  <c r="AA23" i="88"/>
  <c r="Y85" i="88"/>
  <c r="AA85" i="88"/>
  <c r="Y106" i="88"/>
  <c r="AA106" i="88"/>
  <c r="Y104" i="88"/>
  <c r="AA104" i="88"/>
  <c r="Y99" i="88"/>
  <c r="AA99" i="88"/>
  <c r="Y78" i="88"/>
  <c r="AA78" i="88"/>
  <c r="Y70" i="88"/>
  <c r="AA70" i="88"/>
  <c r="Y56" i="88"/>
  <c r="AA56" i="88"/>
  <c r="Y50" i="88"/>
  <c r="AA50" i="88"/>
  <c r="Y44" i="88"/>
  <c r="AA44" i="88"/>
  <c r="Y34" i="88"/>
  <c r="AA34" i="88"/>
  <c r="Y25" i="88"/>
  <c r="AA25" i="88"/>
  <c r="Y89" i="88"/>
  <c r="AA89" i="88"/>
  <c r="Y103" i="88"/>
  <c r="AA103" i="88"/>
  <c r="Y35" i="88"/>
  <c r="AA35" i="88"/>
  <c r="Y80" i="88"/>
  <c r="AA80" i="88"/>
  <c r="Y46" i="88"/>
  <c r="AA46" i="88"/>
  <c r="Y17" i="88"/>
  <c r="AA17" i="88"/>
  <c r="Y16" i="88"/>
  <c r="AA16" i="88"/>
  <c r="Y96" i="88"/>
  <c r="AA96" i="88"/>
  <c r="Y81" i="88"/>
  <c r="AA81" i="88"/>
  <c r="Y74" i="88"/>
  <c r="AA74" i="88"/>
  <c r="Y45" i="88"/>
  <c r="AA45" i="88"/>
  <c r="Y26" i="88"/>
  <c r="AA26" i="88"/>
  <c r="Y38" i="88"/>
  <c r="AA38" i="88"/>
  <c r="Y94" i="88"/>
  <c r="AA94" i="88"/>
  <c r="Y84" i="88"/>
  <c r="AA84" i="88"/>
  <c r="Y108" i="88"/>
  <c r="AA108" i="88"/>
  <c r="Y73" i="88"/>
  <c r="AA73" i="88"/>
  <c r="Y60" i="88"/>
  <c r="AA60" i="88"/>
  <c r="Y55" i="88"/>
  <c r="AA55" i="88"/>
  <c r="Y48" i="88"/>
  <c r="AA48" i="88"/>
  <c r="Y41" i="88"/>
  <c r="AA41" i="88"/>
  <c r="Y31" i="88"/>
  <c r="AA31" i="88"/>
  <c r="Y22" i="88"/>
  <c r="AA22" i="88"/>
  <c r="Y77" i="88"/>
  <c r="AA77" i="88"/>
  <c r="Y51" i="88"/>
  <c r="AA51" i="88"/>
  <c r="Y57" i="88"/>
  <c r="AA57" i="88"/>
  <c r="Y92" i="88"/>
  <c r="AA92" i="88"/>
  <c r="Y59" i="88"/>
  <c r="AA59" i="88"/>
  <c r="Y40" i="88"/>
  <c r="AA40" i="88"/>
  <c r="Y19" i="88"/>
  <c r="AA19" i="88"/>
  <c r="Y32" i="88"/>
  <c r="AA32" i="88"/>
  <c r="Y91" i="88"/>
  <c r="AA91" i="88"/>
  <c r="Y82" i="88"/>
  <c r="AA82" i="88"/>
  <c r="Y105" i="88"/>
  <c r="AA105" i="88"/>
  <c r="Y102" i="88"/>
  <c r="AA102" i="88"/>
  <c r="Y98" i="88"/>
  <c r="AA98" i="88"/>
  <c r="Y76" i="88"/>
  <c r="AA76" i="88"/>
  <c r="Y58" i="88"/>
  <c r="AA58" i="88"/>
  <c r="Y54" i="88"/>
  <c r="AA54" i="88"/>
  <c r="Y47" i="88"/>
  <c r="AA47" i="88"/>
  <c r="Y39" i="88"/>
  <c r="AA39" i="88"/>
  <c r="Y29" i="88"/>
  <c r="AA29" i="88"/>
  <c r="Y20" i="88"/>
  <c r="AA20" i="88"/>
  <c r="E29" i="88"/>
  <c r="E98" i="88"/>
  <c r="E48" i="88"/>
  <c r="E99" i="88"/>
  <c r="E31" i="88"/>
  <c r="E60" i="88"/>
  <c r="E73" i="88"/>
  <c r="E57" i="88"/>
  <c r="E106" i="88"/>
  <c r="E50" i="88"/>
  <c r="E34" i="88"/>
  <c r="E70" i="88"/>
  <c r="E56" i="88"/>
  <c r="E104" i="88"/>
  <c r="E25" i="88"/>
  <c r="E17" i="88"/>
  <c r="E46" i="88"/>
  <c r="E41" i="88"/>
  <c r="E55" i="88"/>
  <c r="E22" i="88"/>
  <c r="E38" i="88"/>
  <c r="E94" i="88"/>
  <c r="E82" i="88"/>
  <c r="E27" i="88"/>
  <c r="E20" i="88"/>
  <c r="E39" i="88"/>
  <c r="E100" i="88"/>
  <c r="E47" i="88"/>
  <c r="E36" i="88"/>
  <c r="E102" i="88"/>
  <c r="E105" i="88"/>
  <c r="E58" i="88"/>
  <c r="E108" i="88"/>
  <c r="E59" i="88"/>
  <c r="E19" i="88"/>
  <c r="E74" i="88"/>
  <c r="E40" i="88"/>
  <c r="E51" i="88"/>
  <c r="E77" i="88"/>
  <c r="E101" i="88"/>
  <c r="E53" i="88"/>
  <c r="E35" i="88"/>
  <c r="E32" i="88"/>
  <c r="E26" i="88"/>
  <c r="E71" i="88"/>
  <c r="E45" i="88"/>
  <c r="E96" i="88"/>
  <c r="E16" i="88"/>
  <c r="E92" i="88"/>
  <c r="E28" i="88"/>
  <c r="E103" i="88"/>
  <c r="E42" i="88"/>
  <c r="E23" i="88"/>
  <c r="E49" i="88"/>
  <c r="E30" i="88"/>
  <c r="E89" i="88"/>
  <c r="X110" i="88" l="1"/>
  <c r="Z111" i="88" s="1"/>
  <c r="G96" i="88"/>
  <c r="D96" i="88"/>
  <c r="F96" i="88" s="1"/>
  <c r="E65" i="87" s="1"/>
  <c r="G94" i="88"/>
  <c r="D94" i="88"/>
  <c r="F94" i="88" s="1"/>
  <c r="E64" i="87" s="1"/>
  <c r="G92" i="88"/>
  <c r="D92" i="88"/>
  <c r="F92" i="88" s="1"/>
  <c r="G91" i="88"/>
  <c r="D91" i="88"/>
  <c r="F91" i="88" s="1"/>
  <c r="E63" i="87" s="1"/>
  <c r="G89" i="88"/>
  <c r="D89" i="88"/>
  <c r="F89" i="88" s="1"/>
  <c r="G88" i="88"/>
  <c r="D88" i="88"/>
  <c r="F88" i="88" s="1"/>
  <c r="G87" i="88"/>
  <c r="D87" i="88"/>
  <c r="F87" i="88" s="1"/>
  <c r="E62" i="87" s="1"/>
  <c r="G85" i="88"/>
  <c r="D85" i="88"/>
  <c r="F85" i="88" s="1"/>
  <c r="G84" i="88"/>
  <c r="D84" i="88"/>
  <c r="F84" i="88" s="1"/>
  <c r="E60" i="87" s="1"/>
  <c r="G82" i="88"/>
  <c r="D82" i="88"/>
  <c r="F82" i="88" s="1"/>
  <c r="G81" i="88"/>
  <c r="D81" i="88"/>
  <c r="F81" i="88" s="1"/>
  <c r="G80" i="88"/>
  <c r="D80" i="88"/>
  <c r="F80" i="88" s="1"/>
  <c r="E58" i="87" s="1"/>
  <c r="G108" i="88"/>
  <c r="D108" i="88"/>
  <c r="F108" i="88" s="1"/>
  <c r="G107" i="88"/>
  <c r="D107" i="88"/>
  <c r="G106" i="88"/>
  <c r="D106" i="88"/>
  <c r="F106" i="88" s="1"/>
  <c r="E73" i="87" s="1"/>
  <c r="G105" i="88"/>
  <c r="D105" i="88"/>
  <c r="F105" i="88" s="1"/>
  <c r="E72" i="87" s="1"/>
  <c r="G104" i="88"/>
  <c r="D104" i="88"/>
  <c r="F104" i="88" s="1"/>
  <c r="G103" i="88"/>
  <c r="D103" i="88"/>
  <c r="F103" i="88" s="1"/>
  <c r="E71" i="87" s="1"/>
  <c r="G102" i="88"/>
  <c r="D102" i="88"/>
  <c r="F102" i="88" s="1"/>
  <c r="E70" i="87" s="1"/>
  <c r="G101" i="88"/>
  <c r="D101" i="88"/>
  <c r="F101" i="88" s="1"/>
  <c r="E69" i="87" s="1"/>
  <c r="G100" i="88"/>
  <c r="D100" i="88"/>
  <c r="F100" i="88" s="1"/>
  <c r="E68" i="87" s="1"/>
  <c r="G99" i="88"/>
  <c r="D99" i="88"/>
  <c r="F99" i="88" s="1"/>
  <c r="E67" i="87" s="1"/>
  <c r="G98" i="88"/>
  <c r="D98" i="88"/>
  <c r="F98" i="88" s="1"/>
  <c r="E66" i="87" s="1"/>
  <c r="G78" i="88"/>
  <c r="D78" i="88"/>
  <c r="F78" i="88" s="1"/>
  <c r="G77" i="88"/>
  <c r="D77" i="88"/>
  <c r="F77" i="88" s="1"/>
  <c r="G76" i="88"/>
  <c r="D76" i="88"/>
  <c r="F76" i="88" s="1"/>
  <c r="E57" i="87" s="1"/>
  <c r="G74" i="88"/>
  <c r="D74" i="88"/>
  <c r="F74" i="88" s="1"/>
  <c r="E56" i="87" s="1"/>
  <c r="G73" i="88"/>
  <c r="D73" i="88"/>
  <c r="F73" i="88" s="1"/>
  <c r="E55" i="87" s="1"/>
  <c r="G71" i="88"/>
  <c r="D71" i="88"/>
  <c r="F71" i="88" s="1"/>
  <c r="E54" i="87" s="1"/>
  <c r="G70" i="88"/>
  <c r="D70" i="88"/>
  <c r="F70" i="88" s="1"/>
  <c r="E53" i="87" s="1"/>
  <c r="G69" i="88"/>
  <c r="D69" i="88"/>
  <c r="G68" i="88"/>
  <c r="D68" i="88"/>
  <c r="G67" i="88"/>
  <c r="D67" i="88"/>
  <c r="G66" i="88"/>
  <c r="D66" i="88"/>
  <c r="G65" i="88"/>
  <c r="D65" i="88"/>
  <c r="G64" i="88"/>
  <c r="D64" i="88"/>
  <c r="G63" i="88"/>
  <c r="D63" i="88"/>
  <c r="G62" i="88"/>
  <c r="D62" i="88"/>
  <c r="G60" i="88"/>
  <c r="D60" i="88"/>
  <c r="F60" i="88" s="1"/>
  <c r="E44" i="87" s="1"/>
  <c r="G59" i="88"/>
  <c r="D59" i="88"/>
  <c r="F59" i="88" s="1"/>
  <c r="E43" i="87" s="1"/>
  <c r="G58" i="88"/>
  <c r="D58" i="88"/>
  <c r="F58" i="88" s="1"/>
  <c r="E42" i="87" s="1"/>
  <c r="G57" i="88"/>
  <c r="D57" i="88"/>
  <c r="F57" i="88" s="1"/>
  <c r="E41" i="87" s="1"/>
  <c r="G56" i="88"/>
  <c r="D56" i="88"/>
  <c r="F56" i="88" s="1"/>
  <c r="E40" i="87" s="1"/>
  <c r="G55" i="88"/>
  <c r="D55" i="88"/>
  <c r="F55" i="88" s="1"/>
  <c r="E39" i="87" s="1"/>
  <c r="G54" i="88"/>
  <c r="D54" i="88"/>
  <c r="F54" i="88" s="1"/>
  <c r="E38" i="87" s="1"/>
  <c r="G53" i="88"/>
  <c r="D53" i="88"/>
  <c r="F53" i="88" s="1"/>
  <c r="G52" i="88"/>
  <c r="D52" i="88"/>
  <c r="F52" i="88" s="1"/>
  <c r="E37" i="87" s="1"/>
  <c r="G51" i="88"/>
  <c r="D51" i="88"/>
  <c r="F51" i="88" s="1"/>
  <c r="G50" i="88"/>
  <c r="D50" i="88"/>
  <c r="F50" i="88" s="1"/>
  <c r="E36" i="87" s="1"/>
  <c r="G49" i="88"/>
  <c r="D49" i="88"/>
  <c r="F49" i="88" s="1"/>
  <c r="G48" i="88"/>
  <c r="D48" i="88"/>
  <c r="F48" i="88" s="1"/>
  <c r="E35" i="87" s="1"/>
  <c r="G47" i="88"/>
  <c r="D47" i="88"/>
  <c r="F47" i="88" s="1"/>
  <c r="G46" i="88"/>
  <c r="D46" i="88"/>
  <c r="F46" i="88" s="1"/>
  <c r="E34" i="87" s="1"/>
  <c r="G45" i="88"/>
  <c r="D45" i="88"/>
  <c r="F45" i="88" s="1"/>
  <c r="E33" i="87" s="1"/>
  <c r="G44" i="88"/>
  <c r="D44" i="88"/>
  <c r="F44" i="88" s="1"/>
  <c r="E32" i="87" s="1"/>
  <c r="G42" i="88"/>
  <c r="D42" i="88"/>
  <c r="F42" i="88" s="1"/>
  <c r="G41" i="88"/>
  <c r="D41" i="88"/>
  <c r="F41" i="88" s="1"/>
  <c r="E31" i="87" s="1"/>
  <c r="G40" i="88"/>
  <c r="D40" i="88"/>
  <c r="F40" i="88" s="1"/>
  <c r="E30" i="87" s="1"/>
  <c r="G39" i="88"/>
  <c r="D39" i="88"/>
  <c r="F39" i="88" s="1"/>
  <c r="E29" i="87" s="1"/>
  <c r="G38" i="88"/>
  <c r="D38" i="88"/>
  <c r="F38" i="88" s="1"/>
  <c r="E28" i="87" s="1"/>
  <c r="G36" i="88"/>
  <c r="D36" i="88"/>
  <c r="F36" i="88" s="1"/>
  <c r="E27" i="87" s="1"/>
  <c r="G35" i="88"/>
  <c r="D35" i="88"/>
  <c r="F35" i="88" s="1"/>
  <c r="E26" i="87" s="1"/>
  <c r="G34" i="88"/>
  <c r="D34" i="88"/>
  <c r="F34" i="88" s="1"/>
  <c r="E25" i="87" s="1"/>
  <c r="G32" i="88"/>
  <c r="D32" i="88"/>
  <c r="F32" i="88" s="1"/>
  <c r="E24" i="87" s="1"/>
  <c r="G31" i="88"/>
  <c r="D31" i="88"/>
  <c r="F31" i="88" s="1"/>
  <c r="E23" i="87" s="1"/>
  <c r="G30" i="88"/>
  <c r="D30" i="88"/>
  <c r="F30" i="88" s="1"/>
  <c r="E22" i="87" s="1"/>
  <c r="G29" i="88"/>
  <c r="D29" i="88"/>
  <c r="F29" i="88" s="1"/>
  <c r="G28" i="88"/>
  <c r="D28" i="88"/>
  <c r="F28" i="88" s="1"/>
  <c r="G27" i="88"/>
  <c r="D27" i="88"/>
  <c r="F27" i="88" s="1"/>
  <c r="E20" i="87" s="1"/>
  <c r="G26" i="88"/>
  <c r="D26" i="88"/>
  <c r="F26" i="88" s="1"/>
  <c r="G25" i="88"/>
  <c r="D25" i="88"/>
  <c r="F25" i="88" s="1"/>
  <c r="E19" i="87" s="1"/>
  <c r="G23" i="88"/>
  <c r="D23" i="88"/>
  <c r="F23" i="88" s="1"/>
  <c r="G22" i="88"/>
  <c r="D22" i="88"/>
  <c r="F22" i="88" s="1"/>
  <c r="E18" i="87" s="1"/>
  <c r="G20" i="88"/>
  <c r="D20" i="88"/>
  <c r="F20" i="88" s="1"/>
  <c r="G19" i="88"/>
  <c r="D19" i="88"/>
  <c r="F19" i="88" s="1"/>
  <c r="E17" i="87" s="1"/>
  <c r="G17" i="88"/>
  <c r="D17" i="88"/>
  <c r="F17" i="88" s="1"/>
  <c r="E16" i="87" s="1"/>
  <c r="G16" i="88"/>
  <c r="D16" i="88"/>
  <c r="F16" i="88" s="1"/>
  <c r="E15" i="87" s="1"/>
  <c r="G15" i="88"/>
  <c r="E61" i="87" l="1"/>
  <c r="E157" i="89" s="1"/>
  <c r="E112" i="89"/>
  <c r="E122" i="89"/>
  <c r="E126" i="89"/>
  <c r="E137" i="89"/>
  <c r="E149" i="89"/>
  <c r="E153" i="89"/>
  <c r="E113" i="89"/>
  <c r="E115" i="89"/>
  <c r="E119" i="89"/>
  <c r="E123" i="89"/>
  <c r="E127" i="89"/>
  <c r="E130" i="89"/>
  <c r="E132" i="89"/>
  <c r="E134" i="89"/>
  <c r="E138" i="89"/>
  <c r="E140" i="89"/>
  <c r="E152" i="89"/>
  <c r="E162" i="89"/>
  <c r="E166" i="89"/>
  <c r="E59" i="87"/>
  <c r="E158" i="89"/>
  <c r="E161" i="89"/>
  <c r="E111" i="89"/>
  <c r="E114" i="89"/>
  <c r="E116" i="89"/>
  <c r="E21" i="87"/>
  <c r="E121" i="89"/>
  <c r="E125" i="89"/>
  <c r="E128" i="89"/>
  <c r="E131" i="89"/>
  <c r="E133" i="89"/>
  <c r="E136" i="89"/>
  <c r="E150" i="89"/>
  <c r="E164" i="89"/>
  <c r="E169" i="89"/>
  <c r="E156" i="89"/>
  <c r="E118" i="89"/>
  <c r="E120" i="89"/>
  <c r="E124" i="89"/>
  <c r="E129" i="89"/>
  <c r="E135" i="89"/>
  <c r="E139" i="89"/>
  <c r="E151" i="89"/>
  <c r="E163" i="89"/>
  <c r="E165" i="89"/>
  <c r="E167" i="89"/>
  <c r="E168" i="89"/>
  <c r="E154" i="89"/>
  <c r="E159" i="89"/>
  <c r="E160" i="89"/>
  <c r="S16" i="88"/>
  <c r="T16" i="88"/>
  <c r="R16" i="88"/>
  <c r="Q16" i="88"/>
  <c r="T19" i="88"/>
  <c r="S19" i="88"/>
  <c r="Q19" i="88"/>
  <c r="R19" i="88"/>
  <c r="S22" i="88"/>
  <c r="T22" i="88"/>
  <c r="Q22" i="88"/>
  <c r="R22" i="88"/>
  <c r="T25" i="88"/>
  <c r="S25" i="88"/>
  <c r="Q25" i="88"/>
  <c r="R25" i="88"/>
  <c r="S27" i="88"/>
  <c r="T27" i="88"/>
  <c r="Q27" i="88"/>
  <c r="R27" i="88"/>
  <c r="T29" i="88"/>
  <c r="S29" i="88"/>
  <c r="Q29" i="88"/>
  <c r="R29" i="88"/>
  <c r="S31" i="88"/>
  <c r="T31" i="88"/>
  <c r="R31" i="88"/>
  <c r="Q31" i="88"/>
  <c r="T34" i="88"/>
  <c r="S34" i="88"/>
  <c r="Q34" i="88"/>
  <c r="R34" i="88"/>
  <c r="S36" i="88"/>
  <c r="T36" i="88"/>
  <c r="Q36" i="88"/>
  <c r="R36" i="88"/>
  <c r="T39" i="88"/>
  <c r="S39" i="88"/>
  <c r="Q39" i="88"/>
  <c r="R39" i="88"/>
  <c r="S41" i="88"/>
  <c r="T41" i="88"/>
  <c r="Q41" i="88"/>
  <c r="R41" i="88"/>
  <c r="T44" i="88"/>
  <c r="S44" i="88"/>
  <c r="Q44" i="88"/>
  <c r="R44" i="88"/>
  <c r="S46" i="88"/>
  <c r="T46" i="88"/>
  <c r="Q46" i="88"/>
  <c r="R46" i="88"/>
  <c r="T48" i="88"/>
  <c r="S48" i="88"/>
  <c r="Q48" i="88"/>
  <c r="R48" i="88"/>
  <c r="S50" i="88"/>
  <c r="T50" i="88"/>
  <c r="Q50" i="88"/>
  <c r="R50" i="88"/>
  <c r="T52" i="88"/>
  <c r="S52" i="88"/>
  <c r="Q52" i="88"/>
  <c r="R52" i="88"/>
  <c r="S54" i="88"/>
  <c r="T54" i="88"/>
  <c r="R54" i="88"/>
  <c r="Q54" i="88"/>
  <c r="T56" i="88"/>
  <c r="S56" i="88"/>
  <c r="Q56" i="88"/>
  <c r="R56" i="88"/>
  <c r="S58" i="88"/>
  <c r="T58" i="88"/>
  <c r="Q58" i="88"/>
  <c r="R58" i="88"/>
  <c r="T60" i="88"/>
  <c r="S60" i="88"/>
  <c r="Q60" i="88"/>
  <c r="R60" i="88"/>
  <c r="T71" i="88"/>
  <c r="S71" i="88"/>
  <c r="Q71" i="88"/>
  <c r="S74" i="88"/>
  <c r="Q74" i="88"/>
  <c r="S77" i="88"/>
  <c r="Q77" i="88"/>
  <c r="S78" i="88"/>
  <c r="Q78" i="88"/>
  <c r="S98" i="88"/>
  <c r="Q98" i="88"/>
  <c r="S101" i="88"/>
  <c r="Q101" i="88"/>
  <c r="S103" i="88"/>
  <c r="Q103" i="88"/>
  <c r="S105" i="88"/>
  <c r="Q105" i="88"/>
  <c r="S81" i="88"/>
  <c r="Q81" i="88"/>
  <c r="S84" i="88"/>
  <c r="Q84" i="88"/>
  <c r="S87" i="88"/>
  <c r="Q87" i="88"/>
  <c r="S89" i="88"/>
  <c r="Q89" i="88"/>
  <c r="S92" i="88"/>
  <c r="Q92" i="88"/>
  <c r="S96" i="88"/>
  <c r="Q96" i="88"/>
  <c r="T17" i="88"/>
  <c r="S17" i="88"/>
  <c r="R17" i="88"/>
  <c r="Q17" i="88"/>
  <c r="T20" i="88"/>
  <c r="R20" i="88"/>
  <c r="S20" i="88"/>
  <c r="Q20" i="88"/>
  <c r="T23" i="88"/>
  <c r="S23" i="88"/>
  <c r="Q23" i="88"/>
  <c r="R23" i="88"/>
  <c r="T26" i="88"/>
  <c r="R26" i="88"/>
  <c r="S26" i="88"/>
  <c r="Q26" i="88"/>
  <c r="T28" i="88"/>
  <c r="Q28" i="88"/>
  <c r="S28" i="88"/>
  <c r="R28" i="88"/>
  <c r="T30" i="88"/>
  <c r="Q30" i="88"/>
  <c r="R30" i="88"/>
  <c r="S30" i="88"/>
  <c r="T32" i="88"/>
  <c r="S32" i="88"/>
  <c r="Q32" i="88"/>
  <c r="R32" i="88"/>
  <c r="T35" i="88"/>
  <c r="R35" i="88"/>
  <c r="S35" i="88"/>
  <c r="Q35" i="88"/>
  <c r="T38" i="88"/>
  <c r="Q38" i="88"/>
  <c r="S38" i="88"/>
  <c r="R38" i="88"/>
  <c r="T40" i="88"/>
  <c r="R40" i="88"/>
  <c r="S40" i="88"/>
  <c r="Q40" i="88"/>
  <c r="T42" i="88"/>
  <c r="S42" i="88"/>
  <c r="Q42" i="88"/>
  <c r="R42" i="88"/>
  <c r="T45" i="88"/>
  <c r="S45" i="88"/>
  <c r="Q45" i="88"/>
  <c r="R45" i="88"/>
  <c r="T47" i="88"/>
  <c r="Q47" i="88"/>
  <c r="S47" i="88"/>
  <c r="R47" i="88"/>
  <c r="T49" i="88"/>
  <c r="R49" i="88"/>
  <c r="S49" i="88"/>
  <c r="Q49" i="88"/>
  <c r="T51" i="88"/>
  <c r="S51" i="88"/>
  <c r="Q51" i="88"/>
  <c r="R51" i="88"/>
  <c r="T53" i="88"/>
  <c r="R53" i="88"/>
  <c r="S53" i="88"/>
  <c r="Q53" i="88"/>
  <c r="S55" i="88"/>
  <c r="T55" i="88"/>
  <c r="Q55" i="88"/>
  <c r="R55" i="88"/>
  <c r="T57" i="88"/>
  <c r="S57" i="88"/>
  <c r="Q57" i="88"/>
  <c r="R57" i="88"/>
  <c r="S59" i="88"/>
  <c r="T59" i="88"/>
  <c r="Q59" i="88"/>
  <c r="R59" i="88"/>
  <c r="T70" i="88"/>
  <c r="S70" i="88"/>
  <c r="Q70" i="88"/>
  <c r="S73" i="88"/>
  <c r="Q73" i="88"/>
  <c r="S76" i="88"/>
  <c r="Q76" i="88"/>
  <c r="S99" i="88"/>
  <c r="Q99" i="88"/>
  <c r="S100" i="88"/>
  <c r="Q100" i="88"/>
  <c r="S102" i="88"/>
  <c r="Q102" i="88"/>
  <c r="S104" i="88"/>
  <c r="Q104" i="88"/>
  <c r="S106" i="88"/>
  <c r="Q106" i="88"/>
  <c r="S108" i="88"/>
  <c r="Q108" i="88"/>
  <c r="S80" i="88"/>
  <c r="Q80" i="88"/>
  <c r="S82" i="88"/>
  <c r="Q82" i="88"/>
  <c r="S85" i="88"/>
  <c r="Q85" i="88"/>
  <c r="S88" i="88"/>
  <c r="Q88" i="88"/>
  <c r="S91" i="88"/>
  <c r="Q91" i="88"/>
  <c r="S94" i="88"/>
  <c r="Q94" i="88"/>
  <c r="AC110" i="88"/>
  <c r="AB15" i="88"/>
  <c r="AA15" i="88" s="1"/>
  <c r="H71" i="88"/>
  <c r="R71" i="88" s="1"/>
  <c r="H73" i="88"/>
  <c r="N73" i="88" s="1"/>
  <c r="H87" i="88"/>
  <c r="L87" i="88" s="1"/>
  <c r="H106" i="88"/>
  <c r="R106" i="88" s="1"/>
  <c r="H89" i="88"/>
  <c r="R89" i="88" s="1"/>
  <c r="H85" i="88"/>
  <c r="N85" i="88" s="1"/>
  <c r="H81" i="88"/>
  <c r="R81" i="88" s="1"/>
  <c r="H108" i="88"/>
  <c r="L108" i="88" s="1"/>
  <c r="N100" i="88"/>
  <c r="H78" i="88"/>
  <c r="N78" i="88" s="1"/>
  <c r="H99" i="88"/>
  <c r="N99" i="88" s="1"/>
  <c r="H77" i="88"/>
  <c r="N77" i="88" s="1"/>
  <c r="H68" i="88"/>
  <c r="H66" i="88"/>
  <c r="H64" i="88"/>
  <c r="H62" i="88"/>
  <c r="H103" i="88"/>
  <c r="N103" i="88" s="1"/>
  <c r="H70" i="88"/>
  <c r="R70" i="88" s="1"/>
  <c r="H74" i="88"/>
  <c r="N74" i="88" s="1"/>
  <c r="H76" i="88"/>
  <c r="R76" i="88" s="1"/>
  <c r="H101" i="88"/>
  <c r="N101" i="88" s="1"/>
  <c r="H84" i="88"/>
  <c r="R84" i="88" s="1"/>
  <c r="H88" i="88"/>
  <c r="N88" i="88" s="1"/>
  <c r="H92" i="88"/>
  <c r="R92" i="88" s="1"/>
  <c r="H102" i="88"/>
  <c r="N102" i="88" s="1"/>
  <c r="H104" i="88"/>
  <c r="N104" i="88" s="1"/>
  <c r="H91" i="88"/>
  <c r="L91" i="88" s="1"/>
  <c r="H96" i="88"/>
  <c r="N96" i="88" s="1"/>
  <c r="H98" i="88"/>
  <c r="N98" i="88" s="1"/>
  <c r="H105" i="88"/>
  <c r="L105" i="88" s="1"/>
  <c r="H80" i="88"/>
  <c r="R80" i="88" s="1"/>
  <c r="H107" i="88"/>
  <c r="L107" i="88" s="1"/>
  <c r="H82" i="88"/>
  <c r="R82" i="88" s="1"/>
  <c r="H94" i="88"/>
  <c r="L94" i="88" s="1"/>
  <c r="E117" i="89" l="1"/>
  <c r="E155" i="89"/>
  <c r="R104" i="88"/>
  <c r="R103" i="88"/>
  <c r="R78" i="88"/>
  <c r="R100" i="88"/>
  <c r="R74" i="88"/>
  <c r="R88" i="88"/>
  <c r="R85" i="88"/>
  <c r="R108" i="88"/>
  <c r="R98" i="88"/>
  <c r="R99" i="88"/>
  <c r="R94" i="88"/>
  <c r="R102" i="88"/>
  <c r="R73" i="88"/>
  <c r="R96" i="88"/>
  <c r="R105" i="88"/>
  <c r="R101" i="88"/>
  <c r="R77" i="88"/>
  <c r="R91" i="88"/>
  <c r="R87" i="88"/>
  <c r="L96" i="88"/>
  <c r="T96" i="88" s="1"/>
  <c r="L89" i="88"/>
  <c r="N84" i="88"/>
  <c r="N107" i="88"/>
  <c r="L103" i="88"/>
  <c r="T103" i="88" s="1"/>
  <c r="L98" i="88"/>
  <c r="T98" i="88" s="1"/>
  <c r="L77" i="88"/>
  <c r="T77" i="88" s="1"/>
  <c r="L74" i="88"/>
  <c r="T74" i="88" s="1"/>
  <c r="N94" i="88"/>
  <c r="T94" i="88" s="1"/>
  <c r="L88" i="88"/>
  <c r="T88" i="88" s="1"/>
  <c r="L82" i="88"/>
  <c r="N108" i="88"/>
  <c r="T108" i="88" s="1"/>
  <c r="L104" i="88"/>
  <c r="T104" i="88" s="1"/>
  <c r="L102" i="88"/>
  <c r="T102" i="88" s="1"/>
  <c r="L99" i="88"/>
  <c r="T99" i="88" s="1"/>
  <c r="L76" i="88"/>
  <c r="N89" i="88"/>
  <c r="L84" i="88"/>
  <c r="N82" i="88"/>
  <c r="N76" i="88"/>
  <c r="L92" i="88"/>
  <c r="N87" i="88"/>
  <c r="T87" i="88" s="1"/>
  <c r="N81" i="88"/>
  <c r="N105" i="88"/>
  <c r="T105" i="88" s="1"/>
  <c r="L101" i="88"/>
  <c r="T101" i="88" s="1"/>
  <c r="L78" i="88"/>
  <c r="T78" i="88" s="1"/>
  <c r="N91" i="88"/>
  <c r="T91" i="88" s="1"/>
  <c r="L85" i="88"/>
  <c r="T85" i="88" s="1"/>
  <c r="L80" i="88"/>
  <c r="L106" i="88"/>
  <c r="L100" i="88"/>
  <c r="T100" i="88" s="1"/>
  <c r="L73" i="88"/>
  <c r="T73" i="88" s="1"/>
  <c r="N92" i="88"/>
  <c r="L81" i="88"/>
  <c r="N80" i="88"/>
  <c r="N106" i="88"/>
  <c r="Y15" i="88"/>
  <c r="E15" i="88"/>
  <c r="T81" i="88" l="1"/>
  <c r="T84" i="88"/>
  <c r="T89" i="88"/>
  <c r="T106" i="88"/>
  <c r="T92" i="88"/>
  <c r="T80" i="88"/>
  <c r="T76" i="88"/>
  <c r="T82" i="88"/>
  <c r="F15" i="88"/>
  <c r="E14" i="87" l="1"/>
  <c r="E110" i="89" s="1"/>
  <c r="T15" i="88"/>
  <c r="R15" i="88"/>
  <c r="S15" i="88"/>
  <c r="Q15" i="88"/>
  <c r="G206" i="23" l="1"/>
  <c r="F94" i="23" s="1"/>
  <c r="E50" i="33"/>
  <c r="E91" i="89" s="1"/>
  <c r="G91" i="89" s="1"/>
  <c r="F680" i="89" l="1"/>
  <c r="G207" i="23"/>
  <c r="F95" i="23" s="1"/>
  <c r="G14" i="33"/>
  <c r="E55" i="89"/>
  <c r="G55" i="89" s="1"/>
  <c r="G50" i="33"/>
  <c r="G90" i="89"/>
  <c r="C65" i="41"/>
  <c r="AE110" i="88"/>
  <c r="F681" i="89" l="1"/>
  <c r="G208" i="23"/>
  <c r="F97" i="23" s="1"/>
  <c r="AG110" i="88"/>
  <c r="AB107" i="88"/>
  <c r="AB69" i="88"/>
  <c r="AA69" i="88" s="1"/>
  <c r="AB68" i="88"/>
  <c r="AA68" i="88" s="1"/>
  <c r="AB67" i="88"/>
  <c r="AA67" i="88" s="1"/>
  <c r="AB66" i="88"/>
  <c r="AA66" i="88" s="1"/>
  <c r="AB65" i="88"/>
  <c r="AA65" i="88" s="1"/>
  <c r="AB64" i="88"/>
  <c r="AA64" i="88" s="1"/>
  <c r="AB63" i="88"/>
  <c r="AA63" i="88" s="1"/>
  <c r="F683" i="89" l="1"/>
  <c r="G209" i="23"/>
  <c r="F96" i="23" s="1"/>
  <c r="Y107" i="88"/>
  <c r="AA107" i="88"/>
  <c r="E107" i="88"/>
  <c r="F107" i="88" s="1"/>
  <c r="E74" i="87" s="1"/>
  <c r="Y63" i="88"/>
  <c r="E63" i="88"/>
  <c r="F63" i="88" s="1"/>
  <c r="E46" i="87" s="1"/>
  <c r="E142" i="89" s="1"/>
  <c r="Y67" i="88"/>
  <c r="E67" i="88"/>
  <c r="F67" i="88" s="1"/>
  <c r="E50" i="87" s="1"/>
  <c r="E146" i="89" s="1"/>
  <c r="Y64" i="88"/>
  <c r="E64" i="88"/>
  <c r="F64" i="88" s="1"/>
  <c r="E47" i="87" s="1"/>
  <c r="E68" i="88"/>
  <c r="F68" i="88" s="1"/>
  <c r="E51" i="87" s="1"/>
  <c r="Y68" i="88"/>
  <c r="Y65" i="88"/>
  <c r="E65" i="88"/>
  <c r="F65" i="88" s="1"/>
  <c r="E48" i="87" s="1"/>
  <c r="E144" i="89" s="1"/>
  <c r="Y69" i="88"/>
  <c r="E69" i="88"/>
  <c r="F69" i="88" s="1"/>
  <c r="E52" i="87" s="1"/>
  <c r="E148" i="89" s="1"/>
  <c r="AB62" i="88"/>
  <c r="AA62" i="88" s="1"/>
  <c r="AD110" i="88"/>
  <c r="Y66" i="88"/>
  <c r="E66" i="88"/>
  <c r="F66" i="88" s="1"/>
  <c r="E49" i="87" s="1"/>
  <c r="E55" i="24"/>
  <c r="E766" i="89" s="1"/>
  <c r="G766" i="89" s="1"/>
  <c r="E54" i="24"/>
  <c r="E765" i="89" s="1"/>
  <c r="G765" i="89" s="1"/>
  <c r="E53" i="24"/>
  <c r="E764" i="89" s="1"/>
  <c r="G764" i="89" s="1"/>
  <c r="E49" i="24"/>
  <c r="E762" i="89" s="1"/>
  <c r="G762" i="89" s="1"/>
  <c r="E48" i="24"/>
  <c r="E761" i="89" s="1"/>
  <c r="G761" i="89" s="1"/>
  <c r="E47" i="24"/>
  <c r="E760" i="89" s="1"/>
  <c r="G760" i="89" s="1"/>
  <c r="E46" i="24"/>
  <c r="E759" i="89" s="1"/>
  <c r="G759" i="89" s="1"/>
  <c r="E45" i="24"/>
  <c r="E758" i="89" s="1"/>
  <c r="G758" i="89" s="1"/>
  <c r="E44" i="24"/>
  <c r="E757" i="89" s="1"/>
  <c r="G757" i="89" s="1"/>
  <c r="E43" i="24"/>
  <c r="E756" i="89" s="1"/>
  <c r="G756" i="89" s="1"/>
  <c r="E42" i="24"/>
  <c r="E755" i="89" s="1"/>
  <c r="G755" i="89" s="1"/>
  <c r="E41" i="24"/>
  <c r="E754" i="89" s="1"/>
  <c r="G754" i="89" s="1"/>
  <c r="E40" i="24"/>
  <c r="E753" i="89" s="1"/>
  <c r="G753" i="89" s="1"/>
  <c r="E39" i="24"/>
  <c r="E752" i="89" s="1"/>
  <c r="G752" i="89" s="1"/>
  <c r="E38" i="24"/>
  <c r="E751" i="89" s="1"/>
  <c r="G751" i="89" s="1"/>
  <c r="E37" i="24"/>
  <c r="E750" i="89" s="1"/>
  <c r="G750" i="89" s="1"/>
  <c r="E36" i="24"/>
  <c r="E749" i="89" s="1"/>
  <c r="G749" i="89" s="1"/>
  <c r="E35" i="24"/>
  <c r="E748" i="89" s="1"/>
  <c r="G748" i="89" s="1"/>
  <c r="E34" i="24"/>
  <c r="E747" i="89" s="1"/>
  <c r="G747" i="89" s="1"/>
  <c r="E33" i="24"/>
  <c r="E746" i="89" s="1"/>
  <c r="G746" i="89" s="1"/>
  <c r="E32" i="24"/>
  <c r="E745" i="89" s="1"/>
  <c r="G745" i="89" s="1"/>
  <c r="E27" i="24"/>
  <c r="E742" i="89" s="1"/>
  <c r="G742" i="89" s="1"/>
  <c r="E26" i="24"/>
  <c r="E741" i="89" s="1"/>
  <c r="G741" i="89" s="1"/>
  <c r="E25" i="24"/>
  <c r="E740" i="89" s="1"/>
  <c r="G740" i="89" s="1"/>
  <c r="E24" i="24"/>
  <c r="E739" i="89" s="1"/>
  <c r="G739" i="89" s="1"/>
  <c r="E23" i="24"/>
  <c r="E738" i="89" s="1"/>
  <c r="G738" i="89" s="1"/>
  <c r="E22" i="24"/>
  <c r="E737" i="89" s="1"/>
  <c r="G737" i="89" s="1"/>
  <c r="E21" i="24"/>
  <c r="E736" i="89" s="1"/>
  <c r="G736" i="89" s="1"/>
  <c r="E20" i="24"/>
  <c r="E735" i="89" s="1"/>
  <c r="G735" i="89" s="1"/>
  <c r="E19" i="24"/>
  <c r="E734" i="89" s="1"/>
  <c r="G734" i="89" s="1"/>
  <c r="E18" i="24"/>
  <c r="E733" i="89" s="1"/>
  <c r="G733" i="89" s="1"/>
  <c r="E17" i="24"/>
  <c r="E732" i="89" s="1"/>
  <c r="G732" i="89" s="1"/>
  <c r="E16" i="24"/>
  <c r="E731" i="89" s="1"/>
  <c r="G731" i="89" s="1"/>
  <c r="E131" i="23"/>
  <c r="E130" i="23"/>
  <c r="E129" i="23"/>
  <c r="E128" i="23"/>
  <c r="E127" i="23"/>
  <c r="E126" i="23"/>
  <c r="E125" i="23"/>
  <c r="E124" i="23"/>
  <c r="E123" i="23"/>
  <c r="E122" i="23"/>
  <c r="E121" i="23"/>
  <c r="E120" i="23"/>
  <c r="E119" i="23"/>
  <c r="E118" i="23"/>
  <c r="E117" i="23"/>
  <c r="E116" i="23"/>
  <c r="E115" i="23"/>
  <c r="E114" i="23"/>
  <c r="E113" i="23"/>
  <c r="E112" i="23"/>
  <c r="E111" i="23"/>
  <c r="E110" i="23"/>
  <c r="E109" i="23"/>
  <c r="E108" i="23"/>
  <c r="E107" i="23"/>
  <c r="E106" i="23"/>
  <c r="E105" i="23"/>
  <c r="E104" i="23"/>
  <c r="E103" i="23"/>
  <c r="E102" i="23"/>
  <c r="E101" i="23"/>
  <c r="E100" i="23"/>
  <c r="E99" i="23"/>
  <c r="E98" i="23"/>
  <c r="E97" i="23"/>
  <c r="E96" i="23"/>
  <c r="E95" i="23"/>
  <c r="E94" i="23"/>
  <c r="E93" i="23"/>
  <c r="E92" i="23"/>
  <c r="E91" i="23"/>
  <c r="E90" i="23"/>
  <c r="E89" i="23"/>
  <c r="E88" i="23"/>
  <c r="E87" i="23"/>
  <c r="E86" i="23"/>
  <c r="E85" i="23"/>
  <c r="E84" i="23"/>
  <c r="E83" i="23"/>
  <c r="E82" i="23"/>
  <c r="E81" i="23"/>
  <c r="E80" i="23"/>
  <c r="E79" i="23"/>
  <c r="E78" i="23"/>
  <c r="E73" i="23"/>
  <c r="E72" i="23"/>
  <c r="E71" i="23"/>
  <c r="E70" i="23"/>
  <c r="E69" i="23"/>
  <c r="E68" i="23"/>
  <c r="E67" i="23"/>
  <c r="E66" i="23"/>
  <c r="E65" i="23"/>
  <c r="E64" i="23"/>
  <c r="E63" i="23"/>
  <c r="E59" i="23"/>
  <c r="E58" i="23"/>
  <c r="E57" i="23"/>
  <c r="E56" i="23"/>
  <c r="E55" i="23"/>
  <c r="E54" i="23"/>
  <c r="E53" i="23"/>
  <c r="E52" i="23"/>
  <c r="E51" i="23"/>
  <c r="E50" i="23"/>
  <c r="E49" i="23"/>
  <c r="E48" i="23"/>
  <c r="E47" i="23"/>
  <c r="E46" i="23"/>
  <c r="E45" i="23"/>
  <c r="E44" i="23"/>
  <c r="E43" i="23"/>
  <c r="E42" i="23"/>
  <c r="E41" i="23"/>
  <c r="E40" i="23"/>
  <c r="E39" i="23"/>
  <c r="E38" i="23"/>
  <c r="E37" i="23"/>
  <c r="E36" i="23"/>
  <c r="E35" i="23"/>
  <c r="E34" i="23"/>
  <c r="E33" i="23"/>
  <c r="E32" i="23"/>
  <c r="E31" i="23"/>
  <c r="E30" i="23"/>
  <c r="E27" i="23"/>
  <c r="E26" i="23"/>
  <c r="E25" i="23"/>
  <c r="E24" i="23"/>
  <c r="E23" i="23"/>
  <c r="E22" i="23"/>
  <c r="E21" i="23"/>
  <c r="E20" i="23"/>
  <c r="E19" i="23"/>
  <c r="E18" i="23"/>
  <c r="E17" i="23"/>
  <c r="E16" i="23"/>
  <c r="F682" i="89" l="1"/>
  <c r="G210" i="23"/>
  <c r="F49" i="23" s="1"/>
  <c r="E143" i="89"/>
  <c r="E145" i="89"/>
  <c r="E170" i="89"/>
  <c r="E147" i="89"/>
  <c r="G730" i="89"/>
  <c r="G744" i="89"/>
  <c r="D41" i="91" s="1"/>
  <c r="G763" i="89"/>
  <c r="D42" i="91" s="1"/>
  <c r="G17" i="23"/>
  <c r="E607" i="89"/>
  <c r="G607" i="89" s="1"/>
  <c r="E612" i="89"/>
  <c r="G26" i="23"/>
  <c r="E616" i="89"/>
  <c r="G616" i="89" s="1"/>
  <c r="G32" i="23"/>
  <c r="E622" i="89"/>
  <c r="G622" i="89" s="1"/>
  <c r="E630" i="89"/>
  <c r="G48" i="23"/>
  <c r="E638" i="89"/>
  <c r="G638" i="89" s="1"/>
  <c r="G19" i="23"/>
  <c r="E609" i="89"/>
  <c r="G609" i="89" s="1"/>
  <c r="G23" i="23"/>
  <c r="E613" i="89"/>
  <c r="G613" i="89" s="1"/>
  <c r="G27" i="23"/>
  <c r="E617" i="89"/>
  <c r="G617" i="89" s="1"/>
  <c r="G33" i="23"/>
  <c r="E623" i="89"/>
  <c r="G623" i="89" s="1"/>
  <c r="G37" i="23"/>
  <c r="E627" i="89"/>
  <c r="G627" i="89" s="1"/>
  <c r="G41" i="23"/>
  <c r="E631" i="89"/>
  <c r="G631" i="89" s="1"/>
  <c r="G45" i="23"/>
  <c r="E635" i="89"/>
  <c r="G635" i="89" s="1"/>
  <c r="G49" i="23"/>
  <c r="E639" i="89"/>
  <c r="E643" i="89"/>
  <c r="E647" i="89"/>
  <c r="G64" i="23"/>
  <c r="E652" i="89"/>
  <c r="G652" i="89" s="1"/>
  <c r="E656" i="89"/>
  <c r="G72" i="23"/>
  <c r="E660" i="89"/>
  <c r="G660" i="89" s="1"/>
  <c r="G80" i="23"/>
  <c r="E666" i="89"/>
  <c r="G666" i="89" s="1"/>
  <c r="G84" i="23"/>
  <c r="E670" i="89"/>
  <c r="G670" i="89" s="1"/>
  <c r="G88" i="23"/>
  <c r="E674" i="89"/>
  <c r="G674" i="89" s="1"/>
  <c r="E678" i="89"/>
  <c r="G96" i="23"/>
  <c r="E682" i="89"/>
  <c r="E686" i="89"/>
  <c r="G104" i="23"/>
  <c r="E690" i="89"/>
  <c r="G690" i="89" s="1"/>
  <c r="E694" i="89"/>
  <c r="E698" i="89"/>
  <c r="E702" i="89"/>
  <c r="E706" i="89"/>
  <c r="E710" i="89"/>
  <c r="E714" i="89"/>
  <c r="G16" i="23"/>
  <c r="E606" i="89"/>
  <c r="G606" i="89" s="1"/>
  <c r="G20" i="23"/>
  <c r="E610" i="89"/>
  <c r="G610" i="89" s="1"/>
  <c r="G24" i="23"/>
  <c r="E614" i="89"/>
  <c r="G614" i="89" s="1"/>
  <c r="G28" i="23"/>
  <c r="E618" i="89"/>
  <c r="G618" i="89" s="1"/>
  <c r="G30" i="23"/>
  <c r="E620" i="89"/>
  <c r="G620" i="89" s="1"/>
  <c r="E624" i="89"/>
  <c r="G38" i="23"/>
  <c r="E628" i="89"/>
  <c r="G628" i="89" s="1"/>
  <c r="G42" i="23"/>
  <c r="E632" i="89"/>
  <c r="G632" i="89" s="1"/>
  <c r="G46" i="23"/>
  <c r="E636" i="89"/>
  <c r="G636" i="89" s="1"/>
  <c r="G50" i="23"/>
  <c r="E640" i="89"/>
  <c r="G640" i="89" s="1"/>
  <c r="G54" i="23"/>
  <c r="E644" i="89"/>
  <c r="G644" i="89" s="1"/>
  <c r="E648" i="89"/>
  <c r="G65" i="23"/>
  <c r="E653" i="89"/>
  <c r="G653" i="89" s="1"/>
  <c r="G69" i="23"/>
  <c r="E657" i="89"/>
  <c r="G657" i="89" s="1"/>
  <c r="G73" i="23"/>
  <c r="E661" i="89"/>
  <c r="G661" i="89" s="1"/>
  <c r="G81" i="23"/>
  <c r="E667" i="89"/>
  <c r="G667" i="89" s="1"/>
  <c r="G85" i="23"/>
  <c r="E671" i="89"/>
  <c r="G671" i="89" s="1"/>
  <c r="G89" i="23"/>
  <c r="E675" i="89"/>
  <c r="G675" i="89" s="1"/>
  <c r="G93" i="23"/>
  <c r="E679" i="89"/>
  <c r="G679" i="89" s="1"/>
  <c r="G97" i="23"/>
  <c r="E683" i="89"/>
  <c r="G683" i="89" s="1"/>
  <c r="E687" i="89"/>
  <c r="G105" i="23"/>
  <c r="E691" i="89"/>
  <c r="G691" i="89" s="1"/>
  <c r="G109" i="23"/>
  <c r="E695" i="89"/>
  <c r="G695" i="89" s="1"/>
  <c r="E699" i="89"/>
  <c r="E703" i="89"/>
  <c r="E707" i="89"/>
  <c r="G125" i="23"/>
  <c r="E711" i="89"/>
  <c r="G711" i="89" s="1"/>
  <c r="E715" i="89"/>
  <c r="G25" i="23"/>
  <c r="E615" i="89"/>
  <c r="G615" i="89" s="1"/>
  <c r="G31" i="23"/>
  <c r="E621" i="89"/>
  <c r="G621" i="89" s="1"/>
  <c r="E625" i="89"/>
  <c r="E629" i="89"/>
  <c r="G43" i="23"/>
  <c r="E633" i="89"/>
  <c r="G633" i="89" s="1"/>
  <c r="E637" i="89"/>
  <c r="G51" i="23"/>
  <c r="E641" i="89"/>
  <c r="G641" i="89" s="1"/>
  <c r="G55" i="23"/>
  <c r="E645" i="89"/>
  <c r="G645" i="89" s="1"/>
  <c r="G59" i="23"/>
  <c r="E649" i="89"/>
  <c r="G649" i="89" s="1"/>
  <c r="G66" i="23"/>
  <c r="E654" i="89"/>
  <c r="G654" i="89" s="1"/>
  <c r="E658" i="89"/>
  <c r="G78" i="23"/>
  <c r="E664" i="89"/>
  <c r="G664" i="89" s="1"/>
  <c r="E668" i="89"/>
  <c r="G86" i="23"/>
  <c r="E672" i="89"/>
  <c r="G672" i="89" s="1"/>
  <c r="G90" i="23"/>
  <c r="E676" i="89"/>
  <c r="G676" i="89" s="1"/>
  <c r="G94" i="23"/>
  <c r="E680" i="89"/>
  <c r="G680" i="89" s="1"/>
  <c r="G98" i="23"/>
  <c r="E684" i="89"/>
  <c r="G684" i="89" s="1"/>
  <c r="G102" i="23"/>
  <c r="E688" i="89"/>
  <c r="G688" i="89" s="1"/>
  <c r="G106" i="23"/>
  <c r="E692" i="89"/>
  <c r="G692" i="89" s="1"/>
  <c r="E696" i="89"/>
  <c r="E700" i="89"/>
  <c r="E704" i="89"/>
  <c r="E708" i="89"/>
  <c r="E712" i="89"/>
  <c r="E716" i="89"/>
  <c r="G21" i="23"/>
  <c r="E611" i="89"/>
  <c r="G611" i="89" s="1"/>
  <c r="G18" i="23"/>
  <c r="E608" i="89"/>
  <c r="G608" i="89" s="1"/>
  <c r="G29" i="23"/>
  <c r="E619" i="89"/>
  <c r="G619" i="89" s="1"/>
  <c r="G36" i="23"/>
  <c r="E626" i="89"/>
  <c r="G626" i="89" s="1"/>
  <c r="G44" i="23"/>
  <c r="E634" i="89"/>
  <c r="G634" i="89" s="1"/>
  <c r="G52" i="23"/>
  <c r="E642" i="89"/>
  <c r="G642" i="89" s="1"/>
  <c r="E646" i="89"/>
  <c r="G63" i="23"/>
  <c r="E651" i="89"/>
  <c r="G651" i="89" s="1"/>
  <c r="E655" i="89"/>
  <c r="G71" i="23"/>
  <c r="E659" i="89"/>
  <c r="G659" i="89" s="1"/>
  <c r="G79" i="23"/>
  <c r="E665" i="89"/>
  <c r="G665" i="89" s="1"/>
  <c r="G83" i="23"/>
  <c r="E669" i="89"/>
  <c r="G669" i="89" s="1"/>
  <c r="G87" i="23"/>
  <c r="E673" i="89"/>
  <c r="G673" i="89" s="1"/>
  <c r="G91" i="23"/>
  <c r="E677" i="89"/>
  <c r="G677" i="89" s="1"/>
  <c r="G95" i="23"/>
  <c r="E681" i="89"/>
  <c r="G681" i="89" s="1"/>
  <c r="G99" i="23"/>
  <c r="E685" i="89"/>
  <c r="G685" i="89" s="1"/>
  <c r="E689" i="89"/>
  <c r="E693" i="89"/>
  <c r="E697" i="89"/>
  <c r="E701" i="89"/>
  <c r="E705" i="89"/>
  <c r="E709" i="89"/>
  <c r="E713" i="89"/>
  <c r="E717" i="89"/>
  <c r="AA110" i="88"/>
  <c r="T68" i="88"/>
  <c r="S68" i="88"/>
  <c r="R68" i="88"/>
  <c r="Q68" i="88"/>
  <c r="T65" i="88"/>
  <c r="Q65" i="88"/>
  <c r="S64" i="88"/>
  <c r="T64" i="88"/>
  <c r="Q64" i="88"/>
  <c r="R64" i="88"/>
  <c r="T63" i="88"/>
  <c r="Q63" i="88"/>
  <c r="T66" i="88"/>
  <c r="S66" i="88"/>
  <c r="Q66" i="88"/>
  <c r="R66" i="88"/>
  <c r="T69" i="88"/>
  <c r="Q69" i="88"/>
  <c r="T67" i="88"/>
  <c r="Q67" i="88"/>
  <c r="S107" i="88"/>
  <c r="T107" i="88"/>
  <c r="R107" i="88"/>
  <c r="Q107" i="88"/>
  <c r="G19" i="24"/>
  <c r="G23" i="24"/>
  <c r="G27" i="24"/>
  <c r="G34" i="24"/>
  <c r="G38" i="24"/>
  <c r="G42" i="24"/>
  <c r="G46" i="24"/>
  <c r="G53" i="24"/>
  <c r="G16" i="24"/>
  <c r="G20" i="24"/>
  <c r="G24" i="24"/>
  <c r="G35" i="24"/>
  <c r="G39" i="24"/>
  <c r="G43" i="24"/>
  <c r="G47" i="24"/>
  <c r="G54" i="24"/>
  <c r="G17" i="24"/>
  <c r="G21" i="24"/>
  <c r="G25" i="24"/>
  <c r="G32" i="24"/>
  <c r="G36" i="24"/>
  <c r="G40" i="24"/>
  <c r="G44" i="24"/>
  <c r="G48" i="24"/>
  <c r="G55" i="24"/>
  <c r="G18" i="24"/>
  <c r="G22" i="24"/>
  <c r="G26" i="24"/>
  <c r="G33" i="24"/>
  <c r="G37" i="24"/>
  <c r="G41" i="24"/>
  <c r="G45" i="24"/>
  <c r="G49" i="24"/>
  <c r="Y62" i="88"/>
  <c r="Y110" i="88" s="1"/>
  <c r="E62" i="88"/>
  <c r="E110" i="88" s="1"/>
  <c r="AB110" i="88"/>
  <c r="G94" i="89"/>
  <c r="G54" i="89" s="1"/>
  <c r="D19" i="91" s="1"/>
  <c r="G682" i="89" l="1"/>
  <c r="F639" i="89"/>
  <c r="G639" i="89" s="1"/>
  <c r="D40" i="91"/>
  <c r="D39" i="91" s="1"/>
  <c r="G729" i="89"/>
  <c r="G50" i="24"/>
  <c r="F64" i="24" s="1"/>
  <c r="AB111" i="88"/>
  <c r="G29" i="24"/>
  <c r="G56" i="24"/>
  <c r="F65" i="24" s="1"/>
  <c r="G17" i="33"/>
  <c r="G18" i="33"/>
  <c r="G54" i="33"/>
  <c r="F62" i="88"/>
  <c r="G58" i="24" l="1"/>
  <c r="E45" i="87"/>
  <c r="E141" i="89" s="1"/>
  <c r="F110" i="88"/>
  <c r="T62" i="88"/>
  <c r="T109" i="88" s="1"/>
  <c r="S62" i="88"/>
  <c r="R62" i="88"/>
  <c r="Q62" i="88"/>
  <c r="Q109" i="88" s="1"/>
  <c r="G67" i="33"/>
  <c r="F72" i="33" s="1"/>
  <c r="F73" i="33" s="1"/>
  <c r="F254" i="22" l="1"/>
  <c r="F250" i="22"/>
  <c r="F247" i="22"/>
  <c r="F219" i="22"/>
  <c r="F216" i="22"/>
  <c r="G197" i="22"/>
  <c r="G175" i="22"/>
  <c r="G149" i="22"/>
  <c r="G128" i="22"/>
  <c r="F68" i="22"/>
  <c r="F24" i="22"/>
  <c r="F23" i="22"/>
  <c r="C23" i="22"/>
  <c r="C361" i="89" s="1"/>
  <c r="G183" i="25"/>
  <c r="F193" i="25" s="1"/>
  <c r="G247" i="22" l="1"/>
  <c r="F581" i="89"/>
  <c r="G581" i="89" s="1"/>
  <c r="G250" i="22"/>
  <c r="F584" i="89"/>
  <c r="G584" i="89" s="1"/>
  <c r="G68" i="22"/>
  <c r="F406" i="89"/>
  <c r="G406" i="89" s="1"/>
  <c r="G254" i="22"/>
  <c r="F588" i="89"/>
  <c r="G588" i="89" s="1"/>
  <c r="G258" i="22"/>
  <c r="F592" i="89"/>
  <c r="G592" i="89" s="1"/>
  <c r="G24" i="22"/>
  <c r="F362" i="89"/>
  <c r="G362" i="89" s="1"/>
  <c r="G216" i="22"/>
  <c r="F550" i="89"/>
  <c r="G550" i="89" s="1"/>
  <c r="G23" i="22"/>
  <c r="F361" i="89"/>
  <c r="G361" i="89" s="1"/>
  <c r="G219" i="22"/>
  <c r="F553" i="89"/>
  <c r="G553" i="89" s="1"/>
  <c r="G51" i="25"/>
  <c r="F229" i="89"/>
  <c r="G229" i="89" s="1"/>
  <c r="G150" i="25"/>
  <c r="F322" i="89"/>
  <c r="G322" i="89" s="1"/>
  <c r="F248" i="22"/>
  <c r="G195" i="22"/>
  <c r="G211" i="22" s="1"/>
  <c r="F277" i="22" s="1"/>
  <c r="F191" i="25"/>
  <c r="G216" i="23" l="1"/>
  <c r="F100" i="23" s="1"/>
  <c r="G98" i="22"/>
  <c r="F276" i="22" s="1"/>
  <c r="G353" i="89"/>
  <c r="D32" i="91" s="1"/>
  <c r="G248" i="22"/>
  <c r="G269" i="22" s="1"/>
  <c r="G271" i="22" s="1"/>
  <c r="F582" i="89"/>
  <c r="G582" i="89" s="1"/>
  <c r="G547" i="89" s="1"/>
  <c r="G28" i="69"/>
  <c r="G27" i="69"/>
  <c r="F686" i="89" l="1"/>
  <c r="G686" i="89" s="1"/>
  <c r="G100" i="23"/>
  <c r="F278" i="22"/>
  <c r="D34" i="91"/>
  <c r="D31" i="91" s="1"/>
  <c r="G352" i="89"/>
  <c r="G218" i="23" l="1"/>
  <c r="F34" i="23" s="1"/>
  <c r="F624" i="89" l="1"/>
  <c r="G624" i="89" s="1"/>
  <c r="G34" i="23"/>
  <c r="G219" i="23"/>
  <c r="F35" i="23" s="1"/>
  <c r="G46" i="69"/>
  <c r="F625" i="89" l="1"/>
  <c r="G625" i="89" s="1"/>
  <c r="G35" i="23"/>
  <c r="G39" i="69"/>
  <c r="G31" i="69"/>
  <c r="G21" i="69"/>
  <c r="G35" i="69"/>
  <c r="G19" i="69"/>
  <c r="G47" i="69"/>
  <c r="G17" i="69"/>
  <c r="G43" i="69"/>
  <c r="G32" i="69"/>
  <c r="G23" i="69"/>
  <c r="G18" i="69"/>
  <c r="G41" i="69"/>
  <c r="G22" i="69"/>
  <c r="G45" i="69"/>
  <c r="G29" i="69"/>
  <c r="G33" i="69"/>
  <c r="G34" i="69"/>
  <c r="G30" i="69"/>
  <c r="G20" i="69"/>
  <c r="G16" i="69"/>
  <c r="G44" i="69"/>
  <c r="G42" i="69"/>
  <c r="G40" i="69"/>
  <c r="G24" i="69" l="1"/>
  <c r="F55" i="69" s="1"/>
  <c r="G36" i="69"/>
  <c r="G48" i="69"/>
  <c r="F57" i="69" s="1"/>
  <c r="G222" i="23" l="1"/>
  <c r="G50" i="69"/>
  <c r="F56" i="69"/>
  <c r="F58" i="69" s="1"/>
  <c r="F137" i="23" l="1"/>
  <c r="F101" i="23"/>
  <c r="G16" i="49"/>
  <c r="G16" i="15"/>
  <c r="G15" i="49"/>
  <c r="G17" i="49"/>
  <c r="G18" i="49"/>
  <c r="G14" i="49"/>
  <c r="G19" i="49"/>
  <c r="F687" i="89" l="1"/>
  <c r="G687" i="89" s="1"/>
  <c r="G101" i="23"/>
  <c r="F721" i="89"/>
  <c r="G721" i="89" s="1"/>
  <c r="G137" i="23"/>
  <c r="G224" i="23"/>
  <c r="F39" i="23" s="1"/>
  <c r="G20" i="49"/>
  <c r="F25" i="49" s="1"/>
  <c r="F26" i="49" s="1"/>
  <c r="I160" i="71"/>
  <c r="I154" i="71"/>
  <c r="D146" i="71"/>
  <c r="I146" i="71" s="1"/>
  <c r="D145" i="71"/>
  <c r="I145" i="71" s="1"/>
  <c r="G139" i="71"/>
  <c r="I139" i="71" s="1"/>
  <c r="G138" i="71"/>
  <c r="I138" i="71" s="1"/>
  <c r="G137" i="71"/>
  <c r="I137" i="71" s="1"/>
  <c r="G136" i="71"/>
  <c r="I136" i="71" s="1"/>
  <c r="G135" i="71"/>
  <c r="I135" i="71" s="1"/>
  <c r="G134" i="71"/>
  <c r="I134" i="71" s="1"/>
  <c r="G133" i="71"/>
  <c r="I133" i="71" s="1"/>
  <c r="G132" i="71"/>
  <c r="I132" i="71" s="1"/>
  <c r="G131" i="71"/>
  <c r="I131" i="71" s="1"/>
  <c r="G130" i="71"/>
  <c r="I130" i="71" s="1"/>
  <c r="G129" i="71"/>
  <c r="I129" i="71" s="1"/>
  <c r="G128" i="71"/>
  <c r="I128" i="71" s="1"/>
  <c r="G127" i="71"/>
  <c r="I127" i="71" s="1"/>
  <c r="G126" i="71"/>
  <c r="I126" i="71" s="1"/>
  <c r="G125" i="71"/>
  <c r="I125" i="71" s="1"/>
  <c r="G124" i="71"/>
  <c r="I124" i="71" s="1"/>
  <c r="G123" i="71"/>
  <c r="I123" i="71" s="1"/>
  <c r="G122" i="71"/>
  <c r="I122" i="71" s="1"/>
  <c r="I108" i="71"/>
  <c r="I102" i="71"/>
  <c r="D94" i="71"/>
  <c r="I94" i="71" s="1"/>
  <c r="D93" i="71"/>
  <c r="I93" i="71" s="1"/>
  <c r="G87" i="71"/>
  <c r="I87" i="71" s="1"/>
  <c r="G86" i="71"/>
  <c r="I86" i="71" s="1"/>
  <c r="G85" i="71"/>
  <c r="I85" i="71" s="1"/>
  <c r="G84" i="71"/>
  <c r="I84" i="71" s="1"/>
  <c r="G83" i="71"/>
  <c r="I83" i="71" s="1"/>
  <c r="G82" i="71"/>
  <c r="I82" i="71" s="1"/>
  <c r="G81" i="71"/>
  <c r="I81" i="71" s="1"/>
  <c r="G80" i="71"/>
  <c r="I80" i="71" s="1"/>
  <c r="G79" i="71"/>
  <c r="I79" i="71" s="1"/>
  <c r="G78" i="71"/>
  <c r="I78" i="71" s="1"/>
  <c r="G77" i="71"/>
  <c r="I77" i="71" s="1"/>
  <c r="G76" i="71"/>
  <c r="I76" i="71" s="1"/>
  <c r="G75" i="71"/>
  <c r="I75" i="71" s="1"/>
  <c r="G74" i="71"/>
  <c r="I74" i="71" s="1"/>
  <c r="I54" i="71"/>
  <c r="D46" i="71"/>
  <c r="D45" i="71"/>
  <c r="I45" i="71" s="1"/>
  <c r="G39" i="71"/>
  <c r="I39" i="71" s="1"/>
  <c r="G38" i="71"/>
  <c r="I38" i="71" s="1"/>
  <c r="G37" i="71"/>
  <c r="I37" i="71" s="1"/>
  <c r="G36" i="71"/>
  <c r="I36" i="71" s="1"/>
  <c r="G35" i="71"/>
  <c r="I35" i="71" s="1"/>
  <c r="G34" i="71"/>
  <c r="I34" i="71" s="1"/>
  <c r="G33" i="71"/>
  <c r="I33" i="71" s="1"/>
  <c r="G32" i="71"/>
  <c r="I32" i="71" s="1"/>
  <c r="G31" i="71"/>
  <c r="I31" i="71" s="1"/>
  <c r="G30" i="71"/>
  <c r="I30" i="71" s="1"/>
  <c r="G29" i="71"/>
  <c r="I29" i="71" s="1"/>
  <c r="G28" i="71"/>
  <c r="I28" i="71" s="1"/>
  <c r="G27" i="71"/>
  <c r="I27" i="71" s="1"/>
  <c r="G26" i="71"/>
  <c r="I26" i="71" s="1"/>
  <c r="G25" i="71"/>
  <c r="I25" i="71" s="1"/>
  <c r="G24" i="71"/>
  <c r="I24" i="71" s="1"/>
  <c r="G23" i="71"/>
  <c r="I23" i="71" s="1"/>
  <c r="G22" i="71"/>
  <c r="I22" i="71" s="1"/>
  <c r="G21" i="71"/>
  <c r="I21" i="71" s="1"/>
  <c r="G20" i="71"/>
  <c r="I20" i="71" s="1"/>
  <c r="G19" i="71"/>
  <c r="I19" i="71" s="1"/>
  <c r="G18" i="71"/>
  <c r="I18" i="71" s="1"/>
  <c r="G17" i="71"/>
  <c r="I17" i="71" s="1"/>
  <c r="G16" i="71"/>
  <c r="I16" i="71" s="1"/>
  <c r="F629" i="89" l="1"/>
  <c r="G629" i="89" s="1"/>
  <c r="G39" i="23"/>
  <c r="G225" i="23"/>
  <c r="F67" i="23" s="1"/>
  <c r="I46" i="71"/>
  <c r="I141" i="71"/>
  <c r="I148" i="71"/>
  <c r="I41" i="71"/>
  <c r="I89" i="71"/>
  <c r="F655" i="89" l="1"/>
  <c r="G655" i="89" s="1"/>
  <c r="G67" i="23"/>
  <c r="G226" i="23"/>
  <c r="F68" i="23" s="1"/>
  <c r="I162" i="71"/>
  <c r="I164" i="71" s="1"/>
  <c r="I48" i="71"/>
  <c r="I62" i="71" s="1"/>
  <c r="I96" i="71"/>
  <c r="I110" i="71" s="1"/>
  <c r="F656" i="89" l="1"/>
  <c r="G656" i="89" s="1"/>
  <c r="G68" i="23"/>
  <c r="F24" i="34"/>
  <c r="I112" i="71"/>
  <c r="F23" i="34" s="1"/>
  <c r="I64" i="71"/>
  <c r="F22" i="34" s="1"/>
  <c r="I154" i="67"/>
  <c r="D146" i="67"/>
  <c r="I146" i="67" s="1"/>
  <c r="D145" i="67"/>
  <c r="I145" i="67" s="1"/>
  <c r="G139" i="67"/>
  <c r="I139" i="67" s="1"/>
  <c r="G138" i="67"/>
  <c r="I138" i="67" s="1"/>
  <c r="G137" i="67"/>
  <c r="I137" i="67" s="1"/>
  <c r="G136" i="67"/>
  <c r="I136" i="67" s="1"/>
  <c r="G135" i="67"/>
  <c r="I135" i="67" s="1"/>
  <c r="G134" i="67"/>
  <c r="I134" i="67" s="1"/>
  <c r="G133" i="67"/>
  <c r="I133" i="67" s="1"/>
  <c r="G132" i="67"/>
  <c r="I132" i="67" s="1"/>
  <c r="G131" i="67"/>
  <c r="I131" i="67" s="1"/>
  <c r="G130" i="67"/>
  <c r="I130" i="67" s="1"/>
  <c r="G129" i="67"/>
  <c r="I129" i="67" s="1"/>
  <c r="G128" i="67"/>
  <c r="I128" i="67" s="1"/>
  <c r="G127" i="67"/>
  <c r="I127" i="67" s="1"/>
  <c r="G126" i="67"/>
  <c r="I126" i="67" s="1"/>
  <c r="G125" i="67"/>
  <c r="I125" i="67" s="1"/>
  <c r="G124" i="67"/>
  <c r="I124" i="67" s="1"/>
  <c r="G123" i="67"/>
  <c r="I123" i="67" s="1"/>
  <c r="G122" i="67"/>
  <c r="I122" i="67" s="1"/>
  <c r="I108" i="67"/>
  <c r="I102" i="67"/>
  <c r="D94" i="67"/>
  <c r="I94" i="67" s="1"/>
  <c r="D93" i="67"/>
  <c r="I93" i="67" s="1"/>
  <c r="G87" i="67"/>
  <c r="I87" i="67" s="1"/>
  <c r="G86" i="67"/>
  <c r="I86" i="67" s="1"/>
  <c r="G85" i="67"/>
  <c r="I85" i="67" s="1"/>
  <c r="G84" i="67"/>
  <c r="I84" i="67" s="1"/>
  <c r="G83" i="67"/>
  <c r="I83" i="67" s="1"/>
  <c r="G82" i="67"/>
  <c r="I82" i="67" s="1"/>
  <c r="G81" i="67"/>
  <c r="I81" i="67" s="1"/>
  <c r="G80" i="67"/>
  <c r="I80" i="67" s="1"/>
  <c r="G79" i="67"/>
  <c r="I79" i="67" s="1"/>
  <c r="G78" i="67"/>
  <c r="I78" i="67" s="1"/>
  <c r="G77" i="67"/>
  <c r="I77" i="67" s="1"/>
  <c r="G76" i="67"/>
  <c r="I76" i="67" s="1"/>
  <c r="G75" i="67"/>
  <c r="I75" i="67" s="1"/>
  <c r="G74" i="67"/>
  <c r="I74" i="67" s="1"/>
  <c r="I60" i="67"/>
  <c r="I54" i="67"/>
  <c r="D46" i="67"/>
  <c r="I46" i="67" s="1"/>
  <c r="I45" i="67"/>
  <c r="G39" i="67"/>
  <c r="I39" i="67" s="1"/>
  <c r="G38" i="67"/>
  <c r="I38" i="67" s="1"/>
  <c r="G37" i="67"/>
  <c r="I37" i="67" s="1"/>
  <c r="G36" i="67"/>
  <c r="I36" i="67" s="1"/>
  <c r="G35" i="67"/>
  <c r="I35" i="67" s="1"/>
  <c r="G34" i="67"/>
  <c r="I34" i="67" s="1"/>
  <c r="G33" i="67"/>
  <c r="I33" i="67" s="1"/>
  <c r="G32" i="67"/>
  <c r="I32" i="67" s="1"/>
  <c r="G31" i="67"/>
  <c r="I31" i="67" s="1"/>
  <c r="G30" i="67"/>
  <c r="I30" i="67" s="1"/>
  <c r="G29" i="67"/>
  <c r="I29" i="67" s="1"/>
  <c r="G28" i="67"/>
  <c r="I28" i="67" s="1"/>
  <c r="G27" i="67"/>
  <c r="I27" i="67" s="1"/>
  <c r="G26" i="67"/>
  <c r="I26" i="67" s="1"/>
  <c r="G25" i="67"/>
  <c r="I25" i="67" s="1"/>
  <c r="G24" i="67"/>
  <c r="I24" i="67" s="1"/>
  <c r="G23" i="67"/>
  <c r="I23" i="67" s="1"/>
  <c r="G22" i="67"/>
  <c r="I22" i="67" s="1"/>
  <c r="G21" i="67"/>
  <c r="I21" i="67" s="1"/>
  <c r="G20" i="67"/>
  <c r="I20" i="67" s="1"/>
  <c r="G19" i="67"/>
  <c r="I19" i="67" s="1"/>
  <c r="G18" i="67"/>
  <c r="I18" i="67" s="1"/>
  <c r="G17" i="67"/>
  <c r="I17" i="67" s="1"/>
  <c r="G16" i="67"/>
  <c r="I16" i="67" s="1"/>
  <c r="G228" i="23" l="1"/>
  <c r="F112" i="23" s="1"/>
  <c r="G24" i="34"/>
  <c r="F21" i="89"/>
  <c r="G21" i="89" s="1"/>
  <c r="G22" i="34"/>
  <c r="F19" i="89"/>
  <c r="G19" i="89" s="1"/>
  <c r="G23" i="34"/>
  <c r="F20" i="89"/>
  <c r="G20" i="89" s="1"/>
  <c r="G25" i="34"/>
  <c r="I148" i="67"/>
  <c r="I141" i="67"/>
  <c r="I89" i="67"/>
  <c r="I96" i="67"/>
  <c r="I41" i="67"/>
  <c r="I48" i="67"/>
  <c r="F698" i="89" l="1"/>
  <c r="G698" i="89" s="1"/>
  <c r="G112" i="23"/>
  <c r="G18" i="89"/>
  <c r="D14" i="91" s="1"/>
  <c r="I162" i="67"/>
  <c r="I110" i="67"/>
  <c r="I62" i="67"/>
  <c r="F33" i="34"/>
  <c r="G229" i="23" l="1"/>
  <c r="I164" i="67"/>
  <c r="F18" i="34" s="1"/>
  <c r="I112" i="67"/>
  <c r="F17" i="34" s="1"/>
  <c r="I64" i="67"/>
  <c r="F16" i="34" s="1"/>
  <c r="F70" i="23" l="1"/>
  <c r="F40" i="23"/>
  <c r="G16" i="34"/>
  <c r="F15" i="89"/>
  <c r="G15" i="89" s="1"/>
  <c r="G18" i="34"/>
  <c r="F17" i="89"/>
  <c r="G17" i="89" s="1"/>
  <c r="G17" i="34"/>
  <c r="F16" i="89"/>
  <c r="G16" i="89" s="1"/>
  <c r="F658" i="89" l="1"/>
  <c r="G658" i="89" s="1"/>
  <c r="G650" i="89" s="1"/>
  <c r="D37" i="91" s="1"/>
  <c r="G70" i="23"/>
  <c r="G74" i="23" s="1"/>
  <c r="F154" i="23" s="1"/>
  <c r="F630" i="89"/>
  <c r="G630" i="89" s="1"/>
  <c r="G40" i="23"/>
  <c r="G231" i="23"/>
  <c r="F135" i="23" s="1"/>
  <c r="G19" i="34"/>
  <c r="G27" i="34" s="1"/>
  <c r="G14" i="89"/>
  <c r="D13" i="91" s="1"/>
  <c r="F719" i="89" l="1"/>
  <c r="G719" i="89" s="1"/>
  <c r="G135" i="23"/>
  <c r="F32" i="34"/>
  <c r="G13" i="89"/>
  <c r="D12" i="91"/>
  <c r="F34" i="34" l="1"/>
  <c r="G233" i="23"/>
  <c r="F63" i="24"/>
  <c r="G234" i="23" l="1"/>
  <c r="F103" i="23" s="1"/>
  <c r="F689" i="89" l="1"/>
  <c r="G689" i="89" s="1"/>
  <c r="G103" i="23"/>
  <c r="G235" i="23"/>
  <c r="F108" i="23" s="1"/>
  <c r="F694" i="89" l="1"/>
  <c r="G694" i="89" s="1"/>
  <c r="G108" i="23"/>
  <c r="F18" i="15"/>
  <c r="G18" i="15" l="1"/>
  <c r="F773" i="89"/>
  <c r="G773" i="89" s="1"/>
  <c r="G768" i="89" s="1"/>
  <c r="D43" i="91" s="1"/>
  <c r="G239" i="23" l="1"/>
  <c r="F82" i="23" s="1"/>
  <c r="G49" i="42"/>
  <c r="G48" i="42"/>
  <c r="G47" i="42"/>
  <c r="G46" i="42"/>
  <c r="G45" i="42"/>
  <c r="G44" i="42"/>
  <c r="G43" i="42"/>
  <c r="G42" i="42"/>
  <c r="G41" i="42"/>
  <c r="G40" i="42"/>
  <c r="G39" i="42"/>
  <c r="G38" i="42"/>
  <c r="G37" i="42"/>
  <c r="G36" i="42"/>
  <c r="G35" i="42"/>
  <c r="G34" i="42"/>
  <c r="G33" i="42"/>
  <c r="G32" i="42"/>
  <c r="G31" i="42"/>
  <c r="G30" i="42"/>
  <c r="G29" i="42"/>
  <c r="G28" i="42"/>
  <c r="G27" i="42"/>
  <c r="G26" i="42"/>
  <c r="G25" i="42"/>
  <c r="G24" i="42"/>
  <c r="G23" i="42"/>
  <c r="G22" i="42"/>
  <c r="G21" i="42"/>
  <c r="G20" i="42"/>
  <c r="G19" i="42"/>
  <c r="G18" i="42"/>
  <c r="G17" i="42"/>
  <c r="G16" i="42"/>
  <c r="G15" i="42"/>
  <c r="G14" i="42"/>
  <c r="C44" i="41"/>
  <c r="C63" i="41" s="1"/>
  <c r="C36" i="41"/>
  <c r="C62" i="41" s="1"/>
  <c r="C23" i="41"/>
  <c r="C61" i="41" s="1"/>
  <c r="F668" i="89" l="1"/>
  <c r="G668" i="89" s="1"/>
  <c r="G82" i="23"/>
  <c r="G50" i="42"/>
  <c r="F82" i="42" s="1"/>
  <c r="C47" i="41"/>
  <c r="C48" i="41"/>
  <c r="C21" i="40"/>
  <c r="C22" i="40" s="1"/>
  <c r="E781" i="89" s="1"/>
  <c r="C781" i="89" s="1"/>
  <c r="G241" i="23" l="1"/>
  <c r="F113" i="23" s="1"/>
  <c r="F84" i="42"/>
  <c r="F16" i="38"/>
  <c r="C49" i="41"/>
  <c r="C64" i="41" s="1"/>
  <c r="C66" i="41" s="1"/>
  <c r="F699" i="89" l="1"/>
  <c r="G699" i="89" s="1"/>
  <c r="G113" i="23"/>
  <c r="G16" i="38"/>
  <c r="F174" i="89"/>
  <c r="G174" i="89" s="1"/>
  <c r="G173" i="89" s="1"/>
  <c r="O13" i="88"/>
  <c r="D22" i="91" l="1"/>
  <c r="D21" i="91" s="1"/>
  <c r="G172" i="89"/>
  <c r="G18" i="38"/>
  <c r="F29" i="38" s="1"/>
  <c r="F31" i="38" s="1"/>
  <c r="G244" i="23" l="1"/>
  <c r="F107" i="23" s="1"/>
  <c r="G24" i="38"/>
  <c r="U13" i="88"/>
  <c r="O52" i="88"/>
  <c r="U52" i="88" s="1"/>
  <c r="O58" i="88"/>
  <c r="U58" i="88" s="1"/>
  <c r="O56" i="88"/>
  <c r="U56" i="88" s="1"/>
  <c r="O38" i="88"/>
  <c r="U38" i="88" s="1"/>
  <c r="O53" i="88"/>
  <c r="U53" i="88" s="1"/>
  <c r="O45" i="88"/>
  <c r="U45" i="88" s="1"/>
  <c r="O23" i="88"/>
  <c r="U23" i="88" s="1"/>
  <c r="O28" i="88"/>
  <c r="U28" i="88" s="1"/>
  <c r="O59" i="88"/>
  <c r="U59" i="88" s="1"/>
  <c r="O62" i="88"/>
  <c r="U62" i="88" s="1"/>
  <c r="O108" i="88"/>
  <c r="U108" i="88" s="1"/>
  <c r="O85" i="88"/>
  <c r="U85" i="88" s="1"/>
  <c r="O101" i="88"/>
  <c r="U101" i="88" s="1"/>
  <c r="O98" i="88"/>
  <c r="U98" i="88" s="1"/>
  <c r="O99" i="88"/>
  <c r="U99" i="88" s="1"/>
  <c r="O105" i="88"/>
  <c r="U105" i="88" s="1"/>
  <c r="O103" i="88"/>
  <c r="U103" i="88" s="1"/>
  <c r="O94" i="88"/>
  <c r="U94" i="88" s="1"/>
  <c r="O88" i="88"/>
  <c r="U88" i="88" s="1"/>
  <c r="O42" i="88"/>
  <c r="U42" i="88" s="1"/>
  <c r="O19" i="88"/>
  <c r="U19" i="88" s="1"/>
  <c r="O20" i="88"/>
  <c r="U20" i="88" s="1"/>
  <c r="O15" i="88"/>
  <c r="U15" i="88" s="1"/>
  <c r="O31" i="88"/>
  <c r="U31" i="88" s="1"/>
  <c r="O29" i="88"/>
  <c r="U29" i="88" s="1"/>
  <c r="O40" i="88"/>
  <c r="U40" i="88" s="1"/>
  <c r="O47" i="88"/>
  <c r="U47" i="88" s="1"/>
  <c r="O34" i="88"/>
  <c r="U34" i="88" s="1"/>
  <c r="O17" i="88"/>
  <c r="U17" i="88" s="1"/>
  <c r="O30" i="88"/>
  <c r="U30" i="88" s="1"/>
  <c r="O70" i="88"/>
  <c r="U70" i="88" s="1"/>
  <c r="O77" i="88"/>
  <c r="U77" i="88" s="1"/>
  <c r="O84" i="88"/>
  <c r="U84" i="88" s="1"/>
  <c r="O73" i="88"/>
  <c r="U73" i="88" s="1"/>
  <c r="O106" i="88"/>
  <c r="U106" i="88" s="1"/>
  <c r="O82" i="88"/>
  <c r="U82" i="88" s="1"/>
  <c r="O104" i="88"/>
  <c r="U104" i="88" s="1"/>
  <c r="O87" i="88"/>
  <c r="U87" i="88" s="1"/>
  <c r="O107" i="88"/>
  <c r="U107" i="88" s="1"/>
  <c r="O36" i="88"/>
  <c r="U36" i="88" s="1"/>
  <c r="O35" i="88"/>
  <c r="U35" i="88" s="1"/>
  <c r="O22" i="88"/>
  <c r="U22" i="88" s="1"/>
  <c r="O27" i="88"/>
  <c r="U27" i="88" s="1"/>
  <c r="O55" i="88"/>
  <c r="U55" i="88" s="1"/>
  <c r="O57" i="88"/>
  <c r="U57" i="88" s="1"/>
  <c r="O26" i="88"/>
  <c r="U26" i="88" s="1"/>
  <c r="O48" i="88"/>
  <c r="U48" i="88" s="1"/>
  <c r="O50" i="88"/>
  <c r="U50" i="88" s="1"/>
  <c r="O41" i="88"/>
  <c r="U41" i="88" s="1"/>
  <c r="O89" i="88"/>
  <c r="U89" i="88" s="1"/>
  <c r="O66" i="88"/>
  <c r="U66" i="88" s="1"/>
  <c r="O80" i="88"/>
  <c r="U80" i="88" s="1"/>
  <c r="O81" i="88"/>
  <c r="U81" i="88" s="1"/>
  <c r="O76" i="88"/>
  <c r="U76" i="88" s="1"/>
  <c r="O46" i="88"/>
  <c r="U46" i="88" s="1"/>
  <c r="O25" i="88"/>
  <c r="U25" i="88" s="1"/>
  <c r="O39" i="88"/>
  <c r="U39" i="88" s="1"/>
  <c r="O44" i="88"/>
  <c r="U44" i="88" s="1"/>
  <c r="O49" i="88"/>
  <c r="U49" i="88" s="1"/>
  <c r="O60" i="88"/>
  <c r="U60" i="88" s="1"/>
  <c r="O32" i="88"/>
  <c r="U32" i="88" s="1"/>
  <c r="O54" i="88"/>
  <c r="U54" i="88" s="1"/>
  <c r="O51" i="88"/>
  <c r="U51" i="88" s="1"/>
  <c r="O16" i="88"/>
  <c r="U16" i="88" s="1"/>
  <c r="O64" i="88"/>
  <c r="U64" i="88" s="1"/>
  <c r="O68" i="88"/>
  <c r="U68" i="88" s="1"/>
  <c r="O71" i="88"/>
  <c r="U71" i="88" s="1"/>
  <c r="O74" i="88"/>
  <c r="U74" i="88" s="1"/>
  <c r="O96" i="88"/>
  <c r="U96" i="88" s="1"/>
  <c r="O100" i="88"/>
  <c r="U100" i="88" s="1"/>
  <c r="O102" i="88"/>
  <c r="U102" i="88" s="1"/>
  <c r="O91" i="88"/>
  <c r="U91" i="88" s="1"/>
  <c r="O78" i="88"/>
  <c r="U78" i="88" s="1"/>
  <c r="O92" i="88"/>
  <c r="U92" i="88" s="1"/>
  <c r="F693" i="89" l="1"/>
  <c r="G693" i="89" s="1"/>
  <c r="G107" i="23"/>
  <c r="P92" i="88"/>
  <c r="P91" i="88"/>
  <c r="P68" i="88"/>
  <c r="P51" i="88"/>
  <c r="V51" i="88" s="1"/>
  <c r="P49" i="88"/>
  <c r="P46" i="88"/>
  <c r="P66" i="88"/>
  <c r="P50" i="88"/>
  <c r="P55" i="88"/>
  <c r="P36" i="88"/>
  <c r="P87" i="88"/>
  <c r="P77" i="88"/>
  <c r="P17" i="88"/>
  <c r="F16" i="87" s="1"/>
  <c r="P29" i="88"/>
  <c r="P19" i="88"/>
  <c r="F17" i="87" s="1"/>
  <c r="P94" i="88"/>
  <c r="P98" i="88"/>
  <c r="P59" i="88"/>
  <c r="P45" i="88"/>
  <c r="F33" i="87" s="1"/>
  <c r="P58" i="88"/>
  <c r="P102" i="88"/>
  <c r="P74" i="88"/>
  <c r="P54" i="88"/>
  <c r="F51" i="87" s="1"/>
  <c r="P44" i="88"/>
  <c r="P80" i="88"/>
  <c r="P48" i="88"/>
  <c r="F35" i="87" s="1"/>
  <c r="P27" i="88"/>
  <c r="F20" i="87" s="1"/>
  <c r="P104" i="88"/>
  <c r="P106" i="88"/>
  <c r="F73" i="87" s="1"/>
  <c r="P70" i="88"/>
  <c r="P34" i="88"/>
  <c r="P31" i="88"/>
  <c r="P42" i="88"/>
  <c r="P103" i="88"/>
  <c r="F70" i="87" s="1"/>
  <c r="P101" i="88"/>
  <c r="P85" i="88"/>
  <c r="P28" i="88"/>
  <c r="P53" i="88"/>
  <c r="P52" i="88"/>
  <c r="P100" i="88"/>
  <c r="P64" i="88"/>
  <c r="F58" i="87" s="1"/>
  <c r="P32" i="88"/>
  <c r="P39" i="88"/>
  <c r="P76" i="88"/>
  <c r="F64" i="87" s="1"/>
  <c r="P89" i="88"/>
  <c r="V89" i="88" s="1"/>
  <c r="P26" i="88"/>
  <c r="V26" i="88" s="1"/>
  <c r="P22" i="88"/>
  <c r="F18" i="87" s="1"/>
  <c r="P107" i="88"/>
  <c r="F74" i="87" s="1"/>
  <c r="P73" i="88"/>
  <c r="P47" i="88"/>
  <c r="V47" i="88" s="1"/>
  <c r="P15" i="88"/>
  <c r="F14" i="87" s="1"/>
  <c r="P88" i="88"/>
  <c r="V88" i="88" s="1"/>
  <c r="P105" i="88"/>
  <c r="F72" i="87" s="1"/>
  <c r="P108" i="88"/>
  <c r="P38" i="88"/>
  <c r="P78" i="88"/>
  <c r="V78" i="88" s="1"/>
  <c r="P96" i="88"/>
  <c r="P71" i="88"/>
  <c r="P16" i="88"/>
  <c r="F15" i="87" s="1"/>
  <c r="P60" i="88"/>
  <c r="F57" i="87" s="1"/>
  <c r="P25" i="88"/>
  <c r="F19" i="87" s="1"/>
  <c r="P81" i="88"/>
  <c r="V81" i="88" s="1"/>
  <c r="P41" i="88"/>
  <c r="P57" i="88"/>
  <c r="P35" i="88"/>
  <c r="P82" i="88"/>
  <c r="P84" i="88"/>
  <c r="P30" i="88"/>
  <c r="P40" i="88"/>
  <c r="P20" i="88"/>
  <c r="V20" i="88" s="1"/>
  <c r="P99" i="88"/>
  <c r="F66" i="87" s="1"/>
  <c r="P62" i="88"/>
  <c r="P23" i="88"/>
  <c r="V23" i="88" s="1"/>
  <c r="P56" i="88"/>
  <c r="F53" i="87" s="1"/>
  <c r="G19" i="15"/>
  <c r="F24" i="15" s="1"/>
  <c r="F63" i="87" l="1"/>
  <c r="F159" i="89" s="1"/>
  <c r="G159" i="89" s="1"/>
  <c r="F54" i="87"/>
  <c r="G54" i="87" s="1"/>
  <c r="F67" i="87"/>
  <c r="F163" i="89" s="1"/>
  <c r="G163" i="89" s="1"/>
  <c r="F55" i="87"/>
  <c r="G55" i="87" s="1"/>
  <c r="F62" i="87"/>
  <c r="G62" i="87" s="1"/>
  <c r="F69" i="87"/>
  <c r="F165" i="89" s="1"/>
  <c r="G165" i="89" s="1"/>
  <c r="F170" i="89"/>
  <c r="G170" i="89" s="1"/>
  <c r="G74" i="87"/>
  <c r="F160" i="89"/>
  <c r="G160" i="89" s="1"/>
  <c r="G64" i="87"/>
  <c r="F49" i="87"/>
  <c r="F36" i="87"/>
  <c r="F44" i="87"/>
  <c r="F31" i="87"/>
  <c r="F111" i="89"/>
  <c r="G111" i="89" s="1"/>
  <c r="G15" i="87"/>
  <c r="F41" i="87"/>
  <c r="F28" i="87"/>
  <c r="F114" i="89"/>
  <c r="G114" i="89" s="1"/>
  <c r="G18" i="87"/>
  <c r="F42" i="87"/>
  <c r="F29" i="87"/>
  <c r="F68" i="87"/>
  <c r="F38" i="87"/>
  <c r="F25" i="87"/>
  <c r="F116" i="89"/>
  <c r="G116" i="89" s="1"/>
  <c r="G20" i="87"/>
  <c r="F147" i="89"/>
  <c r="G147" i="89" s="1"/>
  <c r="G51" i="87"/>
  <c r="F129" i="89"/>
  <c r="G129" i="89" s="1"/>
  <c r="G33" i="87"/>
  <c r="F113" i="89"/>
  <c r="G113" i="89" s="1"/>
  <c r="G17" i="87"/>
  <c r="F60" i="87"/>
  <c r="F153" i="89"/>
  <c r="G153" i="89" s="1"/>
  <c r="G57" i="87"/>
  <c r="F23" i="87"/>
  <c r="F45" i="87"/>
  <c r="F32" i="87"/>
  <c r="F162" i="89"/>
  <c r="G162" i="89" s="1"/>
  <c r="G66" i="87"/>
  <c r="F149" i="89"/>
  <c r="G149" i="89" s="1"/>
  <c r="G53" i="87"/>
  <c r="F24" i="87"/>
  <c r="F166" i="89"/>
  <c r="G166" i="89" s="1"/>
  <c r="G70" i="87"/>
  <c r="F131" i="89"/>
  <c r="G131" i="89" s="1"/>
  <c r="G35" i="87"/>
  <c r="F56" i="87"/>
  <c r="F21" i="87"/>
  <c r="F40" i="87"/>
  <c r="F27" i="87"/>
  <c r="F47" i="87"/>
  <c r="F34" i="87"/>
  <c r="F37" i="87"/>
  <c r="F22" i="87"/>
  <c r="F43" i="87"/>
  <c r="F30" i="87"/>
  <c r="F39" i="87"/>
  <c r="F26" i="87"/>
  <c r="F115" i="89"/>
  <c r="G115" i="89" s="1"/>
  <c r="G19" i="87"/>
  <c r="F168" i="89"/>
  <c r="G168" i="89" s="1"/>
  <c r="G72" i="87"/>
  <c r="F154" i="89"/>
  <c r="G154" i="89" s="1"/>
  <c r="G58" i="87"/>
  <c r="F169" i="89"/>
  <c r="G169" i="89" s="1"/>
  <c r="G73" i="87"/>
  <c r="F65" i="87"/>
  <c r="F112" i="89"/>
  <c r="G112" i="89" s="1"/>
  <c r="G16" i="87"/>
  <c r="F71" i="87"/>
  <c r="G14" i="87"/>
  <c r="F110" i="89"/>
  <c r="G110" i="89" s="1"/>
  <c r="V107" i="88"/>
  <c r="V82" i="88"/>
  <c r="V41" i="88"/>
  <c r="V25" i="88"/>
  <c r="V16" i="88"/>
  <c r="V96" i="88"/>
  <c r="V38" i="88"/>
  <c r="V108" i="88"/>
  <c r="V52" i="88"/>
  <c r="V28" i="88"/>
  <c r="V101" i="88"/>
  <c r="V42" i="88"/>
  <c r="V34" i="88"/>
  <c r="V106" i="88"/>
  <c r="V45" i="88"/>
  <c r="V29" i="88"/>
  <c r="V77" i="88"/>
  <c r="V87" i="88"/>
  <c r="V49" i="88"/>
  <c r="V91" i="88"/>
  <c r="V99" i="88"/>
  <c r="V35" i="88"/>
  <c r="V56" i="88"/>
  <c r="V62" i="88"/>
  <c r="V30" i="88"/>
  <c r="V105" i="88"/>
  <c r="V15" i="88"/>
  <c r="V22" i="88"/>
  <c r="V39" i="88"/>
  <c r="V64" i="88"/>
  <c r="V100" i="88"/>
  <c r="V48" i="88"/>
  <c r="V80" i="88"/>
  <c r="V54" i="88"/>
  <c r="V74" i="88"/>
  <c r="V94" i="88"/>
  <c r="V55" i="88"/>
  <c r="V66" i="88"/>
  <c r="V68" i="88"/>
  <c r="V60" i="88"/>
  <c r="V32" i="88"/>
  <c r="V53" i="88"/>
  <c r="V103" i="88"/>
  <c r="V31" i="88"/>
  <c r="V70" i="88"/>
  <c r="V27" i="88"/>
  <c r="V44" i="88"/>
  <c r="V58" i="88"/>
  <c r="V59" i="88"/>
  <c r="V98" i="88"/>
  <c r="V17" i="88"/>
  <c r="V46" i="88"/>
  <c r="V92" i="88"/>
  <c r="V40" i="88"/>
  <c r="V84" i="88"/>
  <c r="V57" i="88"/>
  <c r="V71" i="88"/>
  <c r="V73" i="88"/>
  <c r="V76" i="88"/>
  <c r="V85" i="88"/>
  <c r="V104" i="88"/>
  <c r="V102" i="88"/>
  <c r="V19" i="88"/>
  <c r="V36" i="88"/>
  <c r="V50" i="88"/>
  <c r="F279" i="22"/>
  <c r="G69" i="87" l="1"/>
  <c r="F151" i="89"/>
  <c r="G151" i="89" s="1"/>
  <c r="G63" i="87"/>
  <c r="F150" i="89"/>
  <c r="G150" i="89" s="1"/>
  <c r="G67" i="87"/>
  <c r="F158" i="89"/>
  <c r="G158" i="89" s="1"/>
  <c r="F122" i="89"/>
  <c r="G122" i="89" s="1"/>
  <c r="G26" i="87"/>
  <c r="F152" i="89"/>
  <c r="G152" i="89" s="1"/>
  <c r="G56" i="87"/>
  <c r="F127" i="89"/>
  <c r="G31" i="87"/>
  <c r="F161" i="89"/>
  <c r="G161" i="89" s="1"/>
  <c r="G65" i="87"/>
  <c r="F135" i="89"/>
  <c r="G135" i="89" s="1"/>
  <c r="G39" i="87"/>
  <c r="F133" i="89"/>
  <c r="G133" i="89" s="1"/>
  <c r="G37" i="87"/>
  <c r="F120" i="89"/>
  <c r="G120" i="89" s="1"/>
  <c r="G24" i="87"/>
  <c r="F128" i="89"/>
  <c r="G32" i="87"/>
  <c r="F138" i="89"/>
  <c r="G138" i="89" s="1"/>
  <c r="G42" i="87"/>
  <c r="F137" i="89"/>
  <c r="G41" i="87"/>
  <c r="F140" i="89"/>
  <c r="G140" i="89" s="1"/>
  <c r="G44" i="87"/>
  <c r="F126" i="89"/>
  <c r="G126" i="89" s="1"/>
  <c r="G30" i="87"/>
  <c r="F130" i="89"/>
  <c r="G34" i="87"/>
  <c r="F117" i="89"/>
  <c r="G117" i="89" s="1"/>
  <c r="G21" i="87"/>
  <c r="F141" i="89"/>
  <c r="G45" i="87"/>
  <c r="F134" i="89"/>
  <c r="G134" i="89" s="1"/>
  <c r="G38" i="87"/>
  <c r="F132" i="89"/>
  <c r="G132" i="89" s="1"/>
  <c r="G36" i="87"/>
  <c r="F167" i="89"/>
  <c r="G167" i="89" s="1"/>
  <c r="G71" i="87"/>
  <c r="F118" i="89"/>
  <c r="G118" i="89" s="1"/>
  <c r="G22" i="87"/>
  <c r="F123" i="89"/>
  <c r="G123" i="89" s="1"/>
  <c r="G27" i="87"/>
  <c r="F125" i="89"/>
  <c r="G125" i="89" s="1"/>
  <c r="G29" i="87"/>
  <c r="F124" i="89"/>
  <c r="G124" i="89" s="1"/>
  <c r="G28" i="87"/>
  <c r="F136" i="89"/>
  <c r="G136" i="89" s="1"/>
  <c r="G40" i="87"/>
  <c r="F121" i="89"/>
  <c r="G121" i="89" s="1"/>
  <c r="G25" i="87"/>
  <c r="F139" i="89"/>
  <c r="G43" i="87"/>
  <c r="F143" i="89"/>
  <c r="G47" i="87"/>
  <c r="F119" i="89"/>
  <c r="G119" i="89" s="1"/>
  <c r="G23" i="87"/>
  <c r="F156" i="89"/>
  <c r="G156" i="89" s="1"/>
  <c r="G60" i="87"/>
  <c r="F164" i="89"/>
  <c r="G164" i="89" s="1"/>
  <c r="G68" i="87"/>
  <c r="F145" i="89"/>
  <c r="G145" i="89" s="1"/>
  <c r="G49" i="87"/>
  <c r="F25" i="15"/>
  <c r="F66" i="24"/>
  <c r="G249" i="23" l="1"/>
  <c r="F47" i="23" l="1"/>
  <c r="F111" i="23"/>
  <c r="G250" i="23"/>
  <c r="F114" i="23" s="1"/>
  <c r="F59" i="87"/>
  <c r="F61" i="87"/>
  <c r="G137" i="89"/>
  <c r="G139" i="89"/>
  <c r="G141" i="89"/>
  <c r="G143" i="89"/>
  <c r="G21" i="25"/>
  <c r="G72" i="25" s="1"/>
  <c r="F190" i="25" s="1"/>
  <c r="F140" i="25"/>
  <c r="F199" i="89"/>
  <c r="G199" i="89" s="1"/>
  <c r="F700" i="89" l="1"/>
  <c r="G700" i="89" s="1"/>
  <c r="G114" i="23"/>
  <c r="F697" i="89"/>
  <c r="G697" i="89" s="1"/>
  <c r="G111" i="23"/>
  <c r="F637" i="89"/>
  <c r="G637" i="89" s="1"/>
  <c r="G47" i="23"/>
  <c r="G251" i="23"/>
  <c r="F115" i="23" s="1"/>
  <c r="F155" i="89"/>
  <c r="G155" i="89" s="1"/>
  <c r="G59" i="87"/>
  <c r="F157" i="89"/>
  <c r="G157" i="89" s="1"/>
  <c r="G61" i="87"/>
  <c r="G193" i="89"/>
  <c r="G140" i="25"/>
  <c r="F312" i="89"/>
  <c r="G312" i="89" s="1"/>
  <c r="F701" i="89" l="1"/>
  <c r="G701" i="89" s="1"/>
  <c r="G115" i="23"/>
  <c r="G252" i="23"/>
  <c r="F116" i="23" s="1"/>
  <c r="G178" i="25"/>
  <c r="F192" i="25" s="1"/>
  <c r="F194" i="25" s="1"/>
  <c r="D27" i="91"/>
  <c r="G304" i="89"/>
  <c r="G192" i="89" s="1"/>
  <c r="F702" i="89" l="1"/>
  <c r="G702" i="89" s="1"/>
  <c r="G116" i="23"/>
  <c r="G185" i="25"/>
  <c r="G253" i="23"/>
  <c r="F117" i="23" s="1"/>
  <c r="D29" i="91"/>
  <c r="F703" i="89" l="1"/>
  <c r="G703" i="89" s="1"/>
  <c r="G117" i="23"/>
  <c r="D26" i="91"/>
  <c r="G127" i="89"/>
  <c r="G128" i="89"/>
  <c r="G130" i="89"/>
  <c r="G256" i="23" l="1"/>
  <c r="F118" i="23" l="1"/>
  <c r="F136" i="23"/>
  <c r="G257" i="23"/>
  <c r="F128" i="23" s="1"/>
  <c r="F704" i="89" l="1"/>
  <c r="G704" i="89" s="1"/>
  <c r="G118" i="23"/>
  <c r="F714" i="89"/>
  <c r="G714" i="89" s="1"/>
  <c r="G128" i="23"/>
  <c r="F720" i="89"/>
  <c r="G720" i="89" s="1"/>
  <c r="G136" i="23"/>
  <c r="G259" i="23"/>
  <c r="F119" i="23" s="1"/>
  <c r="F705" i="89" l="1"/>
  <c r="G705" i="89" s="1"/>
  <c r="G119" i="23"/>
  <c r="G261" i="23"/>
  <c r="F53" i="23" s="1"/>
  <c r="F643" i="89" l="1"/>
  <c r="G643" i="89" s="1"/>
  <c r="G53" i="23"/>
  <c r="G262" i="23"/>
  <c r="F92" i="23" s="1"/>
  <c r="F678" i="89" l="1"/>
  <c r="G678" i="89" s="1"/>
  <c r="G92" i="23"/>
  <c r="G264" i="23"/>
  <c r="F120" i="23" s="1"/>
  <c r="F706" i="89" l="1"/>
  <c r="G706" i="89" s="1"/>
  <c r="G120" i="23"/>
  <c r="G267" i="23"/>
  <c r="F56" i="23" s="1"/>
  <c r="F646" i="89" l="1"/>
  <c r="G646" i="89" s="1"/>
  <c r="G56" i="23"/>
  <c r="G268" i="23"/>
  <c r="F121" i="23" s="1"/>
  <c r="F707" i="89" l="1"/>
  <c r="G707" i="89" s="1"/>
  <c r="G121" i="23"/>
  <c r="G269" i="23"/>
  <c r="F123" i="23" s="1"/>
  <c r="F709" i="89" l="1"/>
  <c r="G709" i="89" s="1"/>
  <c r="G123" i="23"/>
  <c r="G270" i="23"/>
  <c r="F122" i="23" s="1"/>
  <c r="F708" i="89" l="1"/>
  <c r="G708" i="89" s="1"/>
  <c r="G122" i="23"/>
  <c r="G271" i="23"/>
  <c r="F124" i="23" l="1"/>
  <c r="F140" i="23"/>
  <c r="G272" i="23"/>
  <c r="F57" i="23" s="1"/>
  <c r="F724" i="89" l="1"/>
  <c r="G724" i="89" s="1"/>
  <c r="G140" i="23"/>
  <c r="F710" i="89"/>
  <c r="G710" i="89" s="1"/>
  <c r="G124" i="23"/>
  <c r="F647" i="89"/>
  <c r="G647" i="89" s="1"/>
  <c r="G57" i="23"/>
  <c r="G273" i="23"/>
  <c r="F110" i="23" s="1"/>
  <c r="F696" i="89" l="1"/>
  <c r="G696" i="89" s="1"/>
  <c r="G110" i="23"/>
  <c r="G274" i="23"/>
  <c r="F58" i="23" s="1"/>
  <c r="F648" i="89" l="1"/>
  <c r="G648" i="89" s="1"/>
  <c r="G58" i="23"/>
  <c r="G275" i="23"/>
  <c r="F22" i="23" s="1"/>
  <c r="F612" i="89" l="1"/>
  <c r="G612" i="89" s="1"/>
  <c r="G605" i="89" s="1"/>
  <c r="G22" i="23"/>
  <c r="G278" i="23"/>
  <c r="G60" i="23" l="1"/>
  <c r="F153" i="23" s="1"/>
  <c r="D36" i="91"/>
  <c r="G279" i="23"/>
  <c r="F126" i="23" s="1"/>
  <c r="F712" i="89" l="1"/>
  <c r="G712" i="89" s="1"/>
  <c r="G126" i="23"/>
  <c r="G280" i="23"/>
  <c r="F138" i="23" l="1"/>
  <c r="F127" i="23"/>
  <c r="G282" i="23"/>
  <c r="F129" i="23" s="1"/>
  <c r="F715" i="89" l="1"/>
  <c r="G715" i="89" s="1"/>
  <c r="G129" i="23"/>
  <c r="F713" i="89"/>
  <c r="G713" i="89" s="1"/>
  <c r="G127" i="23"/>
  <c r="F722" i="89"/>
  <c r="G722" i="89" s="1"/>
  <c r="G718" i="89" s="1"/>
  <c r="G138" i="23"/>
  <c r="G144" i="23" s="1"/>
  <c r="G284" i="23"/>
  <c r="F131" i="23" s="1"/>
  <c r="G283" i="23"/>
  <c r="F130" i="23" s="1"/>
  <c r="F716" i="89" l="1"/>
  <c r="G716" i="89" s="1"/>
  <c r="G130" i="23"/>
  <c r="G132" i="23"/>
  <c r="G146" i="23" s="1"/>
  <c r="F155" i="23" s="1"/>
  <c r="F156" i="23" s="1"/>
  <c r="F717" i="89"/>
  <c r="G717" i="89" s="1"/>
  <c r="G663" i="89" s="1"/>
  <c r="G131" i="23"/>
  <c r="G662" i="89" l="1"/>
  <c r="D38" i="91" s="1"/>
  <c r="D35" i="91" s="1"/>
  <c r="G148" i="23"/>
  <c r="G604" i="89" l="1"/>
  <c r="F46" i="87"/>
  <c r="G46" i="87"/>
  <c r="F48" i="87"/>
  <c r="G48" i="87"/>
  <c r="F50" i="87"/>
  <c r="G50" i="87"/>
  <c r="F52" i="87"/>
  <c r="G52" i="87"/>
  <c r="G76" i="87"/>
  <c r="F81" i="87"/>
  <c r="F82" i="87"/>
  <c r="H63" i="88"/>
  <c r="I63" i="88"/>
  <c r="J63" i="88"/>
  <c r="O63" i="88"/>
  <c r="P63" i="88"/>
  <c r="R63" i="88"/>
  <c r="S63" i="88"/>
  <c r="U63" i="88"/>
  <c r="V63" i="88"/>
  <c r="H65" i="88"/>
  <c r="I65" i="88"/>
  <c r="J65" i="88"/>
  <c r="O65" i="88"/>
  <c r="P65" i="88"/>
  <c r="R65" i="88"/>
  <c r="S65" i="88"/>
  <c r="U65" i="88"/>
  <c r="V65" i="88"/>
  <c r="H67" i="88"/>
  <c r="I67" i="88"/>
  <c r="J67" i="88"/>
  <c r="O67" i="88"/>
  <c r="P67" i="88"/>
  <c r="R67" i="88"/>
  <c r="S67" i="88"/>
  <c r="U67" i="88"/>
  <c r="V67" i="88"/>
  <c r="H69" i="88"/>
  <c r="I69" i="88"/>
  <c r="J69" i="88"/>
  <c r="O69" i="88"/>
  <c r="P69" i="88"/>
  <c r="R69" i="88"/>
  <c r="S69" i="88"/>
  <c r="U69" i="88"/>
  <c r="V69" i="88"/>
  <c r="R109" i="88"/>
  <c r="S109" i="88"/>
  <c r="U109" i="88"/>
  <c r="V109" i="88"/>
  <c r="G8" i="89"/>
  <c r="H13" i="89"/>
  <c r="H14" i="89"/>
  <c r="H15" i="89"/>
  <c r="H16" i="89"/>
  <c r="H17" i="89"/>
  <c r="H18" i="89"/>
  <c r="H19" i="89"/>
  <c r="H20" i="89"/>
  <c r="H21" i="89"/>
  <c r="H23" i="89"/>
  <c r="H24" i="89"/>
  <c r="H25" i="89"/>
  <c r="H26" i="89"/>
  <c r="H27" i="89"/>
  <c r="H28" i="89"/>
  <c r="H29" i="89"/>
  <c r="H30" i="89"/>
  <c r="H31" i="89"/>
  <c r="H32" i="89"/>
  <c r="H33" i="89"/>
  <c r="H34" i="89"/>
  <c r="H35" i="89"/>
  <c r="H36" i="89"/>
  <c r="H37" i="89"/>
  <c r="H38" i="89"/>
  <c r="H39" i="89"/>
  <c r="H40" i="89"/>
  <c r="H41" i="89"/>
  <c r="H42" i="89"/>
  <c r="H43" i="89"/>
  <c r="H44" i="89"/>
  <c r="H45" i="89"/>
  <c r="H46" i="89"/>
  <c r="H47" i="89"/>
  <c r="H48" i="89"/>
  <c r="H49" i="89"/>
  <c r="H50" i="89"/>
  <c r="H51" i="89"/>
  <c r="H52" i="89"/>
  <c r="H54" i="89"/>
  <c r="H55" i="89"/>
  <c r="H56" i="89"/>
  <c r="H57" i="89"/>
  <c r="H58" i="89"/>
  <c r="H59" i="89"/>
  <c r="H60" i="89"/>
  <c r="H61" i="89"/>
  <c r="H62" i="89"/>
  <c r="H63" i="89"/>
  <c r="H64" i="89"/>
  <c r="H65" i="89"/>
  <c r="H66" i="89"/>
  <c r="H67" i="89"/>
  <c r="H68" i="89"/>
  <c r="H69" i="89"/>
  <c r="H70" i="89"/>
  <c r="H71" i="89"/>
  <c r="H72" i="89"/>
  <c r="H73" i="89"/>
  <c r="H74" i="89"/>
  <c r="H75" i="89"/>
  <c r="H76" i="89"/>
  <c r="H77" i="89"/>
  <c r="H78" i="89"/>
  <c r="H79" i="89"/>
  <c r="H80" i="89"/>
  <c r="H81" i="89"/>
  <c r="H82" i="89"/>
  <c r="H83" i="89"/>
  <c r="H84" i="89"/>
  <c r="H85" i="89"/>
  <c r="H86" i="89"/>
  <c r="H87" i="89"/>
  <c r="H88" i="89"/>
  <c r="H89" i="89"/>
  <c r="H90" i="89"/>
  <c r="H91" i="89"/>
  <c r="H92" i="89"/>
  <c r="H93" i="89"/>
  <c r="H94" i="89"/>
  <c r="H95" i="89"/>
  <c r="H96" i="89"/>
  <c r="H97" i="89"/>
  <c r="H98" i="89"/>
  <c r="H99" i="89"/>
  <c r="H100" i="89"/>
  <c r="H101" i="89"/>
  <c r="H102" i="89"/>
  <c r="H103" i="89"/>
  <c r="H104" i="89"/>
  <c r="H105" i="89"/>
  <c r="H106" i="89"/>
  <c r="H107" i="89"/>
  <c r="G109" i="89"/>
  <c r="H109" i="89"/>
  <c r="H110" i="89"/>
  <c r="H111" i="89"/>
  <c r="H112" i="89"/>
  <c r="H113" i="89"/>
  <c r="H114" i="89"/>
  <c r="H115" i="89"/>
  <c r="H116" i="89"/>
  <c r="H117" i="89"/>
  <c r="H118" i="89"/>
  <c r="H119" i="89"/>
  <c r="H120" i="89"/>
  <c r="H121" i="89"/>
  <c r="H122" i="89"/>
  <c r="H123" i="89"/>
  <c r="H124" i="89"/>
  <c r="H125" i="89"/>
  <c r="H126" i="89"/>
  <c r="H127" i="89"/>
  <c r="H128" i="89"/>
  <c r="H129" i="89"/>
  <c r="H130" i="89"/>
  <c r="H131" i="89"/>
  <c r="H132" i="89"/>
  <c r="H133" i="89"/>
  <c r="H134" i="89"/>
  <c r="H135" i="89"/>
  <c r="H136" i="89"/>
  <c r="H137" i="89"/>
  <c r="H138" i="89"/>
  <c r="H139" i="89"/>
  <c r="H140" i="89"/>
  <c r="H141" i="89"/>
  <c r="F142" i="89"/>
  <c r="G142" i="89"/>
  <c r="H142" i="89"/>
  <c r="H143" i="89"/>
  <c r="F144" i="89"/>
  <c r="G144" i="89"/>
  <c r="H144" i="89"/>
  <c r="H145" i="89"/>
  <c r="F146" i="89"/>
  <c r="G146" i="89"/>
  <c r="H146" i="89"/>
  <c r="H147" i="89"/>
  <c r="F148" i="89"/>
  <c r="G148" i="89"/>
  <c r="H148" i="89"/>
  <c r="H149" i="89"/>
  <c r="H150" i="89"/>
  <c r="H151" i="89"/>
  <c r="H152" i="89"/>
  <c r="H153" i="89"/>
  <c r="H154" i="89"/>
  <c r="H155" i="89"/>
  <c r="H156" i="89"/>
  <c r="H157" i="89"/>
  <c r="H158" i="89"/>
  <c r="H159" i="89"/>
  <c r="H160" i="89"/>
  <c r="H161" i="89"/>
  <c r="H162" i="89"/>
  <c r="H163" i="89"/>
  <c r="H164" i="89"/>
  <c r="H165" i="89"/>
  <c r="H166" i="89"/>
  <c r="H167" i="89"/>
  <c r="H168" i="89"/>
  <c r="H169" i="89"/>
  <c r="H170" i="89"/>
  <c r="H172" i="89"/>
  <c r="H173" i="89"/>
  <c r="H174" i="89"/>
  <c r="H175" i="89"/>
  <c r="H176" i="89"/>
  <c r="H177" i="89"/>
  <c r="H179" i="89"/>
  <c r="H180" i="89"/>
  <c r="H181" i="89"/>
  <c r="H182" i="89"/>
  <c r="H183" i="89"/>
  <c r="H184" i="89"/>
  <c r="H185" i="89"/>
  <c r="H187" i="89"/>
  <c r="H188" i="89"/>
  <c r="H189" i="89"/>
  <c r="H190" i="89"/>
  <c r="H192" i="89"/>
  <c r="H193" i="89"/>
  <c r="H194" i="89"/>
  <c r="H195" i="89"/>
  <c r="H196" i="89"/>
  <c r="H197" i="89"/>
  <c r="H198" i="89"/>
  <c r="H199" i="89"/>
  <c r="H200" i="89"/>
  <c r="H201" i="89"/>
  <c r="H202" i="89"/>
  <c r="H203" i="89"/>
  <c r="H204" i="89"/>
  <c r="H205" i="89"/>
  <c r="H206" i="89"/>
  <c r="H207" i="89"/>
  <c r="H208" i="89"/>
  <c r="H209" i="89"/>
  <c r="H210" i="89"/>
  <c r="H211" i="89"/>
  <c r="H212" i="89"/>
  <c r="H213" i="89"/>
  <c r="H214" i="89"/>
  <c r="H215" i="89"/>
  <c r="H216" i="89"/>
  <c r="H217" i="89"/>
  <c r="H218" i="89"/>
  <c r="H219" i="89"/>
  <c r="H220" i="89"/>
  <c r="H221" i="89"/>
  <c r="H222" i="89"/>
  <c r="H223" i="89"/>
  <c r="H224" i="89"/>
  <c r="H225" i="89"/>
  <c r="H226" i="89"/>
  <c r="H227" i="89"/>
  <c r="H228" i="89"/>
  <c r="H229" i="89"/>
  <c r="H230" i="89"/>
  <c r="H231" i="89"/>
  <c r="H232" i="89"/>
  <c r="H233" i="89"/>
  <c r="H234" i="89"/>
  <c r="H235" i="89"/>
  <c r="H236" i="89"/>
  <c r="H237" i="89"/>
  <c r="H238" i="89"/>
  <c r="H239" i="89"/>
  <c r="H240" i="89"/>
  <c r="H241" i="89"/>
  <c r="H242" i="89"/>
  <c r="H243" i="89"/>
  <c r="H244" i="89"/>
  <c r="H245" i="89"/>
  <c r="H246" i="89"/>
  <c r="H247" i="89"/>
  <c r="H248" i="89"/>
  <c r="H249" i="89"/>
  <c r="H250" i="89"/>
  <c r="H251" i="89"/>
  <c r="H252" i="89"/>
  <c r="H253" i="89"/>
  <c r="H254" i="89"/>
  <c r="H255" i="89"/>
  <c r="H256" i="89"/>
  <c r="H257" i="89"/>
  <c r="H258" i="89"/>
  <c r="H259" i="89"/>
  <c r="H260" i="89"/>
  <c r="H261" i="89"/>
  <c r="H262" i="89"/>
  <c r="H263" i="89"/>
  <c r="H264" i="89"/>
  <c r="H265" i="89"/>
  <c r="H266" i="89"/>
  <c r="H267" i="89"/>
  <c r="H268" i="89"/>
  <c r="H269" i="89"/>
  <c r="H270" i="89"/>
  <c r="H271" i="89"/>
  <c r="H272" i="89"/>
  <c r="H273" i="89"/>
  <c r="H274" i="89"/>
  <c r="H275" i="89"/>
  <c r="H276" i="89"/>
  <c r="H277" i="89"/>
  <c r="H278" i="89"/>
  <c r="H279" i="89"/>
  <c r="H280" i="89"/>
  <c r="H281" i="89"/>
  <c r="H282" i="89"/>
  <c r="H283" i="89"/>
  <c r="H284" i="89"/>
  <c r="H285" i="89"/>
  <c r="H286" i="89"/>
  <c r="H287" i="89"/>
  <c r="H288" i="89"/>
  <c r="H289" i="89"/>
  <c r="H290" i="89"/>
  <c r="H291" i="89"/>
  <c r="H292" i="89"/>
  <c r="H293" i="89"/>
  <c r="H294" i="89"/>
  <c r="H295" i="89"/>
  <c r="H296" i="89"/>
  <c r="H297" i="89"/>
  <c r="H298" i="89"/>
  <c r="H299" i="89"/>
  <c r="H300" i="89"/>
  <c r="H301" i="89"/>
  <c r="H302" i="89"/>
  <c r="H303" i="89"/>
  <c r="H304" i="89"/>
  <c r="H305" i="89"/>
  <c r="H306" i="89"/>
  <c r="H307" i="89"/>
  <c r="H308" i="89"/>
  <c r="H309" i="89"/>
  <c r="H310" i="89"/>
  <c r="H311" i="89"/>
  <c r="H312" i="89"/>
  <c r="H313" i="89"/>
  <c r="H314" i="89"/>
  <c r="H315" i="89"/>
  <c r="H316" i="89"/>
  <c r="H317" i="89"/>
  <c r="H318" i="89"/>
  <c r="H319" i="89"/>
  <c r="H320" i="89"/>
  <c r="H321" i="89"/>
  <c r="H322" i="89"/>
  <c r="H323" i="89"/>
  <c r="H324" i="89"/>
  <c r="H325" i="89"/>
  <c r="H326" i="89"/>
  <c r="H327" i="89"/>
  <c r="H328" i="89"/>
  <c r="H329" i="89"/>
  <c r="H330" i="89"/>
  <c r="H331" i="89"/>
  <c r="H332" i="89"/>
  <c r="H333" i="89"/>
  <c r="H334" i="89"/>
  <c r="H335" i="89"/>
  <c r="H336" i="89"/>
  <c r="H337" i="89"/>
  <c r="H338" i="89"/>
  <c r="H339" i="89"/>
  <c r="H340" i="89"/>
  <c r="H341" i="89"/>
  <c r="H342" i="89"/>
  <c r="H343" i="89"/>
  <c r="H344" i="89"/>
  <c r="H345" i="89"/>
  <c r="H346" i="89"/>
  <c r="H347" i="89"/>
  <c r="H348" i="89"/>
  <c r="H349" i="89"/>
  <c r="H350" i="89"/>
  <c r="H352" i="89"/>
  <c r="H353" i="89"/>
  <c r="H354" i="89"/>
  <c r="H355" i="89"/>
  <c r="H356" i="89"/>
  <c r="H357" i="89"/>
  <c r="H358" i="89"/>
  <c r="H359" i="89"/>
  <c r="H360" i="89"/>
  <c r="H361" i="89"/>
  <c r="H362" i="89"/>
  <c r="H363" i="89"/>
  <c r="H364" i="89"/>
  <c r="H365" i="89"/>
  <c r="H366" i="89"/>
  <c r="H367" i="89"/>
  <c r="H368" i="89"/>
  <c r="H369" i="89"/>
  <c r="H370" i="89"/>
  <c r="H371" i="89"/>
  <c r="H372" i="89"/>
  <c r="H373" i="89"/>
  <c r="H374" i="89"/>
  <c r="H375" i="89"/>
  <c r="H376" i="89"/>
  <c r="H377" i="89"/>
  <c r="H378" i="89"/>
  <c r="H379" i="89"/>
  <c r="H380" i="89"/>
  <c r="H381" i="89"/>
  <c r="H382" i="89"/>
  <c r="H383" i="89"/>
  <c r="H384" i="89"/>
  <c r="H385" i="89"/>
  <c r="H386" i="89"/>
  <c r="H387" i="89"/>
  <c r="H388" i="89"/>
  <c r="H389" i="89"/>
  <c r="H390" i="89"/>
  <c r="H391" i="89"/>
  <c r="H392" i="89"/>
  <c r="H393" i="89"/>
  <c r="H394" i="89"/>
  <c r="H395" i="89"/>
  <c r="H396" i="89"/>
  <c r="H397" i="89"/>
  <c r="H398" i="89"/>
  <c r="H399" i="89"/>
  <c r="H400" i="89"/>
  <c r="H401" i="89"/>
  <c r="H402" i="89"/>
  <c r="H403" i="89"/>
  <c r="H404" i="89"/>
  <c r="H405" i="89"/>
  <c r="H406" i="89"/>
  <c r="H407" i="89"/>
  <c r="H408" i="89"/>
  <c r="H409" i="89"/>
  <c r="H410" i="89"/>
  <c r="H411" i="89"/>
  <c r="H412" i="89"/>
  <c r="H413" i="89"/>
  <c r="H414" i="89"/>
  <c r="H415" i="89"/>
  <c r="H416" i="89"/>
  <c r="H417" i="89"/>
  <c r="H418" i="89"/>
  <c r="H419" i="89"/>
  <c r="H420" i="89"/>
  <c r="H421" i="89"/>
  <c r="H422" i="89"/>
  <c r="H423" i="89"/>
  <c r="H424" i="89"/>
  <c r="H425" i="89"/>
  <c r="H426" i="89"/>
  <c r="H427" i="89"/>
  <c r="H428" i="89"/>
  <c r="H429" i="89"/>
  <c r="H430" i="89"/>
  <c r="H431" i="89"/>
  <c r="H432" i="89"/>
  <c r="H433" i="89"/>
  <c r="H434" i="89"/>
  <c r="H435" i="89"/>
  <c r="H436" i="89"/>
  <c r="H437" i="89"/>
  <c r="H438" i="89"/>
  <c r="H439" i="89"/>
  <c r="H440" i="89"/>
  <c r="H441" i="89"/>
  <c r="H442" i="89"/>
  <c r="H443" i="89"/>
  <c r="H444" i="89"/>
  <c r="H445" i="89"/>
  <c r="H446" i="89"/>
  <c r="H447" i="89"/>
  <c r="H448" i="89"/>
  <c r="H449" i="89"/>
  <c r="H450" i="89"/>
  <c r="H451" i="89"/>
  <c r="H452" i="89"/>
  <c r="H453" i="89"/>
  <c r="H454" i="89"/>
  <c r="H455" i="89"/>
  <c r="H456" i="89"/>
  <c r="H457" i="89"/>
  <c r="H458" i="89"/>
  <c r="H459" i="89"/>
  <c r="H460" i="89"/>
  <c r="H461" i="89"/>
  <c r="H462" i="89"/>
  <c r="H463" i="89"/>
  <c r="H464" i="89"/>
  <c r="H465" i="89"/>
  <c r="H466" i="89"/>
  <c r="H467" i="89"/>
  <c r="H468" i="89"/>
  <c r="H469" i="89"/>
  <c r="H470" i="89"/>
  <c r="H471" i="89"/>
  <c r="H472" i="89"/>
  <c r="H473" i="89"/>
  <c r="H474" i="89"/>
  <c r="H475" i="89"/>
  <c r="H476" i="89"/>
  <c r="H477" i="89"/>
  <c r="H478" i="89"/>
  <c r="H479" i="89"/>
  <c r="H480" i="89"/>
  <c r="H481" i="89"/>
  <c r="H482" i="89"/>
  <c r="H483" i="89"/>
  <c r="H484" i="89"/>
  <c r="H485" i="89"/>
  <c r="H486" i="89"/>
  <c r="H487" i="89"/>
  <c r="H488" i="89"/>
  <c r="H489" i="89"/>
  <c r="H490" i="89"/>
  <c r="H491" i="89"/>
  <c r="H492" i="89"/>
  <c r="H493" i="89"/>
  <c r="H494" i="89"/>
  <c r="H495" i="89"/>
  <c r="H496" i="89"/>
  <c r="H497" i="89"/>
  <c r="H498" i="89"/>
  <c r="H499" i="89"/>
  <c r="H500" i="89"/>
  <c r="H501" i="89"/>
  <c r="H502" i="89"/>
  <c r="H503" i="89"/>
  <c r="H504" i="89"/>
  <c r="H505" i="89"/>
  <c r="H506" i="89"/>
  <c r="H507" i="89"/>
  <c r="H508" i="89"/>
  <c r="H509" i="89"/>
  <c r="H510" i="89"/>
  <c r="H511" i="89"/>
  <c r="H512" i="89"/>
  <c r="H513" i="89"/>
  <c r="H514" i="89"/>
  <c r="H515" i="89"/>
  <c r="H516" i="89"/>
  <c r="H517" i="89"/>
  <c r="H518" i="89"/>
  <c r="H519" i="89"/>
  <c r="H520" i="89"/>
  <c r="H521" i="89"/>
  <c r="H522" i="89"/>
  <c r="H523" i="89"/>
  <c r="H524" i="89"/>
  <c r="H525" i="89"/>
  <c r="H526" i="89"/>
  <c r="H527" i="89"/>
  <c r="H528" i="89"/>
  <c r="H529" i="89"/>
  <c r="H530" i="89"/>
  <c r="H531" i="89"/>
  <c r="H532" i="89"/>
  <c r="H533" i="89"/>
  <c r="H534" i="89"/>
  <c r="H535" i="89"/>
  <c r="H536" i="89"/>
  <c r="H537" i="89"/>
  <c r="H538" i="89"/>
  <c r="H539" i="89"/>
  <c r="H540" i="89"/>
  <c r="H541" i="89"/>
  <c r="H542" i="89"/>
  <c r="H543" i="89"/>
  <c r="H544" i="89"/>
  <c r="H545" i="89"/>
  <c r="H546" i="89"/>
  <c r="H547" i="89"/>
  <c r="H548" i="89"/>
  <c r="H549" i="89"/>
  <c r="H550" i="89"/>
  <c r="H551" i="89"/>
  <c r="H552" i="89"/>
  <c r="H553" i="89"/>
  <c r="H554" i="89"/>
  <c r="H555" i="89"/>
  <c r="H556" i="89"/>
  <c r="H557" i="89"/>
  <c r="H558" i="89"/>
  <c r="H559" i="89"/>
  <c r="H560" i="89"/>
  <c r="H561" i="89"/>
  <c r="H562" i="89"/>
  <c r="H563" i="89"/>
  <c r="H564" i="89"/>
  <c r="H565" i="89"/>
  <c r="H566" i="89"/>
  <c r="H567" i="89"/>
  <c r="H568" i="89"/>
  <c r="H569" i="89"/>
  <c r="H570" i="89"/>
  <c r="H571" i="89"/>
  <c r="H572" i="89"/>
  <c r="H573" i="89"/>
  <c r="H574" i="89"/>
  <c r="H575" i="89"/>
  <c r="H576" i="89"/>
  <c r="H577" i="89"/>
  <c r="H578" i="89"/>
  <c r="H579" i="89"/>
  <c r="H580" i="89"/>
  <c r="H581" i="89"/>
  <c r="H582" i="89"/>
  <c r="H583" i="89"/>
  <c r="H584" i="89"/>
  <c r="H585" i="89"/>
  <c r="H586" i="89"/>
  <c r="H587" i="89"/>
  <c r="H588" i="89"/>
  <c r="H589" i="89"/>
  <c r="H590" i="89"/>
  <c r="H591" i="89"/>
  <c r="H592" i="89"/>
  <c r="H593" i="89"/>
  <c r="H594" i="89"/>
  <c r="H595" i="89"/>
  <c r="H596" i="89"/>
  <c r="H597" i="89"/>
  <c r="H598" i="89"/>
  <c r="H599" i="89"/>
  <c r="H600" i="89"/>
  <c r="H601" i="89"/>
  <c r="H602" i="89"/>
  <c r="H604" i="89"/>
  <c r="H605" i="89"/>
  <c r="H606" i="89"/>
  <c r="H607" i="89"/>
  <c r="H608" i="89"/>
  <c r="H609" i="89"/>
  <c r="H610" i="89"/>
  <c r="H611" i="89"/>
  <c r="H612" i="89"/>
  <c r="H613" i="89"/>
  <c r="H614" i="89"/>
  <c r="H615" i="89"/>
  <c r="H616" i="89"/>
  <c r="H617" i="89"/>
  <c r="H618" i="89"/>
  <c r="H619" i="89"/>
  <c r="H620" i="89"/>
  <c r="H621" i="89"/>
  <c r="H622" i="89"/>
  <c r="H623" i="89"/>
  <c r="H624" i="89"/>
  <c r="H625" i="89"/>
  <c r="H626" i="89"/>
  <c r="H627" i="89"/>
  <c r="H628" i="89"/>
  <c r="H629" i="89"/>
  <c r="H630" i="89"/>
  <c r="H631" i="89"/>
  <c r="H632" i="89"/>
  <c r="H633" i="89"/>
  <c r="H634" i="89"/>
  <c r="H635" i="89"/>
  <c r="H636" i="89"/>
  <c r="H637" i="89"/>
  <c r="H638" i="89"/>
  <c r="H639" i="89"/>
  <c r="H640" i="89"/>
  <c r="H641" i="89"/>
  <c r="H642" i="89"/>
  <c r="H643" i="89"/>
  <c r="H644" i="89"/>
  <c r="H645" i="89"/>
  <c r="H646" i="89"/>
  <c r="H647" i="89"/>
  <c r="H648" i="89"/>
  <c r="H649" i="89"/>
  <c r="H650" i="89"/>
  <c r="H651" i="89"/>
  <c r="H652" i="89"/>
  <c r="H653" i="89"/>
  <c r="H654" i="89"/>
  <c r="H655" i="89"/>
  <c r="H656" i="89"/>
  <c r="H657" i="89"/>
  <c r="H658" i="89"/>
  <c r="H659" i="89"/>
  <c r="H660" i="89"/>
  <c r="H661" i="89"/>
  <c r="H662" i="89"/>
  <c r="H663" i="89"/>
  <c r="H664" i="89"/>
  <c r="H665" i="89"/>
  <c r="H666" i="89"/>
  <c r="H667" i="89"/>
  <c r="H668" i="89"/>
  <c r="H669" i="89"/>
  <c r="H670" i="89"/>
  <c r="H671" i="89"/>
  <c r="H672" i="89"/>
  <c r="H673" i="89"/>
  <c r="H674" i="89"/>
  <c r="H675" i="89"/>
  <c r="H676" i="89"/>
  <c r="H677" i="89"/>
  <c r="H678" i="89"/>
  <c r="H679" i="89"/>
  <c r="H680" i="89"/>
  <c r="H681" i="89"/>
  <c r="H682" i="89"/>
  <c r="H683" i="89"/>
  <c r="H684" i="89"/>
  <c r="H685" i="89"/>
  <c r="H686" i="89"/>
  <c r="H687" i="89"/>
  <c r="H688" i="89"/>
  <c r="H689" i="89"/>
  <c r="H690" i="89"/>
  <c r="H691" i="89"/>
  <c r="H692" i="89"/>
  <c r="H693" i="89"/>
  <c r="H694" i="89"/>
  <c r="H695" i="89"/>
  <c r="H696" i="89"/>
  <c r="H697" i="89"/>
  <c r="H698" i="89"/>
  <c r="H699" i="89"/>
  <c r="H700" i="89"/>
  <c r="H701" i="89"/>
  <c r="H702" i="89"/>
  <c r="H703" i="89"/>
  <c r="H704" i="89"/>
  <c r="H705" i="89"/>
  <c r="H706" i="89"/>
  <c r="H707" i="89"/>
  <c r="H708" i="89"/>
  <c r="H709" i="89"/>
  <c r="H710" i="89"/>
  <c r="H711" i="89"/>
  <c r="H712" i="89"/>
  <c r="H713" i="89"/>
  <c r="H714" i="89"/>
  <c r="H715" i="89"/>
  <c r="H716" i="89"/>
  <c r="H717" i="89"/>
  <c r="H718" i="89"/>
  <c r="H719" i="89"/>
  <c r="H720" i="89"/>
  <c r="H721" i="89"/>
  <c r="H722" i="89"/>
  <c r="H723" i="89"/>
  <c r="H724" i="89"/>
  <c r="H725" i="89"/>
  <c r="H726" i="89"/>
  <c r="H727" i="89"/>
  <c r="H729" i="89"/>
  <c r="H730" i="89"/>
  <c r="H731" i="89"/>
  <c r="H732" i="89"/>
  <c r="H733" i="89"/>
  <c r="H734" i="89"/>
  <c r="H735" i="89"/>
  <c r="H736" i="89"/>
  <c r="H737" i="89"/>
  <c r="H738" i="89"/>
  <c r="H739" i="89"/>
  <c r="H740" i="89"/>
  <c r="H741" i="89"/>
  <c r="H742" i="89"/>
  <c r="H743" i="89"/>
  <c r="H744" i="89"/>
  <c r="H745" i="89"/>
  <c r="H746" i="89"/>
  <c r="H747" i="89"/>
  <c r="H748" i="89"/>
  <c r="H749" i="89"/>
  <c r="H750" i="89"/>
  <c r="H751" i="89"/>
  <c r="H752" i="89"/>
  <c r="H753" i="89"/>
  <c r="H754" i="89"/>
  <c r="H755" i="89"/>
  <c r="H756" i="89"/>
  <c r="H757" i="89"/>
  <c r="H758" i="89"/>
  <c r="H759" i="89"/>
  <c r="H760" i="89"/>
  <c r="H761" i="89"/>
  <c r="H762" i="89"/>
  <c r="H763" i="89"/>
  <c r="H764" i="89"/>
  <c r="H765" i="89"/>
  <c r="H766" i="89"/>
  <c r="H768" i="89"/>
  <c r="H769" i="89"/>
  <c r="H770" i="89"/>
  <c r="H771" i="89"/>
  <c r="H772" i="89"/>
  <c r="H773" i="89"/>
  <c r="G775" i="89"/>
  <c r="H775" i="89"/>
  <c r="F776" i="89"/>
  <c r="G776" i="89"/>
  <c r="H776" i="89"/>
  <c r="G778" i="89"/>
  <c r="H778" i="89"/>
  <c r="F779" i="89"/>
  <c r="G779" i="89"/>
  <c r="H779" i="89"/>
  <c r="F780" i="89"/>
  <c r="G780" i="89"/>
  <c r="H780" i="89"/>
  <c r="F781" i="89"/>
  <c r="G781" i="89"/>
  <c r="H781" i="89"/>
  <c r="E8" i="91"/>
  <c r="E12" i="91"/>
  <c r="E13" i="91"/>
  <c r="E14" i="91"/>
  <c r="E15" i="91"/>
  <c r="E16" i="91"/>
  <c r="E17" i="91"/>
  <c r="E18" i="91"/>
  <c r="E19" i="91"/>
  <c r="D20" i="91"/>
  <c r="E20" i="91"/>
  <c r="E21" i="91"/>
  <c r="E22" i="91"/>
  <c r="E23" i="91"/>
  <c r="E24" i="91"/>
  <c r="E25" i="91"/>
  <c r="E26" i="91"/>
  <c r="E27" i="91"/>
  <c r="E28" i="91"/>
  <c r="E29" i="91"/>
  <c r="E30" i="91"/>
  <c r="E31" i="91"/>
  <c r="E32" i="91"/>
  <c r="E33" i="91"/>
  <c r="E34" i="91"/>
  <c r="E35" i="91"/>
  <c r="E36" i="91"/>
  <c r="E37" i="91"/>
  <c r="E38" i="91"/>
  <c r="E39" i="91"/>
  <c r="E40" i="91"/>
  <c r="E41" i="91"/>
  <c r="E42" i="91"/>
  <c r="E43" i="91"/>
  <c r="D44" i="91"/>
  <c r="E44" i="91"/>
  <c r="D45" i="91"/>
  <c r="E45" i="91"/>
</calcChain>
</file>

<file path=xl/comments1.xml><?xml version="1.0" encoding="utf-8"?>
<comments xmlns="http://schemas.openxmlformats.org/spreadsheetml/2006/main">
  <authors>
    <author>Oscálmi Porto Freitas</author>
  </authors>
  <commentList>
    <comment ref="E14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01 (A3) impressora/canteiro + 05 (A4) impressora/canteiro</t>
        </r>
      </text>
    </comment>
    <comment ref="E15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01 impressora/canteiro</t>
        </r>
      </text>
    </comment>
    <comment ref="E16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01 impressora/canteiro</t>
        </r>
      </text>
    </comment>
  </commentList>
</comments>
</file>

<file path=xl/comments2.xml><?xml version="1.0" encoding="utf-8"?>
<comments xmlns="http://schemas.openxmlformats.org/spreadsheetml/2006/main">
  <authors>
    <author>Oscálmi Porto Freitas</author>
  </authors>
  <commentList>
    <comment ref="C28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Alterado conforme SINAPI-PE</t>
        </r>
      </text>
    </comment>
    <comment ref="C30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Alterado conforme SINAPI-PE</t>
        </r>
      </text>
    </comment>
    <comment ref="C33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Alterado conforme SINAPI-PE</t>
        </r>
      </text>
    </comment>
    <comment ref="C34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Alterado conforme SINAPI-PE</t>
        </r>
      </text>
    </comment>
    <comment ref="C39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Alterado conforme SINAPI-PE</t>
        </r>
      </text>
    </comment>
    <comment ref="C40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Alterado conforme SINAPI-PE</t>
        </r>
      </text>
    </comment>
    <comment ref="C41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Alterado conforme SINAPI-PE</t>
        </r>
      </text>
    </comment>
    <comment ref="C42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Alterado conforme SINAPI-PE</t>
        </r>
      </text>
    </comment>
    <comment ref="C43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Alterado conforme SINAPI-PE</t>
        </r>
      </text>
    </comment>
    <comment ref="C52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Não consta no SINAPI-PE</t>
        </r>
      </text>
    </comment>
    <comment ref="C53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Não consta no SINAPI-PE</t>
        </r>
      </text>
    </comment>
    <comment ref="C54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Não consta no SINAPI-PE</t>
        </r>
      </text>
    </comment>
    <comment ref="C55" authorId="0">
      <text>
        <r>
          <rPr>
            <b/>
            <sz val="9"/>
            <color indexed="81"/>
            <rFont val="Segoe UI"/>
            <family val="2"/>
          </rPr>
          <t>Oscálmi Porto Freitas:</t>
        </r>
        <r>
          <rPr>
            <sz val="9"/>
            <color indexed="81"/>
            <rFont val="Segoe UI"/>
            <family val="2"/>
          </rPr>
          <t xml:space="preserve">
Não consta no SINAPI-PE</t>
        </r>
      </text>
    </comment>
  </commentList>
</comments>
</file>

<file path=xl/comments3.xml><?xml version="1.0" encoding="utf-8"?>
<comments xmlns="http://schemas.openxmlformats.org/spreadsheetml/2006/main">
  <authors>
    <author>windows 8</author>
  </authors>
  <commentList>
    <comment ref="C52" authorId="0">
      <text>
        <r>
          <rPr>
            <b/>
            <sz val="9"/>
            <color indexed="81"/>
            <rFont val="Segoe UI"/>
            <family val="2"/>
          </rPr>
          <t>windows 8:</t>
        </r>
        <r>
          <rPr>
            <sz val="9"/>
            <color indexed="81"/>
            <rFont val="Segoe UI"/>
            <family val="2"/>
          </rPr>
          <t xml:space="preserve">
específico para ebv-1 e ebv-2</t>
        </r>
      </text>
    </comment>
  </commentList>
</comments>
</file>

<file path=xl/sharedStrings.xml><?xml version="1.0" encoding="utf-8"?>
<sst xmlns="http://schemas.openxmlformats.org/spreadsheetml/2006/main" count="6563" uniqueCount="2705">
  <si>
    <t xml:space="preserve"> Lanterna grande - 10 Million </t>
  </si>
  <si>
    <t xml:space="preserve"> Prumo de centro </t>
  </si>
  <si>
    <t>Adaptador universal de tomadas</t>
  </si>
  <si>
    <t>und</t>
  </si>
  <si>
    <t>Alicate bico chato/pato, 6"</t>
  </si>
  <si>
    <t>Alicate cortador de cabos diagonal, 6"</t>
  </si>
  <si>
    <t>Alicate cortador de cabos frontal, 6"</t>
  </si>
  <si>
    <t>Alicate/Tesoura cortador manual de cabos de até 300mm², 225mm</t>
  </si>
  <si>
    <t>Alicate crimpador, RJ-11/RJ-45, 200mm</t>
  </si>
  <si>
    <t>Alicate crimpador,  RG-59 e RG-6, 130mm</t>
  </si>
  <si>
    <t>Alicate crimpador para terminais 1,0 a 10mm², 220mm</t>
  </si>
  <si>
    <t>Alicate crimpador para terminais 10 a 120mm², 620mm</t>
  </si>
  <si>
    <t>Alicate crimpador, hidráulico, prensa terminal,  com matriz de 10 a 300mm²</t>
  </si>
  <si>
    <t>Alicate de pressão, 10", 250mm</t>
  </si>
  <si>
    <t>Arco de Serra manual (com serra)</t>
  </si>
  <si>
    <t>Bastão com gancho tipo "J" 90cm</t>
  </si>
  <si>
    <t>Berço simples para cadeia de isoladores 230 kV para até 6 isoladores de até Ø 254 mm</t>
  </si>
  <si>
    <t>Balancim (Ref. RE402-0099 ou similar) para escada perfil de fibra de vidro extensiva</t>
  </si>
  <si>
    <t>Chave de boca ajustável 8"</t>
  </si>
  <si>
    <t>Chave de boca ajustável 12"</t>
  </si>
  <si>
    <t>Chave de boca ajustável 18"</t>
  </si>
  <si>
    <t>Cadeado 40mm</t>
  </si>
  <si>
    <t>Caixa de ferramentas tipo sanfonada, confeccionada  em chapa de aço, com rodas e puxador</t>
  </si>
  <si>
    <t>Câmera fotográfica digital 20MP, 5x Zoom Óptico</t>
  </si>
  <si>
    <t>Conjunto de aterramento rápido e temporário para cubículos até 35kV</t>
  </si>
  <si>
    <t>Conjunto de aterramento rápido e temporário para redes isoladas até 1kV</t>
  </si>
  <si>
    <t>Conjunto de aterramento temporário para subestações até 36kV</t>
  </si>
  <si>
    <t>Conjunto de chaves básicas para eletricista com 06 peças</t>
  </si>
  <si>
    <t>Detector de Tensão por contato 1kV</t>
  </si>
  <si>
    <t>Detector unipolar de tensão por aproximação - 10 a 40KV</t>
  </si>
  <si>
    <t>Encerado de lona (3x2 m)</t>
  </si>
  <si>
    <t>Escada de fibra de vidro tipo "A" (subestações) - 10 degraus</t>
  </si>
  <si>
    <t>Escova com cerdas de aço para condutores</t>
  </si>
  <si>
    <t>Farol de punho</t>
  </si>
  <si>
    <t>Ferramenta universal para bastão de manobra - Adaptador de ferramentas</t>
  </si>
  <si>
    <t>Ferramenta universal para bastão de manobra - Adaptador de peças</t>
  </si>
  <si>
    <t>Ferramenta universal para bastão de manobra - Adaptador universal</t>
  </si>
  <si>
    <t>Ferramenta universal para bastão de manobra - Cabeçote com gancho duplo</t>
  </si>
  <si>
    <t>Ferramenta universal para bastão de manobra - Cabeçote multi-uso</t>
  </si>
  <si>
    <t>Ferramenta universal para bastão de manobra - Cabeçote para grampo de aterramento</t>
  </si>
  <si>
    <t>Ferramenta universal para bastão de manobra - Chave com catraca</t>
  </si>
  <si>
    <t>Ferramenta universal para bastão de manobra - Desconector para chave fusível</t>
  </si>
  <si>
    <t>Ferramenta universal para bastão de manobra - Escova em "V" para limpeza de condutor</t>
  </si>
  <si>
    <t>Ferramenta universal para bastão de manobra - Extrator de cartucho</t>
  </si>
  <si>
    <t>Ferramenta universal para bastão de manobra - Extrator de contrapino por impulso</t>
  </si>
  <si>
    <t>Ferramenta universal para bastão de manobra - Gancho tração espiral</t>
  </si>
  <si>
    <t>Ferramenta universal para bastão de manobra - Garfo ajustador de concha</t>
  </si>
  <si>
    <t>Ferramenta universal para bastão de manobra - Garra de amarração</t>
  </si>
  <si>
    <t>Ferramenta universal para bastão de manobra - Instalador de Contrapino</t>
  </si>
  <si>
    <t>Ferramenta universal para bastão de manobra - Sacador de contrapino em alavanca</t>
  </si>
  <si>
    <t>Ferramenta universal para bastão de manobra - Suporte de concha</t>
  </si>
  <si>
    <t>Ferramenta universal para bastão de manobra - Suporte flexível para soquete hexagonal</t>
  </si>
  <si>
    <t>Ferramenta universal para bastão de manobra - Tenaz multi-angular</t>
  </si>
  <si>
    <t>Ferramenta universal para bastão de manobra - Tenaz para isolador</t>
  </si>
  <si>
    <t>Grampo de aterramento com parafuso olhal T (linhas)</t>
  </si>
  <si>
    <t>Jogo de chave canhão com 12 unidades</t>
  </si>
  <si>
    <t>Jogo de soquetes estriado com encaixe 1/2" com 38 soquetes - 10-32mmn</t>
  </si>
  <si>
    <t>Jogo tensionador simples com munhão</t>
  </si>
  <si>
    <t>Jogo de chaves biela 12 peças tipo L 8 a 19mm</t>
  </si>
  <si>
    <t>Jogo de chave de fenda e philips com haste protegida para eletricista com 07 peças</t>
  </si>
  <si>
    <t>Jogo de chave de fenda para bastão</t>
  </si>
  <si>
    <t>Kit de reparo eletrônico (ferro de solda, sugador de placa de circuito impresso, componentes sobressalentes)</t>
  </si>
  <si>
    <t>Lanterna tática grande - 5.500.000 lumens</t>
  </si>
  <si>
    <t>Lima chata murça 8" com cabo</t>
  </si>
  <si>
    <t>Lima chata bastarda 10"</t>
  </si>
  <si>
    <t>Luva de cobertura punho 15cm</t>
  </si>
  <si>
    <t>Luva isolante classe 00 - 2,5kV</t>
  </si>
  <si>
    <t>Luva isolante classe 0 - 5kV</t>
  </si>
  <si>
    <t>Luva isolante classe 3 - 30kV</t>
  </si>
  <si>
    <t>Marreta de 5kg com cabo de madeira</t>
  </si>
  <si>
    <t>Martelete Perfurador/Rompedor Profissional 220V, 800W, 870 RPM</t>
  </si>
  <si>
    <t>Martelo universal (de unha) 25mm</t>
  </si>
  <si>
    <t>Parafusadeira/Furadeira elétrica com fio - 220V, 400W</t>
  </si>
  <si>
    <t>Plataforma de fibra de vidro antiderrapente  para andaime modular isolante, com conexoes em aluminio fundido 2x1m</t>
  </si>
  <si>
    <t>Sela com extensor colar de 38mm</t>
  </si>
  <si>
    <t>Soprador térmico 2000W, 220V</t>
  </si>
  <si>
    <t>Talha manual Tirfor 1.600kgf/cm² com alavanca</t>
  </si>
  <si>
    <t>Testador de bastão de manobra para isolador</t>
  </si>
  <si>
    <t>Teste de Bateria Digital com Impressora Térmica Embutida</t>
  </si>
  <si>
    <t>Testador Teste Crimpagem Cabo Rede Lan Rj45 Rj11</t>
  </si>
  <si>
    <t xml:space="preserve"> Ansinho </t>
  </si>
  <si>
    <t xml:space="preserve"> Balde 10 l </t>
  </si>
  <si>
    <t xml:space="preserve"> Carrinho para transporte de motor de popa </t>
  </si>
  <si>
    <t xml:space="preserve"> Carro de mão </t>
  </si>
  <si>
    <t xml:space="preserve"> Cavador articulado </t>
  </si>
  <si>
    <t xml:space="preserve"> Chibanca </t>
  </si>
  <si>
    <t xml:space="preserve"> Colher de pedreiro nº 9 </t>
  </si>
  <si>
    <t xml:space="preserve"> Conjunto de ferramentas básicas para encanador </t>
  </si>
  <si>
    <t xml:space="preserve"> Conjunto de ferramentas básicas para pedreiro </t>
  </si>
  <si>
    <t xml:space="preserve"> Desempenadeira de aço dentada </t>
  </si>
  <si>
    <t xml:space="preserve"> Desempenadeira de aço lisa </t>
  </si>
  <si>
    <t xml:space="preserve"> Disco corte abrasivo 18" </t>
  </si>
  <si>
    <t xml:space="preserve"> Escada articulada multifuncional 16 degraus </t>
  </si>
  <si>
    <t xml:space="preserve"> Esponja de limpeza </t>
  </si>
  <si>
    <t xml:space="preserve"> Estrovenga </t>
  </si>
  <si>
    <t xml:space="preserve"> Fumigador para apicultura </t>
  </si>
  <si>
    <t xml:space="preserve"> Machado </t>
  </si>
  <si>
    <t xml:space="preserve"> Mangueira de ¾ 50 MTS </t>
  </si>
  <si>
    <t xml:space="preserve"> Mangueira de nível </t>
  </si>
  <si>
    <t xml:space="preserve"> Marreta de 1/2 kg com cabo </t>
  </si>
  <si>
    <t xml:space="preserve"> Marreta de 2kg </t>
  </si>
  <si>
    <t xml:space="preserve"> Martelo com unha </t>
  </si>
  <si>
    <t xml:space="preserve"> Nível c/ bolha ajustável de inclinação, bolha fixa e prumo – 250mm </t>
  </si>
  <si>
    <t xml:space="preserve"> Nível de bolha de madeira </t>
  </si>
  <si>
    <t xml:space="preserve"> Pá quadrada </t>
  </si>
  <si>
    <t xml:space="preserve"> Picareta com cabo </t>
  </si>
  <si>
    <t xml:space="preserve"> Pistola para pintura </t>
  </si>
  <si>
    <t xml:space="preserve"> Ponteiro de aço </t>
  </si>
  <si>
    <t xml:space="preserve"> Prumo de parede </t>
  </si>
  <si>
    <t xml:space="preserve"> Rastelo (ASG) </t>
  </si>
  <si>
    <t xml:space="preserve"> Régua de alumínio - 2,00m </t>
  </si>
  <si>
    <t xml:space="preserve"> Serrote 40cm </t>
  </si>
  <si>
    <t xml:space="preserve"> Talhadeira de aço chato 10" </t>
  </si>
  <si>
    <t xml:space="preserve"> Torqueza </t>
  </si>
  <si>
    <t xml:space="preserve">Analisador de grandezas elétricas trifásico, display LCD colorido 5,6", TRMS 1.000 V, corrente 3.000A </t>
  </si>
  <si>
    <t xml:space="preserve">Bancada de teste, amperimetro 150A, voltímetro 40V </t>
  </si>
  <si>
    <t xml:space="preserve">Bancada protegida contra eletricidade estática </t>
  </si>
  <si>
    <t xml:space="preserve">Data Logger de 4 a 20 mA (verificação de intermitência em instrumentação) </t>
  </si>
  <si>
    <t xml:space="preserve">Estação de solda com temperatura ajustável e proteção antiestático </t>
  </si>
  <si>
    <t xml:space="preserve">Fonte de alimentação com tensão variável de 0 a 30Vcc de 3 A </t>
  </si>
  <si>
    <t xml:space="preserve">Fonte de bancada 12 V </t>
  </si>
  <si>
    <t xml:space="preserve">Gerador de corrente e tensão de 0 a 20 mA e 0 a 10V, precisão de 0,1% </t>
  </si>
  <si>
    <t xml:space="preserve">Kit para enchimento e complementação para gás SF6, composto de adaptador ,regulador, mangueira e manômetro padrão </t>
  </si>
  <si>
    <t xml:space="preserve">TTR - medidor digital de relação de espiras, escala de medição 0,8000:1 a 8.000,0: 1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</si>
  <si>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</si>
  <si>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</si>
  <si>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</si>
  <si>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</si>
  <si>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</si>
  <si>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</si>
  <si>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</si>
  <si>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</si>
  <si>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</si>
  <si>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</si>
  <si>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</si>
  <si>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</si>
  <si>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</si>
  <si>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</si>
  <si>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</si>
  <si>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</si>
  <si>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</si>
  <si>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</si>
  <si>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</si>
  <si>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</si>
  <si>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</si>
  <si>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</si>
  <si>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</si>
  <si>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</si>
  <si>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</si>
  <si>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</si>
  <si>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</si>
  <si>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</si>
  <si>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</si>
  <si>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</si>
  <si>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</si>
  <si>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</si>
  <si>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</si>
  <si>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</si>
  <si>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</si>
  <si>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</si>
  <si>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</si>
  <si>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</si>
  <si>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</si>
  <si>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</si>
  <si>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</si>
  <si>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</si>
  <si>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</si>
  <si>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</si>
  <si>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</si>
  <si>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</si>
  <si>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</si>
  <si>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</si>
  <si>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SEGURANÇA DE BARRAGEM</t>
  </si>
  <si>
    <t>2.1</t>
  </si>
  <si>
    <t>2.2</t>
  </si>
  <si>
    <t>2.3</t>
  </si>
  <si>
    <t>2.4</t>
  </si>
  <si>
    <t>2.5</t>
  </si>
  <si>
    <t>2.6</t>
  </si>
  <si>
    <t>2.7</t>
  </si>
  <si>
    <t>Total</t>
  </si>
  <si>
    <t>Cola de PVC com 850 g</t>
  </si>
  <si>
    <t>Convertedor de ferrugem</t>
  </si>
  <si>
    <t>Disco de corte diamantado - 7", para esmerilhadeira, segmentado, para concreto</t>
  </si>
  <si>
    <t>1.22</t>
  </si>
  <si>
    <t>Fita auto fusão 19 mm x 10 m</t>
  </si>
  <si>
    <t>Graxa a base de lítio NGLI 2</t>
  </si>
  <si>
    <t>kg</t>
  </si>
  <si>
    <t>Graxa a base de lítio NGLI 3</t>
  </si>
  <si>
    <t>Graxa GMA - 2</t>
  </si>
  <si>
    <t>Lâmina de serra para metal  Starret ou similar</t>
  </si>
  <si>
    <t>m</t>
  </si>
  <si>
    <t>Massa calafetar cinza-Durepox ou similiar</t>
  </si>
  <si>
    <t>1.51</t>
  </si>
  <si>
    <t>1.52</t>
  </si>
  <si>
    <t>1.53</t>
  </si>
  <si>
    <t>1.54</t>
  </si>
  <si>
    <t xml:space="preserve"> kg </t>
  </si>
  <si>
    <t>1.55</t>
  </si>
  <si>
    <t>Sílica Gel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</si>
  <si>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</si>
  <si>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</si>
  <si>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</si>
  <si>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</si>
  <si>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</si>
  <si>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</si>
  <si>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</si>
  <si>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</si>
  <si>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</si>
  <si>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</si>
  <si>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</si>
  <si>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</si>
  <si>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</si>
  <si>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</si>
  <si>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</si>
  <si>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</si>
  <si>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</si>
  <si>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</si>
  <si>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</si>
  <si>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</si>
  <si>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</si>
  <si>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</si>
  <si>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</si>
  <si>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</si>
  <si>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</si>
  <si>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</si>
  <si>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</si>
  <si>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</si>
  <si>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</si>
  <si>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</si>
  <si>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</si>
  <si>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</si>
  <si>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</si>
  <si>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Tinta Alcatrão de Hulha -  galão de 3,6 litros</t>
  </si>
  <si>
    <t>l</t>
  </si>
  <si>
    <t>2.41</t>
  </si>
  <si>
    <t>2.42</t>
  </si>
  <si>
    <t>2.43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</si>
  <si>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</si>
  <si>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</si>
  <si>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</si>
  <si>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</si>
  <si>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</si>
  <si>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</si>
  <si>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</si>
  <si>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</si>
  <si>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</si>
  <si>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</si>
  <si>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</si>
  <si>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</si>
  <si>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</si>
  <si>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</si>
  <si>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</si>
  <si>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</si>
  <si>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</si>
  <si>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</si>
  <si>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</si>
  <si>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</si>
  <si>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</si>
  <si>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</si>
  <si>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</si>
  <si>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</si>
  <si>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</si>
  <si>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</si>
  <si>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</si>
  <si>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</si>
  <si>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</si>
  <si>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</si>
  <si>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</si>
  <si>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Interruptor simples com 01 tecla</t>
  </si>
  <si>
    <t>3.32</t>
  </si>
  <si>
    <t>Interruptor simples com 02 teclas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</si>
  <si>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</si>
  <si>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</si>
  <si>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</si>
  <si>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</si>
  <si>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</si>
  <si>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</si>
  <si>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</si>
  <si>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</si>
  <si>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</si>
  <si>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</si>
  <si>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</si>
  <si>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</si>
  <si>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Terminal de compressão – 10mm²</t>
  </si>
  <si>
    <t>Terminal de compressão – 16mm²</t>
  </si>
  <si>
    <t>Terminal de compressão – 25mm²</t>
  </si>
  <si>
    <t>Terminal de compressão – 35mm²</t>
  </si>
  <si>
    <t>Terminal de compressão – 50mm²</t>
  </si>
  <si>
    <t>Terminal de compressão – 70mm²</t>
  </si>
  <si>
    <t>Terminal de compressão – 95mm²</t>
  </si>
  <si>
    <t>Terminal de compressão – 120mm²</t>
  </si>
  <si>
    <t>Terminal de pressão – 35mm²</t>
  </si>
  <si>
    <t>Terminal de pressão – 50mm²</t>
  </si>
  <si>
    <t>Terminal de pressão – 70mm²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</si>
  <si>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</si>
  <si>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</si>
  <si>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</si>
  <si>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</si>
  <si>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</si>
  <si>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</si>
  <si>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</si>
  <si>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</si>
  <si>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</si>
  <si>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</si>
  <si>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</si>
  <si>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</si>
  <si>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</si>
  <si>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</si>
  <si>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</si>
  <si>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</si>
  <si>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</si>
  <si>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</si>
  <si>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</si>
  <si>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</si>
  <si>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</si>
  <si>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</si>
  <si>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</si>
  <si>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</si>
  <si>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</si>
  <si>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</si>
  <si>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</si>
  <si>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</si>
  <si>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</si>
  <si>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</si>
  <si>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</si>
  <si>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</si>
  <si>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Estilete 18mm</t>
  </si>
  <si>
    <t>4.33</t>
  </si>
  <si>
    <t>Fita adesiva 48/100</t>
  </si>
  <si>
    <t>4.34</t>
  </si>
  <si>
    <t>4.35</t>
  </si>
  <si>
    <t>4.36</t>
  </si>
  <si>
    <t>4.37</t>
  </si>
  <si>
    <t>Grampeador grande de mesa P/40F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</si>
  <si>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</si>
  <si>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</si>
  <si>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</si>
  <si>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</si>
  <si>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</si>
  <si>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</si>
  <si>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</si>
  <si>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</si>
  <si>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</si>
  <si>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</si>
  <si>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Papel higiênico</t>
  </si>
  <si>
    <t>4.48</t>
  </si>
  <si>
    <t>4.49</t>
  </si>
  <si>
    <t>4.50</t>
  </si>
  <si>
    <t>4.51</t>
  </si>
  <si>
    <t>Perfurador de papel 2 furos até 30 fls</t>
  </si>
  <si>
    <t>4.52</t>
  </si>
  <si>
    <t>Régua 30cm Acrílico Cristal</t>
  </si>
  <si>
    <t>4.53</t>
  </si>
  <si>
    <t>4.54</t>
  </si>
  <si>
    <t>-</t>
  </si>
  <si>
    <t>Rádio VHF portátil EP 450 (Reservatórios)</t>
  </si>
  <si>
    <t>Rádio VHF para instalação nas EB's, SE´s e Canteiros, composto por rádio base e sistema irradiante</t>
  </si>
  <si>
    <t>Sistema de repetidoras VHF interligadas com link UHF - 4 antenas</t>
  </si>
  <si>
    <t>1.50</t>
  </si>
  <si>
    <t>1.</t>
  </si>
  <si>
    <t>2.</t>
  </si>
  <si>
    <t>3.</t>
  </si>
  <si>
    <t>ITEM</t>
  </si>
  <si>
    <t>QUANTIDADE</t>
  </si>
  <si>
    <t>8.1</t>
  </si>
  <si>
    <t>DESCRIÇÃO</t>
  </si>
  <si>
    <t>Conjunto de utensílios para cozinha</t>
  </si>
  <si>
    <t>Aluguel de Plotter</t>
  </si>
  <si>
    <t>Armário de escritório</t>
  </si>
  <si>
    <t>Câmera fotográfica digital</t>
  </si>
  <si>
    <t>Mesa de reunião 10 lugares com 10 cadeiras</t>
  </si>
  <si>
    <t>Projetor multimídia (Datashow)</t>
  </si>
  <si>
    <t>Antena externa</t>
  </si>
  <si>
    <t>Aparelho de jantar para 06 pessoas</t>
  </si>
  <si>
    <t>Armário de cozinha completo</t>
  </si>
  <si>
    <t>Cama box solteiro</t>
  </si>
  <si>
    <t>Faqueiro com 24 peças</t>
  </si>
  <si>
    <t>Guarda-Roupa 4 Portas</t>
  </si>
  <si>
    <t>Jogo de Roupa de banho 5 Peças</t>
  </si>
  <si>
    <t>Jogo de roupa de cama solteiro</t>
  </si>
  <si>
    <t>4.</t>
  </si>
  <si>
    <t>5.</t>
  </si>
  <si>
    <t>5.1</t>
  </si>
  <si>
    <t>5.2</t>
  </si>
  <si>
    <t>5.3</t>
  </si>
  <si>
    <t>6.1</t>
  </si>
  <si>
    <t>6.2</t>
  </si>
  <si>
    <t>6.3</t>
  </si>
  <si>
    <t>6.</t>
  </si>
  <si>
    <t>6.4</t>
  </si>
  <si>
    <t>6.5</t>
  </si>
  <si>
    <t>7.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</si>
  <si>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</si>
  <si>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</si>
  <si>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</si>
  <si>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</si>
  <si>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</si>
  <si>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</si>
  <si>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</si>
  <si>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</si>
  <si>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</si>
  <si>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</si>
  <si>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</si>
  <si>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</si>
  <si>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</si>
  <si>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</si>
  <si>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</si>
  <si>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</si>
  <si>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</si>
  <si>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UNIDADE</t>
  </si>
  <si>
    <t>TOTAL</t>
  </si>
  <si>
    <t>UNITARIO</t>
  </si>
  <si>
    <t>VALOR (R$)</t>
  </si>
  <si>
    <t>VALOR TOTAL (R$)</t>
  </si>
  <si>
    <t>01</t>
  </si>
  <si>
    <t>02</t>
  </si>
  <si>
    <t>03</t>
  </si>
  <si>
    <t>MATERIAL DE CONSUMO - MECÂNICA</t>
  </si>
  <si>
    <t>MATERIAL DE CONSUMO - CIVIL</t>
  </si>
  <si>
    <t>MATERIAL DE CONSUMO - ELÉTRICA</t>
  </si>
  <si>
    <t>DISCRIMINAÇÃO</t>
  </si>
  <si>
    <t>NOME DO INFORMANTE:</t>
  </si>
  <si>
    <t>QUALIFICAÇÃO:</t>
  </si>
  <si>
    <t>ASSINATURA:</t>
  </si>
  <si>
    <t>DATA:</t>
  </si>
  <si>
    <t>OBSERVAÇÃO:</t>
  </si>
  <si>
    <t>Prazo (Mês)</t>
  </si>
  <si>
    <t>P0</t>
  </si>
  <si>
    <t>C</t>
  </si>
  <si>
    <t>P1</t>
  </si>
  <si>
    <t>P2</t>
  </si>
  <si>
    <t>T0</t>
  </si>
  <si>
    <t>P4</t>
  </si>
  <si>
    <t>T1</t>
  </si>
  <si>
    <t>P3</t>
  </si>
  <si>
    <t>Topógrafo</t>
  </si>
  <si>
    <t>TS</t>
  </si>
  <si>
    <t>Auxiliar de Topografia</t>
  </si>
  <si>
    <t>T3</t>
  </si>
  <si>
    <t>VIAGENS / DIÁRIAS</t>
  </si>
  <si>
    <t>8.</t>
  </si>
  <si>
    <t>9.</t>
  </si>
  <si>
    <t>4. Os quantitativos foram estimados de acordo com a quantidae de pessoal lotada no campo, e baseadas na quantidade de viagens que a equipe da Codevasf utiliza.</t>
  </si>
  <si>
    <t>5. Os valores previstos são o máximo que serão pagos pela Codevasf durante todo o período do contrato.</t>
  </si>
  <si>
    <t>CUSTOS ADMINISTRAÇÃO - DETALHAMENTO</t>
  </si>
  <si>
    <t>%</t>
  </si>
  <si>
    <t>Outras despesas que afetam o custo de produção como treinamento, biblioteca, programa de qualidade, auditoria interna e externa</t>
  </si>
  <si>
    <t>OBSERVAÇAO:</t>
  </si>
  <si>
    <t>DESPESAS FISCAIS - DETALHAMENTO</t>
  </si>
  <si>
    <t>DF %</t>
  </si>
  <si>
    <t>DF' %</t>
  </si>
  <si>
    <t>GRUPO "A"</t>
  </si>
  <si>
    <t>A1</t>
  </si>
  <si>
    <t xml:space="preserve">INSS (Art. 22 inciso I da Lei 8.212/91) </t>
  </si>
  <si>
    <t>A2</t>
  </si>
  <si>
    <t>SESC/SESI (Art. 3° da Lei 8036/90)</t>
  </si>
  <si>
    <t>A3</t>
  </si>
  <si>
    <t>SENAC/SENAI (Decreto 2.318/86)</t>
  </si>
  <si>
    <t>A4</t>
  </si>
  <si>
    <t>INCRA  (Lei 7787 de 30/06/890e DL 1146/70)</t>
  </si>
  <si>
    <t>A5</t>
  </si>
  <si>
    <t>SEBRAE (Art. 8° Lei 8029/90 e 8154 de 28/12/90)</t>
  </si>
  <si>
    <t>A6</t>
  </si>
  <si>
    <t>Salário Educação (Art. 3° inciso I Decreto 87.043/)</t>
  </si>
  <si>
    <t>A7</t>
  </si>
  <si>
    <t xml:space="preserve">Seguro contra Acidentes de Trabalho  (Decreto 3.048/1999, Anexo V e Decreto 6.957/2009)  </t>
  </si>
  <si>
    <t>A8</t>
  </si>
  <si>
    <t>FGTS (Art. 15 da Lei 8030/90 art. 7° inciso III CF/88)</t>
  </si>
  <si>
    <t>SECONCI</t>
  </si>
  <si>
    <t>GRUPO "B"</t>
  </si>
  <si>
    <t>B1</t>
  </si>
  <si>
    <t>Repouso semanal remunerado</t>
  </si>
  <si>
    <t>B2</t>
  </si>
  <si>
    <t>Feriados</t>
  </si>
  <si>
    <t>B3</t>
  </si>
  <si>
    <t>Auxílio Enfermidade</t>
  </si>
  <si>
    <t>B4</t>
  </si>
  <si>
    <t>13º Salário</t>
  </si>
  <si>
    <t>B5</t>
  </si>
  <si>
    <t>Licença Paternidade Faltas justificadas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</si>
  <si>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</si>
  <si>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</si>
  <si>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</si>
  <si>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</si>
  <si>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</si>
  <si>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</si>
  <si>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</si>
  <si>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</si>
  <si>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</si>
  <si>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</si>
  <si>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GRUPO "C"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</si>
  <si>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</si>
  <si>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</si>
  <si>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</si>
  <si>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</si>
  <si>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</si>
  <si>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</si>
  <si>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</si>
  <si>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</si>
  <si>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</si>
  <si>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</si>
  <si>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"D"</t>
  </si>
  <si>
    <t>D1</t>
  </si>
  <si>
    <t>Reincidência de Grupo A sobre Grupo B</t>
  </si>
  <si>
    <t>D2</t>
  </si>
  <si>
    <t>Reincidência de Grupo A sobre C2 e Reincidência de A8 sobre C1</t>
  </si>
  <si>
    <t>Brasília (BSB)</t>
  </si>
  <si>
    <t>São Paulo (GRU)</t>
  </si>
  <si>
    <t>Rio de Janeiro (GIG)</t>
  </si>
  <si>
    <t>Curitiba (CWB)</t>
  </si>
  <si>
    <t>Salvador (SSA)</t>
  </si>
  <si>
    <t>Porto Alegre (POA)</t>
  </si>
  <si>
    <t>Recife (REC)</t>
  </si>
  <si>
    <t>Petrolina (PNZ)</t>
  </si>
  <si>
    <t>Juazeiro do Norte (JDO)</t>
  </si>
  <si>
    <t>TRECHO</t>
  </si>
  <si>
    <t>Categoria Profissional adotado Sal. Mensal (R$) Sociais c/ Encargos Sociais</t>
  </si>
  <si>
    <t>Engenheiro - Profissional Sênior (N. Superior - Formação: T &gt; 15 anos)</t>
  </si>
  <si>
    <t>Engenheiro - Profissional Pleno (N. Superior - Formação: 10 &lt; T &lt; 15 anos)</t>
  </si>
  <si>
    <t>Engenheiro - Profissional Médio (N. Superior - Formação: 8 &lt; T &lt; 10 anos)</t>
  </si>
  <si>
    <t>Engenheiro - Profissional Junior (N. Superior - Formação: 4 &lt; T &lt; 8 anos)</t>
  </si>
  <si>
    <t>Engenheiro - Profissional Trainee (N. Superior - Formação: T &lt; 4 anos)</t>
  </si>
  <si>
    <t>Técnico - Profissional Especials (N. Médio/Especializado - Formação: T &gt; 10 anos)</t>
  </si>
  <si>
    <t>Técnico - Profissional Sênior (N. Médio/Especializado - Formação: 5 &lt; T &lt; 10 anos)</t>
  </si>
  <si>
    <t>Técnico - Profissional Pleno (N. Médio/Especializado - Formação: 5 &lt; 10 &lt; anos)</t>
  </si>
  <si>
    <t>T2</t>
  </si>
  <si>
    <t>Técnico - Profissional Junior (N. Médio/Especializado - Formação: T &lt; 5 anos)</t>
  </si>
  <si>
    <t>Técnico - Auxiliar (N. Elementar)</t>
  </si>
  <si>
    <t>T4</t>
  </si>
  <si>
    <t>Servente / Contínuos</t>
  </si>
  <si>
    <t>AS</t>
  </si>
  <si>
    <t>Chefe de Escritório (Nível Superior - Formação: T &gt; 15 anos)</t>
  </si>
  <si>
    <t>A0</t>
  </si>
  <si>
    <t>Secretária (N. Médio - Formação: 8 &lt; T &lt; 15 anos)</t>
  </si>
  <si>
    <t>Assistente Administrativo (N. Médio - Formação:  T &gt; 8 anos)</t>
  </si>
  <si>
    <t>Ajudante Administrativo (N. Médio - Formação:  T &lt; 8 anos)</t>
  </si>
  <si>
    <t>Auxiliar Administrativo / Motorista  (N. Elementar)</t>
  </si>
  <si>
    <t>Serviços Gerais / Vigia (N. Elementar)</t>
  </si>
  <si>
    <t>MÃO DE OBRA</t>
  </si>
  <si>
    <t>CUSTOS INDIRETOS</t>
  </si>
  <si>
    <t>Encargos Sociais</t>
  </si>
  <si>
    <t>Periculosidade</t>
  </si>
  <si>
    <t>CLASSE</t>
  </si>
  <si>
    <t>Quantidade (undxmês)</t>
  </si>
  <si>
    <t>SALÁRIOS MENSAL (R$)</t>
  </si>
  <si>
    <t>SALÁRIOS TOTAL (R$)</t>
  </si>
  <si>
    <t>CANTEIRO</t>
  </si>
  <si>
    <t xml:space="preserve">Periculosidade </t>
  </si>
  <si>
    <t>Unitária</t>
  </si>
  <si>
    <t>COORDENAÇÃO GERAL</t>
  </si>
  <si>
    <t>Coordenador - Engenheiro Sênior (Civil / Eletricista / Mecânico) - Esp. Manutenção Sist Abast/Ger</t>
  </si>
  <si>
    <t>Escritório</t>
  </si>
  <si>
    <t>Assistente Administrativo</t>
  </si>
  <si>
    <t>Auxiliar Administrativo</t>
  </si>
  <si>
    <t>COORDENAÇÃO DA OPERAÇÃO</t>
  </si>
  <si>
    <t>COORDENAÇÃO DA MANUTENÇÃO</t>
  </si>
  <si>
    <t>COORDENAÇÃO ADMINISTRAÇÃO E LOGÍSTICA</t>
  </si>
  <si>
    <t>Coordenador - Chefe de Escritório</t>
  </si>
  <si>
    <t>Técnico Pleno - Analista em Tecnologia da Informação</t>
  </si>
  <si>
    <t>Técnico em Tecnologia da Informação</t>
  </si>
  <si>
    <t>Motorista</t>
  </si>
  <si>
    <t>Almoxarife</t>
  </si>
  <si>
    <t>Auxiliar de Almoxarifado</t>
  </si>
  <si>
    <t>Servente</t>
  </si>
  <si>
    <t>Não utilliza o Escritório</t>
  </si>
  <si>
    <t>COORDENAÇÃO SEGURANÇA E MEDICINA DO TRABALHO</t>
  </si>
  <si>
    <t>Engenheiro de Segurança e Medicina do Trabalho</t>
  </si>
  <si>
    <t>Técnico de Segurança e Medicina do Trabalho</t>
  </si>
  <si>
    <t>Pode utilizar o escritório</t>
  </si>
  <si>
    <t>Médico do Trabalho</t>
  </si>
  <si>
    <t>PLANEJAMENTO E CONTROLE DA OPERAÇÃO</t>
  </si>
  <si>
    <t>Engenheiro Pleno - Civil - Especialista em Hidráulica</t>
  </si>
  <si>
    <t>Planeja / Utiliza - Escritório</t>
  </si>
  <si>
    <t>Engenheiro Pleno - Civil - Especialista em Hidrologia</t>
  </si>
  <si>
    <t>Engenheiro Junior - Civil</t>
  </si>
  <si>
    <t>Engenheiro Pleno - Eletricista</t>
  </si>
  <si>
    <t>Engenheiro Junior - Eletricista</t>
  </si>
  <si>
    <t>PLANEJAMENTO E CONTROLE DA MANUTENÇÃO</t>
  </si>
  <si>
    <t>Engenheiro Pleno - Eletricista - Especialista em Equipamentos e Sistemas Elétricos</t>
  </si>
  <si>
    <t>Engenheiro Pleno - Eletricista - Especialista em Subestação Pátio, L. Transmissão e L. Distribuição</t>
  </si>
  <si>
    <t>Engenheiro Pleno - Eletricista - Especialista em Sistema de Proteção, Controle e Supervisão (SPCS)</t>
  </si>
  <si>
    <t>Engenheiro Pleno - Mecânico</t>
  </si>
  <si>
    <t>Engenheiro Junior - Mecânico</t>
  </si>
  <si>
    <t>Engenheiro Pleno - Civil</t>
  </si>
  <si>
    <t>Engenheiro Pleno - Mecatrônica - Especialista em Automação</t>
  </si>
  <si>
    <t>Engenheiro Junior - Telecomunicações -  Especialista em Automação</t>
  </si>
  <si>
    <t>Engenheiro Pleno - Telecomunicações</t>
  </si>
  <si>
    <t>Técnico Sênior - Manutenção Elétrica -  Especialista em Equipamentos e Sistemas Elétricos</t>
  </si>
  <si>
    <t>Técnico Sênior - Manutenção Elétrica -  Especialista em Subestação Pátio, L. Transmissão e L. Distribuição</t>
  </si>
  <si>
    <t>Técnico Sênior - Manutenção Elétrica -  Especialista em Sistema de Proteção, Controle e Supervisão (SPCS)</t>
  </si>
  <si>
    <t>Técnico Sênior - Manutenção Mecânica</t>
  </si>
  <si>
    <t>Técnico Sênior - Manutenção Civil</t>
  </si>
  <si>
    <t>Geólogo  (Geotecnia)</t>
  </si>
  <si>
    <t>Profissional para atender aos serviços de Segurança de Barragem</t>
  </si>
  <si>
    <t>OPERAÇÃO</t>
  </si>
  <si>
    <t xml:space="preserve">Técnico Pleno - Eletrotécnico - Operador Estação de Bombeamento </t>
  </si>
  <si>
    <t xml:space="preserve">Técnico Junior - Mecânico - Operador Estação de Bombeamento </t>
  </si>
  <si>
    <t>Técnico Pleno - Eletrotécnico - Operador Subestação</t>
  </si>
  <si>
    <t>Técnico Junior - Eletrotécnico - Operador Subestação</t>
  </si>
  <si>
    <t>Técnico Auxiliar</t>
  </si>
  <si>
    <t>Técnico Junior -  Eletrotécnico - Operador Subestação</t>
  </si>
  <si>
    <t>Técnico Auxiliar - Leiturista</t>
  </si>
  <si>
    <t>Lote 12 (Sertânia/PE)</t>
  </si>
  <si>
    <t xml:space="preserve">Técnico Junior -  Mecânico - Operador Estação de Bombeamento </t>
  </si>
  <si>
    <t>MANUTENÇÃO - MECÂNICA</t>
  </si>
  <si>
    <t>Técnico Pleno - Mecânico</t>
  </si>
  <si>
    <t>Técnico Auxiliar - Mecânico</t>
  </si>
  <si>
    <t>10.</t>
  </si>
  <si>
    <t>MANUTENÇÃO - EQUIPAMENTOS E SISTEMAS ELÉTRICOS</t>
  </si>
  <si>
    <t>Técnico Pleno - Eletrotécnico - Especialista em Baixa e Média Tensão</t>
  </si>
  <si>
    <t>11.</t>
  </si>
  <si>
    <t>MANUTENÇÃO - CIVIL</t>
  </si>
  <si>
    <t>Técnico Sênior - Encarregado de Campo</t>
  </si>
  <si>
    <t>Técnico Junior - Cadista</t>
  </si>
  <si>
    <t>Pedreiro</t>
  </si>
  <si>
    <t>Carpinteiro</t>
  </si>
  <si>
    <t>Ferreiro</t>
  </si>
  <si>
    <t>Eletricista</t>
  </si>
  <si>
    <t>Tecnico Edificações - Inspeção</t>
  </si>
  <si>
    <t>12.</t>
  </si>
  <si>
    <t>13.</t>
  </si>
  <si>
    <t>Manutenção - Linhas de Transmissão 230 kv e 69kv</t>
  </si>
  <si>
    <t>14.</t>
  </si>
  <si>
    <t>Manutenção - Linhas de Distibuição - 13,8kv e 6,9 kv</t>
  </si>
  <si>
    <t>15.</t>
  </si>
  <si>
    <t>MANUTENÇÃO SDSC</t>
  </si>
  <si>
    <t>16.</t>
  </si>
  <si>
    <t>MANUTENÇÃO SPCS</t>
  </si>
  <si>
    <t>17.</t>
  </si>
  <si>
    <t>MANUTENÇÃO TELECOM</t>
  </si>
  <si>
    <t>RESERVATÓRIOS</t>
  </si>
  <si>
    <t>Areias</t>
  </si>
  <si>
    <t>Braúnas</t>
  </si>
  <si>
    <t>Mandantes</t>
  </si>
  <si>
    <t>Salgueiro</t>
  </si>
  <si>
    <t>Muquem</t>
  </si>
  <si>
    <t>Cacimba Nova</t>
  </si>
  <si>
    <t>Bagres</t>
  </si>
  <si>
    <t>Copiti</t>
  </si>
  <si>
    <t>Moxotó</t>
  </si>
  <si>
    <t>Barreiro</t>
  </si>
  <si>
    <t>Campos</t>
  </si>
  <si>
    <t>Barro Branco</t>
  </si>
  <si>
    <t>Monteiro</t>
  </si>
  <si>
    <t>CUSTO MENSAL (R$)</t>
  </si>
  <si>
    <t>S/ MOTORISTA</t>
  </si>
  <si>
    <t>C/ MOTORISTA</t>
  </si>
  <si>
    <t>MOTO 125CC (13CV)</t>
  </si>
  <si>
    <t>VEÍCULOS LEVES</t>
  </si>
  <si>
    <t>TIPO HATCH 1.0 FLEX (72 CV)</t>
  </si>
  <si>
    <t>TIPO HATCH 1.4 FLEX (85 CV)</t>
  </si>
  <si>
    <t>TIPO SEDAN 1.6 FLEX (115CV)</t>
  </si>
  <si>
    <t>TIPO UTILITÁRIO (KOMBI) 1.4 FLEX (78 CV)</t>
  </si>
  <si>
    <t>TIPO UTILITÁRIO (VAN 16 LUG) (129 CV)</t>
  </si>
  <si>
    <t>TIPO MICROÔNIBUS (28 LUG) (150 CV)</t>
  </si>
  <si>
    <t>TIPO ÔNIBUS (45 LUG) (218 CV)</t>
  </si>
  <si>
    <t>TIPO PICK-UP 1.6 FLEX (101 CV)</t>
  </si>
  <si>
    <t>TIPO PICK-UP CABINE SIMPLES 4X4 (102 CV)</t>
  </si>
  <si>
    <t>VEÍCULO PICK-UP CABINE DUPLA 4X4 (163 CV)</t>
  </si>
  <si>
    <t>Cimento CPII-32</t>
  </si>
  <si>
    <t>m³</t>
  </si>
  <si>
    <t>Tábua de madeira de lei, 2,5x15cm (1x6) não aparelhada</t>
  </si>
  <si>
    <t>Prego 18x30</t>
  </si>
  <si>
    <t>Aço D=10 mm CA 50</t>
  </si>
  <si>
    <t>Arame recozido n.º 18</t>
  </si>
  <si>
    <t>Grampo para cerca galvanizado 1 x 9</t>
  </si>
  <si>
    <t>Desmoldante</t>
  </si>
  <si>
    <t>Cal hidratada</t>
  </si>
  <si>
    <t>Tijolo comum (5,5x10x20) cm</t>
  </si>
  <si>
    <t>m²</t>
  </si>
  <si>
    <t>Tinta Latex  PVA</t>
  </si>
  <si>
    <t>Compensado resinado 17mm</t>
  </si>
  <si>
    <t>Lâmpada vapor mercúrio 400 W (base E40)</t>
  </si>
  <si>
    <t>Soquete de porcelana base E27, para uso ao tempo, para lâmpadas</t>
  </si>
  <si>
    <t>Pano para limpeza</t>
  </si>
  <si>
    <t>Filtro de ventiladores de painéis</t>
  </si>
  <si>
    <t>Recarga de gás SF6 (hexafluoreto de enxofre) -52,16 kg</t>
  </si>
  <si>
    <t>Escova de aço para remoção da graxa envelhecida dos cabos de aço</t>
  </si>
  <si>
    <t>Hipoclorito de sódio</t>
  </si>
  <si>
    <t>Polímero aniônico</t>
  </si>
  <si>
    <t>Antiespumante – antiespumante a base de silicone</t>
  </si>
  <si>
    <t>Pasta de Limpeza</t>
  </si>
  <si>
    <t>Eletrodos Revestido AWS-E7018, DN 4 mm</t>
  </si>
  <si>
    <t>Adesivo Acrílico / Cola de contato</t>
  </si>
  <si>
    <t>Gasolina Comum</t>
  </si>
  <si>
    <t>Banheiro Químico, com 03 limpezas semanais</t>
  </si>
  <si>
    <t>MEMORIAL DE CÁLCULO - VEÍCULOS (Quantidade / Local)</t>
  </si>
  <si>
    <t>TABELA DE VEÍCULOS - Tabela Consultiva Codevasf</t>
  </si>
  <si>
    <t>EQUIPAMENTO</t>
  </si>
  <si>
    <t>MATERIAL</t>
  </si>
  <si>
    <t>SERVIÇOS - COMPOSIÇÕES AUXILIARES</t>
  </si>
  <si>
    <t>PRODUÇÃO DA EQUIPE</t>
  </si>
  <si>
    <t>CUSTO (R$):</t>
  </si>
  <si>
    <t>MEMORIAL DE CÁLCULO - EQUIPE DE MÃO DE OBRA</t>
  </si>
  <si>
    <t>Custos da equipe da administração central da empresa contratada ( diretoria, pessoal técnico de apoio e pessoal administrativo não diretamente vinculado à prestação dos serviços)</t>
  </si>
  <si>
    <t xml:space="preserve">Talha Manual de Corrente com Alavanca 1,5 t Elevação 1,5m (Catraca 1,5 ton) </t>
  </si>
  <si>
    <t>Cinta para elevação de carga (comprimento: 3m / capacidade de carga: 3t)</t>
  </si>
  <si>
    <t>Cinta para elevação de carga  (comprimento: 6m / capacidade de carga: 20t)</t>
  </si>
  <si>
    <t>Cortador a frio para tubos - Cortador Tubo Ferro Ferrari 1/8" - 2"</t>
  </si>
  <si>
    <t>Curvador de tubos (Até 1”) - Curvador e Dobrador De Tubos Manual</t>
  </si>
  <si>
    <t>Escada articulada multifuncional 4x4 16 degraus</t>
  </si>
  <si>
    <t>Macaco de comando a distância 20 t - Macaco Hidráulico 20 Toneladas Tipo Garrafa</t>
  </si>
  <si>
    <t>Macaco de comando a distância 50 t - Macaco Hidráulico 50 Toneladas Tipo Garrafa</t>
  </si>
  <si>
    <t>Macaco tipo elevador capacidade de 2 t - Macaco Hidráulico 2 Toneladas tipo Garrafa</t>
  </si>
  <si>
    <t>Macaco tipo girafa de 2 t - Guincho Hidráulico 2 Toneladas com Prolongador</t>
  </si>
  <si>
    <t>Multiplicador de Torque Manual 2700 N.m/2000 lb.ft CDI GA190</t>
  </si>
  <si>
    <t>Rosqueadeira ( para tubos de ½” a 4”) -Rosqueadeira Elétrica 1/2 A 4 Pol. 750w 220v-Br Motors-Brr124bsp</t>
  </si>
  <si>
    <t>Talha capacidade 3t</t>
  </si>
  <si>
    <t>Tifor 3t</t>
  </si>
  <si>
    <t xml:space="preserve">Grupo gerador de 4 KVA, 220v, trifásico, silenciado, com 100 metros de cabos e 01 QTA. </t>
  </si>
  <si>
    <t xml:space="preserve">Grupo gerador de 10 KVA, 220v, trifásico, silenciado, com 100 metros de cabos e 01 QTA. </t>
  </si>
  <si>
    <t>Plataforma Aérea, altura de trabalho 16,0 m, capacidade de carga 227 kg, fonte de energia: diesel, painel de controle na base e na plataforma, altura arriada: 2,0 m.</t>
  </si>
  <si>
    <t>Furadeira elétrica profissional.</t>
  </si>
  <si>
    <t>Trator Agrícola para reboque de máquina roçadeira</t>
  </si>
  <si>
    <t>Carreta Reboque (para embarcação)</t>
  </si>
  <si>
    <t xml:space="preserve">Alavanca para mecânico 38,4 cm </t>
  </si>
  <si>
    <t>Alicate de bico com isolamento para 1000V</t>
  </si>
  <si>
    <t>Alicate de corte diagonal</t>
  </si>
  <si>
    <t>Alicate para anéis externo pontas retas</t>
  </si>
  <si>
    <t>Alicate para anéis externos ponta curva 90°</t>
  </si>
  <si>
    <t>Alicate para anéis internos</t>
  </si>
  <si>
    <t>Cabo de força com encaixe de ½”, ¾” e 1”</t>
  </si>
  <si>
    <t>Cadeado 30mm</t>
  </si>
  <si>
    <t>Calibrador de folgas de 0,03 mm - 0,50 mm</t>
  </si>
  <si>
    <t>Canivete sem ponta</t>
  </si>
  <si>
    <t>Chave ajustável n.º 08</t>
  </si>
  <si>
    <t>Chave combinada 1" x 5/16"</t>
  </si>
  <si>
    <t>Chave combinada 22 mm</t>
  </si>
  <si>
    <t>Chave combinada n.º 5/16"</t>
  </si>
  <si>
    <t>Chave cruzada 8 x 150</t>
  </si>
  <si>
    <t>Chave de boca 3/4" x 25/32"</t>
  </si>
  <si>
    <t>Chave de boca 5/16" x 1/4"</t>
  </si>
  <si>
    <t>Chave de fenda 1/4x10</t>
  </si>
  <si>
    <t>Chave de fenda 1/8x3</t>
  </si>
  <si>
    <t>Chave de fenda 3/16x6</t>
  </si>
  <si>
    <t>Chave de fenda 3/8x10</t>
  </si>
  <si>
    <t>Chave de fenda 8x150</t>
  </si>
  <si>
    <t>Chave de fenda cruzada (Philips) 1/4" x 1. 1/2"</t>
  </si>
  <si>
    <t>Chave de fenda tipo toco 1/4" x 1. 1/2"</t>
  </si>
  <si>
    <t>Chave grifo n.º 18</t>
  </si>
  <si>
    <t>Chave Philips</t>
  </si>
  <si>
    <t>Chave soquete tipo canhão 1/2"</t>
  </si>
  <si>
    <t>Chave soquete tipo canhão 1/4"</t>
  </si>
  <si>
    <t>Chave soquete tipo canhão 11/32"</t>
  </si>
  <si>
    <t>Chave soquete tipo canhão 3/8"</t>
  </si>
  <si>
    <t>Chave soquete tipo canhão 7/16"</t>
  </si>
  <si>
    <t>Chave soquete tipo canhão 9/16"</t>
  </si>
  <si>
    <t>Escova de aço, com cabo, *4 X 15* fileiras de cerdas</t>
  </si>
  <si>
    <t>Espátula n.º 38A-23</t>
  </si>
  <si>
    <t>Esquadro Profissional 12" (em aço)</t>
  </si>
  <si>
    <t>Extensão 20m</t>
  </si>
  <si>
    <t>Faca reta desencapadora com isolamento para 1000V</t>
  </si>
  <si>
    <t>Funil para troca de óleo</t>
  </si>
  <si>
    <t>Jogo de broca de aço de 6 a 19mm (concreto parede)</t>
  </si>
  <si>
    <t>Jogo de chave catraca</t>
  </si>
  <si>
    <t>Jogo de chave combinada de nº 6 a nº 50</t>
  </si>
  <si>
    <t>Jogo de chave hexagonal (Allen) em polegada</t>
  </si>
  <si>
    <t>Jogo de chave hexagonal (Allen) nº 03 a 17mm</t>
  </si>
  <si>
    <t>Jogo de chave Phillips com isolamento para 1000V</t>
  </si>
  <si>
    <t>Jogo de chave soquete 22 mm a 50 mm</t>
  </si>
  <si>
    <t>Jogo de chaves de fenda com isolamento para 1000V</t>
  </si>
  <si>
    <t>Jogo de macho para reparo de roscas</t>
  </si>
  <si>
    <t>Lanterna grande - 10 Million</t>
  </si>
  <si>
    <t>Lima chata paralela murça 6"</t>
  </si>
  <si>
    <t>Lima paralela bastarda 6"</t>
  </si>
  <si>
    <t>Lima redonda murça 6"</t>
  </si>
  <si>
    <t>Limas diversas</t>
  </si>
  <si>
    <t>Mala de ferramenta com 05 gavetas</t>
  </si>
  <si>
    <t>Marreta 1kg</t>
  </si>
  <si>
    <t>Marreta 2 kg</t>
  </si>
  <si>
    <t>Nível a laser com base magnética e tripé</t>
  </si>
  <si>
    <t>Nível de mão – metálico e magnético</t>
  </si>
  <si>
    <t>Pé-de-cabra</t>
  </si>
  <si>
    <t>Prumo de centro</t>
  </si>
  <si>
    <t>Punção de centro 100 x 4 mm</t>
  </si>
  <si>
    <t>Punção de centro 150 x 6 mm</t>
  </si>
  <si>
    <t>Saca pino 03 mm</t>
  </si>
  <si>
    <t>Saca pino 08mm</t>
  </si>
  <si>
    <t>Saca pino 17 mm</t>
  </si>
  <si>
    <t>Saca pino paralelo 150x4</t>
  </si>
  <si>
    <t>Saca pino paralelo 150x6</t>
  </si>
  <si>
    <t>Saca pino paralelo 150x8</t>
  </si>
  <si>
    <t>Saca polia 10"</t>
  </si>
  <si>
    <t>Soquete 65</t>
  </si>
  <si>
    <t>Soquete 70</t>
  </si>
  <si>
    <t>Soquete 75/55</t>
  </si>
  <si>
    <t>Talhadeira para mecânica</t>
  </si>
  <si>
    <t>Torquímetro de estalo 50 - 400 N.m</t>
  </si>
  <si>
    <t>Andaime modular isolante 2x1m, com conexões em aluminio fundido - Altura de 15 m.</t>
  </si>
  <si>
    <t>Bastão/Vara de manobra 35 kV, Ø 32 mm, 3,0 m, 2 m isolante</t>
  </si>
  <si>
    <t>Bastão isolante universal Ø 38 mm, 6 m, com 2 cabeçotes</t>
  </si>
  <si>
    <t>Bastão de resgate - 35 kV, 220 mm</t>
  </si>
  <si>
    <t>Bastão-garra comprimento do isolante 3 m</t>
  </si>
  <si>
    <t>Bastão tensor com luva ajustável Ø 51 mm, 72,5 kV, 2,30 m</t>
  </si>
  <si>
    <t>Banqueta isolante, 500x500x300 mm, 40 kV</t>
  </si>
  <si>
    <t>Caixa de ferramentas para eletricista NR10 com 34 peças - Equipes de Manutenção</t>
  </si>
  <si>
    <t>Caixa de ferramentas para eletricista NR10 com 34 peças para operadores EB</t>
  </si>
  <si>
    <t>Caixa de ferramentas com 40 peças (Para técnicos de automação e telecom)</t>
  </si>
  <si>
    <t>Chave com catraca 4 bocas 8x9x10x11 mm (Ref. 44637101 ou similar)</t>
  </si>
  <si>
    <t>Escada perfil "U" de fibra de vidro extensiva - altura esticada 8,40 m - 15 kV</t>
  </si>
  <si>
    <t>Ferramenta universal para bastão de manobra - Jogo para Tensionadores Duplos - jugo duplo com corrente lado morto</t>
  </si>
  <si>
    <t>Ferramenta universal para bastão de manobra - Jogo para Tensionadores Duplos -jugo duplo lado vivo</t>
  </si>
  <si>
    <t>Ferramenta universal para bastão de manobra - Jogo para Tensionadores Simples - balancim trinangular chapa dupla</t>
  </si>
  <si>
    <t>Fumigador para apicultura</t>
  </si>
  <si>
    <t>Furadeira elétrica de impacto 1/2" Ø 13mm, 800W, 1050 A, 2800 rpm e 220V</t>
  </si>
  <si>
    <t>Jogo de chave combinada com 16 unidades (sextavado/boca fixa) de 1/4" a 1.1/4" (6,35 mm a 31,75 mm)</t>
  </si>
  <si>
    <t>Kit ferramenta fibra óptica (clivador +alicate decapador + alicate stripper + bolsa + 2 chaves allen + recipiente para álcool + guia) + Medidor de potência para fibra óptica (Power Meter Medidor Potência Fibra Óptica + Caneta Laser 10W)</t>
  </si>
  <si>
    <t>Kit ferramentas telecom ( tipo TRAMONTINA PRO 44970053 ou similar)</t>
  </si>
  <si>
    <t>Kit para enchimento e complementação de gás SF6, composto de adaptador, mangueira, regulador e manômetro padrão</t>
  </si>
  <si>
    <t>Pá-de-bico com cabo de madeira</t>
  </si>
  <si>
    <t>Punho saca fusível NH tamanho 000 a 4, 1kV</t>
  </si>
  <si>
    <t>Separador de fases horizontal 15kV  polietileno de alta densidade na cor cinza (cx 110-690 mm ; cx 66-850 mm)</t>
  </si>
  <si>
    <t xml:space="preserve"> Corda de bombeiro 12mm em nylon trançado (rolo de 100 m) </t>
  </si>
  <si>
    <t xml:space="preserve"> Enxada estreita de 240 x 230 mm, sem cabo </t>
  </si>
  <si>
    <t xml:space="preserve"> Pé-de-cabra </t>
  </si>
  <si>
    <t>Multímetro digital, tensão DC/AC 50,000 mV a 1000V, 0,4% (True/RMS), frequencia 99,999Hz a 999,99KHz  "FLUKE-87-V" com pontas prova TWIST GUARD</t>
  </si>
  <si>
    <t>Alicate amperímetro CA/CC de 600V, digital, CAT III FLUKE 305</t>
  </si>
  <si>
    <t>GPS Geodésico portátil com visor 65K de cores legível sob luz solar, à prova d'água, geocaching informatizado e recurso de mapeamento ampliados.</t>
  </si>
  <si>
    <t>Estação Total com leitura direta de 1 segundo e precisão de 2". Prumo óptico na alidade. Interface com principais softwares do mercado, à prova d'água e poeira conforme norma internacional: IEC529. Com kit completo, inclusive tripé com pernas extensíveis.</t>
  </si>
  <si>
    <r>
      <t xml:space="preserve">Nível automático com precisão de ± 1,0 </t>
    </r>
    <r>
      <rPr>
        <i/>
        <sz val="10"/>
        <rFont val="Arial"/>
        <family val="2"/>
      </rPr>
      <t>mm/km</t>
    </r>
    <r>
      <rPr>
        <sz val="10"/>
        <rFont val="Arial"/>
        <family val="2"/>
      </rPr>
      <t xml:space="preserve"> duplo de nivelamento, aumento de imagem 32 vezes, limbo horizontal com escala de 1º, abertura da objetiva 45</t>
    </r>
    <r>
      <rPr>
        <i/>
        <sz val="10"/>
        <rFont val="Arial"/>
        <family val="2"/>
      </rPr>
      <t xml:space="preserve"> mm</t>
    </r>
    <r>
      <rPr>
        <sz val="10"/>
        <rFont val="Arial"/>
        <family val="2"/>
      </rPr>
      <t>, foco mínimo 1,60</t>
    </r>
    <r>
      <rPr>
        <i/>
        <sz val="10"/>
        <rFont val="Arial"/>
        <family val="2"/>
      </rPr>
      <t xml:space="preserve"> m</t>
    </r>
    <r>
      <rPr>
        <sz val="10"/>
        <rFont val="Arial"/>
        <family val="2"/>
      </rPr>
      <t>. Com tripé e mira.</t>
    </r>
  </si>
  <si>
    <t>Água Raz - galão  5 l</t>
  </si>
  <si>
    <t>Alcool Comum 90º GL</t>
  </si>
  <si>
    <t>Antiferrugem aerosol WD-40 - tubo de 300 ml</t>
  </si>
  <si>
    <t>Cola Ultra Gray 70g</t>
  </si>
  <si>
    <t>Cola para junta de motores com 73g</t>
  </si>
  <si>
    <t>Corda de bombeiro 12mm em nylon trançado (rolo de 100,00m)</t>
  </si>
  <si>
    <t>Diesel comum (l)</t>
  </si>
  <si>
    <t>Disco corte abrasivo 7" x 1/8" x 7/8"</t>
  </si>
  <si>
    <t>Disco de corte para estrutura metálica 300 x 3,2 x 19,05 mm</t>
  </si>
  <si>
    <t>Disco de desbaste para estrutura metálica de 9" x 1/4" x 7/8" ( 225 x 6,25 x 21,87 mm)</t>
  </si>
  <si>
    <t>Eletrodos Revestido AWS-E7018, DN 6 mm</t>
  </si>
  <si>
    <t>Estopa - embalagem 20 kg</t>
  </si>
  <si>
    <t xml:space="preserve">Fita crepe adesiva 25mm x 50mm </t>
  </si>
  <si>
    <t xml:space="preserve">Hidróxido de cálcio </t>
  </si>
  <si>
    <t>Líquido penetrante visível lavável à água (Ensaios de Líquido Penetrante)</t>
  </si>
  <si>
    <t>Lona de borracha com alma 1,0 – 4,8 mm esp.</t>
  </si>
  <si>
    <t>Lona plástica - 4 x 100 m - 12 kg</t>
  </si>
  <si>
    <t>Mangueira Cristal, Lisa PVC transparente, 3/4" x 2 mm</t>
  </si>
  <si>
    <t>Mangueira FLG-62/1 0 - 150 PSI 1/4" NPT</t>
  </si>
  <si>
    <t>Óleo - Translação pórtico e ponte e direção do carro - 20 l -  Óleo EP 220</t>
  </si>
  <si>
    <t>Óleo Hidràulico para os componentes não protegido dos Servomotor Hidráulico - Óleo EP 320</t>
  </si>
  <si>
    <t>Óleo Lubrificante Redutor - Óleo SAE 90</t>
  </si>
  <si>
    <t>Óleo lubrificante, para engrenagem., EP-5, viscosidade (CSt) ( - 40ºC) = 22 - tambor 20 l</t>
  </si>
  <si>
    <t>PAC – Policloreto de alumínio (5 l)</t>
  </si>
  <si>
    <t>Papelão grafitado 1,50 m x 1,60 m Esp 2.4</t>
  </si>
  <si>
    <t xml:space="preserve">Querosene para limpeza </t>
  </si>
  <si>
    <t>Revelador não aquoso D70 (Ensaios de Líquido Penetrante)</t>
  </si>
  <si>
    <t>Trava química</t>
  </si>
  <si>
    <t>Vaselina sólida anti-inflamável</t>
  </si>
  <si>
    <t>Graxa com dissulfeto de molibidênio (MoS2) - Lata 500 g</t>
  </si>
  <si>
    <t>Aço D=12 mm CA 50</t>
  </si>
  <si>
    <t>Aço D=5.0 mm CA 60</t>
  </si>
  <si>
    <t>Aço D=6.3 mm CA 50</t>
  </si>
  <si>
    <t>Aço D=8.0 mm CA 50</t>
  </si>
  <si>
    <t>Arame farpado nº. 16 galvanizado Simples</t>
  </si>
  <si>
    <t>Arame galvanizado 8BWG, d=4,19mm</t>
  </si>
  <si>
    <t xml:space="preserve">Argamassa para grouteamento </t>
  </si>
  <si>
    <t xml:space="preserve">Caibro de 5x5cm </t>
  </si>
  <si>
    <t>Gastalho 10x2,5cm</t>
  </si>
  <si>
    <t>Lâmpada fluorecente de 20W</t>
  </si>
  <si>
    <t>Lixa nº120</t>
  </si>
  <si>
    <t>Lona plástica - 4 x 100m - 12kg</t>
  </si>
  <si>
    <t>Manta termoplástica PEAD, geomembrana lisa, e=2 mm</t>
  </si>
  <si>
    <t>Massa corrida - latão 18 l</t>
  </si>
  <si>
    <t>Mourão de concreto reto para cercas</t>
  </si>
  <si>
    <t xml:space="preserve">Perfil para fixação das geomembrana Barra de 6m </t>
  </si>
  <si>
    <t>Pincel 1"</t>
  </si>
  <si>
    <t xml:space="preserve">Rolo de lã de carneiro - 20cm </t>
  </si>
  <si>
    <t>Rolo de espuma poliéster 23 cm com cabo</t>
  </si>
  <si>
    <t>Thinner/águarras - 5 l</t>
  </si>
  <si>
    <t>Trincha de 2 "</t>
  </si>
  <si>
    <t>Vassourão 40cm com cabo</t>
  </si>
  <si>
    <t>Papel A4-resma de 500 folhas</t>
  </si>
  <si>
    <t>Pasta arquivo de A a Z Ofício</t>
  </si>
  <si>
    <t>Condicionador de ar 12.000 BTU</t>
  </si>
  <si>
    <t xml:space="preserve">Fogão </t>
  </si>
  <si>
    <t>Forno Microondas</t>
  </si>
  <si>
    <t>Freezer 246 l</t>
  </si>
  <si>
    <t>GPS com cabo e software (conforme especificação)</t>
  </si>
  <si>
    <t>Mesas de escritório com gavetas (conforme especificação)</t>
  </si>
  <si>
    <t>Mesa de refeitório 10 lugares com cadeiras</t>
  </si>
  <si>
    <t>Conjunto de Mesa com 06 lugares (para cozinha)</t>
  </si>
  <si>
    <t xml:space="preserve">Fogão industrial 6 bocas </t>
  </si>
  <si>
    <t>Máquina de Lavar roupa 11kg</t>
  </si>
  <si>
    <t>Rack (sala)</t>
  </si>
  <si>
    <t>Televisor LCD com 27,5"</t>
  </si>
  <si>
    <t>Lote 10 (Custódia/PE)</t>
  </si>
  <si>
    <t>Betoneira, capacidade nominal 400 l, capacidade de mistura 310 l, motor a diesel potência 5 cv, sem carregador.</t>
  </si>
  <si>
    <t>Betoneira, capacidade nominal 600 l, capacidade de mistura 440 l,  motor a diesel potência 10 cv, com carregador.</t>
  </si>
  <si>
    <t>Lavadora de alta pressão a diesel, partida elétrica, motor de 10 hp</t>
  </si>
  <si>
    <t>Bomba draga autoescorvante 3”x 3” , motor: 4 tempos, potência: 6,5cv, cilindrada: 196 cm³, ignição eletrônica, consumo aproximadamente: 1,7 l/h, capacidade do tanque: 3,6 l.</t>
  </si>
  <si>
    <t>Locação de bomba submersível para drenagem e esgotamento, motor elétrico trifásico, potência de  4 cv, diâmetro de recalque de 3". Faixa de operação: Q= 60 m³/h (± 1 m³/h) e AMT=2 m; Q= 11 m³/h (± 1 m³/h) e AMT = 23 m (± 1 m).</t>
  </si>
  <si>
    <t>Locação de bomba submersível para drenagem e esgotamento, motor elétrico trifásico, potência de 2 cv, diâmetro de recalque de  2". Faixa de operação: Q= 35 m³/h (± 3 m³/h) e AMT=2 m; Q=13 m³/h (± 3 m³/h) e AMT = 17 m (± 3 m).</t>
  </si>
  <si>
    <t>Caminhão basculante, capacidade de carga  15,0 t e volume 10,0 m³ .</t>
  </si>
  <si>
    <t>Caminhao basculante, capacidade de carga  9,0 t e volume 6,0 m³ .</t>
  </si>
  <si>
    <t>Caminhão tanque, capacidade de volume  6000 l e potência 136,0 hp .</t>
  </si>
  <si>
    <t>Pá carregadeira sobre rodas, potência líquida 128 hp, capacidade da caçamba de 1,7 a 2,8 m³, peso operacional de 11.632 kg.</t>
  </si>
  <si>
    <t>Transportes de máquinas e equipamentos por caminhão cavalo mecânico com carreta-prancha capacidade 20t</t>
  </si>
  <si>
    <t>Compactador de solo a percussão (soquete), com motor gasolina de 4 tempos, peso entre 55 e 65 kg, força de impacto de 1.000 a 1.500 kgf, frequência de 600 a 700 golpes por minuto,velocidade de trabalho entre 10 e 15 m/min, potência entre 2 e 3 hp.</t>
  </si>
  <si>
    <t>Compactador de solo, tipo placa vibratória reversível, com motor a diesel, peso entre 700 e 820 kg, força centrífuga entre 6.200 e 10.000 kgf, largura de trabalho entre 650 e 720 mm, frequência de vibração entre 3.000 e 3.500 rpm, velocidade de trabalho entre 25 e 30 m/min, potência entre 13,0 e 15,0 hp.</t>
  </si>
  <si>
    <t>Compressor de ar rebocável, vazão 400 pcm, pressão efetiva de trabalho 102 psi, motor diesel, potência 110 cv.</t>
  </si>
  <si>
    <t>Compressor de ar rebocável, vazão 189 pcm, pressão efetiva de trabalho 102 psi, motor diesel, potência  63 cv.</t>
  </si>
  <si>
    <t xml:space="preserve">Conjunto motorbomba com 160 kW de potência no motor elétrico (25 mca x 0,5 m³/s) para esgotamento, com respectivos mangotes de sucção e descarga a serem especificados em função dos diâmetros. </t>
  </si>
  <si>
    <t xml:space="preserve">Conjunto motorbomba com 30 kW de potência no motor elétrico (25 mca x 0,1 m³/s) para esgotamento, com respectivos mangotes de sucção e descarga a serem especificados em função dos diâmetros. </t>
  </si>
  <si>
    <t>Empilhadeira sobre pneus com torre de três estágios, 4,80 m de elevação, com deslocador lateral dos garfos, motor glp 2.4 l, capacidade nominal de carga de 2,5 t.</t>
  </si>
  <si>
    <t>Escavadeira hidráulica sobre esteiras, caçamba 0,62 m³, peso operacional 12,61 t, potência líquida 95 hp.</t>
  </si>
  <si>
    <t>Escavadeira hidráulica sobre esteiras, caçamba  0,80 m³, peso operacional 17 t, potência bruta 111 hp.</t>
  </si>
  <si>
    <t>Grupo gerador, potência nominal 15 kVA (emergência), incluindo instalação, cabeamento, base de concreto e demais materiais necessários.</t>
  </si>
  <si>
    <t xml:space="preserve">Grupo gerador de 15 kVA, 220V, trifásico, silenciado, com 100 metros de cabos e 01 QTA. </t>
  </si>
  <si>
    <t>Locação de grupo gerador acima de 125 até 180 kVA, motor diesel, rebocável, acionamento manual.</t>
  </si>
  <si>
    <t>Grupo gerador diesel, com carenagem, potência standart entre 250 e 260 kVA, velocidade de 1800 rpm, frequência de 60 Hz.</t>
  </si>
  <si>
    <t>Serra circular de bancada, modelo pica-pau, diâmetro de 350 mm. Características do motor: trifásico, potência de 5 hp, frequência de 60 H.</t>
  </si>
  <si>
    <t>Máquina de solda elétrica de 250 A com kit.</t>
  </si>
  <si>
    <t>Lixadeira elétrica angular para concreto, potência 1.400 W, prato diamantado de 5''.</t>
  </si>
  <si>
    <t>Máquina para corte com disco abrasivo de diâmetro de 18'' (450 mm), com motor elétrico trifásico de 10 cv.</t>
  </si>
  <si>
    <t>Martelete rompedor 33 kg.</t>
  </si>
  <si>
    <t>Martelo demolidor pneumático manual, com redução de vibração, peso de 31,5 kg.</t>
  </si>
  <si>
    <t>Minicarregadeira sobre rodas, potência líquida de 47 hp, capacidade nominal de operação de 646 kg.</t>
  </si>
  <si>
    <t>Motoserra portátil com motor a gosolina de 60 cc.</t>
  </si>
  <si>
    <t>Perfuratriz pneumática manual de peso médio, 18 kg, comprimento de curso de 6 m, diâmetro do pistão de 5,5 cm</t>
  </si>
  <si>
    <t>Retroescavadeira sobre rodas com carregadeira, tração 4x4, potência líquida 72 hp, peso operacional mínimo de 7.140 kg, capacidade mínima da carregadeira de 0,79 m³ e da retroescavadeira mínima de 0,18 m³, profundidade de escavação máxima de 4,50 m.</t>
  </si>
  <si>
    <t>Roçadeira deslocável, largura de trabalho de 1,3 m.</t>
  </si>
  <si>
    <t>Roçadeira costal com motor a gasolina de  32 cc.</t>
  </si>
  <si>
    <t>Rolo compactador pé-de-carneiro vibratório, potência 125 hp, peso operacional sem/com lastro 11,95/13,30 t, impacto dinâmico 38,5/22,5 t, largura de trabalho 2,15 m.</t>
  </si>
  <si>
    <t>Torre de iluminação 4000 W</t>
  </si>
  <si>
    <t>Trator de esteiras, potência de 150 hp, peso operacional de 16,7 t, com roda motriz elevada e lâmina com contato de 3,18 m³.</t>
  </si>
  <si>
    <t>Motor a diesel para vibrador de imersão de 4,7 cv.</t>
  </si>
  <si>
    <t>Vibrador de imersão, com ponteira de 35 mm, mangote de 5 m, sem motor.</t>
  </si>
  <si>
    <t>Vibrador de imersão, com ponteira de 45 mm, mangote de 5 m, sem motor.</t>
  </si>
  <si>
    <t>Vibrador de imersão, com ponteira de 60 mm, mangote de 5 m, sem motor.</t>
  </si>
  <si>
    <t xml:space="preserve">Grupo Gerador - 32,0 kVA, 220 V, trifásico, silenciado, com 100 metros de cabos e 01 QTA. </t>
  </si>
  <si>
    <t>Motoniveladora com escarificador (potência básica líquida -primeira marcha- 125 hp , peso bruto 13.843 kg, largura da lâmina de 3,7 m)</t>
  </si>
  <si>
    <t>Trator de esteiras, potência de 150 hp, peso operacional de 16,7t, com roda motriz elevada e lâmina com contato de 3,18 m³.</t>
  </si>
  <si>
    <t>Motor popa, tipo partida manual, potência 15 hp, aplicação barco Alumínio, características adicionais: válvulas automáticas descompressão, refrigerado a ar, quantidade marchas 2 und, quantidade cilíndro 2 und, capacidade tanque 23 l, tipo motor: 2 tempos, velocidade: 4.500 a 5.800 rpm.</t>
  </si>
  <si>
    <t>GRUPO "E"</t>
  </si>
  <si>
    <t>E1</t>
  </si>
  <si>
    <t>E2</t>
  </si>
  <si>
    <t>E3</t>
  </si>
  <si>
    <t>E4</t>
  </si>
  <si>
    <t>Auxílio Alimentação</t>
  </si>
  <si>
    <t>Equipamento de Proteção Individual - EPI</t>
  </si>
  <si>
    <t>Consultas e exames Médicos</t>
  </si>
  <si>
    <t>Seguro de Vida</t>
  </si>
  <si>
    <t>Mesa retangular em PVC</t>
  </si>
  <si>
    <t>Chapa gás para grelhar</t>
  </si>
  <si>
    <t>Coifa</t>
  </si>
  <si>
    <t>Cestos de lixo</t>
  </si>
  <si>
    <t>Carrinhos de lixo</t>
  </si>
  <si>
    <t>Liquidificadores industriais</t>
  </si>
  <si>
    <t>Mesa buffets</t>
  </si>
  <si>
    <t>Refresqueira</t>
  </si>
  <si>
    <t>Forno elétrico</t>
  </si>
  <si>
    <t>Pratos rasos</t>
  </si>
  <si>
    <t>Tábuas para carnes</t>
  </si>
  <si>
    <t>Tenda Piramidal 5m x 5m (para refeitório)</t>
  </si>
  <si>
    <t xml:space="preserve">Tenda Piramidal 3m x 3m </t>
  </si>
  <si>
    <t>Caminhão Comboio para lubrificação e abastecimento (melosa), convencional totalmente equipado (Capacidade de Combustível: 5.000 l, Capacidade de Lubrificante: 500 l, Capacidade de Graxa: 200 kg, Capacidade de Água: 300 l, Recipiente para Óleo Usado: 200 l, Compressor de Ar e Bomba- d’agua).</t>
  </si>
  <si>
    <t>Cavalo Mecânico com Reboque M. Benz Randon LS-1634/45 29,5 t, ou similar</t>
  </si>
  <si>
    <t>Ar comprimido seco  Aerossol 300ml</t>
  </si>
  <si>
    <t>Cabo cobre flexível classe 4 ou 5 isolação PVC/A M 1,68 e cobertura PVC-ST1 antichama BWF-B 0,6/1 kV 1,5mm²</t>
  </si>
  <si>
    <t>Cabo cobre flexível classe 4 ou 5 isolação PVC/A M 1,68 e cobertura PVC-ST1 antichama BWF-B 0,6/1 kV 2,5mm²</t>
  </si>
  <si>
    <t>Cabo cobre flexível classe 4 ou 5 isolação PVC/A M 1,68 e cobertura PVC-ST1 antichama BWF-B 0,6/1 kV 4mm²</t>
  </si>
  <si>
    <t>Cabo cobre flexível classe 4 ou 5 isolação PVC/A M 1,68 e cobertura PVC-ST1 antichama BWF-B 0,6/1 kV 6mm²</t>
  </si>
  <si>
    <t>Cabo cobre flexível classe 4 ou 5 isolação PVC/A M 1,68 e cobertura PVC-ST1 antichama BWF-B 0,6/1 kV 10mm²</t>
  </si>
  <si>
    <t>Cabo cobre flexível classe 4 ou 5 isolação PVC/A M 1,68 e cobertura PVC-ST1 antichama BWF-B 0,6/1 kV 16mm²</t>
  </si>
  <si>
    <t>Cabo cobre flexível classe 4 ou 5 isolação PVC/A M 1,68 e cobertura PVC-ST1 antichama BWF-B 0,6/1 kV 25mm²</t>
  </si>
  <si>
    <t>Cabo cobre flexível classe 4 ou 5 isolação PVC/A M 1,68 e cobertura PVC-ST1 antichama BWF-B 0,6/1 kV 35mm²</t>
  </si>
  <si>
    <t>Cabo cobre flexível classe 4 ou 5 isolação PVC/A M 1,68 e cobertura PVC-ST1 antichama BWF-B 0,6/1 kV 50mm²</t>
  </si>
  <si>
    <t>Cabo cobre flexível classe 4 ou 5 isolação PVC/A M 1,68 e cobertura PVC-ST1 antichama BWF-B 0,6/1 kV 70mm²</t>
  </si>
  <si>
    <t>Cabo cobre flexível classe 4 ou 5 isolação PVC/A M 1,68 e cobertura PVC-ST1 antichama BWF-B 0,6/1 kV 95mm²</t>
  </si>
  <si>
    <t>Cabo cobre flexível classe 4 ou 5 isolação PVC/A M 1,68 e cobertura PVC-ST1 antichama BWF-B 0,6/1 kV 120mm²</t>
  </si>
  <si>
    <t>Cabo de alumínio nu bitola 1/0 AWG (kg)</t>
  </si>
  <si>
    <t>Cabo de alumínio nu bitola 4/0 AWG (kg)</t>
  </si>
  <si>
    <t>Cabo de cobre nu, eletrolítico, têmpera meio duro, #35mm² (m)</t>
  </si>
  <si>
    <t>Cabo de cobre nu, eletrolítico, têmpera meio duro, #50mm² (m)</t>
  </si>
  <si>
    <t>Cabo de cobre nu, eletrolítico, têmpera meio duro, #70mm² (m)</t>
  </si>
  <si>
    <t>Filtro dos motores do eixo leste EBV4, 5 e 6 (fabricante Aeroglass-ref 11140737)</t>
  </si>
  <si>
    <t>Filtro dos motores do eixo leste EBV1, 2 e 3 (fabricante Aeroglass-modelo FMT_C2015 inox - 345x925x25mm)</t>
  </si>
  <si>
    <t>Fita isolante adesiva antichama 19mm x 20m</t>
  </si>
  <si>
    <t>Interruptor tipo three-way (paralelos) com 02 teclas</t>
  </si>
  <si>
    <t>Limpador de contatos elétricos 300ml</t>
  </si>
  <si>
    <t>Pincel - kit 03 pincéis 1/2" 1" 1.1/2"</t>
  </si>
  <si>
    <t>Sabão líquido neutro (5 l)</t>
  </si>
  <si>
    <t>Terminal isolado tipo agulha para condutores de 0,5 a 1,5mm² (pct c/ 100)</t>
  </si>
  <si>
    <t>Terminal isolado tipo agulha para condutores de 1,5 a 2,5 mm² (pct c/ 100)</t>
  </si>
  <si>
    <t>Terminal isolado tipo agulha para condutores de 4 a 6 mm² (pct c/ 100)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</si>
  <si>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</si>
  <si>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</si>
  <si>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</si>
  <si>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</si>
  <si>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</si>
  <si>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</si>
  <si>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</si>
  <si>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</si>
  <si>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</si>
  <si>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</si>
  <si>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</si>
  <si>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</si>
  <si>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</si>
  <si>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</si>
  <si>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</si>
  <si>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</si>
  <si>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</si>
  <si>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</si>
  <si>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</si>
  <si>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</si>
  <si>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11.1</t>
  </si>
  <si>
    <t>11.2</t>
  </si>
  <si>
    <t>11.3</t>
  </si>
  <si>
    <t>14.1</t>
  </si>
  <si>
    <t>14.2</t>
  </si>
  <si>
    <t>14.3</t>
  </si>
  <si>
    <t>13.1</t>
  </si>
  <si>
    <t>13.2</t>
  </si>
  <si>
    <t>15.1</t>
  </si>
  <si>
    <t>15.2</t>
  </si>
  <si>
    <t>16.1</t>
  </si>
  <si>
    <t>17.1</t>
  </si>
  <si>
    <t>Anilha Identificação - 0,5 a 6mm² (pacote com 100 unidades)</t>
  </si>
  <si>
    <t>Anilha Identificação - 10 a 16mm² (pacote com 100 unidades)</t>
  </si>
  <si>
    <t>Anilha Identificação - 25 a 70mm² (pacote com 100 unidades)</t>
  </si>
  <si>
    <t>Anilha Identificação - 95 a 120mm² (pacote com 100 unidades)</t>
  </si>
  <si>
    <t>conj.</t>
  </si>
  <si>
    <t>Conjunto de sofá 2 e 3 lugares</t>
  </si>
  <si>
    <t>Conjunto  copos em vidro com 8 unidades</t>
  </si>
  <si>
    <t>Clips nº 02 (caixa com 100 unidades)</t>
  </si>
  <si>
    <t>Clips nº 04 (caixa com 100 unidades)</t>
  </si>
  <si>
    <t>Clips nº 06 (caixa com 100 unidades)</t>
  </si>
  <si>
    <t>Clips nº 08 (caixa com 100 unidades)</t>
  </si>
  <si>
    <t>Manutenção - Subestação - Pátios</t>
  </si>
  <si>
    <t>Mensalista Diurno</t>
  </si>
  <si>
    <t>Adicional Noturno</t>
  </si>
  <si>
    <t>Horas Extras</t>
  </si>
  <si>
    <t>SALÁRIO BASE (Sem Encargo)</t>
  </si>
  <si>
    <t>Hora Extra 100%</t>
  </si>
  <si>
    <t>Valor Unitário</t>
  </si>
  <si>
    <t>Valor Mensal (5% da quant. de horas /mês)</t>
  </si>
  <si>
    <t>Valor Mensal (2,5% da quant. de horas /mês)</t>
  </si>
  <si>
    <t>Valor da Hora Noturna</t>
  </si>
  <si>
    <t>Total Geral - Equipe com Vínculo Mensalista (R$):</t>
  </si>
  <si>
    <t>SALÁRIO COMPLETO (Incluindo: encargos, adicionais e horas extras)</t>
  </si>
  <si>
    <t>OBSERVAÇÕES:</t>
  </si>
  <si>
    <t>SALÁRIO COMPLETO (Incluindo: encargos, benefícios, adicionais e horas extras)</t>
  </si>
  <si>
    <t>Caminhão guindauto com capacidade de carga até 10,0 t.</t>
  </si>
  <si>
    <t>2.44</t>
  </si>
  <si>
    <t>FU</t>
  </si>
  <si>
    <t>K</t>
  </si>
  <si>
    <t>Carreta</t>
  </si>
  <si>
    <t>Rodando</t>
  </si>
  <si>
    <t>SUB-TOTAL (R$):</t>
  </si>
  <si>
    <t>EQUIPAMENTOS</t>
  </si>
  <si>
    <t>OBSERVAÇÕES</t>
  </si>
  <si>
    <t>CAPITAL MAIS PRÓXIMA</t>
  </si>
  <si>
    <t>Recife / PE</t>
  </si>
  <si>
    <t>DIST. ATÉ CAPITAL (km)</t>
  </si>
  <si>
    <t>Local / Canteiros: EIXO LESTE - Canteiro Lote 9 (Floresta/PE)</t>
  </si>
  <si>
    <t>Distância entre Recife/PE - Canteiro Lote 9 (km):</t>
  </si>
  <si>
    <t>Veloc. Média (km/h):</t>
  </si>
  <si>
    <t>Guindauto</t>
  </si>
  <si>
    <t>Alimentação (motorista que vai rodando)</t>
  </si>
  <si>
    <t>Alimentação (motorista que retorna)</t>
  </si>
  <si>
    <t>Local / Canteiros: EIXO LESTE - Canteiro Lote 10 (Custódia/PE)</t>
  </si>
  <si>
    <t>Distância entre Recife/PE - Canteiro Lote 10 (km):</t>
  </si>
  <si>
    <t>Local / Canteiros: EIXO LESTE - Canteiro Lote 12 (Sertânia/PE)</t>
  </si>
  <si>
    <t>Distância entre Recife/PE - Canteiro Lote 12 (km):</t>
  </si>
  <si>
    <t>Mastique elástico base silicone</t>
  </si>
  <si>
    <t>Envelope de papel tamanho A5 - 200 x 280 mm</t>
  </si>
  <si>
    <t>Silicone (acético branca) - Tubo de 280g</t>
  </si>
  <si>
    <t>Valor do Adicional Noturno (c/ intrajornada)</t>
  </si>
  <si>
    <t>Adicional Noturno (c/ intrajornada)</t>
  </si>
  <si>
    <t xml:space="preserve"> ENCARGOS SOCIAIS E TRABALHISTAS E BENEFÍCIOS</t>
  </si>
  <si>
    <t>Máquina de lavar louças industrial</t>
  </si>
  <si>
    <t>VEÍCULOS AUTOMOTORES</t>
  </si>
  <si>
    <t>Hora Extra 50%</t>
  </si>
  <si>
    <t>Graxa de Alta Resistência a Carga, Pressão LGEP 2/1. Aplicação: graxa para motor e bomba</t>
  </si>
  <si>
    <t>Graxa de Alta Resistência a Carga, Pressão LGEP 2/1. Aplicação: Engrenagens de roda e engrenagens expostas</t>
  </si>
  <si>
    <t>Lençol de borracha manta 3/16” 4,8mm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</si>
  <si>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</si>
  <si>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</si>
  <si>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</si>
  <si>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</si>
  <si>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</si>
  <si>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</si>
  <si>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</si>
  <si>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</si>
  <si>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</si>
  <si>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</si>
  <si>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Chave grifo n.º 8</t>
  </si>
  <si>
    <t>Martelo bola  1kg</t>
  </si>
  <si>
    <t>Martelo de borracha 32 Cm</t>
  </si>
  <si>
    <t>Alavanca reta, 1,75 m</t>
  </si>
  <si>
    <t>Alicate profissional universal, 8". Material: Cromo Vanadium</t>
  </si>
  <si>
    <t>Alicate universal, 8", com isolação 1000 V</t>
  </si>
  <si>
    <t>Facão para mato, 18 pol</t>
  </si>
  <si>
    <t>Martelo-bola 1kg</t>
  </si>
  <si>
    <t xml:space="preserve"> Alavanca para construção civil</t>
  </si>
  <si>
    <t xml:space="preserve"> Martelo de borracha 32 Cm</t>
  </si>
  <si>
    <t>Conjunto Motor bomba 7,5 CV, 380 V, Q=75,6 m3/h e H=17 mca. (Poço de rebaixamento da EBV-3)</t>
  </si>
  <si>
    <t>Bomba Submersível 5 Cv Trifásica 380V, Q=2 - 52 m3/h e H= 3-25 mca.(Poço de rebaixamento do Res. de areias (Estrutura de Controle)</t>
  </si>
  <si>
    <t xml:space="preserve">Refletor redondo em alumínio anodizado para lâmpada vapor de mercúrio/sódio, corpo em aluminio com pintura epoxi, para lâmpada E-27 de 300 W, com suporte redondo e alça regulável para fixação. </t>
  </si>
  <si>
    <t>Binóculo Profissional Ampliação 8 à 24x 50mm</t>
  </si>
  <si>
    <t>Foice 33mm</t>
  </si>
  <si>
    <t>Foice 33mm (Com Cabo 110cm)</t>
  </si>
  <si>
    <t>Trena Metálica 8 m</t>
  </si>
  <si>
    <t xml:space="preserve"> Trena de Fita 20m </t>
  </si>
  <si>
    <t xml:space="preserve"> Trena de Fita 50m </t>
  </si>
  <si>
    <t>Alicate crimpador 11", 280mm</t>
  </si>
  <si>
    <t>FERRAMENTAS</t>
  </si>
  <si>
    <t>INSTRUMENTOS</t>
  </si>
  <si>
    <t>Proposta atual</t>
  </si>
  <si>
    <t>Quantitativo</t>
  </si>
  <si>
    <t>Diferença</t>
  </si>
  <si>
    <t>Conjunto de panelas com 7 peças</t>
  </si>
  <si>
    <t>Coordenador Operação - Engenheiro Sênior (Civil / Eletricista / Mecânico) - Esp. Manutenção Sist Abast/Ger</t>
  </si>
  <si>
    <t>Coordenador Manutenção - Engenheiro Sênior (Civil / Eletricista / Mecânico) - Esp. Manutenção Sist Abast/Ger</t>
  </si>
  <si>
    <t>Gerência de Operação do PISF - Centro de Controle e Operação (AD / GOI / CCO)</t>
  </si>
  <si>
    <t>Ministério do Desenvolvimento Regional  - MDR</t>
  </si>
  <si>
    <t>Companhia de Desenvolvimento dos Vales do São Francisco e do Parnaíba</t>
  </si>
  <si>
    <t>SERVIÇOS DE OPERAÇÃO E MANUTENÇÃO DAS INFRAESTRUTURAS DO EIXO LESTE DO PROJETO DE INTEGRAÇÃO DO RIO SÃO FRANCISCO COM AS BACIAS HIDROGRÁFICAS DO NORDESTE SETENTRIONAL – PISF</t>
  </si>
  <si>
    <t>MÃO DE OBRA - TOTAL</t>
  </si>
  <si>
    <t>UNID.</t>
  </si>
  <si>
    <t>QUANTID.</t>
  </si>
  <si>
    <t>R$ UNIT.</t>
  </si>
  <si>
    <t>R$ TOTAL</t>
  </si>
  <si>
    <t>un</t>
  </si>
  <si>
    <t>mês</t>
  </si>
  <si>
    <t>un x mês</t>
  </si>
  <si>
    <t>FRENTES MÓVEIS DE LIMPEZA E CONSERVAÇÃO</t>
  </si>
  <si>
    <t>REFORMA DOS CANTEIROS</t>
  </si>
  <si>
    <t>REFORMA DO CANTEIRO DO LOTE 09 (FLOPRESTA/PE)</t>
  </si>
  <si>
    <t>REFORMA DO CANTEIRO DO LOTE 10 (CUSTÓDIA/PE)</t>
  </si>
  <si>
    <t>REFORMA DO CANTEIRO DO LOTE 12 (SERTÂNIA/PE)</t>
  </si>
  <si>
    <t>MOBILIZAÇÃO E DESMOBILIZAÇAO</t>
  </si>
  <si>
    <t>MOBILIÁRIO E EQUIPAMENTOS DE ESCRITÓRIO</t>
  </si>
  <si>
    <t>MATERIAL DE CONSUMO - ALMOXARIFADOS</t>
  </si>
  <si>
    <t>cx</t>
  </si>
  <si>
    <t>FERRAMENTAS - MECÂNICA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</si>
  <si>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</si>
  <si>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</si>
  <si>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</si>
  <si>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</si>
  <si>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</si>
  <si>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</si>
  <si>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</si>
  <si>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</si>
  <si>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</si>
  <si>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</si>
  <si>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</si>
  <si>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</si>
  <si>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</si>
  <si>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</si>
  <si>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</si>
  <si>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</si>
  <si>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</si>
  <si>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</si>
  <si>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</si>
  <si>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</si>
  <si>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</si>
  <si>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</si>
  <si>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</si>
  <si>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</si>
  <si>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</si>
  <si>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</si>
  <si>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</si>
  <si>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/>
  </si>
  <si>
    <t>FERRAMENTAS - ELÉTRICA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</si>
  <si>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</si>
  <si>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</si>
  <si>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</si>
  <si>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</si>
  <si>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</si>
  <si>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</si>
  <si>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</si>
  <si>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</si>
  <si>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</si>
  <si>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</si>
  <si>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</si>
  <si>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</si>
  <si>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</si>
  <si>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</si>
  <si>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</si>
  <si>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</si>
  <si>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</si>
  <si>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</si>
  <si>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</si>
  <si>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</si>
  <si>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</si>
  <si>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</si>
  <si>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</si>
  <si>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</si>
  <si>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</si>
  <si>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</si>
  <si>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</si>
  <si>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</si>
  <si>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</si>
  <si>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</si>
  <si>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</si>
  <si>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</si>
  <si>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</si>
  <si>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</si>
  <si>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</si>
  <si>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</si>
  <si>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</si>
  <si>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</si>
  <si>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</si>
  <si>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</si>
  <si>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</si>
  <si>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</si>
  <si>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</si>
  <si>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</si>
  <si>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</si>
  <si>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FERRAMENTAS - CIVIL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</si>
  <si>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</si>
  <si>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</si>
  <si>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</si>
  <si>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</si>
  <si>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</si>
  <si>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</si>
  <si>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</si>
  <si>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</si>
  <si>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</si>
  <si>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</si>
  <si>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</si>
  <si>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EQUIPAMENTOS - MECÂNICA</t>
  </si>
  <si>
    <t xml:space="preserve">Chave de impacto 46mm boca/estria </t>
  </si>
  <si>
    <t xml:space="preserve">Chave de impacto 55mm boca/estria </t>
  </si>
  <si>
    <t xml:space="preserve">Chave de impacto 60mm boca/estria </t>
  </si>
  <si>
    <t xml:space="preserve">Chave de impacto 65mm boca/estria </t>
  </si>
  <si>
    <t xml:space="preserve">Chave de impacto 70mm boca/estria </t>
  </si>
  <si>
    <t xml:space="preserve">Bancada para oficina (Dim: 1,2m x 2,5m) </t>
  </si>
  <si>
    <t xml:space="preserve">Bomba de graxa manual 5kg </t>
  </si>
  <si>
    <t xml:space="preserve">Aferidor de manômetro de 0 a 150 bar </t>
  </si>
  <si>
    <t>Almotolia de bico flexível 500ml</t>
  </si>
  <si>
    <t>Almotolia de bico rígido 500ml</t>
  </si>
  <si>
    <t>Andaime metálico tipo fachadeiro Dim: Largura= 1,20m / Altura por peça= 2,00m. (Altura Total=10m - 5 peças por conjunto)</t>
  </si>
  <si>
    <t xml:space="preserve">Escada de abrir com 2 x 8 degraus (2,40m) em alumínio </t>
  </si>
  <si>
    <t xml:space="preserve">Escada de marinheiro extensível em duraluníno com 10 x 20 degraus (3,00m / 6,00m) </t>
  </si>
  <si>
    <t xml:space="preserve">Escada metálica de 07 degraus </t>
  </si>
  <si>
    <t xml:space="preserve">Esmerilhadeira angular de 4 ½” </t>
  </si>
  <si>
    <t xml:space="preserve">Esmerilhadeira angular de 7” </t>
  </si>
  <si>
    <t xml:space="preserve">Indutor elétrico para aquecimento de rolamentos (JM 500) </t>
  </si>
  <si>
    <t xml:space="preserve">Lixadeira 4 1/2" </t>
  </si>
  <si>
    <t xml:space="preserve">Morsa para bancada nº 08 </t>
  </si>
  <si>
    <t xml:space="preserve">Motoesmeril de 1cv - 3.500 RPM </t>
  </si>
  <si>
    <t xml:space="preserve">Nível de precisão  </t>
  </si>
  <si>
    <t xml:space="preserve">Parafusadeira elétrica a bateria </t>
  </si>
  <si>
    <t xml:space="preserve">Prensa hidráulica de 10 ton </t>
  </si>
  <si>
    <t xml:space="preserve">Retífica elétrica </t>
  </si>
  <si>
    <t>EQUIPAMENTOS - ELÉTRICA</t>
  </si>
  <si>
    <t>EQUIPAMENTOS - CIVIL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</si>
  <si>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</si>
  <si>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</si>
  <si>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</si>
  <si>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</si>
  <si>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</si>
  <si>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</si>
  <si>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</si>
  <si>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</si>
  <si>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</si>
  <si>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</si>
  <si>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</si>
  <si>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</si>
  <si>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</si>
  <si>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</si>
  <si>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</si>
  <si>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</si>
  <si>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</si>
  <si>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</si>
  <si>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</si>
  <si>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</si>
  <si>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</si>
  <si>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</si>
  <si>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</si>
  <si>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</si>
  <si>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</si>
  <si>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</si>
  <si>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</si>
  <si>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</si>
  <si>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</si>
  <si>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</si>
  <si>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</si>
  <si>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</si>
  <si>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</si>
  <si>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</si>
  <si>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</si>
  <si>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</si>
  <si>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</si>
  <si>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</si>
  <si>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</si>
  <si>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</si>
  <si>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</si>
  <si>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</si>
  <si>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3.1.43</t>
  </si>
  <si>
    <t>3.1.44</t>
  </si>
  <si>
    <t>3.1.45</t>
  </si>
  <si>
    <t>3.1.46</t>
  </si>
  <si>
    <t>3.1.47</t>
  </si>
  <si>
    <t>3.1.48</t>
  </si>
  <si>
    <t>3.1.49</t>
  </si>
  <si>
    <t>3.1.50</t>
  </si>
  <si>
    <t>3.1.51</t>
  </si>
  <si>
    <t>3.1.52</t>
  </si>
  <si>
    <t>3.1.53</t>
  </si>
  <si>
    <t>3.1.54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</si>
  <si>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</si>
  <si>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</si>
  <si>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</si>
  <si>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</si>
  <si>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</si>
  <si>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</si>
  <si>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</si>
  <si>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</si>
  <si>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</si>
  <si>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Bomba elétrica submersa para drenagem 5cv Flyght 3" 12.3 m³/h (acompanhada com os mangotes, incluindo quadro de comando compatível com o modelo de bomba, 250 m de cabo flexível trifásico, isolado, tensão 600 V/1000 V, em conformidade com NBR 7288).</t>
  </si>
  <si>
    <t>MANUTENÇÃO</t>
  </si>
  <si>
    <t>INSTRUMENTOS - MECÂNICA</t>
  </si>
  <si>
    <t>INSTRUMENTOS - ELÉTRICA</t>
  </si>
  <si>
    <t>Alicate Amperímetro (mod. 381 CA/CC True-rms 1000V CAT III (ou similar)</t>
  </si>
  <si>
    <t xml:space="preserve">Alicate Medidor de qualidade de energia (mod. Fluke 345 ou  similar) </t>
  </si>
  <si>
    <t xml:space="preserve">Calibrador de processos multifunção digital (mod. Fluke 725 ou  similar) </t>
  </si>
  <si>
    <t xml:space="preserve">Fasímetro, digital, categoria IV, 40~700Vca, 600V </t>
  </si>
  <si>
    <t xml:space="preserve">Freqüencímetro gitital de bancada , 1GHz de 8 dígitos </t>
  </si>
  <si>
    <t xml:space="preserve">Medidor de distância, laser, amplitude de medição 1mm a 80m </t>
  </si>
  <si>
    <t xml:space="preserve">Medidor de resistência de aterramento e resistividade do solo (Faixa de medição de 0,02Ω a 300KΩ; Alcance de até 2 K Ω) com 02 pinças </t>
  </si>
  <si>
    <t xml:space="preserve">Medidor de vazão portátil tipo Clamp-on </t>
  </si>
  <si>
    <t xml:space="preserve">Megôhmetro digital de 5 kV, alcance de até 1 TΩ, Interface USB, IP54 </t>
  </si>
  <si>
    <t xml:space="preserve">Multímetro digital para teste de equipotencialização (medições de baixas resistências), 100V, 10A, 0,1 Ω a 50 Ω </t>
  </si>
  <si>
    <t xml:space="preserve">Osciloscópio portátil com frequência de trabalho de 100Mhz, LCD Colorido 7”,  CAT II 600V </t>
  </si>
  <si>
    <t xml:space="preserve">Power Meter (Medidor Potência Fibra Óptica) potência 1310 nm, 1490 nm e 1550 nm  + Caneta Laser 10w </t>
  </si>
  <si>
    <t xml:space="preserve">Termômetro mira laser escala de -30ºC a 500ºc </t>
  </si>
  <si>
    <t xml:space="preserve">Termovisor -20ºC a 350ºC, com camera de 5 megapixels, visor LCD de 3,5 polegadas </t>
  </si>
  <si>
    <t xml:space="preserve">Testador de cabos RJ45 / 11, frequencia 200kHz, display LCD 3 ½ digitos, 600V </t>
  </si>
  <si>
    <t xml:space="preserve">Verificador elétrico de tensão 1000V, sem contato com cabo (mod. T6-1000 Fluke ou similar) </t>
  </si>
  <si>
    <t>INSTRUMENTOS - CIVIL</t>
  </si>
  <si>
    <t>SISTEMA DE RÁDIO COMUNICAÇÃO</t>
  </si>
  <si>
    <t>Serviço de instalação e configuração de sistema de repetidoras e infraestrutura</t>
  </si>
  <si>
    <t>Rádio VHF móvel digital para viatura</t>
  </si>
  <si>
    <t>CUSTO DE ADMINISTRAÇÃO</t>
  </si>
  <si>
    <t>% TOTAL</t>
  </si>
  <si>
    <t>MOBILIZAÇÃO</t>
  </si>
  <si>
    <t>LOTAÇÃO</t>
  </si>
  <si>
    <t>Coordenação (à definir)</t>
  </si>
  <si>
    <t>8.11</t>
  </si>
  <si>
    <t>8.12</t>
  </si>
  <si>
    <t>8.13</t>
  </si>
  <si>
    <t>8.14</t>
  </si>
  <si>
    <t>Lote 09 (Floresta/PE)</t>
  </si>
  <si>
    <t>MEMORIAL DE CÁLCULO - SALÁRIOS</t>
  </si>
  <si>
    <t>PROFISSIONAL</t>
  </si>
  <si>
    <t>SALÁRIO</t>
  </si>
  <si>
    <t>HORA</t>
  </si>
  <si>
    <t>MENSAL</t>
  </si>
  <si>
    <t>MOBILIÁRIO E EQUIPAMENTOS DE ESCRTÓRIO</t>
  </si>
  <si>
    <t>MOBILIZAÇÃO (Máquinas, Equipamentos, Ferramentas, Instrumentos, Materiais, Mobiliário)</t>
  </si>
  <si>
    <t>DESMOBILIZAÇÃO (Máquinas, Equip., Ferramentas, Instrumentos, Materiais, Mobiliário)</t>
  </si>
  <si>
    <t>DESPESAS FISCAIS</t>
  </si>
  <si>
    <t>ISS</t>
  </si>
  <si>
    <t>PIS</t>
  </si>
  <si>
    <t>COFINS</t>
  </si>
  <si>
    <r>
      <t xml:space="preserve">     DF'</t>
    </r>
    <r>
      <rPr>
        <sz val="10"/>
        <rFont val="Arial"/>
        <family val="2"/>
      </rPr>
      <t xml:space="preserve"> = { [ 1 / ( 1 - DF) ] - 1 } x 100</t>
    </r>
  </si>
  <si>
    <t xml:space="preserve">Termovisor, com resolução Infravermelha de 120 x 90, Sensibilidade Térmica menor que 0,10 ºC, frequência da imagem de 9 Hz e faixa de temperatura –20 a 250 °C. </t>
  </si>
  <si>
    <t>Termômetro mira laser escala de -20 a 500ºC</t>
  </si>
  <si>
    <t>Tacômetro digital 0,1 - 1,0 RPM DT - 2234 A</t>
  </si>
  <si>
    <t>Relógio comparador 0 – 10/0,01mm digital</t>
  </si>
  <si>
    <t>Paquímetro universal 0 - 650mm/0,02mm</t>
  </si>
  <si>
    <t>Paquímetro digital 0 – 150mm/0,01mm</t>
  </si>
  <si>
    <t>Analisador de vibração VIB 496FFY VIBOTRON</t>
  </si>
  <si>
    <t>Base magnética para relógio comparador</t>
  </si>
  <si>
    <t>Estetoscópio Kent</t>
  </si>
  <si>
    <t>Micrômetro 100 à 200 externo</t>
  </si>
  <si>
    <t>Micrômetro externo 0 – 100mm</t>
  </si>
  <si>
    <t>Micrômetro interno 50 – 800mm</t>
  </si>
  <si>
    <t>Nível ótico (Topcon AT-B2) ou similar</t>
  </si>
  <si>
    <t>EBV-1</t>
  </si>
  <si>
    <t>EBV-2</t>
  </si>
  <si>
    <t>EBV-3</t>
  </si>
  <si>
    <t>EBV-4</t>
  </si>
  <si>
    <t>EBV-5</t>
  </si>
  <si>
    <t>EBV-6</t>
  </si>
  <si>
    <t>ESTAÇÕES DE
BOMBEAMENTO</t>
  </si>
  <si>
    <t>LOCALIZAÇÃO</t>
  </si>
  <si>
    <t>CANTEIROS - INFORMAÇÕES COMPLEMENTARES</t>
  </si>
  <si>
    <t>COORDENADAS
(SAD69)</t>
  </si>
  <si>
    <t>Leste: 572780,
Norte: 9030684</t>
  </si>
  <si>
    <t>Leste: 628932,
Norte: 9076044</t>
  </si>
  <si>
    <t>Leste: 690429,
Norte: 9108941</t>
  </si>
  <si>
    <t>PASSAGENS AÉREAS</t>
  </si>
  <si>
    <t>ORIGEM</t>
  </si>
  <si>
    <t>DESTINO</t>
  </si>
  <si>
    <t>TAXA</t>
  </si>
  <si>
    <t>PASSAGENS TERRESTRES</t>
  </si>
  <si>
    <t>COMPANHIA</t>
  </si>
  <si>
    <t>Azul</t>
  </si>
  <si>
    <t>Gol</t>
  </si>
  <si>
    <t>Latam</t>
  </si>
  <si>
    <t>Passaredo</t>
  </si>
  <si>
    <t>Real Expresso</t>
  </si>
  <si>
    <t>Util</t>
  </si>
  <si>
    <t>Guanabara</t>
  </si>
  <si>
    <t>Expresso São Luiz</t>
  </si>
  <si>
    <t>Rápido Federal</t>
  </si>
  <si>
    <t>Penha</t>
  </si>
  <si>
    <t>Eucatur</t>
  </si>
  <si>
    <t>Catarinense</t>
  </si>
  <si>
    <t>Kaissara</t>
  </si>
  <si>
    <t>Itapemirim</t>
  </si>
  <si>
    <t>Cruzeiro</t>
  </si>
  <si>
    <t>Marte</t>
  </si>
  <si>
    <t>Salgueiro (SGI)</t>
  </si>
  <si>
    <t>Viagem por via aerea</t>
  </si>
  <si>
    <t>Viagem por via terrestre (comercial)</t>
  </si>
  <si>
    <t>DESPESAS COM DIÁRIAS</t>
  </si>
  <si>
    <t>Diárias nacionais</t>
  </si>
  <si>
    <t>DESPESAS COM VIAGENS COMERCIAIS</t>
  </si>
  <si>
    <t>12.1</t>
  </si>
  <si>
    <t>12.2</t>
  </si>
  <si>
    <t>12.3</t>
  </si>
  <si>
    <t>Servente (com adicional de periculosidade)</t>
  </si>
  <si>
    <t>homem x mês</t>
  </si>
  <si>
    <t>EQUIPE - MÃO DE OBRA</t>
  </si>
  <si>
    <t>1. Considerado a carga horária de 176 horas/mês</t>
  </si>
  <si>
    <t>4. Hora Noturna: Hora Diurna x 20%</t>
  </si>
  <si>
    <t xml:space="preserve">6. Foi considerado intervalo intrajornada para todos os profissionais que trabalham em escala 12h x 36h </t>
  </si>
  <si>
    <t>7. Foi considerado para o cálculo de horas extras os percentuais de: *5% para as horas remuneradas a 50%  sobre o valor da hora normal; e *2,5% para as horas trabalhadas remuneradas a 100% sobre o valor da hora normal</t>
  </si>
  <si>
    <t>8. Horas Extras: Foi estimado um percentual de 20% de horas extras no total de contrato para todos os profissionais da manutenção. Essas horas só serão pagas se houver demanda.</t>
  </si>
  <si>
    <t>2. Os cálculos de cada parcela que compõe o salário completo foram calculadas isoladamente. (Salário Base + Adicional de Periculosidade (quando houver) + Adicional Noturno (quando houver) + Adicional de Horas Extras (quando houver) +  Encargos Sociais)</t>
  </si>
  <si>
    <t xml:space="preserve">3. Adicional de Periculosidade 30%: foi previsto para todos os profissionais eletricitários (Operação e Manutenção) que trabalham em contato com rede elétrica (nas estações de bombeamento, sub-estações, etc.) </t>
  </si>
  <si>
    <t>5. Adicional Noturno: *Considerado 120 horas/profissional/mês (Total de 8h noturnas: Período de 22h as 5h = 8h noturnas + 1h até as 6h =&gt; Súmula 60 do TST)    *(Incide sobre Salário Base + Periculosidade =&gt; Súmula 191 do TST)</t>
  </si>
  <si>
    <t>6. Período noturno – 22 às 5 horas, o valor da hora tem 52 minutos e 30 segundos; logo, nesse período, há 8 horas</t>
  </si>
  <si>
    <t xml:space="preserve">7. Foi considerado intervalo intrajornada para todos os profissionais que trabalham em escala 12h x 36h </t>
  </si>
  <si>
    <t>2. Os percentuais dos encargos previdenciários e FGTS, a serem preenchidos na coluna %, são aqueles estabelecidos pela legislação vigente, incidentes sobre a remuneração</t>
  </si>
  <si>
    <r>
      <t>1. A unidade adotada na planilha (</t>
    </r>
    <r>
      <rPr>
        <i/>
        <sz val="10"/>
        <rFont val="Arial"/>
        <family val="2"/>
      </rPr>
      <t>un x mês</t>
    </r>
    <r>
      <rPr>
        <sz val="10"/>
        <rFont val="Arial"/>
        <family val="2"/>
      </rPr>
      <t>) foi de acordo com o cronograma de alocação de recursos materiais, onde foi feita a divisão de uso mensalmente de cada equipamento, por canteiro. Dessa forma, é possivel diluir o custo durante todo o período do contrato.</t>
    </r>
  </si>
  <si>
    <t>2. Despesas incluem manutenção, combustível, óleos, lubrificantes, pneus, etc.</t>
  </si>
  <si>
    <t>COORDENAÇÃO OPERAÇÃO</t>
  </si>
  <si>
    <t>COORDENAÇÃO MANUTENÇÃO</t>
  </si>
  <si>
    <t>COORDENAÇÃO SEGURANÇA DE BARRAGEM</t>
  </si>
  <si>
    <t>MANUTENÇÃO - SE, LT,LD</t>
  </si>
  <si>
    <t>MANUTENÇÃO -  SDSC</t>
  </si>
  <si>
    <t>MANUTENÇÃO - SPCS</t>
  </si>
  <si>
    <t>MANUTENÇÃO - TELECOM</t>
  </si>
  <si>
    <t>PRAZO
(mês)</t>
  </si>
  <si>
    <t>B11</t>
  </si>
  <si>
    <t>5.4</t>
  </si>
  <si>
    <t>16.2</t>
  </si>
  <si>
    <t>16.3</t>
  </si>
  <si>
    <t>3. Quilometragem adotada: 3.000 km/mês</t>
  </si>
  <si>
    <t>MANUTENÇÃO CIVIL</t>
  </si>
  <si>
    <t>MANUTENÇÃO EQUIP. SISTEMA ELÉTRICO</t>
  </si>
  <si>
    <t>MANUTENÇÃO MECÂNICA</t>
  </si>
  <si>
    <t>UNITÁRIA
(mês)</t>
  </si>
  <si>
    <t>TOTAL
(un x mês)</t>
  </si>
  <si>
    <t>Veículo Leve - Tipo Hatch 1.4 Flex (85 CV)</t>
  </si>
  <si>
    <t>Veículo Leve - Tipo Sedan 1.6 Flex (115 CV)</t>
  </si>
  <si>
    <t>Veículo Tipo Pick Up Cabine Dupla 4 x 4 (163 CV)</t>
  </si>
  <si>
    <t>Veículo - Tipo Ônibus - 45 assentos (218 CV) - COM MOTORISTA</t>
  </si>
  <si>
    <t>Veículo - Tipo Microônibus - 28 assentos (150 CV) - COM MOTORISTA</t>
  </si>
  <si>
    <t>Veículo Utilitário - Tipo Van - 16 assentos (129 CV) - COM MOTORISTA</t>
  </si>
  <si>
    <t>Não utiliza o Escritório</t>
  </si>
  <si>
    <t>Mobilização da Equipe - Canteiro Lote 09 (Floresta/PE)</t>
  </si>
  <si>
    <t>Mobilização da Equipe - Canteiro Lote 10 (Custódia/PE)</t>
  </si>
  <si>
    <t>Mobilização da Equipe - Canteiro Lote 12 (Sertânia/PE)</t>
  </si>
  <si>
    <t>Desmobilização da Equipe - Canteiro Lote 09 (Floresta/PE)</t>
  </si>
  <si>
    <t>Desmobilização da Equipe - Canteiro Lote 10 (Custódia/PE)</t>
  </si>
  <si>
    <t>Desmobilização da Equipe - Canteiro Lote 12 (Sertânia/PE)</t>
  </si>
  <si>
    <t>COMPOSIÇÃO DE PREÇO UNITÁRIO - DESMOBILIZAÇÃO</t>
  </si>
  <si>
    <t>CÓDIGO</t>
  </si>
  <si>
    <t>PRODUÇÃO DA EQUIPE:</t>
  </si>
  <si>
    <t>CHP
(R$)</t>
  </si>
  <si>
    <t>CUSTO TOTAL
(R$)</t>
  </si>
  <si>
    <t>CUSTO UNIT.
(R$)</t>
  </si>
  <si>
    <t>DMT
(km)</t>
  </si>
  <si>
    <t>MEIO DE
LOCOMOÇÃO</t>
  </si>
  <si>
    <t>Equipe: 04/(canteiro)</t>
  </si>
  <si>
    <t>Equipe: 01/barragem</t>
  </si>
  <si>
    <t>Equipe: 02/(EB + SE) + 03/barragem</t>
  </si>
  <si>
    <t>Original Total</t>
  </si>
  <si>
    <t>Original Eixo Leste</t>
  </si>
  <si>
    <t>Trecho 1 - Do reservatório de Itaparica até o Reservatório Salgueiro</t>
  </si>
  <si>
    <t>.
Trecho 2 - Do Reservatório Salgueiro até Reservatório Copiti.</t>
  </si>
  <si>
    <t xml:space="preserve">
Trecho 3 - De Reservatório Copiti até Monteiro/PB.</t>
  </si>
  <si>
    <t>Despesas com aluguéis, água, energia, comunicação, manutenção e transporte não diretamente relacionados com o custo direto dos serviços</t>
  </si>
  <si>
    <t>PLANEJAMENTO E CONTROLE DA OPERAÇÃO (FISCALIZAÇÃO)</t>
  </si>
  <si>
    <t>MEMORIAL DE CÁLCULO - VIAGENS</t>
  </si>
  <si>
    <t>1. Os produtos serão pagos por demanda (Conforme efetiva utilização, mediante autorização prévia da fiscalização)</t>
  </si>
  <si>
    <t>1. Fonte de Preços Tabela Engenharia Consultiva 2019 - Codevasf, para o Município de Petrolina/PE. Data base: Fevereiro/2019.</t>
  </si>
  <si>
    <t>Escritório 1</t>
  </si>
  <si>
    <t>Lazer (área de convivência)</t>
  </si>
  <si>
    <t>Escritório 2</t>
  </si>
  <si>
    <t>Centro de Saúde</t>
  </si>
  <si>
    <t>Guarita</t>
  </si>
  <si>
    <t>Vestiário e sanitário</t>
  </si>
  <si>
    <t>Cozinha e refeitório/Auditório</t>
  </si>
  <si>
    <t>Almoxarifado</t>
  </si>
  <si>
    <t>Central de armação</t>
  </si>
  <si>
    <t>EXECUÇÃO DE ESCRITÓRIO EM CANTEIRO DE OBRA EM ALVENARIA, NÃO INCLUSO MOBILIÁRIO E EQUIPAMENTOS. AF_02/2016</t>
  </si>
  <si>
    <t>EXECUÇÃO DE GUARITA EM CANTEIRO DE OBRA EM CHAPA DE MADEIRA COMPENSADA, NÃO INCLUSO MOBILIÁRIO. AF_04/2016</t>
  </si>
  <si>
    <t>EXECUÇÃO DE SANITÁRIO E VESTIÁRIO EM CANTEIRO DE OBRA EM ALVENARIA, NÃO INCLUSO MOBILIÁRIO. AF_02/2016</t>
  </si>
  <si>
    <t>EXECUÇÃO DE REFEITÓRIO EM CANTEIRO DE OBRA EM ALVENARIA, NÃO INCLUSO MOBILIÁRIO E EQUIPAMENTOS. AF_02/2016</t>
  </si>
  <si>
    <t>EXECUÇÃO DE ALMOXARIFADO EM CANTEIRO DE OBRA EM ALVENARIA, INCLUSO PRATELEIRAS. AF_02/2016</t>
  </si>
  <si>
    <t>EXECUÇÃO DE CENTRAL DE ARMADURA EM CANTEIRO DE OBRA, NÃO INCLUSO MOBILIÁRIO E EQUIPAMENTOS. AF_04/2016</t>
  </si>
  <si>
    <t>1. Fonte de Preços Sistema Nacional de Pesquisa de Custos e Índices da Construção (Tabela SINAPI/PE). Data base: Setembro/2019.</t>
  </si>
  <si>
    <t>2. Para os serviços que não são codificados pela Tabela SINAPI, foi adotado valor de serviços similares.</t>
  </si>
  <si>
    <t>Caminhão Carroceria - de madeira, capacidade de carga 15,0 t</t>
  </si>
  <si>
    <t>Caminhão basculante, capacidade de carga  15,0 t e volume 10,0 m³</t>
  </si>
  <si>
    <t>Barco tipo Alumínio, 7 m de comprimento, Alumínio soldado, reforçado, borda sem corrimão, chapa de Alumínio 2,00 cm, boca 1,50 cm, borda 0,60 cm. / Motor popa, tipo partida manual, potência 15 hp, aplicação barco Alumínio, características adicionais: válvulas automáticas descompressão, refrigerado a ar, quantidade marchas 2 und, quantidade cilíndro 2 und, capacidade tanque 23 l, tipo motor: 2 tempos, velocidade: 4.500 a 5.800 rpm.</t>
  </si>
  <si>
    <t>Caminhao basculante, capacidade de carga  9,0 t e volume 6,0 m³</t>
  </si>
  <si>
    <t>Caminhão Comboio para lubrificação e abastecimento (melosa), convencional totalmente equipado (Capacidade de Combustível: 5.000 l, Capacidade de Lubrificante: 500 l, Capacidade de Graxa: 200 kg, Capacidade de Água: 300 l, Recipiente para Óleo Usado: 200 l, Compressor de Ar e Bomba- d’agua)</t>
  </si>
  <si>
    <t>Caminhão tanque, capacidade de volume  6000 l e potência 136,0 hp</t>
  </si>
  <si>
    <t>Caminhão guindauto com capacidade de carga até 10,0 t</t>
  </si>
  <si>
    <t>Grupo gerador de 4 KVA, 220v, trifásico, silenciado, com 100 metros de cabos e 01 QTA</t>
  </si>
  <si>
    <t>Grupo gerador de 10 KVA, 220v, trifásico, silenciado, com 100 metros de cabos e 01 QTA</t>
  </si>
  <si>
    <t>Grupo gerador, potência nominal 15 kVA (emergência), incluindo instalação, cabeamento, base de concreto e demais materiais necessários</t>
  </si>
  <si>
    <t>Grupo gerador de 15 kVA, 220V, trifásico, silenciado, com 100 metros de cabos e 01 QTA</t>
  </si>
  <si>
    <t>Locação de grupo gerador acima de 125 até 180 kVA, motor diesel, rebocável, acionamento manual</t>
  </si>
  <si>
    <t>Grupo gerador diesel, com carenagem, potência standart entre 250 e 260 kVA, velocidade de 1800 rpm, frequência de 60 Hz</t>
  </si>
  <si>
    <t>Minicarregadeira sobre rodas, potência líquida de 47 hp, capacidade nominal de operação de 646 kg</t>
  </si>
  <si>
    <t>Pá carregadeira sobre rodas, potência líquida 128 hp, capacidade da caçamba de 1,7 a 2,8 m³, peso operacional de 11.632 kg</t>
  </si>
  <si>
    <t>Semirreboque com 2 eixos</t>
  </si>
  <si>
    <t>SINDUSCON/PE</t>
  </si>
  <si>
    <t>3. Distância considerada a partir da capital mais próxima ao canteiro</t>
  </si>
  <si>
    <t>ORÇAMENTO CONSOLIDADO</t>
  </si>
  <si>
    <t>1.1.</t>
  </si>
  <si>
    <t>1.1.1</t>
  </si>
  <si>
    <t>1.1.2</t>
  </si>
  <si>
    <t>1.1.3</t>
  </si>
  <si>
    <t>1.2.</t>
  </si>
  <si>
    <t>1.2.1</t>
  </si>
  <si>
    <t>1.2.2</t>
  </si>
  <si>
    <t>1.2.3</t>
  </si>
  <si>
    <t>TOTAL - MOBILIZAÇÃO DA EQUIPE (R$):</t>
  </si>
  <si>
    <t>TOTAL - DESMOBILIZAÇÃO DA EQUIPE (R$):</t>
  </si>
  <si>
    <t>2.1.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</si>
  <si>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</si>
  <si>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</si>
  <si>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</si>
  <si>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</si>
  <si>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</si>
  <si>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</si>
  <si>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</si>
  <si>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</si>
  <si>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2.2.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</si>
  <si>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</si>
  <si>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</si>
  <si>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</si>
  <si>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</si>
  <si>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</si>
  <si>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</si>
  <si>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</si>
  <si>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</si>
  <si>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</si>
  <si>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2.3.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</si>
  <si>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</si>
  <si>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</si>
  <si>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</si>
  <si>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</si>
  <si>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</si>
  <si>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</si>
  <si>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</si>
  <si>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</si>
  <si>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</si>
  <si>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5.1.</t>
  </si>
  <si>
    <t>5.1.1</t>
  </si>
  <si>
    <t>5.1.2</t>
  </si>
  <si>
    <t>5.2.</t>
  </si>
  <si>
    <t>5.2.1</t>
  </si>
  <si>
    <t>6.6</t>
  </si>
  <si>
    <t xml:space="preserve">Açúcar </t>
  </si>
  <si>
    <t xml:space="preserve">Água Mineral (20 l) </t>
  </si>
  <si>
    <t xml:space="preserve">Água Sanitária 1000 ml </t>
  </si>
  <si>
    <t xml:space="preserve">Bobina papel para ploter A0 </t>
  </si>
  <si>
    <t xml:space="preserve">Café torrado e moído </t>
  </si>
  <si>
    <t xml:space="preserve">Caneta esfereográfica Azul </t>
  </si>
  <si>
    <t xml:space="preserve">Capa para encadernação Azul </t>
  </si>
  <si>
    <t xml:space="preserve">Capa para encadernação Transparente </t>
  </si>
  <si>
    <t xml:space="preserve">Cartucho colorido para impressora </t>
  </si>
  <si>
    <t xml:space="preserve">Cartucho preto para impressora </t>
  </si>
  <si>
    <t xml:space="preserve">Classificador elástico </t>
  </si>
  <si>
    <t>Copo descartável 200 ml  (pacote c/ 50 und)</t>
  </si>
  <si>
    <t>Copo descartável 50 ml  (pacote c/ 50 und)</t>
  </si>
  <si>
    <t xml:space="preserve">Corretivo à base d'agua 18 ml </t>
  </si>
  <si>
    <t>Desinfetante  5L</t>
  </si>
  <si>
    <t>Detergente 5L</t>
  </si>
  <si>
    <t xml:space="preserve">DVD Regravável </t>
  </si>
  <si>
    <t>Envelope de papel tamanho A3</t>
  </si>
  <si>
    <t>Envelope de papel tamanho A4</t>
  </si>
  <si>
    <t xml:space="preserve">Espiral 7mm </t>
  </si>
  <si>
    <t xml:space="preserve">Espiral 9mm </t>
  </si>
  <si>
    <t xml:space="preserve">Esponja de prato </t>
  </si>
  <si>
    <t xml:space="preserve">Fita adesiva transparente </t>
  </si>
  <si>
    <t xml:space="preserve">Fita crepe branca 45 x 50m </t>
  </si>
  <si>
    <t xml:space="preserve">Flanela </t>
  </si>
  <si>
    <t xml:space="preserve">Grampo 26/6 </t>
  </si>
  <si>
    <t xml:space="preserve">Grampo tipo trilho </t>
  </si>
  <si>
    <t xml:space="preserve">Lápis grafite </t>
  </si>
  <si>
    <t xml:space="preserve">Marca texto </t>
  </si>
  <si>
    <t xml:space="preserve">Livro de ata com 100 páginas numeradas </t>
  </si>
  <si>
    <t xml:space="preserve">Pacote de lã de aço 60 g </t>
  </si>
  <si>
    <t xml:space="preserve">Pano de chão </t>
  </si>
  <si>
    <t xml:space="preserve">Pano de prato </t>
  </si>
  <si>
    <t xml:space="preserve">Papel Toalha </t>
  </si>
  <si>
    <t xml:space="preserve">Pasta suspensa </t>
  </si>
  <si>
    <t xml:space="preserve">Rodo de borracha </t>
  </si>
  <si>
    <t xml:space="preserve">Sabão em pó 500g </t>
  </si>
  <si>
    <t xml:space="preserve">Sabonetes líquido </t>
  </si>
  <si>
    <t xml:space="preserve">Tinta para carimbo </t>
  </si>
  <si>
    <t xml:space="preserve">Vassoura </t>
  </si>
  <si>
    <t>VALOR</t>
  </si>
  <si>
    <t>PRAZO PREVISTO PARA EXECUÇÃO CONTRATUAL - (MÊS)</t>
  </si>
  <si>
    <t>NÚMERO DE CANTEIROS PREVISTOS - (UN)</t>
  </si>
  <si>
    <t>MANUTENÇÃO DE CANTEIRO - ESCRITÓRIO</t>
  </si>
  <si>
    <t>OUTRAS DESPESAS DE MANUTENÇÃO</t>
  </si>
  <si>
    <t>Internet - dispêndio mensal</t>
  </si>
  <si>
    <t>Energia Elétrica - dispêndio mensal</t>
  </si>
  <si>
    <t>Água - dispêndio mensal</t>
  </si>
  <si>
    <t>Telefonia fixa - dispêndio mensal</t>
  </si>
  <si>
    <t>Telefonia móvel - dispêndio mensal</t>
  </si>
  <si>
    <t>10558 - ORSE</t>
  </si>
  <si>
    <t>10557 - ORSE</t>
  </si>
  <si>
    <t>10555 - ORSE</t>
  </si>
  <si>
    <t>10554 - ORSE</t>
  </si>
  <si>
    <t>Taxa de manutenção de canteiro, incluindo despesas com material de expediente, material de limpeza, água, energia, comunicação, entre outras</t>
  </si>
  <si>
    <t>8.1.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</si>
  <si>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</si>
  <si>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</si>
  <si>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</si>
  <si>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</si>
  <si>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</si>
  <si>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</si>
  <si>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</si>
  <si>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</si>
  <si>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</si>
  <si>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</si>
  <si>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</si>
  <si>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8.1.12</t>
  </si>
  <si>
    <t>8.1.13</t>
  </si>
  <si>
    <t>8.1.14</t>
  </si>
  <si>
    <t>8.1.15</t>
  </si>
  <si>
    <t>8.1.16</t>
  </si>
  <si>
    <t>8.1.17</t>
  </si>
  <si>
    <t>8.1.18</t>
  </si>
  <si>
    <t>8.1.19</t>
  </si>
  <si>
    <t>8.1.20</t>
  </si>
  <si>
    <t>8.1.21</t>
  </si>
  <si>
    <t>8.1.22</t>
  </si>
  <si>
    <t>8.1.23</t>
  </si>
  <si>
    <t>8.1.24</t>
  </si>
  <si>
    <t>8.1.25</t>
  </si>
  <si>
    <t>8.1.26</t>
  </si>
  <si>
    <t>8.1.27</t>
  </si>
  <si>
    <t>8.1.28</t>
  </si>
  <si>
    <t>8.1.29</t>
  </si>
  <si>
    <t>8.1.30</t>
  </si>
  <si>
    <t>8.1.31</t>
  </si>
  <si>
    <t>8.1.32</t>
  </si>
  <si>
    <t>8.1.33</t>
  </si>
  <si>
    <t>8.1.34</t>
  </si>
  <si>
    <t>8.1.35</t>
  </si>
  <si>
    <t>8.1.36</t>
  </si>
  <si>
    <t>8.1.37</t>
  </si>
  <si>
    <t>8.1.38</t>
  </si>
  <si>
    <t>8.1.39</t>
  </si>
  <si>
    <t>8.1.40</t>
  </si>
  <si>
    <t>8.1.41</t>
  </si>
  <si>
    <t>8.1.42</t>
  </si>
  <si>
    <t>8.1.43</t>
  </si>
  <si>
    <t>8.1.44</t>
  </si>
  <si>
    <t>8.1.45</t>
  </si>
  <si>
    <t>8.1.46</t>
  </si>
  <si>
    <t>8.1.47</t>
  </si>
  <si>
    <t>8.1.48</t>
  </si>
  <si>
    <t>8.1.49</t>
  </si>
  <si>
    <t>8.1.50</t>
  </si>
  <si>
    <t>8.1.51</t>
  </si>
  <si>
    <t>8.1.52</t>
  </si>
  <si>
    <t>8.1.53</t>
  </si>
  <si>
    <t>8.1.54</t>
  </si>
  <si>
    <t>8.1.55</t>
  </si>
  <si>
    <t>8.2.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</si>
  <si>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</si>
  <si>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</si>
  <si>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</si>
  <si>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</si>
  <si>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</si>
  <si>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</si>
  <si>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</si>
  <si>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</si>
  <si>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</si>
  <si>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</si>
  <si>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</si>
  <si>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</si>
  <si>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</si>
  <si>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</si>
  <si>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</si>
  <si>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</si>
  <si>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8.2.17</t>
  </si>
  <si>
    <t>8.2.18</t>
  </si>
  <si>
    <t>8.2.19</t>
  </si>
  <si>
    <t>8.2.20</t>
  </si>
  <si>
    <t>8.2.21</t>
  </si>
  <si>
    <t>8.2.22</t>
  </si>
  <si>
    <t>8.2.23</t>
  </si>
  <si>
    <t>8.2.24</t>
  </si>
  <si>
    <t>8.2.25</t>
  </si>
  <si>
    <t>8.2.26</t>
  </si>
  <si>
    <t>8.2.27</t>
  </si>
  <si>
    <t>8.2.28</t>
  </si>
  <si>
    <t>8.2.29</t>
  </si>
  <si>
    <t>8.2.30</t>
  </si>
  <si>
    <t>8.2.31</t>
  </si>
  <si>
    <t>8.2.32</t>
  </si>
  <si>
    <t>8.2.33</t>
  </si>
  <si>
    <t>8.2.34</t>
  </si>
  <si>
    <t>8.2.35</t>
  </si>
  <si>
    <t>8.2.36</t>
  </si>
  <si>
    <t>8.2.37</t>
  </si>
  <si>
    <t>8.2.38</t>
  </si>
  <si>
    <t>8.2.39</t>
  </si>
  <si>
    <t>8.2.40</t>
  </si>
  <si>
    <t>8.2.41</t>
  </si>
  <si>
    <t>8.2.42</t>
  </si>
  <si>
    <t>8.2.43</t>
  </si>
  <si>
    <t>8.2.44</t>
  </si>
  <si>
    <t>8.2.45</t>
  </si>
  <si>
    <t>8.2.46</t>
  </si>
  <si>
    <t>8.2.47</t>
  </si>
  <si>
    <t>8.2.48</t>
  </si>
  <si>
    <t>8.2.49</t>
  </si>
  <si>
    <t>8.2.50</t>
  </si>
  <si>
    <t>8.2.51</t>
  </si>
  <si>
    <t>8.2.52</t>
  </si>
  <si>
    <t>8.2.53</t>
  </si>
  <si>
    <t>8.2.54</t>
  </si>
  <si>
    <t>8.3.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</si>
  <si>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</si>
  <si>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</si>
  <si>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</si>
  <si>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</si>
  <si>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</si>
  <si>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</si>
  <si>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</si>
  <si>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</si>
  <si>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</si>
  <si>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</si>
  <si>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8.3.11</t>
  </si>
  <si>
    <t>8.3.12</t>
  </si>
  <si>
    <t>8.3.13</t>
  </si>
  <si>
    <t>8.3.14</t>
  </si>
  <si>
    <t>8.3.15</t>
  </si>
  <si>
    <t>8.3.16</t>
  </si>
  <si>
    <t>8.3.17</t>
  </si>
  <si>
    <t>8.3.18</t>
  </si>
  <si>
    <t>8.3.19</t>
  </si>
  <si>
    <t>8.3.20</t>
  </si>
  <si>
    <t>8.3.21</t>
  </si>
  <si>
    <t>8.3.22</t>
  </si>
  <si>
    <t>8.3.23</t>
  </si>
  <si>
    <t>8.3.24</t>
  </si>
  <si>
    <t>8.3.25</t>
  </si>
  <si>
    <t>8.3.26</t>
  </si>
  <si>
    <t>8.3.27</t>
  </si>
  <si>
    <t>8.3.28</t>
  </si>
  <si>
    <t>8.3.29</t>
  </si>
  <si>
    <t>8.3.30</t>
  </si>
  <si>
    <t>8.3.31</t>
  </si>
  <si>
    <t>8.3.32</t>
  </si>
  <si>
    <t>8.3.33</t>
  </si>
  <si>
    <t>8.3.34</t>
  </si>
  <si>
    <t>8.3.35</t>
  </si>
  <si>
    <t>8.3.36</t>
  </si>
  <si>
    <t>8.3.37</t>
  </si>
  <si>
    <t>8.3.38</t>
  </si>
  <si>
    <t>8.3.39</t>
  </si>
  <si>
    <t>8.3.40</t>
  </si>
  <si>
    <t>8.3.41</t>
  </si>
  <si>
    <t>8.3.42</t>
  </si>
  <si>
    <t>8.3.43</t>
  </si>
  <si>
    <t>8.3.44</t>
  </si>
  <si>
    <t>8.4.</t>
  </si>
  <si>
    <t>9.1.</t>
  </si>
  <si>
    <t>9.1.1</t>
  </si>
  <si>
    <t>9.3.3</t>
  </si>
  <si>
    <t>9.2.2</t>
  </si>
  <si>
    <t>9.1.2</t>
  </si>
  <si>
    <t>9.1.3</t>
  </si>
  <si>
    <t>9.1.4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</si>
  <si>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</si>
  <si>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</si>
  <si>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</si>
  <si>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</si>
  <si>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</si>
  <si>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</si>
  <si>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</si>
  <si>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</si>
  <si>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9.1.13</t>
  </si>
  <si>
    <t>9.1.14</t>
  </si>
  <si>
    <t>9.1.15</t>
  </si>
  <si>
    <t>9.1.16</t>
  </si>
  <si>
    <t>9.1.17</t>
  </si>
  <si>
    <t>9.1.18</t>
  </si>
  <si>
    <t>9.1.19</t>
  </si>
  <si>
    <t>9.1.20</t>
  </si>
  <si>
    <t>9.1.21</t>
  </si>
  <si>
    <t>9.1.22</t>
  </si>
  <si>
    <t>9.1.23</t>
  </si>
  <si>
    <t>9.1.24</t>
  </si>
  <si>
    <t>9.1.25</t>
  </si>
  <si>
    <t>9.1.26</t>
  </si>
  <si>
    <t>9.1.27</t>
  </si>
  <si>
    <t>9.1.28</t>
  </si>
  <si>
    <t>9.1.29</t>
  </si>
  <si>
    <t>9.1.30</t>
  </si>
  <si>
    <t>9.1.31</t>
  </si>
  <si>
    <t>9.1.32</t>
  </si>
  <si>
    <t>9.1.33</t>
  </si>
  <si>
    <t>9.1.34</t>
  </si>
  <si>
    <t>9.1.35</t>
  </si>
  <si>
    <t>9.1.36</t>
  </si>
  <si>
    <t>9.1.37</t>
  </si>
  <si>
    <t>9.1.38</t>
  </si>
  <si>
    <t>9.1.39</t>
  </si>
  <si>
    <t>9.1.40</t>
  </si>
  <si>
    <t>9.1.41</t>
  </si>
  <si>
    <t>9.1.42</t>
  </si>
  <si>
    <t>9.1.43</t>
  </si>
  <si>
    <t>9.1.44</t>
  </si>
  <si>
    <t>9.1.45</t>
  </si>
  <si>
    <t>9.1.46</t>
  </si>
  <si>
    <t>9.1.47</t>
  </si>
  <si>
    <t>9.1.48</t>
  </si>
  <si>
    <t>9.1.49</t>
  </si>
  <si>
    <t>9.1.50</t>
  </si>
  <si>
    <t>9.1.51</t>
  </si>
  <si>
    <t>9.1.52</t>
  </si>
  <si>
    <t>9.1.53</t>
  </si>
  <si>
    <t>9.1.54</t>
  </si>
  <si>
    <t>9.1.55</t>
  </si>
  <si>
    <t>9.1.56</t>
  </si>
  <si>
    <t>9.1.57</t>
  </si>
  <si>
    <t>9.1.58</t>
  </si>
  <si>
    <t>9.1.59</t>
  </si>
  <si>
    <t>9.1.60</t>
  </si>
  <si>
    <t>9.1.61</t>
  </si>
  <si>
    <t>9.1.62</t>
  </si>
  <si>
    <t>9.1.63</t>
  </si>
  <si>
    <t>9.1.64</t>
  </si>
  <si>
    <t>9.1.65</t>
  </si>
  <si>
    <t>9.1.66</t>
  </si>
  <si>
    <t>9.1.67</t>
  </si>
  <si>
    <t>9.1.68</t>
  </si>
  <si>
    <t>9.1.69</t>
  </si>
  <si>
    <t>9.1.70</t>
  </si>
  <si>
    <t>9.1.71</t>
  </si>
  <si>
    <t>9.1.72</t>
  </si>
  <si>
    <t>9.1.73</t>
  </si>
  <si>
    <t>9.1.74</t>
  </si>
  <si>
    <t>9.1.75</t>
  </si>
  <si>
    <t>9.1.76</t>
  </si>
  <si>
    <t>9.1.77</t>
  </si>
  <si>
    <t>9.1.78</t>
  </si>
  <si>
    <t>9.1.79</t>
  </si>
  <si>
    <t>9.1.80</t>
  </si>
  <si>
    <t>9.1.81</t>
  </si>
  <si>
    <t>9.1.82</t>
  </si>
  <si>
    <t>9.2.</t>
  </si>
  <si>
    <t>9.2.1</t>
  </si>
  <si>
    <t>9.2.3</t>
  </si>
  <si>
    <t>9.2.4</t>
  </si>
  <si>
    <t>9.2.5</t>
  </si>
  <si>
    <t>9.2.6</t>
  </si>
  <si>
    <t>9.2.7</t>
  </si>
  <si>
    <t>9.2.8</t>
  </si>
  <si>
    <t>9.2.9</t>
  </si>
  <si>
    <t>9.2.10</t>
  </si>
  <si>
    <t>9.2.11</t>
  </si>
  <si>
    <t>9.2.12</t>
  </si>
  <si>
    <t>9.2.13</t>
  </si>
  <si>
    <t>9.2.14</t>
  </si>
  <si>
    <t>9.2.15</t>
  </si>
  <si>
    <t>9.2.16</t>
  </si>
  <si>
    <t>9.2.17</t>
  </si>
  <si>
    <t>9.2.18</t>
  </si>
  <si>
    <t>9.2.19</t>
  </si>
  <si>
    <t>9.2.20</t>
  </si>
  <si>
    <t>9.2.21</t>
  </si>
  <si>
    <t>9.2.22</t>
  </si>
  <si>
    <t>9.2.23</t>
  </si>
  <si>
    <t>9.2.24</t>
  </si>
  <si>
    <t>9.2.25</t>
  </si>
  <si>
    <t>9.2.26</t>
  </si>
  <si>
    <t>9.2.27</t>
  </si>
  <si>
    <t>9.2.28</t>
  </si>
  <si>
    <t>9.2.29</t>
  </si>
  <si>
    <t>9.2.30</t>
  </si>
  <si>
    <t>9.2.31</t>
  </si>
  <si>
    <t>9.2.32</t>
  </si>
  <si>
    <t>9.2.33</t>
  </si>
  <si>
    <t>9.2.34</t>
  </si>
  <si>
    <t>9.2.35</t>
  </si>
  <si>
    <t>9.2.36</t>
  </si>
  <si>
    <t>9.2.37</t>
  </si>
  <si>
    <t>9.2.38</t>
  </si>
  <si>
    <t>9.2.39</t>
  </si>
  <si>
    <t>9.2.40</t>
  </si>
  <si>
    <t>9.2.41</t>
  </si>
  <si>
    <t>9.2.42</t>
  </si>
  <si>
    <t>9.2.43</t>
  </si>
  <si>
    <t>9.2.44</t>
  </si>
  <si>
    <t>9.2.45</t>
  </si>
  <si>
    <t>9.2.46</t>
  </si>
  <si>
    <t>9.2.47</t>
  </si>
  <si>
    <t>9.2.48</t>
  </si>
  <si>
    <t>9.2.49</t>
  </si>
  <si>
    <t>9.2.50</t>
  </si>
  <si>
    <t>9.2.51</t>
  </si>
  <si>
    <t>9.2.52</t>
  </si>
  <si>
    <t>9.2.53</t>
  </si>
  <si>
    <t>9.2.54</t>
  </si>
  <si>
    <t>9.2.55</t>
  </si>
  <si>
    <t>9.2.56</t>
  </si>
  <si>
    <t>9.2.57</t>
  </si>
  <si>
    <t>9.2.58</t>
  </si>
  <si>
    <t>9.2.59</t>
  </si>
  <si>
    <t>9.2.60</t>
  </si>
  <si>
    <t>9.2.61</t>
  </si>
  <si>
    <t>9.2.62</t>
  </si>
  <si>
    <t>9.2.63</t>
  </si>
  <si>
    <t>9.2.64</t>
  </si>
  <si>
    <t>9.2.65</t>
  </si>
  <si>
    <t>9.2.66</t>
  </si>
  <si>
    <t>9.2.67</t>
  </si>
  <si>
    <t>9.2.68</t>
  </si>
  <si>
    <t>9.2.69</t>
  </si>
  <si>
    <t>9.2.70</t>
  </si>
  <si>
    <t>9.2.71</t>
  </si>
  <si>
    <t>9.2.72</t>
  </si>
  <si>
    <t>9.2.73</t>
  </si>
  <si>
    <t>9.2.74</t>
  </si>
  <si>
    <t>9.2.75</t>
  </si>
  <si>
    <t>9.2.76</t>
  </si>
  <si>
    <t>9.2.77</t>
  </si>
  <si>
    <t>9.2.78</t>
  </si>
  <si>
    <t>9.2.79</t>
  </si>
  <si>
    <t>9.2.80</t>
  </si>
  <si>
    <t>9.2.81</t>
  </si>
  <si>
    <t>9.2.82</t>
  </si>
  <si>
    <t>9.2.83</t>
  </si>
  <si>
    <t>9.2.84</t>
  </si>
  <si>
    <t>9.2.85</t>
  </si>
  <si>
    <t>9.2.86</t>
  </si>
  <si>
    <t>9.2.87</t>
  </si>
  <si>
    <t>9.2.88</t>
  </si>
  <si>
    <t>9.2.89</t>
  </si>
  <si>
    <t>9.2.90</t>
  </si>
  <si>
    <t>9.2.91</t>
  </si>
  <si>
    <t>9.2.92</t>
  </si>
  <si>
    <t>9.2.93</t>
  </si>
  <si>
    <t>9.2.94</t>
  </si>
  <si>
    <t>9.2.95</t>
  </si>
  <si>
    <t>9.2.96</t>
  </si>
  <si>
    <t>9.2.97</t>
  </si>
  <si>
    <t>9.2.98</t>
  </si>
  <si>
    <t>9.2.99</t>
  </si>
  <si>
    <t>9.2.100</t>
  </si>
  <si>
    <t>9.2.101</t>
  </si>
  <si>
    <t>9.2.102</t>
  </si>
  <si>
    <t>9.2.103</t>
  </si>
  <si>
    <t>9.2.104</t>
  </si>
  <si>
    <t>9.2.105</t>
  </si>
  <si>
    <t>9.2.106</t>
  </si>
  <si>
    <t>9.2.107</t>
  </si>
  <si>
    <t>9.2.108</t>
  </si>
  <si>
    <t>9.2.109</t>
  </si>
  <si>
    <t>9.2.110</t>
  </si>
  <si>
    <t>9.3.</t>
  </si>
  <si>
    <t>9.3.1</t>
  </si>
  <si>
    <t>9.3.2</t>
  </si>
  <si>
    <t>9.3.4</t>
  </si>
  <si>
    <t>9.3.5</t>
  </si>
  <si>
    <t>9.3.6</t>
  </si>
  <si>
    <t>9.3.7</t>
  </si>
  <si>
    <t>9.3.8</t>
  </si>
  <si>
    <t>9.3.9</t>
  </si>
  <si>
    <t>9.3.10</t>
  </si>
  <si>
    <t>9.3.11</t>
  </si>
  <si>
    <t>9.3.12</t>
  </si>
  <si>
    <t>9.3.13</t>
  </si>
  <si>
    <t>9.3.14</t>
  </si>
  <si>
    <t>9.3.15</t>
  </si>
  <si>
    <t>9.3.16</t>
  </si>
  <si>
    <t>9.3.17</t>
  </si>
  <si>
    <t>9.3.18</t>
  </si>
  <si>
    <t>9.3.19</t>
  </si>
  <si>
    <t>9.3.20</t>
  </si>
  <si>
    <t>9.3.21</t>
  </si>
  <si>
    <t>9.3.22</t>
  </si>
  <si>
    <t>9.3.23</t>
  </si>
  <si>
    <t>9.3.24</t>
  </si>
  <si>
    <t>9.3.25</t>
  </si>
  <si>
    <t>9.3.26</t>
  </si>
  <si>
    <t>9.3.27</t>
  </si>
  <si>
    <t>9.3.28</t>
  </si>
  <si>
    <t>9.3.29</t>
  </si>
  <si>
    <t>9.3.30</t>
  </si>
  <si>
    <t>9.3.31</t>
  </si>
  <si>
    <t>9.3.32</t>
  </si>
  <si>
    <t>9.3.33</t>
  </si>
  <si>
    <t>9.3.34</t>
  </si>
  <si>
    <t>9.3.35</t>
  </si>
  <si>
    <t>9.3.36</t>
  </si>
  <si>
    <t>9.3.37</t>
  </si>
  <si>
    <t>9.3.38</t>
  </si>
  <si>
    <t>9.3.39</t>
  </si>
  <si>
    <t>9.3.40</t>
  </si>
  <si>
    <t>9.3.41</t>
  </si>
  <si>
    <t>9.3.42</t>
  </si>
  <si>
    <t>9.3.43</t>
  </si>
  <si>
    <t>9.3.44</t>
  </si>
  <si>
    <t>9.3.45</t>
  </si>
  <si>
    <t>9.3.46</t>
  </si>
  <si>
    <t>9.3.47</t>
  </si>
  <si>
    <t>9.3.48</t>
  </si>
  <si>
    <t>9.3.49</t>
  </si>
  <si>
    <t>9.3.50</t>
  </si>
  <si>
    <t>9.3.51</t>
  </si>
  <si>
    <t>9.3.52</t>
  </si>
  <si>
    <t>9.3.53</t>
  </si>
  <si>
    <t>9.3.54</t>
  </si>
  <si>
    <t>9.3.55</t>
  </si>
  <si>
    <t>10.1.</t>
  </si>
  <si>
    <t>10.1.1</t>
  </si>
  <si>
    <t>10.1.2</t>
  </si>
  <si>
    <t>10.1.3</t>
  </si>
  <si>
    <t>10.1.4</t>
  </si>
  <si>
    <t>10.1.5</t>
  </si>
  <si>
    <t>10.1.6</t>
  </si>
  <si>
    <t>10.1.7</t>
  </si>
  <si>
    <t>10.1.8</t>
  </si>
  <si>
    <t>10.1.9</t>
  </si>
  <si>
    <t>10.1.10</t>
  </si>
  <si>
    <t>10.1.11</t>
  </si>
  <si>
    <t>10.1.12</t>
  </si>
  <si>
    <t>10.1.13</t>
  </si>
  <si>
    <t>10.1.14</t>
  </si>
  <si>
    <t>10.1.15</t>
  </si>
  <si>
    <t>10.1.16</t>
  </si>
  <si>
    <t>10.1.17</t>
  </si>
  <si>
    <t>10.1.18</t>
  </si>
  <si>
    <t>10.1.19</t>
  </si>
  <si>
    <t>10.1.20</t>
  </si>
  <si>
    <t>10.1.21</t>
  </si>
  <si>
    <t>10.1.22</t>
  </si>
  <si>
    <t>10.1.23</t>
  </si>
  <si>
    <t>10.1.24</t>
  </si>
  <si>
    <t>10.1.25</t>
  </si>
  <si>
    <t>10.1.26</t>
  </si>
  <si>
    <t>10.1.27</t>
  </si>
  <si>
    <t>10.1.28</t>
  </si>
  <si>
    <t>10.1.29</t>
  </si>
  <si>
    <t>10.1.30</t>
  </si>
  <si>
    <t>10.1.31</t>
  </si>
  <si>
    <t>10.1.32</t>
  </si>
  <si>
    <t>10.1.33</t>
  </si>
  <si>
    <t>10.1.34</t>
  </si>
  <si>
    <t>10.1.35</t>
  </si>
  <si>
    <t>10.1.36</t>
  </si>
  <si>
    <t>10.1.37</t>
  </si>
  <si>
    <t>10.1.38</t>
  </si>
  <si>
    <t>10.1.39</t>
  </si>
  <si>
    <t>10.1.40</t>
  </si>
  <si>
    <t>10.1.41</t>
  </si>
  <si>
    <t>10.1.42</t>
  </si>
  <si>
    <t>10.1.43</t>
  </si>
  <si>
    <t>10.1.44</t>
  </si>
  <si>
    <t>11.1.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</si>
  <si>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</si>
  <si>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</si>
  <si>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</si>
  <si>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</si>
  <si>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</si>
  <si>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</si>
  <si>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</si>
  <si>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</si>
  <si>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</si>
  <si>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</si>
  <si>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</si>
  <si>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</si>
  <si>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11.1.13</t>
  </si>
  <si>
    <t>11.2.</t>
  </si>
  <si>
    <t>11.2.1</t>
  </si>
  <si>
    <t>11.2.2</t>
  </si>
  <si>
    <t>11.2.3</t>
  </si>
  <si>
    <t>11.2.4</t>
  </si>
  <si>
    <t>11.2.5</t>
  </si>
  <si>
    <t>11.2.6</t>
  </si>
  <si>
    <t>11.2.7</t>
  </si>
  <si>
    <t>11.2.8</t>
  </si>
  <si>
    <t>11.2.9</t>
  </si>
  <si>
    <t>11.2.10</t>
  </si>
  <si>
    <t>11.2.11</t>
  </si>
  <si>
    <t>11.2.12</t>
  </si>
  <si>
    <t>11.2.13</t>
  </si>
  <si>
    <t>11.2.14</t>
  </si>
  <si>
    <t>11.2.15</t>
  </si>
  <si>
    <t>11.2.16</t>
  </si>
  <si>
    <t>11.2.17</t>
  </si>
  <si>
    <t>11.2.18</t>
  </si>
  <si>
    <t>11.3.</t>
  </si>
  <si>
    <t>11.3.1</t>
  </si>
  <si>
    <t>11.3.2</t>
  </si>
  <si>
    <t>11.3.3</t>
  </si>
  <si>
    <t>12.4</t>
  </si>
  <si>
    <t>12.5</t>
  </si>
  <si>
    <t>TOTAL - (R$)</t>
  </si>
  <si>
    <t>SERVIÇOS E FORNECIMENTOS REEMBOLSÁVEIS</t>
  </si>
  <si>
    <t>3. Foi considerada reconstrução dos escritórios, vestiários e sanitários do canteiro de Custódia/PE</t>
  </si>
  <si>
    <t>4. Para os casos de reconstrução, foi adotado o valor de referência integral da Tabela SINAPI/PE.</t>
  </si>
  <si>
    <t>5. Para os casos de reforma, foi adotado o percentual de 25% do valor integral da Tabela SINAPI/PE.</t>
  </si>
  <si>
    <t>Conector para haste aterramento #35mm² GTDU</t>
  </si>
  <si>
    <t>Conector para haste aterramento #50mm² GTDU</t>
  </si>
  <si>
    <t>Conector para haste aterramento #70mm² GTDU</t>
  </si>
  <si>
    <t>Fita isolante de borracha autofusão impermeável à prova dágua , até 69 kV (alta tensão)- 19mm x 10m</t>
  </si>
  <si>
    <t>Solvente/Desengraxante de alta rigidez dielétrica  1l</t>
  </si>
  <si>
    <t>00181 - ORSE</t>
  </si>
  <si>
    <t>03875 - ORSE</t>
  </si>
  <si>
    <t>03531 - ORSE</t>
  </si>
  <si>
    <t>00993 - SINAPI</t>
  </si>
  <si>
    <t>01022 - SINAPI</t>
  </si>
  <si>
    <t>01003 - SINAPI</t>
  </si>
  <si>
    <t>00994 - SINAPI</t>
  </si>
  <si>
    <t>01020 - SINAPI</t>
  </si>
  <si>
    <t>00995 - SINAPI</t>
  </si>
  <si>
    <t>00996 - SINAPI</t>
  </si>
  <si>
    <t>01019 - SINAPI</t>
  </si>
  <si>
    <t>01018 - SINAPI</t>
  </si>
  <si>
    <t>00977 - SINAPI</t>
  </si>
  <si>
    <t>00998 - SINAPI</t>
  </si>
  <si>
    <t>01017 - SINAPI</t>
  </si>
  <si>
    <t>00863 - SINAPI</t>
  </si>
  <si>
    <t>00867 - SINAPI</t>
  </si>
  <si>
    <t>00864 - SINAPI</t>
  </si>
  <si>
    <t>09720 - ORSE</t>
  </si>
  <si>
    <t>11602 - ORSE</t>
  </si>
  <si>
    <t>02643 - ORSE</t>
  </si>
  <si>
    <t>01118 - ORSE</t>
  </si>
  <si>
    <t>01119 - ORSE</t>
  </si>
  <si>
    <t>38070 - SINAPI</t>
  </si>
  <si>
    <t>11443 - ORSE</t>
  </si>
  <si>
    <t>02922 - ORSE</t>
  </si>
  <si>
    <t>04669 - ORSE</t>
  </si>
  <si>
    <t>04670 - ORSE</t>
  </si>
  <si>
    <t>02676 - ORSE</t>
  </si>
  <si>
    <t>02677 - ORSE</t>
  </si>
  <si>
    <t>03559 - ORSE</t>
  </si>
  <si>
    <t>06911 - ORSE</t>
  </si>
  <si>
    <t>03153 - ORSE</t>
  </si>
  <si>
    <t>04673 - ORSE</t>
  </si>
  <si>
    <t>01587 - SINAPI</t>
  </si>
  <si>
    <t>01588 - SINAPI</t>
  </si>
  <si>
    <t>01589 - SINAPI</t>
  </si>
  <si>
    <t>38547 - SINAPI</t>
  </si>
  <si>
    <t>11272 - ORSE</t>
  </si>
  <si>
    <t>11275 - ORSE</t>
  </si>
  <si>
    <t>11240 - ORSE</t>
  </si>
  <si>
    <t>10585 - ORSE</t>
  </si>
  <si>
    <t>00425 - ORSE</t>
  </si>
  <si>
    <t>11396 - ORSE</t>
  </si>
  <si>
    <t>1. Considerou-se na Mobilizaçao: Transporte dos materiais e equipamentos / Instalação de Pessoal, entre outras despesas.</t>
  </si>
  <si>
    <t>2. Considerou-se na Desmobilização: Retirada de máquinas e equipamentos / Demolições e/ou Recuperação de Canteiro, entre outras despesas.</t>
  </si>
  <si>
    <t>3. Mobilização e Desmobilização do Quadro de Pessoal: Será realizada  com os veículos previstos no contrato.</t>
  </si>
  <si>
    <t>6. A reforma dos escritórios inclui toda a parte civil e instalações prediais, inclusive serviços e fornecimento de material.</t>
  </si>
  <si>
    <t>1. Fonte de Preços: Tabela de Engenharia consultiva da Codevasf. Data base: Janeiro/2019.</t>
  </si>
  <si>
    <t>1. Fonte: Sistema Nacional de Pesquisa de Custos e Índices da Construção (Tablea SINAPI - Composição de Encargos Sociais).</t>
  </si>
  <si>
    <t>2. O valor estimado para as passagens aéreas foi calculado conforme "MEMORIAL DE CÁLCULO - VIAGENS"</t>
  </si>
  <si>
    <t>3. O valor adotado para a diária é o valor praticado pela Codevasf, conforme "Tabela de Diárias da Codevasf", considerando: diária completa; demais localidades; e empregados de nível superior, médio e operacional.</t>
  </si>
  <si>
    <t>1. Fonte de Preço: www.decolar.com. Considerando menores preços e companhias aéreas para registro do preço.</t>
  </si>
  <si>
    <t>2. Data de pesquisa: 09/10/2019 . Período Pesquisado: 1ª Semana de Novembro/2019</t>
  </si>
  <si>
    <t>1. Ddiscriminar os tributos que incidem sobre os custos da prestação dos serviços.</t>
  </si>
  <si>
    <r>
      <t>2.</t>
    </r>
    <r>
      <rPr>
        <b/>
        <sz val="10"/>
        <rFont val="Arial"/>
        <family val="2"/>
      </rPr>
      <t xml:space="preserve"> DF</t>
    </r>
    <r>
      <rPr>
        <sz val="10"/>
        <rFont val="Arial"/>
        <family val="2"/>
      </rPr>
      <t xml:space="preserve"> = Indicar o % de cada tributo e soma dos mesmos (ex: ISS 5% + PIS 1,65% + COFINS 7,60% = 14,25%)</t>
    </r>
  </si>
  <si>
    <r>
      <t xml:space="preserve">3. As despesas fiscais (DF) incindem sobre o total da fatura  e não sobre os custos incorridos, devendo ser calculado o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>, aplicando-se a seguinte fórmula:</t>
    </r>
  </si>
  <si>
    <t>MATERIAL DE CONSUMO - ESCRITÓRIO</t>
  </si>
  <si>
    <t>Servente (inclusive adicional de periculosidade)</t>
  </si>
  <si>
    <t>Pedreiro (inclusive adicional de periculosidade)</t>
  </si>
  <si>
    <t>Ferreiro (inclusive adicional de periculosidade)</t>
  </si>
  <si>
    <t>Eletricista (inclusive adicional de periculosidade)</t>
  </si>
  <si>
    <t>Carpinteiro (inclusive adicional de periculosidade)</t>
  </si>
  <si>
    <t>Auxiliar de Topografia (inclusive adicional de periculosidade)</t>
  </si>
  <si>
    <t>Topógrafo (inclusive adicional de periculosidade)</t>
  </si>
  <si>
    <t>Vigia (inclusive adicional de periculosidade)</t>
  </si>
  <si>
    <t>Eletromecânico (inclusive adicional de periculosidade)</t>
  </si>
  <si>
    <t>Eletrotécnico - Especialista Inspeção em Linha de Transmissão 230 / 269 Kv (inclusive adicional de periculosidade)</t>
  </si>
  <si>
    <t>Auxiliar Eletrotécnico (inclusive adicional de periculosidade)</t>
  </si>
  <si>
    <t>Eletrotécnico - Especialista em Linha de Distribuição 13,8 Kv (inclusive adicional de periculosidade)</t>
  </si>
  <si>
    <t>Técnico Automação - Especialista em SDSC (inclusive adicional de periculosidade)</t>
  </si>
  <si>
    <t>Técnico Instrumentação (inclusive adicional de periculosidade)</t>
  </si>
  <si>
    <t>Eletrotécnico - Especialista em SPCS (inclusive adicional de periculosidade)</t>
  </si>
  <si>
    <t>Técnico Telecomunicações/Eletrônica (inclusive adicional de periculosidade)</t>
  </si>
  <si>
    <t>Técnico Auxiliar (inclusive adicional de periculosidade)</t>
  </si>
  <si>
    <t>Técnico Junior - Eletrotécnico - Especialista em Baixa e Média Tensão (inclusive adicional de periculosidade)</t>
  </si>
  <si>
    <t>Técnico Pleno - Eletrotécnico - Especialista em Baixa e Média Tensão (inclusive adicional de periculosidade)</t>
  </si>
  <si>
    <t>Técnico Pleno - Mecânico (inclusive adicional de periculosidade)</t>
  </si>
  <si>
    <t>Técnico Auxiliar - Mecânico (inclusive adicional de periculosidade)</t>
  </si>
  <si>
    <t>Técnico Pleno - Eletrotécnico - Operador Estação de Bombeamento - Diurno (inclusive adicional de periculosidade)</t>
  </si>
  <si>
    <t>Técnico Pleno - Eletrotécnico - Operador Estação de Bombeamento - Noturno (inclusive adicional de periculosidade)</t>
  </si>
  <si>
    <t>Técnico Junior - Mecânico - Operador Estação de Bombeamento - Diurno (inclusive adicional de periculosidade)</t>
  </si>
  <si>
    <t>Técnico Junior - Mecânico - Operador Estação de Bombeamento - Noturno (inclusive adicional de periculosidade)</t>
  </si>
  <si>
    <t>Técnico Pleno - Eletrotécnico - Operador Subestação - Diurno (inclusive adicional de periculosidade)</t>
  </si>
  <si>
    <t>Técnico Pleno - Eletrotécnico - Operador Subestação - Noturno (inclusive adicional de periculosidade)</t>
  </si>
  <si>
    <t>Técnico Junior - Eletrotécnico - Operador Subestação - Diurno (inclusive adicional de periculosidade)</t>
  </si>
  <si>
    <t>Técnico Junior - Eletrotécnico - Operador Subestação - Noturno (inclusive adicional de periculosidade)</t>
  </si>
  <si>
    <t>Técnico Auxiliar - Leiturista (inclusive adicional de periculosidade)</t>
  </si>
  <si>
    <t>Tecnico Edificações - Inspeção (inclusive adicional de periculosidade)</t>
  </si>
  <si>
    <t>Técnico Pleno - Manutenção Elétrica -  Especialista em Equipamentos e Sistemas Elétricos</t>
  </si>
  <si>
    <t>Técnico Pleno - Manutenção Elétrica -  Especialista em Subestação Pátio, L. Transmissão e L. Distribuição</t>
  </si>
  <si>
    <t>Técnico Pleno - Manutenção Elétrica -  Especialista em Sistema de Proteção, Controle e Supervisão (SPCS)</t>
  </si>
  <si>
    <t>Técnico Pleno - Manutenção Mecânica</t>
  </si>
  <si>
    <t>Técnico Pleno - Manutenção Civil</t>
  </si>
  <si>
    <t>Eletrotécnico - Especialista Subestação 230 Kv (inclusive adicional de periculosidade)</t>
  </si>
  <si>
    <t>Técnico Pleno - Encarregado de Campo (inclusive adicional de periculosidade)</t>
  </si>
  <si>
    <t>00034 - SINAPI</t>
  </si>
  <si>
    <t>4,59</t>
  </si>
  <si>
    <t>00031 - SINAPI</t>
  </si>
  <si>
    <t>00039 - SINAPI</t>
  </si>
  <si>
    <t>00032 - SINAPI</t>
  </si>
  <si>
    <t>00033 - SINAPI</t>
  </si>
  <si>
    <t>04791 - SINAPI</t>
  </si>
  <si>
    <t>05318 - SINAPI</t>
  </si>
  <si>
    <t>00340 - SINAPI</t>
  </si>
  <si>
    <t>00334 - SINAPI</t>
  </si>
  <si>
    <t>00337 - SINAPI</t>
  </si>
  <si>
    <t>00367 - SINAPI</t>
  </si>
  <si>
    <t>004729 - SINAPI</t>
  </si>
  <si>
    <t>25005 - SINAPI</t>
  </si>
  <si>
    <t>00842 - SINAPI</t>
  </si>
  <si>
    <t>04513 - SINAPI</t>
  </si>
  <si>
    <t>001106 - SINAPI</t>
  </si>
  <si>
    <t>001379 - SINAPI</t>
  </si>
  <si>
    <t>00122 - SINAPI</t>
  </si>
  <si>
    <t>001358 - SINAPI</t>
  </si>
  <si>
    <t>038200 - SINAPI</t>
  </si>
  <si>
    <t>002692 - SINAPI</t>
  </si>
  <si>
    <t>004221 - SINAPI</t>
  </si>
  <si>
    <t>026019 - SINAPI</t>
  </si>
  <si>
    <t>025931 - SINAPI</t>
  </si>
  <si>
    <t>026018 - SINAPI</t>
  </si>
  <si>
    <t>010997 - SINAPI</t>
  </si>
  <si>
    <t>000012 - SINAPI</t>
  </si>
  <si>
    <t>000013 - SINAPI</t>
  </si>
  <si>
    <t>15,39</t>
  </si>
  <si>
    <t>000404 - SINAPI</t>
  </si>
  <si>
    <t>012815 - SINAPI</t>
  </si>
  <si>
    <t>020111 - SINAPI</t>
  </si>
  <si>
    <t>Fita isolante 19 mm x 20 m</t>
  </si>
  <si>
    <t>004222 - SINAPI</t>
  </si>
  <si>
    <t>005076 - SINAPI</t>
  </si>
  <si>
    <t>014077 - SINAPI</t>
  </si>
  <si>
    <t>Junta de dilatação - Perfil elastomerico pre-formado em epmd, para junta de dilatacao de pisos com pouca solicitacao, 15 mm de largura, movimentacao de 11 a 19 mm</t>
  </si>
  <si>
    <t>003681 - SINAPI</t>
  </si>
  <si>
    <t>Junta de dilatação (O-22 ou similar)</t>
  </si>
  <si>
    <t>038780 - SINAPI</t>
  </si>
  <si>
    <t>003751 - SINAPI</t>
  </si>
  <si>
    <t>003767 - SINAPI</t>
  </si>
  <si>
    <t>003777 - SINAPI</t>
  </si>
  <si>
    <t>037459 - SINAPI</t>
  </si>
  <si>
    <t>025865 - SINAPI</t>
  </si>
  <si>
    <t>004051 - SINAPI</t>
  </si>
  <si>
    <t>004108 - SINAPI</t>
  </si>
  <si>
    <t>005075 - SINAPI</t>
  </si>
  <si>
    <t>004224 - SINAPI</t>
  </si>
  <si>
    <t>038393 - SINAPI</t>
  </si>
  <si>
    <t>038390 - SINAPI</t>
  </si>
  <si>
    <t>039961 - SINAPI</t>
  </si>
  <si>
    <t>012296 - SINAPI</t>
  </si>
  <si>
    <t>0093 - SINAPI</t>
  </si>
  <si>
    <t>12377 - ORSE*</t>
  </si>
  <si>
    <t>07948 - ORSE*</t>
  </si>
  <si>
    <t>005318 - SINAPI*</t>
  </si>
  <si>
    <t>07258 - SINAPI</t>
  </si>
  <si>
    <t>00154 - SINAPI</t>
  </si>
  <si>
    <t>35691 - SINAPI</t>
  </si>
  <si>
    <t>38386 - SINAPI</t>
  </si>
  <si>
    <t>38400 - SINAPI</t>
  </si>
  <si>
    <t>6884 - ORSE</t>
  </si>
  <si>
    <t>8216 - ORSE</t>
  </si>
  <si>
    <t>7696 - ORSE</t>
  </si>
  <si>
    <t>2866 - ORSE</t>
  </si>
  <si>
    <t>11442 - ORSE</t>
  </si>
  <si>
    <t>13003 - SINAPI</t>
  </si>
  <si>
    <t>38377 - SINAPI</t>
  </si>
  <si>
    <t>38376 - SINAPI</t>
  </si>
  <si>
    <t>38470 - SINAPI</t>
  </si>
  <si>
    <t>88,68</t>
  </si>
  <si>
    <t>38471 - SINAPI</t>
  </si>
  <si>
    <t>Aluguel Notebook - tipo 1 (i7, 1T, 8GB, S.O. 10 e Office última versão)</t>
  </si>
  <si>
    <t>38374 - SINAPI</t>
  </si>
  <si>
    <t>10 - SINAPI</t>
  </si>
  <si>
    <t>5090 - SINAPI</t>
  </si>
  <si>
    <t>2711 - SINAPI</t>
  </si>
  <si>
    <t>38403 - SINAPI</t>
  </si>
  <si>
    <t>38477 - SINAPI</t>
  </si>
  <si>
    <t>ESCADA EXTENSIVEL EM ALUMINIO COM 6,00 M ESTENDIDA</t>
  </si>
  <si>
    <t>12 - SINAPI</t>
  </si>
  <si>
    <t>ESCOVA DE ACO, COM CABO, *4  X 15* FILEIRAS DE CERDAS</t>
  </si>
  <si>
    <t xml:space="preserve">Escova de aco, com cabo, *4 x 15* fileiras de cerdas </t>
  </si>
  <si>
    <t xml:space="preserve">Espátula de plástico lisa, largura 10 cm </t>
  </si>
  <si>
    <t xml:space="preserve">Espátula aço inox, 8cm - cabo de madeira </t>
  </si>
  <si>
    <t>38367 - SINAPI</t>
  </si>
  <si>
    <t>38368 - SINAPI</t>
  </si>
  <si>
    <t>38380 - SINAPI</t>
  </si>
  <si>
    <t xml:space="preserve">Esquadro 90º x 30cm (12") </t>
  </si>
  <si>
    <t>4729 - ORSE</t>
  </si>
  <si>
    <t>11269 - ORSE</t>
  </si>
  <si>
    <t>4.55</t>
  </si>
  <si>
    <t>4.56</t>
  </si>
  <si>
    <t>4.57</t>
  </si>
  <si>
    <t>4.58</t>
  </si>
  <si>
    <t>4.59</t>
  </si>
  <si>
    <t>4.60</t>
  </si>
  <si>
    <t>4.61</t>
  </si>
  <si>
    <t>R$/m²</t>
  </si>
  <si>
    <t>R$/un</t>
  </si>
  <si>
    <t>R$/(un x mês)</t>
  </si>
  <si>
    <t>00303 - ORSE (3)</t>
  </si>
  <si>
    <t>00303 - ORSE (5)</t>
  </si>
  <si>
    <t>Cola branca PVA</t>
  </si>
  <si>
    <t>I0814 - SEINFRA/CE</t>
  </si>
  <si>
    <t>I7373 - SEINFRA/CE</t>
  </si>
  <si>
    <t>I1178 - SEINFRA/CE*</t>
  </si>
  <si>
    <t>I6039 - SEINFRA/CE*</t>
  </si>
  <si>
    <t>I1841 - SEINFRA/CE*</t>
  </si>
  <si>
    <t>R$/h</t>
  </si>
  <si>
    <t>Carga horária mensal:</t>
  </si>
  <si>
    <t>R$/mês</t>
  </si>
  <si>
    <t>R$/h (Operativa)</t>
  </si>
  <si>
    <t>R$/h (Improdutiva)</t>
  </si>
  <si>
    <t>Operativa</t>
  </si>
  <si>
    <t>MANUTENÇÃO - SUBESTAÇÃO - PÁTIOS</t>
  </si>
  <si>
    <t>MANUTENÇÃO - LINHAS DE TRANSMISSÃO 230 KV E 69KV</t>
  </si>
  <si>
    <t>MANUTENÇÃO - LINHAS DE DISTIBUIÇÃO - 13,8KV E 6,9 KV</t>
  </si>
  <si>
    <t>13.3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</si>
  <si>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</si>
  <si>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</si>
  <si>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</si>
  <si>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</si>
  <si>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</si>
  <si>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</si>
  <si>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</si>
  <si>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</si>
  <si>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</si>
  <si>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</si>
  <si>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</si>
  <si>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</si>
  <si>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</si>
  <si>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</si>
  <si>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</si>
  <si>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</si>
  <si>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</si>
  <si>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</si>
  <si>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</si>
  <si>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</si>
  <si>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</si>
  <si>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</si>
  <si>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</si>
  <si>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</si>
  <si>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</si>
  <si>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</si>
  <si>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</si>
  <si>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</si>
  <si>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</si>
  <si>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</si>
  <si>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</si>
  <si>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</si>
  <si>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15.25</t>
  </si>
  <si>
    <t>15.26</t>
  </si>
  <si>
    <t>Empilhadeira sobre pneus com torre de três estágios, 4,80 m de elevação, com deslocador lateral dos garfos, motor glp 2.4 l, capacidade nominal de carga de 2,5 t</t>
  </si>
  <si>
    <t>Escavadeira hidráulica sobre esteiras, caçamba 0,62 m³, peso operacional 12,61 t, potência líquida 95 hp</t>
  </si>
  <si>
    <t>Escavadeira hidráulica sobre esteiras, caçamba  0,80 m³, peso operacional 17 t, potência bruta 111 hp</t>
  </si>
  <si>
    <t>Grupo Gerador - 32,0 kVA, 220 V, trifásico, silenciado, com 100 metros de cabos e 01 QTA</t>
  </si>
  <si>
    <t>Trator de esteiras, potência de 150 hp, peso operacional de 16,7t, com roda motriz elevada e lâmina com contato de 3,18 m³</t>
  </si>
  <si>
    <t>Rolo compactador pé-de-carneiro vibratório, potência 125 hp, peso operacional sem/com lastro 11,95/13,30 t, impacto dinâmico 38,5/22,5 t, largura de trabalho 2,15 m</t>
  </si>
  <si>
    <t>Barco tipo Alumínio, 7 m de comprimento, Alumínio soldado, reforçado, borda sem corrimão, chapa de Alumínio 2,00 cm, boca 1,50 cm, borda 0,60 cm. / Motor popa, tipo partida manual, potência 15 hp, aplicação barco Alumínio, características adicionais: válvulas automáticas descompressão, refrigerado a ar, quantidade marchas 2 und, quantidade cilíndro 2 und, capacidade tanque 23 l, tipo motor: 2 tempos, velocidade: 4.500 a 5.800 rpm</t>
  </si>
  <si>
    <t>Trator de esteiras, potência de 150 hp, peso operacional de 16,7 t, com roda motriz elevada e lâmina com contato de 3,18 m³</t>
  </si>
  <si>
    <t>Cadeira de plástico sem braço, cor branca</t>
  </si>
  <si>
    <t>R$/unit</t>
  </si>
  <si>
    <t>Descrição</t>
  </si>
  <si>
    <t>Código</t>
  </si>
  <si>
    <t>Unid.</t>
  </si>
  <si>
    <t>Servidor para backup</t>
  </si>
  <si>
    <t>Armário para vestiário, em aço, com 12 portas, com cadeado</t>
  </si>
  <si>
    <t>Bebedouro industrial (canteiro)</t>
  </si>
  <si>
    <t>AP_JANTAR</t>
  </si>
  <si>
    <t>Cadeira giratória, com braço, tipo executiva</t>
  </si>
  <si>
    <t>10390 - ORSE/SE</t>
  </si>
  <si>
    <t>Banheiro Químico, com limpezas diárias</t>
  </si>
  <si>
    <t>F030000301 - EMBASA/BA</t>
  </si>
  <si>
    <t>Areia grossa comercial, posto em obra</t>
  </si>
  <si>
    <t>Pedra britada comercial (n.º 0 a 5)</t>
  </si>
  <si>
    <t>10997 - SINAPI/PE</t>
  </si>
  <si>
    <t xml:space="preserve"> M2018 - SICRO3/PE</t>
  </si>
  <si>
    <t>38780 - SINAPI/PE</t>
  </si>
  <si>
    <t>Lâmpada fluorescente compacta, branca 20 W, base E27 (127/220 V)</t>
  </si>
  <si>
    <t>I1660 - SEINFRA/CE</t>
  </si>
  <si>
    <t>003777 - SINAPI/PE</t>
  </si>
  <si>
    <t>004869 - SBC</t>
  </si>
  <si>
    <t>38476 - SINAPI/PE</t>
  </si>
  <si>
    <t>38477 - SINAPI/PE</t>
  </si>
  <si>
    <t>11359 - SINAPI/PE</t>
  </si>
  <si>
    <t>13761 - SINAPI/PE</t>
  </si>
  <si>
    <t>40403 - SINAPI/PE</t>
  </si>
  <si>
    <t>Furadeira Manual 650W 1050 – 1450 RPM 220V Ø 13mm</t>
  </si>
  <si>
    <t>36500 - SINAPI/PE</t>
  </si>
  <si>
    <t>39593 - SINAPI/PE</t>
  </si>
  <si>
    <t>13192 - SINAPI/PE</t>
  </si>
  <si>
    <t>14619 - SINAPI/PE</t>
  </si>
  <si>
    <t>36533 - SINAPI/PE</t>
  </si>
  <si>
    <t>40703 - SINAPI/PE</t>
  </si>
  <si>
    <t>37514 - SINAPI/PE</t>
  </si>
  <si>
    <t>4090 - SINAPI/PE</t>
  </si>
  <si>
    <t>39628 - SINAPI/PE</t>
  </si>
  <si>
    <t>13955 - SINAPI/PE</t>
  </si>
  <si>
    <t>2,03</t>
  </si>
  <si>
    <t>7252 - SINAPI/PE</t>
  </si>
  <si>
    <t>4262 - SINAPI/PE</t>
  </si>
  <si>
    <t>2,70</t>
  </si>
  <si>
    <t>4778 - SINAPI/PE</t>
  </si>
  <si>
    <t>10559 - SINAPI/PE</t>
  </si>
  <si>
    <t>10664 - SINAPI/PE</t>
  </si>
  <si>
    <t>40269 - SINAPI/PE</t>
  </si>
  <si>
    <t>1,11</t>
  </si>
  <si>
    <t>10809 - SINAPI/PE</t>
  </si>
  <si>
    <t>39399 - SINAPI/PE</t>
  </si>
  <si>
    <t>39400 - SINAPI/PE</t>
  </si>
  <si>
    <t>39401 - SINAPI/PE</t>
  </si>
  <si>
    <t>2. Os preços apresentados inlcuem o custo de operadores, motoristas e demais mão de obra necesária para utilização do mesmo. Bem como combustível, quando requeridos.</t>
  </si>
  <si>
    <t>10236 - ORSE/SE</t>
  </si>
  <si>
    <t>I9378 - SEINFRA/CE</t>
  </si>
  <si>
    <t>746 - SINAPI/PE</t>
  </si>
  <si>
    <t>COT_AFER</t>
  </si>
  <si>
    <t>COT_ANAL</t>
  </si>
  <si>
    <t>COT_ANDA</t>
  </si>
  <si>
    <t>COT_BETO</t>
  </si>
  <si>
    <t>COT_CAMI</t>
  </si>
  <si>
    <t>COT_CORT</t>
  </si>
  <si>
    <t>COT_CURV</t>
  </si>
  <si>
    <t>COT_DATA</t>
  </si>
  <si>
    <t>COT_ESME</t>
  </si>
  <si>
    <t>COT_FONT</t>
  </si>
  <si>
    <t>COT_GERA</t>
  </si>
  <si>
    <t>COT_INDU</t>
  </si>
  <si>
    <t xml:space="preserve">COT_KIT </t>
  </si>
  <si>
    <t>COT_LIXA</t>
  </si>
  <si>
    <t>COT_MORS</t>
  </si>
  <si>
    <t>COT_MULT</t>
  </si>
  <si>
    <t>COT_PARA</t>
  </si>
  <si>
    <t>COT_PLAT</t>
  </si>
  <si>
    <t>COT_PREN</t>
  </si>
  <si>
    <t>COT_TIFO</t>
  </si>
  <si>
    <t>COT_TORR</t>
  </si>
  <si>
    <t xml:space="preserve">COT_TTR </t>
  </si>
  <si>
    <t>COT_ALMO_FLEX</t>
  </si>
  <si>
    <t>COT_ALMO_RIG</t>
  </si>
  <si>
    <t>COT_BANC_TESTE</t>
  </si>
  <si>
    <t>COT_BANC_OFIC</t>
  </si>
  <si>
    <t>COT_BANC_PROT</t>
  </si>
  <si>
    <t>COT_BOMB_GRAX</t>
  </si>
  <si>
    <t>COT_BOMB_DRAGA</t>
  </si>
  <si>
    <t>COT_BOMB_SUB</t>
  </si>
  <si>
    <t>COT_CHAV_46</t>
  </si>
  <si>
    <t>COT_CHAV_55</t>
  </si>
  <si>
    <t>COT_CHAV_60</t>
  </si>
  <si>
    <t>COT_CHAV_65</t>
  </si>
  <si>
    <t>COT_CHAV_70</t>
  </si>
  <si>
    <t>COT_CHAV_75</t>
  </si>
  <si>
    <t>Chave de impacto 75mm boca/estria</t>
  </si>
  <si>
    <t>COT_CHAV_85</t>
  </si>
  <si>
    <t>Chave de impacto 85mm boca/estria</t>
  </si>
  <si>
    <t>COT_CINT_20T</t>
  </si>
  <si>
    <t>COT_CINT_3T</t>
  </si>
  <si>
    <t>COT_CONJ_160</t>
  </si>
  <si>
    <t>COT_CONJ_30</t>
  </si>
  <si>
    <t>COT_ESCA_16</t>
  </si>
  <si>
    <t>COT_ESCA_07</t>
  </si>
  <si>
    <t>COT_ESCAV</t>
  </si>
  <si>
    <t>COT_GRUP_15KVA</t>
  </si>
  <si>
    <t>COT_BOMB_4CV</t>
  </si>
  <si>
    <t>COT_BOMBA_2CV</t>
  </si>
  <si>
    <t>COT_MACA_20T</t>
  </si>
  <si>
    <t>COT_MACA_50T</t>
  </si>
  <si>
    <t>COT_MACA_2T</t>
  </si>
  <si>
    <t>COT_MACA_GIR</t>
  </si>
  <si>
    <t>COT_MOTO_ESMER</t>
  </si>
  <si>
    <t>COT_MOTO_POP</t>
  </si>
  <si>
    <t>13914 - SINAPI/PE</t>
  </si>
  <si>
    <t>4085 - SINAPI/PE</t>
  </si>
  <si>
    <t>36398 - SINAPI/PE</t>
  </si>
  <si>
    <t>36511 - SINAPI/PE</t>
  </si>
  <si>
    <t>Barco tipo Alumínio, 7 m de comprimento, Alumínio soldado, reforçado, borda sem corrimão, chapa de Alumínio 2,00 cm, boca 1,50 cm, borda 0,60 cm (inclusive barqueiro)</t>
  </si>
  <si>
    <t>Ministério do Desenvolvimento Regional -MDR</t>
  </si>
  <si>
    <t>Gerência de Operação do PISF-Centro de Controle e Operação (AD / GOI / CCO)</t>
  </si>
  <si>
    <t>COMPOSIÇÃO DE PREÇO UNITÁRIO-MOBILIZAÇÃO</t>
  </si>
  <si>
    <t>Local / Canteiros: EIXO LESTE-Canteiro Lote 9 (Floresta/PE)</t>
  </si>
  <si>
    <t>Distância entre Recife/PE-Canteiro Lote 9 (km):</t>
  </si>
  <si>
    <t>Caminhão Carroceria-de madeira, capacidade de carga 15,0 t</t>
  </si>
  <si>
    <t xml:space="preserve">Grupo Gerador-32,0 kVA, 220 V, trifásico, silenciado, com 100 metros de cabos e 01 QTA. </t>
  </si>
  <si>
    <t>SERVIÇOS-COMPOSIÇÕES AUXILIARES</t>
  </si>
  <si>
    <t>Local / Canteiros: EIXO LESTE-Canteiro Lote 10 (Custódia/PE)</t>
  </si>
  <si>
    <t>Distância entre Recife/PE-Canteiro Lote 10 (km):</t>
  </si>
  <si>
    <t>Local / Canteiros: EIXO LESTE-Canteiro Lote 12 (Sertânia/PE)</t>
  </si>
  <si>
    <t>Distância entre Recife/PE-Canteiro Lote 12 (km):</t>
  </si>
  <si>
    <t>Caminhão carroceria com capacidade de 15 t-188 kW</t>
  </si>
  <si>
    <t>Caminhão basculante com capacidade de 10 m³-188 kW</t>
  </si>
  <si>
    <t>Caminhão basculante com capacidade de 6 m³-136 kW</t>
  </si>
  <si>
    <t>Caminhão tanque distribuidor de asfalto com capacidade de 6.000 l-7 kW/136 kW</t>
  </si>
  <si>
    <t>Caminhão carroceria com guindauto com capacidade de 20 t.m-136 kW</t>
  </si>
  <si>
    <t>Caminhão tanque com capacidade de 6.000 l-136 kW</t>
  </si>
  <si>
    <t>Cavalo mecânico com semirreboque com capacidade de 30 t-265 kW</t>
  </si>
  <si>
    <t>Alimentação (motorista que vai rodando)-Convenção Coletiva de Trabalho 2019-2021-SINDUSCON/PE (Cláusula 14ª)</t>
  </si>
  <si>
    <t>E9592-DNIT/PE</t>
  </si>
  <si>
    <t>E9579-DNIT/PE</t>
  </si>
  <si>
    <t>E9506-DNIT/PE</t>
  </si>
  <si>
    <t>E9509-DNIT/PE</t>
  </si>
  <si>
    <t>E9686-DNIT/PE</t>
  </si>
  <si>
    <t>E9605-DNIT/PE</t>
  </si>
  <si>
    <t>A9353-DNIT/PE</t>
  </si>
  <si>
    <t>E9666-DNIT/PE</t>
  </si>
  <si>
    <t>1. Fonte de Preços: Sistemas de Custos Referenciais de Obras-DNIT/PE (Tabela SICRO/PE). Data base: Abril/2019.</t>
  </si>
  <si>
    <t>2. Para o Cálculo do Custo da Mobilização foi utilizada a metodologia do DNIT/PE.</t>
  </si>
  <si>
    <t>R$</t>
  </si>
  <si>
    <t>93206-SINAPI/PE*</t>
  </si>
  <si>
    <t>93585-SINAPI/PE*</t>
  </si>
  <si>
    <t>93213-SINAPI/PE*</t>
  </si>
  <si>
    <t>93211-SINAPI/PE*</t>
  </si>
  <si>
    <t>93209-SINAPI/PE*</t>
  </si>
  <si>
    <t>93582-SINAPI/PE*</t>
  </si>
  <si>
    <t>93206-SINAPI/PE</t>
  </si>
  <si>
    <t>93213-SINAPI/PE</t>
  </si>
  <si>
    <t>93211-SINAPI/PE</t>
  </si>
  <si>
    <t>93585-SINAPI/PE</t>
  </si>
  <si>
    <t>93209-SINAPI/PE</t>
  </si>
  <si>
    <t>93582-SINAPI/PE</t>
  </si>
  <si>
    <t>COT_CAMA_BOX</t>
  </si>
  <si>
    <t>COT_CAM_FOTO</t>
  </si>
  <si>
    <t>DV_16-CAERN/RN</t>
  </si>
  <si>
    <t xml:space="preserve">	040117-SBC/PE</t>
  </si>
  <si>
    <t>COT_CHAP</t>
  </si>
  <si>
    <t>Cilindro de Gás de Cozinha 45 kg</t>
  </si>
  <si>
    <t>029028-IOPES</t>
  </si>
  <si>
    <t>4226-SINAPI/PE</t>
  </si>
  <si>
    <t>621-ORSE/SE</t>
  </si>
  <si>
    <t>39555-SINAPI/PE</t>
  </si>
  <si>
    <t>COT_COPO</t>
  </si>
  <si>
    <t>10231-ORSE/SE</t>
  </si>
  <si>
    <t>78052-SIURB/SP</t>
  </si>
  <si>
    <t>COT_MES_06</t>
  </si>
  <si>
    <t>COT_PANEL</t>
  </si>
  <si>
    <t>COT_UTENS</t>
  </si>
  <si>
    <t>COT_SOFA</t>
  </si>
  <si>
    <t>COT_FAQUEI</t>
  </si>
  <si>
    <t>COT_LIQUID</t>
  </si>
  <si>
    <t>COT_FORNO</t>
  </si>
  <si>
    <t>COT_GPS</t>
  </si>
  <si>
    <t>COT_MICROOND</t>
  </si>
  <si>
    <t>F020000719-EMBASA/BA</t>
  </si>
  <si>
    <t>F020000716-EMBASA/BA</t>
  </si>
  <si>
    <t>Geladeira 280 litros</t>
  </si>
  <si>
    <t>Geladeira industrial 300 litros</t>
  </si>
  <si>
    <t xml:space="preserve">	10232-ORSE/SE</t>
  </si>
  <si>
    <t>COT_GUARDA_ROUPA</t>
  </si>
  <si>
    <t>COT_ROUPA_BANHO</t>
  </si>
  <si>
    <t>COT_ROUPA_CAMA</t>
  </si>
  <si>
    <t>um</t>
  </si>
  <si>
    <t>COT_MAQ_LAVA_LOUCA</t>
  </si>
  <si>
    <t>COT_MAQ_LAVA_ROUPA</t>
  </si>
  <si>
    <t>COT_MESA_BUF</t>
  </si>
  <si>
    <t>COT_MESA_REFEIT</t>
  </si>
  <si>
    <t>COT_MESA_REUN</t>
  </si>
  <si>
    <t>COT_MESA_PVC</t>
  </si>
  <si>
    <t>COT_MESA_ESCR</t>
  </si>
  <si>
    <t>COT_PRATO</t>
  </si>
  <si>
    <t>F030000293-EMBASA/BA</t>
  </si>
  <si>
    <t>COT_RACK</t>
  </si>
  <si>
    <t>COT_REFRESQUEIRA</t>
  </si>
  <si>
    <t>COT_TELEVISOR</t>
  </si>
  <si>
    <t>COT_TABUA</t>
  </si>
  <si>
    <t>I8612-SEINFRA/CE</t>
  </si>
  <si>
    <t>I0122-SEINFRA/CE</t>
  </si>
  <si>
    <t>I0123-SEINFRA/CE</t>
  </si>
  <si>
    <t>11543-ORSE</t>
  </si>
  <si>
    <t>Gás de cozinha-GLP</t>
  </si>
  <si>
    <t>E209300236-EMBASA/BA</t>
  </si>
  <si>
    <t>Aluguel de impressora colorida-Laser com cartuchos-formatos A4 e A3</t>
  </si>
  <si>
    <t xml:space="preserve"> I2677-SEINFRA/CE</t>
  </si>
  <si>
    <t>3671-ORSE/SE</t>
  </si>
  <si>
    <t>Desktop com software-tipo 1 (i7, 1T, 8GB, monitor 19", S.O. Windows 10 e Office última versão)</t>
  </si>
  <si>
    <t>I6395-SEINFRA/CE</t>
  </si>
  <si>
    <t>Notebook-tipo 1 (i7, 1T, 8GB, S.O. Windows 10 e Office última versão)</t>
  </si>
  <si>
    <t>P.17.000.042561-CPOS/SP</t>
  </si>
  <si>
    <t>11645-ORSE/SE</t>
  </si>
  <si>
    <t>73.72.07-SUDECAP/MG</t>
  </si>
  <si>
    <t>11534-ORSE/SE</t>
  </si>
  <si>
    <t>Aluguel de impressora colorida-Laser com cartuchos-formatos A4 e A3 (inclusive suprimentos)</t>
  </si>
  <si>
    <t>Aluguel de Plotter (inclusive suprimentos)</t>
  </si>
  <si>
    <t>Eixo Norte</t>
  </si>
  <si>
    <t>1. Fonte de Preços:
- Sistema Nacional de Pesquisa de Custos e Índices da Construção (Tabela SINAPI/PE). Data base: Setembro/2019.
- Empresa Baiana de Águas e Saneamento S.A. (Tabela de preços EMBASA). Data base: 06/2017.
- Secretaria da Infraestrutura do Estado do Ceará (Tabela 026 SEINFRA/CE). Data base: 12/2018.
- Sistema de Orçamento de Obras de Sergipe (ORSE). Data base: 09/2019.
- Companhia Paulista de Obras e Serviços (Boletim Referencial de Custos CPOS). Data base: 07/2019
- Superintendência de Desenvolvimento da Capital-Prefeitura de Belo Horizonte (Tabela de Preços SUDECAP/MG). Data base: 08/2019.
- Companhia de Águas e Esgotos do Rio Grande do Norte (Tabela de Preços CAERN/RN). Data base: 05/2019.
- Sistemas e Consultoria de Custos (Base de Dados SBC/PE). Data base: 11/2019.
- Instituto de Obras Públicas do Estado do Espírito Santo (Tabela REferencial de Preços IOPES/ES). Data base: 07/2019.</t>
  </si>
  <si>
    <t>E9630-DNIT/PE</t>
  </si>
  <si>
    <t>E9207-DNIT/PE</t>
  </si>
  <si>
    <t>E9748-DNIT/PE</t>
  </si>
  <si>
    <t>E9107-DNIT/PE</t>
  </si>
  <si>
    <t>E9556-DNIT/PE</t>
  </si>
  <si>
    <t>E9513-DNIT/PE</t>
  </si>
  <si>
    <t>E9661-DNIT/PE</t>
  </si>
  <si>
    <t>E9526-DNIT/PE</t>
  </si>
  <si>
    <t>E9685-DNIT/PE</t>
  </si>
  <si>
    <t>E9043-DNIT/PE</t>
  </si>
  <si>
    <t>A9382-DNIT/PE</t>
  </si>
  <si>
    <t>E9535-DNIT/PE</t>
  </si>
  <si>
    <t>E9719-DNIT/PE</t>
  </si>
  <si>
    <t>E9540-DNIT/PE</t>
  </si>
  <si>
    <t>E9069-DNIT/PE</t>
  </si>
  <si>
    <t>E9017-DNIT/PE</t>
  </si>
  <si>
    <t>E9763-DNIT/PE</t>
  </si>
  <si>
    <t>E9066-DNIT/PE</t>
  </si>
  <si>
    <t>E9521-DNIT/PE</t>
  </si>
  <si>
    <t>E9528-DNIT/PE</t>
  </si>
  <si>
    <t>E9568-DNIT/PE</t>
  </si>
  <si>
    <t>8.4.1</t>
  </si>
  <si>
    <t>10.2.1</t>
  </si>
  <si>
    <t>10.2.</t>
  </si>
  <si>
    <t>10.2.2</t>
  </si>
  <si>
    <t>10.2.3</t>
  </si>
  <si>
    <t>10.2.4</t>
  </si>
  <si>
    <t>10.2.5</t>
  </si>
  <si>
    <t>10.2.6</t>
  </si>
  <si>
    <t>10.2.7</t>
  </si>
  <si>
    <t>10.2.8</t>
  </si>
  <si>
    <t>10.2.9</t>
  </si>
  <si>
    <t>10.2.10</t>
  </si>
  <si>
    <t>10.2.11</t>
  </si>
  <si>
    <t>10.3.</t>
  </si>
  <si>
    <t>10.3.1.</t>
  </si>
  <si>
    <t>10.3.1.1</t>
  </si>
  <si>
    <t>10.3.1.2</t>
  </si>
  <si>
    <t>10.3.1.3</t>
  </si>
  <si>
    <t>10.3.1.4</t>
  </si>
  <si>
    <t>10.3.1.5</t>
  </si>
  <si>
    <t>10.3.1.6</t>
  </si>
  <si>
    <t>10.3.1.7</t>
  </si>
  <si>
    <t>10.3.1.8</t>
  </si>
  <si>
    <t>10.3.1.9</t>
  </si>
  <si>
    <t>10.3.1.10</t>
  </si>
  <si>
    <t>10.3.1.11</t>
  </si>
  <si>
    <t>10.3.1.12</t>
  </si>
  <si>
    <t>10.3.1.13</t>
  </si>
  <si>
    <t>10.3.1.14</t>
  </si>
  <si>
    <t>10.3.1.15</t>
  </si>
  <si>
    <t>10.3.1.16</t>
  </si>
  <si>
    <t>10.3.1.17</t>
  </si>
  <si>
    <t>10.3.1.18</t>
  </si>
  <si>
    <t>10.3.1.19</t>
  </si>
  <si>
    <t>10.3.1.20</t>
  </si>
  <si>
    <t>10.3.1.21</t>
  </si>
  <si>
    <t>10.3.1.22</t>
  </si>
  <si>
    <t>10.3.1.23</t>
  </si>
  <si>
    <t>10.3.1.24</t>
  </si>
  <si>
    <t>10.3.1.25</t>
  </si>
  <si>
    <t>10.3.1.26</t>
  </si>
  <si>
    <t>10.3.1.27</t>
  </si>
  <si>
    <t>10.3.1.28</t>
  </si>
  <si>
    <t>10.3.1.29</t>
  </si>
  <si>
    <t>10.3.1.30</t>
  </si>
  <si>
    <t>10.3.1.31</t>
  </si>
  <si>
    <t>10.3.1.32</t>
  </si>
  <si>
    <t>10.3.1.33</t>
  </si>
  <si>
    <t>10.3.1.34</t>
  </si>
  <si>
    <t>10.3.1.35</t>
  </si>
  <si>
    <t>10.3.1.36</t>
  </si>
  <si>
    <t>10.3.1.37</t>
  </si>
  <si>
    <t>10.3.1.38</t>
  </si>
  <si>
    <t>10.3.1.39</t>
  </si>
  <si>
    <t>10.3.1.40</t>
  </si>
  <si>
    <t>10.3.1.41</t>
  </si>
  <si>
    <t>10.3.1.42</t>
  </si>
  <si>
    <t>10.3.1.43</t>
  </si>
  <si>
    <t>10.3.1.44</t>
  </si>
  <si>
    <t>10.3.1.45</t>
  </si>
  <si>
    <t>10.3.1.46</t>
  </si>
  <si>
    <t>10.3.1.47</t>
  </si>
  <si>
    <t>10.3.1.48</t>
  </si>
  <si>
    <t>10.3.1.49</t>
  </si>
  <si>
    <t>10.3.1.50</t>
  </si>
  <si>
    <t>10.3.1.51</t>
  </si>
  <si>
    <t>10.3.1.52</t>
  </si>
  <si>
    <t>10.3.1.53</t>
  </si>
  <si>
    <t>10.3.1.54</t>
  </si>
  <si>
    <t>10.3.2.</t>
  </si>
  <si>
    <t>10.3.2.1</t>
  </si>
  <si>
    <t>10.3.2.2</t>
  </si>
  <si>
    <t>10.3.2.3</t>
  </si>
  <si>
    <t>10.3.2.4</t>
  </si>
  <si>
    <t>10.3.2.5</t>
  </si>
  <si>
    <t>10.3.2.6</t>
  </si>
  <si>
    <t>10.3.2.7</t>
  </si>
  <si>
    <t>10.3.2.8</t>
  </si>
  <si>
    <t>10.3.2.9</t>
  </si>
  <si>
    <t>REFORMA DO CANTEIRO DO LOTE 09 (FLORESTA/PE)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</si>
</sst>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0.00000"/>
    <numFmt numFmtId="167" formatCode="#,##0.0000"/>
    <numFmt numFmtId="168" formatCode="_([$€-2]* #,##0.00_);_([$€-2]* \(#,##0.00\);_([$€-2]* &quot;-&quot;??_)"/>
    <numFmt numFmtId="169" formatCode="_(&quot;R$ &quot;* #,##0.00_);_(&quot;R$ &quot;* \(#,##0.00\);_(&quot;R$ &quot;* \-??_);_(@_)"/>
    <numFmt numFmtId="170" formatCode="_(* #,##0.00_);_(* \(#,##0.00\);_(* \-??_);_(@_)"/>
    <numFmt numFmtId="171" formatCode="_(* #,##0.000_);_(* \(#,##0.000\);_(* \-??_);_(@_)"/>
    <numFmt numFmtId="172" formatCode="_(* #,##0_);_(* \(#,##0\);_(* &quot;-&quot;??_);_(@_)"/>
    <numFmt numFmtId="173" formatCode="_ * #,##0.00_)_R_$_ ;_ * \(#,##0.00\)_R_$_ ;_ * &quot;-&quot;??_)_R_$_ ;_ @_ "/>
    <numFmt numFmtId="174" formatCode="00"/>
    <numFmt numFmtId="175" formatCode="#,##0.00_ ;\-#,##0.00\ "/>
    <numFmt numFmtId="176" formatCode="#,##0.000"/>
  </numFmts>
  <fonts count="28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i/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</font>
    <font>
      <sz val="10"/>
      <name val="MS Sans Serif"/>
      <family val="2"/>
    </font>
    <font>
      <sz val="7.5"/>
      <name val="MS Sans Serif"/>
      <family val="2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indexed="55"/>
      <name val="Calibri"/>
      <family val="2"/>
    </font>
    <font>
      <b/>
      <sz val="15"/>
      <color indexed="62"/>
      <name val="Calibri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FF0000"/>
      <name val="Arial"/>
      <family val="2"/>
    </font>
    <font>
      <b/>
      <u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7" tint="0.59999389629810485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9">
    <xf numFmtId="0" fontId="0" fillId="0" borderId="0"/>
    <xf numFmtId="0" fontId="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5" fontId="10" fillId="0" borderId="0" applyFont="0" applyFill="0" applyBorder="0" applyAlignment="0" applyProtection="0"/>
    <xf numFmtId="3" fontId="6" fillId="0" borderId="0"/>
    <xf numFmtId="3" fontId="6" fillId="0" borderId="0"/>
    <xf numFmtId="0" fontId="6" fillId="0" borderId="0"/>
    <xf numFmtId="0" fontId="6" fillId="0" borderId="0"/>
    <xf numFmtId="165" fontId="8" fillId="0" borderId="0" applyFont="0" applyFill="0" applyBorder="0" applyAlignment="0" applyProtection="0"/>
    <xf numFmtId="0" fontId="15" fillId="0" borderId="0"/>
    <xf numFmtId="0" fontId="6" fillId="0" borderId="0"/>
    <xf numFmtId="43" fontId="6" fillId="0" borderId="0" applyFont="0" applyFill="0" applyBorder="0" applyAlignment="0" applyProtection="0"/>
    <xf numFmtId="0" fontId="16" fillId="0" borderId="0"/>
    <xf numFmtId="0" fontId="6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7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9" fontId="6" fillId="0" borderId="0" applyFill="0" applyBorder="0" applyAlignment="0" applyProtection="0"/>
    <xf numFmtId="169" fontId="6" fillId="0" borderId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8" fillId="0" borderId="0"/>
    <xf numFmtId="0" fontId="6" fillId="0" borderId="0"/>
    <xf numFmtId="3" fontId="6" fillId="0" borderId="0"/>
    <xf numFmtId="3" fontId="6" fillId="0" borderId="0"/>
    <xf numFmtId="0" fontId="18" fillId="0" borderId="0"/>
    <xf numFmtId="0" fontId="19" fillId="0" borderId="0">
      <alignment horizontal="left"/>
    </xf>
    <xf numFmtId="0" fontId="6" fillId="0" borderId="0"/>
    <xf numFmtId="0" fontId="20" fillId="0" borderId="0"/>
    <xf numFmtId="0" fontId="18" fillId="0" borderId="0"/>
    <xf numFmtId="0" fontId="21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70" fontId="21" fillId="0" borderId="0"/>
    <xf numFmtId="171" fontId="21" fillId="0" borderId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0" fontId="6" fillId="0" borderId="0" applyFill="0" applyBorder="0" applyAlignment="0" applyProtection="0"/>
    <xf numFmtId="170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70" fontId="6" fillId="0" borderId="0" applyFill="0" applyBorder="0" applyAlignment="0" applyProtection="0"/>
    <xf numFmtId="170" fontId="6" fillId="0" borderId="0" applyFill="0" applyBorder="0" applyAlignment="0" applyProtection="0"/>
    <xf numFmtId="0" fontId="23" fillId="0" borderId="59" applyNumberFormat="0" applyFill="0" applyAlignment="0" applyProtection="0"/>
    <xf numFmtId="0" fontId="23" fillId="0" borderId="59" applyNumberFormat="0" applyFill="0" applyAlignment="0" applyProtection="0"/>
    <xf numFmtId="0" fontId="23" fillId="0" borderId="59" applyNumberFormat="0" applyFill="0" applyAlignment="0" applyProtection="0"/>
    <xf numFmtId="0" fontId="23" fillId="0" borderId="60" applyNumberFormat="0" applyFill="0" applyAlignment="0" applyProtection="0"/>
    <xf numFmtId="0" fontId="23" fillId="0" borderId="59" applyNumberFormat="0" applyFill="0" applyAlignment="0" applyProtection="0"/>
    <xf numFmtId="17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0" fontId="18" fillId="0" borderId="0" applyFill="0" applyBorder="0" applyAlignment="0" applyProtection="0"/>
    <xf numFmtId="170" fontId="2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6" fillId="0" borderId="0"/>
    <xf numFmtId="0" fontId="17" fillId="0" borderId="0">
      <alignment horizontal="left" vertical="top"/>
    </xf>
  </cellStyleXfs>
  <cellXfs count="107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2" fillId="0" borderId="30" xfId="0" applyFont="1" applyBorder="1" applyAlignment="1">
      <alignment horizontal="center" vertical="center"/>
    </xf>
    <xf numFmtId="0" fontId="2" fillId="0" borderId="22" xfId="0" applyFont="1" applyBorder="1" applyAlignment="1">
      <alignment vertical="center" wrapText="1"/>
    </xf>
    <xf numFmtId="0" fontId="1" fillId="0" borderId="22" xfId="0" applyFont="1" applyBorder="1" applyAlignment="1">
      <alignment horizontal="justify" vertical="center" wrapText="1"/>
    </xf>
    <xf numFmtId="0" fontId="2" fillId="0" borderId="22" xfId="0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" fontId="4" fillId="3" borderId="4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4" fillId="3" borderId="12" xfId="0" quotePrefix="1" applyNumberFormat="1" applyFont="1" applyFill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4" fontId="5" fillId="2" borderId="12" xfId="0" applyNumberFormat="1" applyFont="1" applyFill="1" applyBorder="1" applyAlignment="1">
      <alignment horizontal="center" vertical="center"/>
    </xf>
    <xf numFmtId="4" fontId="4" fillId="3" borderId="47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4" fontId="5" fillId="3" borderId="12" xfId="6" applyNumberFormat="1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4" fontId="5" fillId="0" borderId="22" xfId="4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3" borderId="12" xfId="0" applyNumberFormat="1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4" fontId="6" fillId="0" borderId="22" xfId="0" applyNumberFormat="1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left" vertical="center"/>
    </xf>
    <xf numFmtId="0" fontId="5" fillId="3" borderId="48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24" fillId="0" borderId="0" xfId="0" applyFont="1"/>
    <xf numFmtId="0" fontId="5" fillId="5" borderId="12" xfId="0" applyFont="1" applyFill="1" applyBorder="1" applyAlignment="1">
      <alignment horizontal="center" vertical="center" wrapText="1"/>
    </xf>
    <xf numFmtId="0" fontId="5" fillId="5" borderId="29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  <xf numFmtId="0" fontId="6" fillId="0" borderId="57" xfId="0" applyFont="1" applyBorder="1" applyAlignment="1">
      <alignment horizontal="center" vertical="center"/>
    </xf>
    <xf numFmtId="0" fontId="6" fillId="0" borderId="53" xfId="0" applyFont="1" applyBorder="1" applyAlignment="1">
      <alignment horizontal="left" vertical="center" wrapText="1"/>
    </xf>
    <xf numFmtId="10" fontId="11" fillId="0" borderId="25" xfId="0" applyNumberFormat="1" applyFont="1" applyBorder="1" applyAlignment="1">
      <alignment horizontal="center" vertical="center"/>
    </xf>
    <xf numFmtId="0" fontId="6" fillId="0" borderId="54" xfId="0" applyFont="1" applyBorder="1" applyAlignment="1">
      <alignment horizontal="left" vertical="center" wrapText="1"/>
    </xf>
    <xf numFmtId="10" fontId="11" fillId="0" borderId="23" xfId="0" applyNumberFormat="1" applyFont="1" applyBorder="1" applyAlignment="1">
      <alignment horizontal="center" vertical="center"/>
    </xf>
    <xf numFmtId="0" fontId="6" fillId="0" borderId="51" xfId="0" applyFont="1" applyBorder="1" applyAlignment="1">
      <alignment horizontal="left" vertical="center" wrapText="1"/>
    </xf>
    <xf numFmtId="10" fontId="11" fillId="0" borderId="41" xfId="0" applyNumberFormat="1" applyFont="1" applyBorder="1" applyAlignment="1">
      <alignment horizontal="center" vertical="center"/>
    </xf>
    <xf numFmtId="10" fontId="11" fillId="0" borderId="2" xfId="0" applyNumberFormat="1" applyFont="1" applyBorder="1" applyAlignment="1">
      <alignment horizontal="center" vertical="center"/>
    </xf>
    <xf numFmtId="10" fontId="5" fillId="3" borderId="12" xfId="0" applyNumberFormat="1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6" fillId="0" borderId="7" xfId="0" applyFont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4" fontId="1" fillId="0" borderId="22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4" fontId="5" fillId="3" borderId="12" xfId="0" applyNumberFormat="1" applyFont="1" applyFill="1" applyBorder="1" applyAlignment="1">
      <alignment horizontal="center" vertical="center" wrapText="1"/>
    </xf>
    <xf numFmtId="4" fontId="6" fillId="4" borderId="22" xfId="4" applyNumberFormat="1" applyFont="1" applyFill="1" applyBorder="1" applyAlignment="1">
      <alignment horizontal="center" vertical="center"/>
    </xf>
    <xf numFmtId="10" fontId="5" fillId="3" borderId="9" xfId="0" applyNumberFormat="1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4" fontId="2" fillId="0" borderId="22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vertical="center"/>
    </xf>
    <xf numFmtId="10" fontId="11" fillId="9" borderId="23" xfId="0" applyNumberFormat="1" applyFont="1" applyFill="1" applyBorder="1" applyAlignment="1">
      <alignment horizontal="center" vertical="center"/>
    </xf>
    <xf numFmtId="10" fontId="11" fillId="9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/>
    </xf>
    <xf numFmtId="4" fontId="6" fillId="0" borderId="0" xfId="4" applyNumberFormat="1" applyFont="1" applyFill="1" applyAlignment="1">
      <alignment horizontal="center" vertical="center"/>
    </xf>
    <xf numFmtId="4" fontId="5" fillId="0" borderId="0" xfId="4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4" fontId="2" fillId="4" borderId="22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4" fontId="6" fillId="0" borderId="22" xfId="4" applyNumberFormat="1" applyFont="1" applyFill="1" applyBorder="1" applyAlignment="1">
      <alignment horizontal="center" vertical="center"/>
    </xf>
    <xf numFmtId="9" fontId="5" fillId="3" borderId="12" xfId="0" applyNumberFormat="1" applyFont="1" applyFill="1" applyBorder="1" applyAlignment="1">
      <alignment horizontal="center" vertical="center" wrapText="1"/>
    </xf>
    <xf numFmtId="0" fontId="6" fillId="0" borderId="62" xfId="87" applyFont="1" applyFill="1" applyBorder="1" applyAlignment="1">
      <alignment horizontal="left" vertical="center"/>
    </xf>
    <xf numFmtId="0" fontId="6" fillId="0" borderId="40" xfId="0" applyFont="1" applyFill="1" applyBorder="1" applyAlignment="1">
      <alignment vertical="center"/>
    </xf>
    <xf numFmtId="0" fontId="6" fillId="0" borderId="0" xfId="87" applyFont="1" applyFill="1" applyAlignment="1">
      <alignment vertical="center"/>
    </xf>
    <xf numFmtId="0" fontId="6" fillId="0" borderId="0" xfId="87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63" xfId="87" applyFont="1" applyFill="1" applyBorder="1" applyAlignment="1">
      <alignment horizontal="left" vertical="center"/>
    </xf>
    <xf numFmtId="0" fontId="6" fillId="0" borderId="8" xfId="0" applyFont="1" applyFill="1" applyBorder="1" applyAlignment="1">
      <alignment vertical="center"/>
    </xf>
    <xf numFmtId="0" fontId="6" fillId="0" borderId="64" xfId="0" applyFont="1" applyFill="1" applyBorder="1" applyAlignment="1">
      <alignment vertical="center"/>
    </xf>
    <xf numFmtId="0" fontId="6" fillId="0" borderId="62" xfId="0" applyFont="1" applyFill="1" applyBorder="1" applyAlignment="1">
      <alignment vertical="center"/>
    </xf>
    <xf numFmtId="4" fontId="5" fillId="0" borderId="0" xfId="88" applyNumberFormat="1" applyFont="1" applyBorder="1" applyAlignment="1">
      <alignment horizontal="center" vertical="center"/>
    </xf>
    <xf numFmtId="4" fontId="6" fillId="0" borderId="0" xfId="88" applyNumberFormat="1" applyFont="1" applyBorder="1" applyAlignment="1">
      <alignment horizontal="center" vertical="center" wrapText="1"/>
    </xf>
    <xf numFmtId="4" fontId="6" fillId="0" borderId="0" xfId="88" applyNumberFormat="1" applyFont="1" applyBorder="1" applyAlignment="1">
      <alignment horizontal="right" vertical="center" wrapText="1"/>
    </xf>
    <xf numFmtId="0" fontId="6" fillId="0" borderId="0" xfId="88" applyFont="1" applyBorder="1" applyAlignment="1">
      <alignment vertical="center" wrapText="1"/>
    </xf>
    <xf numFmtId="4" fontId="5" fillId="0" borderId="0" xfId="88" applyNumberFormat="1" applyFont="1" applyBorder="1" applyAlignment="1">
      <alignment horizontal="center" vertical="center" wrapText="1"/>
    </xf>
    <xf numFmtId="0" fontId="3" fillId="3" borderId="66" xfId="88" applyFont="1" applyFill="1" applyBorder="1" applyAlignment="1" applyProtection="1">
      <alignment horizontal="center" vertical="center"/>
    </xf>
    <xf numFmtId="4" fontId="3" fillId="3" borderId="66" xfId="88" applyNumberFormat="1" applyFont="1" applyFill="1" applyBorder="1" applyAlignment="1" applyProtection="1">
      <alignment horizontal="center" vertical="center"/>
    </xf>
    <xf numFmtId="0" fontId="1" fillId="0" borderId="0" xfId="88" applyFont="1" applyAlignment="1" applyProtection="1">
      <alignment horizontal="center" vertical="center"/>
    </xf>
    <xf numFmtId="0" fontId="1" fillId="0" borderId="67" xfId="88" quotePrefix="1" applyFont="1" applyBorder="1" applyAlignment="1" applyProtection="1">
      <alignment horizontal="left" vertical="center"/>
    </xf>
    <xf numFmtId="0" fontId="1" fillId="0" borderId="68" xfId="88" applyFont="1" applyBorder="1" applyAlignment="1" applyProtection="1">
      <alignment horizontal="center" vertical="center"/>
    </xf>
    <xf numFmtId="4" fontId="1" fillId="0" borderId="68" xfId="88" applyNumberFormat="1" applyFont="1" applyBorder="1" applyAlignment="1" applyProtection="1">
      <alignment horizontal="right" vertical="center"/>
    </xf>
    <xf numFmtId="0" fontId="1" fillId="0" borderId="0" xfId="88" applyFont="1" applyAlignment="1" applyProtection="1">
      <alignment horizontal="left" vertical="top"/>
    </xf>
    <xf numFmtId="0" fontId="1" fillId="0" borderId="70" xfId="88" quotePrefix="1" applyFont="1" applyBorder="1" applyAlignment="1" applyProtection="1">
      <alignment horizontal="left" vertical="center"/>
    </xf>
    <xf numFmtId="0" fontId="1" fillId="0" borderId="61" xfId="88" applyFont="1" applyBorder="1" applyAlignment="1" applyProtection="1">
      <alignment horizontal="center" vertical="center"/>
    </xf>
    <xf numFmtId="4" fontId="1" fillId="0" borderId="61" xfId="88" applyNumberFormat="1" applyFont="1" applyBorder="1" applyAlignment="1" applyProtection="1">
      <alignment horizontal="right" vertical="center"/>
    </xf>
    <xf numFmtId="4" fontId="1" fillId="0" borderId="72" xfId="88" applyNumberFormat="1" applyFont="1" applyBorder="1" applyAlignment="1" applyProtection="1">
      <alignment horizontal="right" vertical="center"/>
    </xf>
    <xf numFmtId="0" fontId="5" fillId="8" borderId="73" xfId="0" applyFont="1" applyFill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 wrapText="1"/>
    </xf>
    <xf numFmtId="10" fontId="11" fillId="9" borderId="25" xfId="0" applyNumberFormat="1" applyFont="1" applyFill="1" applyBorder="1" applyAlignment="1">
      <alignment horizontal="center" vertical="center"/>
    </xf>
    <xf numFmtId="0" fontId="6" fillId="0" borderId="65" xfId="87" applyFont="1" applyFill="1" applyBorder="1" applyAlignment="1">
      <alignment horizontal="left" vertical="center"/>
    </xf>
    <xf numFmtId="0" fontId="6" fillId="0" borderId="8" xfId="87" applyFont="1" applyFill="1" applyBorder="1" applyAlignment="1">
      <alignment horizontal="left" vertical="center"/>
    </xf>
    <xf numFmtId="4" fontId="6" fillId="0" borderId="3" xfId="6" applyNumberFormat="1" applyFont="1" applyFill="1" applyBorder="1" applyAlignment="1">
      <alignment horizontal="center" vertical="center" wrapText="1"/>
    </xf>
    <xf numFmtId="4" fontId="6" fillId="0" borderId="3" xfId="6" applyNumberFormat="1" applyFont="1" applyFill="1" applyBorder="1" applyAlignment="1">
      <alignment horizontal="left" vertical="center" wrapText="1"/>
    </xf>
    <xf numFmtId="3" fontId="6" fillId="7" borderId="44" xfId="6" applyFont="1" applyFill="1" applyBorder="1" applyAlignment="1">
      <alignment horizontal="right" vertical="center" wrapText="1"/>
    </xf>
    <xf numFmtId="3" fontId="6" fillId="7" borderId="0" xfId="6" applyFont="1" applyFill="1" applyBorder="1" applyAlignment="1">
      <alignment horizontal="right" vertical="center" wrapText="1"/>
    </xf>
    <xf numFmtId="4" fontId="6" fillId="7" borderId="0" xfId="6" applyNumberFormat="1" applyFont="1" applyFill="1" applyBorder="1" applyAlignment="1">
      <alignment horizontal="left" vertical="center" wrapText="1"/>
    </xf>
    <xf numFmtId="4" fontId="6" fillId="7" borderId="0" xfId="6" applyNumberFormat="1" applyFont="1" applyFill="1" applyBorder="1" applyAlignment="1">
      <alignment horizontal="center" vertical="center" wrapText="1"/>
    </xf>
    <xf numFmtId="4" fontId="6" fillId="7" borderId="5" xfId="6" applyNumberFormat="1" applyFont="1" applyFill="1" applyBorder="1" applyAlignment="1">
      <alignment horizontal="center" vertical="center" wrapText="1"/>
    </xf>
    <xf numFmtId="3" fontId="5" fillId="0" borderId="0" xfId="6" applyFont="1" applyFill="1" applyBorder="1" applyAlignment="1">
      <alignment horizontal="right" vertical="center" wrapText="1"/>
    </xf>
    <xf numFmtId="3" fontId="5" fillId="0" borderId="0" xfId="6" applyFont="1" applyFill="1" applyBorder="1" applyAlignment="1">
      <alignment horizontal="center" vertical="center" wrapText="1"/>
    </xf>
    <xf numFmtId="4" fontId="5" fillId="0" borderId="0" xfId="6" applyNumberFormat="1" applyFont="1" applyFill="1" applyBorder="1" applyAlignment="1">
      <alignment horizontal="center" vertical="center" wrapText="1"/>
    </xf>
    <xf numFmtId="167" fontId="5" fillId="2" borderId="28" xfId="6" applyNumberFormat="1" applyFont="1" applyFill="1" applyBorder="1" applyAlignment="1">
      <alignment horizontal="center" vertical="center" wrapText="1"/>
    </xf>
    <xf numFmtId="4" fontId="5" fillId="2" borderId="12" xfId="6" applyNumberFormat="1" applyFont="1" applyFill="1" applyBorder="1" applyAlignment="1">
      <alignment horizontal="center" vertical="center" wrapText="1"/>
    </xf>
    <xf numFmtId="4" fontId="6" fillId="7" borderId="3" xfId="6" applyNumberFormat="1" applyFont="1" applyFill="1" applyBorder="1" applyAlignment="1">
      <alignment horizontal="left" vertical="center" wrapText="1"/>
    </xf>
    <xf numFmtId="0" fontId="2" fillId="0" borderId="42" xfId="0" quotePrefix="1" applyFont="1" applyBorder="1" applyAlignment="1">
      <alignment horizontal="center" vertical="center"/>
    </xf>
    <xf numFmtId="0" fontId="2" fillId="0" borderId="30" xfId="0" quotePrefix="1" applyFont="1" applyBorder="1" applyAlignment="1">
      <alignment horizontal="center" vertical="center"/>
    </xf>
    <xf numFmtId="4" fontId="6" fillId="0" borderId="22" xfId="4" applyNumberFormat="1" applyFont="1" applyBorder="1" applyAlignment="1">
      <alignment horizontal="center" vertical="center"/>
    </xf>
    <xf numFmtId="0" fontId="5" fillId="3" borderId="48" xfId="0" applyFont="1" applyFill="1" applyBorder="1" applyAlignment="1">
      <alignment horizontal="left" vertical="center"/>
    </xf>
    <xf numFmtId="0" fontId="5" fillId="3" borderId="65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4" fontId="6" fillId="0" borderId="22" xfId="0" applyNumberFormat="1" applyFont="1" applyFill="1" applyBorder="1" applyAlignment="1">
      <alignment horizontal="center" vertical="center"/>
    </xf>
    <xf numFmtId="4" fontId="5" fillId="0" borderId="22" xfId="4" applyNumberFormat="1" applyFont="1" applyFill="1" applyBorder="1" applyAlignment="1">
      <alignment horizontal="center" vertical="center"/>
    </xf>
    <xf numFmtId="0" fontId="6" fillId="0" borderId="74" xfId="0" applyFont="1" applyFill="1" applyBorder="1" applyAlignment="1">
      <alignment horizontal="center" vertical="center"/>
    </xf>
    <xf numFmtId="0" fontId="6" fillId="0" borderId="74" xfId="0" applyFont="1" applyFill="1" applyBorder="1" applyAlignment="1">
      <alignment horizontal="center" vertical="center" wrapText="1"/>
    </xf>
    <xf numFmtId="0" fontId="5" fillId="0" borderId="74" xfId="0" applyFont="1" applyFill="1" applyBorder="1" applyAlignment="1">
      <alignment horizontal="center" vertical="center" wrapText="1"/>
    </xf>
    <xf numFmtId="4" fontId="6" fillId="0" borderId="74" xfId="0" applyNumberFormat="1" applyFont="1" applyFill="1" applyBorder="1" applyAlignment="1">
      <alignment horizontal="center" vertical="center"/>
    </xf>
    <xf numFmtId="4" fontId="6" fillId="0" borderId="74" xfId="4" applyNumberFormat="1" applyFont="1" applyFill="1" applyBorder="1" applyAlignment="1">
      <alignment horizontal="center" vertical="center"/>
    </xf>
    <xf numFmtId="4" fontId="5" fillId="0" borderId="74" xfId="4" applyNumberFormat="1" applyFont="1" applyFill="1" applyBorder="1" applyAlignment="1">
      <alignment horizontal="center" vertical="center"/>
    </xf>
    <xf numFmtId="0" fontId="6" fillId="0" borderId="75" xfId="0" applyFont="1" applyFill="1" applyBorder="1" applyAlignment="1">
      <alignment horizontal="center" vertical="center"/>
    </xf>
    <xf numFmtId="0" fontId="6" fillId="0" borderId="75" xfId="0" applyFont="1" applyFill="1" applyBorder="1" applyAlignment="1">
      <alignment horizontal="center" vertical="center" wrapText="1"/>
    </xf>
    <xf numFmtId="0" fontId="5" fillId="0" borderId="75" xfId="0" applyFont="1" applyFill="1" applyBorder="1" applyAlignment="1">
      <alignment horizontal="center" vertical="center" wrapText="1"/>
    </xf>
    <xf numFmtId="4" fontId="6" fillId="0" borderId="75" xfId="0" applyNumberFormat="1" applyFont="1" applyFill="1" applyBorder="1" applyAlignment="1">
      <alignment horizontal="center" vertical="center"/>
    </xf>
    <xf numFmtId="4" fontId="6" fillId="0" borderId="75" xfId="4" applyNumberFormat="1" applyFont="1" applyFill="1" applyBorder="1" applyAlignment="1">
      <alignment horizontal="center" vertical="center"/>
    </xf>
    <xf numFmtId="4" fontId="5" fillId="0" borderId="75" xfId="4" applyNumberFormat="1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74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74" xfId="0" applyFont="1" applyBorder="1" applyAlignment="1">
      <alignment horizontal="center" vertical="center" wrapText="1"/>
    </xf>
    <xf numFmtId="4" fontId="6" fillId="0" borderId="74" xfId="0" applyNumberFormat="1" applyFont="1" applyBorder="1" applyAlignment="1">
      <alignment horizontal="center" vertical="center"/>
    </xf>
    <xf numFmtId="4" fontId="6" fillId="4" borderId="74" xfId="4" applyNumberFormat="1" applyFont="1" applyFill="1" applyBorder="1" applyAlignment="1">
      <alignment horizontal="center" vertical="center"/>
    </xf>
    <xf numFmtId="4" fontId="6" fillId="0" borderId="74" xfId="4" applyNumberFormat="1" applyFont="1" applyBorder="1" applyAlignment="1">
      <alignment horizontal="center" vertical="center"/>
    </xf>
    <xf numFmtId="4" fontId="5" fillId="0" borderId="74" xfId="4" applyNumberFormat="1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 wrapText="1"/>
    </xf>
    <xf numFmtId="0" fontId="5" fillId="0" borderId="75" xfId="0" applyFont="1" applyBorder="1" applyAlignment="1">
      <alignment horizontal="center" vertical="center" wrapText="1"/>
    </xf>
    <xf numFmtId="4" fontId="6" fillId="0" borderId="75" xfId="0" applyNumberFormat="1" applyFont="1" applyBorder="1" applyAlignment="1">
      <alignment horizontal="center" vertical="center"/>
    </xf>
    <xf numFmtId="4" fontId="6" fillId="4" borderId="75" xfId="4" applyNumberFormat="1" applyFont="1" applyFill="1" applyBorder="1" applyAlignment="1">
      <alignment horizontal="center" vertical="center"/>
    </xf>
    <xf numFmtId="4" fontId="6" fillId="0" borderId="75" xfId="4" applyNumberFormat="1" applyFont="1" applyBorder="1" applyAlignment="1">
      <alignment horizontal="center" vertical="center"/>
    </xf>
    <xf numFmtId="4" fontId="5" fillId="0" borderId="75" xfId="4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/>
    </xf>
    <xf numFmtId="4" fontId="6" fillId="0" borderId="12" xfId="4" applyNumberFormat="1" applyFont="1" applyBorder="1" applyAlignment="1">
      <alignment horizontal="center" vertical="center"/>
    </xf>
    <xf numFmtId="4" fontId="5" fillId="0" borderId="12" xfId="4" applyNumberFormat="1" applyFont="1" applyBorder="1" applyAlignment="1">
      <alignment horizontal="center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74" xfId="0" applyFont="1" applyFill="1" applyBorder="1" applyAlignment="1">
      <alignment horizontal="left" vertical="center"/>
    </xf>
    <xf numFmtId="0" fontId="6" fillId="0" borderId="75" xfId="0" applyFont="1" applyFill="1" applyBorder="1" applyAlignment="1">
      <alignment horizontal="left" vertical="center"/>
    </xf>
    <xf numFmtId="0" fontId="6" fillId="0" borderId="74" xfId="0" applyFont="1" applyBorder="1" applyAlignment="1">
      <alignment horizontal="left" vertical="center"/>
    </xf>
    <xf numFmtId="0" fontId="6" fillId="0" borderId="7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2" xfId="0" applyFont="1" applyFill="1" applyBorder="1" applyAlignment="1">
      <alignment horizontal="justify" vertical="center" wrapText="1"/>
    </xf>
    <xf numFmtId="0" fontId="6" fillId="0" borderId="74" xfId="0" applyFont="1" applyFill="1" applyBorder="1" applyAlignment="1">
      <alignment horizontal="justify" vertical="center" wrapText="1"/>
    </xf>
    <xf numFmtId="0" fontId="6" fillId="0" borderId="75" xfId="0" applyFont="1" applyFill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6" fillId="0" borderId="74" xfId="0" applyFont="1" applyBorder="1" applyAlignment="1">
      <alignment horizontal="justify" vertical="center" wrapText="1"/>
    </xf>
    <xf numFmtId="0" fontId="6" fillId="0" borderId="75" xfId="0" applyFont="1" applyBorder="1" applyAlignment="1">
      <alignment horizontal="justify" vertical="center" wrapText="1"/>
    </xf>
    <xf numFmtId="0" fontId="6" fillId="0" borderId="12" xfId="0" applyFont="1" applyBorder="1" applyAlignment="1">
      <alignment horizontal="justify" vertical="center" wrapText="1"/>
    </xf>
    <xf numFmtId="4" fontId="5" fillId="3" borderId="65" xfId="0" applyNumberFormat="1" applyFont="1" applyFill="1" applyBorder="1" applyAlignment="1">
      <alignment vertical="center"/>
    </xf>
    <xf numFmtId="4" fontId="5" fillId="3" borderId="4" xfId="0" applyNumberFormat="1" applyFont="1" applyFill="1" applyBorder="1" applyAlignment="1">
      <alignment vertical="center"/>
    </xf>
    <xf numFmtId="4" fontId="5" fillId="3" borderId="12" xfId="0" applyNumberFormat="1" applyFont="1" applyFill="1" applyBorder="1" applyAlignment="1">
      <alignment vertical="center"/>
    </xf>
    <xf numFmtId="4" fontId="5" fillId="3" borderId="7" xfId="0" applyNumberFormat="1" applyFont="1" applyFill="1" applyBorder="1" applyAlignment="1">
      <alignment vertical="center"/>
    </xf>
    <xf numFmtId="4" fontId="5" fillId="3" borderId="3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1" fontId="2" fillId="0" borderId="22" xfId="0" applyNumberFormat="1" applyFont="1" applyFill="1" applyBorder="1" applyAlignment="1">
      <alignment vertical="center" wrapText="1"/>
    </xf>
    <xf numFmtId="0" fontId="1" fillId="0" borderId="22" xfId="0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1" fontId="2" fillId="0" borderId="74" xfId="0" applyNumberFormat="1" applyFont="1" applyFill="1" applyBorder="1" applyAlignment="1">
      <alignment vertical="center" wrapText="1"/>
    </xf>
    <xf numFmtId="0" fontId="1" fillId="0" borderId="74" xfId="0" applyFont="1" applyFill="1" applyBorder="1" applyAlignment="1">
      <alignment horizontal="center" vertical="center" wrapText="1"/>
    </xf>
    <xf numFmtId="4" fontId="1" fillId="0" borderId="74" xfId="0" applyNumberFormat="1" applyFont="1" applyFill="1" applyBorder="1" applyAlignment="1">
      <alignment horizontal="center" vertical="center" wrapText="1"/>
    </xf>
    <xf numFmtId="4" fontId="2" fillId="0" borderId="74" xfId="0" applyNumberFormat="1" applyFont="1" applyFill="1" applyBorder="1" applyAlignment="1">
      <alignment horizontal="center" vertical="center"/>
    </xf>
    <xf numFmtId="1" fontId="2" fillId="0" borderId="75" xfId="0" applyNumberFormat="1" applyFont="1" applyFill="1" applyBorder="1" applyAlignment="1">
      <alignment vertical="center" wrapText="1"/>
    </xf>
    <xf numFmtId="0" fontId="1" fillId="0" borderId="75" xfId="0" applyFont="1" applyFill="1" applyBorder="1" applyAlignment="1">
      <alignment horizontal="center" vertical="center" wrapText="1"/>
    </xf>
    <xf numFmtId="4" fontId="2" fillId="0" borderId="75" xfId="0" applyNumberFormat="1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" fontId="1" fillId="0" borderId="74" xfId="0" applyNumberFormat="1" applyFont="1" applyFill="1" applyBorder="1" applyAlignment="1">
      <alignment horizontal="center" vertical="center"/>
    </xf>
    <xf numFmtId="0" fontId="1" fillId="0" borderId="75" xfId="0" applyFont="1" applyFill="1" applyBorder="1" applyAlignment="1">
      <alignment horizontal="left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4" fontId="1" fillId="0" borderId="7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justify" vertical="center"/>
    </xf>
    <xf numFmtId="0" fontId="2" fillId="0" borderId="74" xfId="0" applyFont="1" applyBorder="1" applyAlignment="1">
      <alignment horizontal="center" vertical="center"/>
    </xf>
    <xf numFmtId="0" fontId="2" fillId="0" borderId="74" xfId="0" applyFont="1" applyBorder="1" applyAlignment="1">
      <alignment horizontal="justify" vertical="center"/>
    </xf>
    <xf numFmtId="4" fontId="2" fillId="0" borderId="74" xfId="0" applyNumberFormat="1" applyFont="1" applyFill="1" applyBorder="1" applyAlignment="1">
      <alignment horizontal="center" vertical="center" wrapText="1"/>
    </xf>
    <xf numFmtId="4" fontId="2" fillId="4" borderId="74" xfId="0" applyNumberFormat="1" applyFont="1" applyFill="1" applyBorder="1" applyAlignment="1">
      <alignment horizontal="center" vertical="center"/>
    </xf>
    <xf numFmtId="0" fontId="6" fillId="0" borderId="74" xfId="0" applyFont="1" applyBorder="1" applyAlignment="1">
      <alignment horizontal="justify" vertical="center"/>
    </xf>
    <xf numFmtId="4" fontId="2" fillId="4" borderId="74" xfId="0" applyNumberFormat="1" applyFont="1" applyFill="1" applyBorder="1" applyAlignment="1">
      <alignment horizontal="center" vertical="center" wrapText="1"/>
    </xf>
    <xf numFmtId="0" fontId="1" fillId="0" borderId="74" xfId="0" applyFont="1" applyBorder="1" applyAlignment="1">
      <alignment horizontal="justify" vertical="center"/>
    </xf>
    <xf numFmtId="4" fontId="2" fillId="0" borderId="74" xfId="0" applyNumberFormat="1" applyFont="1" applyBorder="1" applyAlignment="1">
      <alignment horizontal="center" vertical="center"/>
    </xf>
    <xf numFmtId="0" fontId="2" fillId="0" borderId="74" xfId="0" applyFont="1" applyBorder="1" applyAlignment="1">
      <alignment vertical="center"/>
    </xf>
    <xf numFmtId="0" fontId="2" fillId="4" borderId="74" xfId="0" applyFont="1" applyFill="1" applyBorder="1" applyAlignment="1">
      <alignment horizontal="center" vertical="center"/>
    </xf>
    <xf numFmtId="0" fontId="2" fillId="4" borderId="74" xfId="0" applyFont="1" applyFill="1" applyBorder="1" applyAlignment="1">
      <alignment vertical="center"/>
    </xf>
    <xf numFmtId="0" fontId="2" fillId="0" borderId="75" xfId="0" applyFont="1" applyBorder="1" applyAlignment="1">
      <alignment horizontal="center" vertical="center"/>
    </xf>
    <xf numFmtId="0" fontId="2" fillId="0" borderId="75" xfId="0" applyFont="1" applyBorder="1" applyAlignment="1">
      <alignment horizontal="justify" vertical="center"/>
    </xf>
    <xf numFmtId="4" fontId="2" fillId="0" borderId="75" xfId="0" applyNumberFormat="1" applyFont="1" applyFill="1" applyBorder="1" applyAlignment="1">
      <alignment horizontal="center" vertical="center" wrapText="1"/>
    </xf>
    <xf numFmtId="4" fontId="2" fillId="0" borderId="75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horizontal="center" vertical="center"/>
    </xf>
    <xf numFmtId="0" fontId="1" fillId="0" borderId="7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174" fontId="6" fillId="0" borderId="42" xfId="0" quotePrefix="1" applyNumberFormat="1" applyFont="1" applyBorder="1" applyAlignment="1">
      <alignment horizontal="center" vertical="center"/>
    </xf>
    <xf numFmtId="174" fontId="6" fillId="0" borderId="30" xfId="0" quotePrefix="1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43" fontId="6" fillId="0" borderId="7" xfId="2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left" vertical="center" wrapText="1"/>
    </xf>
    <xf numFmtId="0" fontId="6" fillId="0" borderId="74" xfId="0" applyFont="1" applyFill="1" applyBorder="1" applyAlignment="1">
      <alignment horizontal="left" vertical="center" wrapText="1"/>
    </xf>
    <xf numFmtId="0" fontId="6" fillId="0" borderId="75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74" xfId="0" applyNumberFormat="1" applyFont="1" applyFill="1" applyBorder="1" applyAlignment="1">
      <alignment horizontal="center" vertical="center" wrapText="1"/>
    </xf>
    <xf numFmtId="0" fontId="6" fillId="0" borderId="75" xfId="0" applyNumberFormat="1" applyFont="1" applyFill="1" applyBorder="1" applyAlignment="1">
      <alignment horizontal="center" vertical="center" wrapText="1"/>
    </xf>
    <xf numFmtId="0" fontId="6" fillId="0" borderId="22" xfId="2" applyNumberFormat="1" applyFont="1" applyFill="1" applyBorder="1" applyAlignment="1">
      <alignment horizontal="center" vertical="center" wrapText="1"/>
    </xf>
    <xf numFmtId="0" fontId="6" fillId="0" borderId="74" xfId="2" applyNumberFormat="1" applyFont="1" applyFill="1" applyBorder="1" applyAlignment="1">
      <alignment horizontal="center" vertical="center" wrapText="1"/>
    </xf>
    <xf numFmtId="0" fontId="6" fillId="0" borderId="75" xfId="2" applyNumberFormat="1" applyFont="1" applyFill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6" fillId="0" borderId="0" xfId="0" quotePrefix="1" applyFont="1" applyAlignment="1">
      <alignment vertical="center"/>
    </xf>
    <xf numFmtId="0" fontId="1" fillId="0" borderId="74" xfId="0" applyFont="1" applyBorder="1" applyAlignment="1">
      <alignment horizontal="left" vertical="center"/>
    </xf>
    <xf numFmtId="0" fontId="1" fillId="4" borderId="74" xfId="0" applyFont="1" applyFill="1" applyBorder="1" applyAlignment="1">
      <alignment horizontal="justify" vertical="center" wrapText="1"/>
    </xf>
    <xf numFmtId="0" fontId="1" fillId="0" borderId="74" xfId="0" applyFont="1" applyBorder="1" applyAlignment="1">
      <alignment horizontal="justify" vertical="center" wrapText="1"/>
    </xf>
    <xf numFmtId="0" fontId="2" fillId="0" borderId="74" xfId="0" applyFont="1" applyBorder="1" applyAlignment="1">
      <alignment vertical="center" wrapText="1"/>
    </xf>
    <xf numFmtId="0" fontId="6" fillId="0" borderId="74" xfId="0" applyFont="1" applyBorder="1" applyAlignment="1">
      <alignment horizontal="left" vertical="center" wrapText="1"/>
    </xf>
    <xf numFmtId="0" fontId="1" fillId="0" borderId="75" xfId="0" applyFont="1" applyBorder="1" applyAlignment="1">
      <alignment horizontal="left" vertical="center"/>
    </xf>
    <xf numFmtId="0" fontId="1" fillId="0" borderId="75" xfId="0" applyFont="1" applyBorder="1" applyAlignment="1">
      <alignment vertical="center" wrapText="1"/>
    </xf>
    <xf numFmtId="4" fontId="2" fillId="0" borderId="75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left" vertical="center"/>
    </xf>
    <xf numFmtId="0" fontId="1" fillId="0" borderId="74" xfId="0" applyNumberFormat="1" applyFont="1" applyBorder="1" applyAlignment="1">
      <alignment horizontal="left" vertical="center"/>
    </xf>
    <xf numFmtId="0" fontId="1" fillId="0" borderId="75" xfId="0" applyNumberFormat="1" applyFont="1" applyBorder="1" applyAlignment="1">
      <alignment horizontal="left" vertical="center"/>
    </xf>
    <xf numFmtId="3" fontId="1" fillId="0" borderId="75" xfId="0" applyNumberFormat="1" applyFont="1" applyBorder="1" applyAlignment="1">
      <alignment horizontal="left" vertical="center"/>
    </xf>
    <xf numFmtId="0" fontId="2" fillId="0" borderId="55" xfId="0" quotePrefix="1" applyFont="1" applyBorder="1" applyAlignment="1">
      <alignment horizontal="center" vertical="center"/>
    </xf>
    <xf numFmtId="0" fontId="1" fillId="0" borderId="22" xfId="0" applyNumberFormat="1" applyFont="1" applyBorder="1" applyAlignment="1">
      <alignment horizontal="justify" vertical="center" wrapText="1"/>
    </xf>
    <xf numFmtId="0" fontId="1" fillId="0" borderId="23" xfId="0" applyNumberFormat="1" applyFont="1" applyBorder="1" applyAlignment="1">
      <alignment horizontal="left" vertical="center"/>
    </xf>
    <xf numFmtId="0" fontId="1" fillId="0" borderId="23" xfId="0" applyNumberFormat="1" applyFont="1" applyBorder="1" applyAlignment="1">
      <alignment horizontal="justify" vertical="center" wrapText="1"/>
    </xf>
    <xf numFmtId="0" fontId="1" fillId="0" borderId="24" xfId="0" applyNumberFormat="1" applyFont="1" applyBorder="1" applyAlignment="1">
      <alignment horizontal="justify" vertical="center" wrapText="1"/>
    </xf>
    <xf numFmtId="2" fontId="2" fillId="0" borderId="23" xfId="0" applyNumberFormat="1" applyFont="1" applyFill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4" fontId="4" fillId="6" borderId="12" xfId="0" applyNumberFormat="1" applyFont="1" applyFill="1" applyBorder="1" applyAlignment="1">
      <alignment horizontal="center" vertical="center"/>
    </xf>
    <xf numFmtId="0" fontId="1" fillId="0" borderId="75" xfId="0" applyFont="1" applyBorder="1" applyAlignment="1">
      <alignment horizontal="justify" vertical="center" wrapText="1"/>
    </xf>
    <xf numFmtId="4" fontId="2" fillId="4" borderId="75" xfId="0" applyNumberFormat="1" applyFont="1" applyFill="1" applyBorder="1" applyAlignment="1">
      <alignment horizontal="center" vertical="center"/>
    </xf>
    <xf numFmtId="174" fontId="2" fillId="0" borderId="30" xfId="0" quotePrefix="1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40" xfId="7" applyFont="1" applyFill="1" applyBorder="1" applyAlignment="1">
      <alignment horizontal="left" vertical="top"/>
    </xf>
    <xf numFmtId="0" fontId="6" fillId="0" borderId="8" xfId="7" applyFont="1" applyFill="1" applyBorder="1" applyAlignment="1">
      <alignment horizontal="left" vertical="top"/>
    </xf>
    <xf numFmtId="0" fontId="6" fillId="0" borderId="0" xfId="7" applyFont="1" applyFill="1" applyAlignment="1">
      <alignment horizontal="left" vertical="top"/>
    </xf>
    <xf numFmtId="0" fontId="6" fillId="0" borderId="0" xfId="7" applyFont="1" applyFill="1" applyBorder="1" applyAlignment="1">
      <alignment horizontal="left" vertical="top"/>
    </xf>
    <xf numFmtId="0" fontId="4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center" vertical="center"/>
    </xf>
    <xf numFmtId="0" fontId="6" fillId="0" borderId="65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4" fillId="3" borderId="32" xfId="0" applyFont="1" applyFill="1" applyBorder="1" applyAlignment="1">
      <alignment horizontal="center" vertical="center"/>
    </xf>
    <xf numFmtId="4" fontId="4" fillId="3" borderId="24" xfId="0" applyNumberFormat="1" applyFont="1" applyFill="1" applyBorder="1" applyAlignment="1">
      <alignment horizontal="center" vertical="center"/>
    </xf>
    <xf numFmtId="2" fontId="11" fillId="0" borderId="22" xfId="0" applyNumberFormat="1" applyFont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4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center" vertical="center" wrapText="1"/>
    </xf>
    <xf numFmtId="4" fontId="1" fillId="0" borderId="74" xfId="0" applyNumberFormat="1" applyFont="1" applyBorder="1" applyAlignment="1">
      <alignment horizontal="center" vertical="center"/>
    </xf>
    <xf numFmtId="4" fontId="1" fillId="0" borderId="75" xfId="0" applyNumberFormat="1" applyFont="1" applyBorder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4" borderId="74" xfId="0" applyFont="1" applyFill="1" applyBorder="1" applyAlignment="1">
      <alignment horizontal="justify" vertical="center" wrapText="1"/>
    </xf>
    <xf numFmtId="0" fontId="6" fillId="0" borderId="22" xfId="5" applyNumberFormat="1" applyFont="1" applyBorder="1" applyAlignment="1">
      <alignment horizontal="center" vertical="center"/>
    </xf>
    <xf numFmtId="0" fontId="6" fillId="0" borderId="74" xfId="5" applyNumberFormat="1" applyFont="1" applyBorder="1" applyAlignment="1">
      <alignment horizontal="center" vertical="center"/>
    </xf>
    <xf numFmtId="0" fontId="6" fillId="0" borderId="75" xfId="5" applyNumberFormat="1" applyFont="1" applyBorder="1" applyAlignment="1">
      <alignment horizontal="center" vertical="center"/>
    </xf>
    <xf numFmtId="0" fontId="5" fillId="3" borderId="12" xfId="8" applyFont="1" applyFill="1" applyBorder="1" applyAlignment="1">
      <alignment horizontal="center" vertical="center"/>
    </xf>
    <xf numFmtId="10" fontId="6" fillId="0" borderId="74" xfId="2" applyNumberFormat="1" applyFont="1" applyBorder="1" applyAlignment="1">
      <alignment horizontal="center" vertical="center"/>
    </xf>
    <xf numFmtId="10" fontId="4" fillId="2" borderId="12" xfId="3" applyNumberFormat="1" applyFont="1" applyFill="1" applyBorder="1" applyAlignment="1">
      <alignment horizontal="center" vertical="center"/>
    </xf>
    <xf numFmtId="10" fontId="2" fillId="0" borderId="12" xfId="3" applyNumberFormat="1" applyFont="1" applyBorder="1" applyAlignment="1">
      <alignment horizontal="center" vertical="center"/>
    </xf>
    <xf numFmtId="10" fontId="4" fillId="3" borderId="12" xfId="3" applyNumberFormat="1" applyFont="1" applyFill="1" applyBorder="1" applyAlignment="1">
      <alignment horizontal="center" vertical="center"/>
    </xf>
    <xf numFmtId="0" fontId="6" fillId="0" borderId="22" xfId="8" applyFont="1" applyBorder="1" applyAlignment="1">
      <alignment horizontal="left" vertical="center"/>
    </xf>
    <xf numFmtId="0" fontId="6" fillId="0" borderId="74" xfId="8" applyFont="1" applyBorder="1" applyAlignment="1">
      <alignment horizontal="left" vertical="center"/>
    </xf>
    <xf numFmtId="0" fontId="4" fillId="3" borderId="12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74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vertical="center"/>
    </xf>
    <xf numFmtId="0" fontId="2" fillId="0" borderId="74" xfId="0" applyFont="1" applyFill="1" applyBorder="1" applyAlignment="1">
      <alignment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7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/>
    </xf>
    <xf numFmtId="0" fontId="2" fillId="0" borderId="75" xfId="0" applyFont="1" applyBorder="1" applyAlignment="1">
      <alignment vertical="center" wrapText="1"/>
    </xf>
    <xf numFmtId="4" fontId="2" fillId="0" borderId="22" xfId="0" applyNumberFormat="1" applyFont="1" applyBorder="1" applyAlignment="1">
      <alignment horizontal="center"/>
    </xf>
    <xf numFmtId="4" fontId="2" fillId="0" borderId="75" xfId="0" applyNumberFormat="1" applyFont="1" applyBorder="1" applyAlignment="1">
      <alignment horizontal="center"/>
    </xf>
    <xf numFmtId="174" fontId="2" fillId="0" borderId="22" xfId="0" applyNumberFormat="1" applyFont="1" applyBorder="1" applyAlignment="1">
      <alignment horizontal="center" vertical="center"/>
    </xf>
    <xf numFmtId="174" fontId="2" fillId="0" borderId="74" xfId="0" applyNumberFormat="1" applyFont="1" applyBorder="1" applyAlignment="1">
      <alignment horizontal="center" vertical="center"/>
    </xf>
    <xf numFmtId="174" fontId="2" fillId="0" borderId="75" xfId="0" applyNumberFormat="1" applyFont="1" applyBorder="1" applyAlignment="1">
      <alignment horizontal="center" vertical="center"/>
    </xf>
    <xf numFmtId="0" fontId="2" fillId="0" borderId="22" xfId="0" applyFont="1" applyFill="1" applyBorder="1" applyAlignment="1">
      <alignment horizontal="left" vertical="center"/>
    </xf>
    <xf numFmtId="0" fontId="2" fillId="0" borderId="74" xfId="0" applyFont="1" applyFill="1" applyBorder="1" applyAlignment="1">
      <alignment horizontal="left" vertical="center"/>
    </xf>
    <xf numFmtId="0" fontId="2" fillId="0" borderId="75" xfId="0" applyFont="1" applyFill="1" applyBorder="1" applyAlignment="1">
      <alignment horizontal="left" vertical="center"/>
    </xf>
    <xf numFmtId="0" fontId="2" fillId="0" borderId="12" xfId="0" quotePrefix="1" applyFont="1" applyBorder="1" applyAlignment="1">
      <alignment horizontal="center" vertical="center"/>
    </xf>
    <xf numFmtId="0" fontId="2" fillId="0" borderId="74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5" fillId="2" borderId="48" xfId="0" applyFont="1" applyFill="1" applyBorder="1" applyAlignment="1">
      <alignment horizontal="left" vertical="center"/>
    </xf>
    <xf numFmtId="0" fontId="2" fillId="0" borderId="0" xfId="0" applyFont="1" applyFill="1"/>
    <xf numFmtId="174" fontId="2" fillId="0" borderId="12" xfId="0" quotePrefix="1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0" fontId="6" fillId="0" borderId="22" xfId="3" applyNumberFormat="1" applyFont="1" applyFill="1" applyBorder="1" applyAlignment="1">
      <alignment horizontal="center" vertical="top"/>
    </xf>
    <xf numFmtId="10" fontId="6" fillId="0" borderId="74" xfId="3" applyNumberFormat="1" applyFont="1" applyFill="1" applyBorder="1" applyAlignment="1">
      <alignment horizontal="center" vertical="top"/>
    </xf>
    <xf numFmtId="10" fontId="6" fillId="0" borderId="75" xfId="3" applyNumberFormat="1" applyFont="1" applyFill="1" applyBorder="1" applyAlignment="1">
      <alignment horizontal="center" vertical="top"/>
    </xf>
    <xf numFmtId="10" fontId="5" fillId="2" borderId="12" xfId="3" applyNumberFormat="1" applyFont="1" applyFill="1" applyBorder="1" applyAlignment="1">
      <alignment horizontal="center" vertical="center"/>
    </xf>
    <xf numFmtId="0" fontId="5" fillId="2" borderId="12" xfId="8" applyFont="1" applyFill="1" applyBorder="1" applyAlignment="1">
      <alignment horizontal="left" vertical="center"/>
    </xf>
    <xf numFmtId="0" fontId="2" fillId="4" borderId="75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left" vertical="center"/>
    </xf>
    <xf numFmtId="0" fontId="6" fillId="0" borderId="76" xfId="0" applyFont="1" applyFill="1" applyBorder="1" applyAlignment="1">
      <alignment horizontal="justify" vertical="center" wrapText="1"/>
    </xf>
    <xf numFmtId="0" fontId="6" fillId="0" borderId="76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center" wrapText="1"/>
    </xf>
    <xf numFmtId="0" fontId="6" fillId="0" borderId="7" xfId="0" applyFont="1" applyFill="1" applyBorder="1" applyAlignment="1">
      <alignment horizontal="center" vertical="center"/>
    </xf>
    <xf numFmtId="174" fontId="6" fillId="0" borderId="42" xfId="0" quotePrefix="1" applyNumberFormat="1" applyFont="1" applyFill="1" applyBorder="1" applyAlignment="1">
      <alignment horizontal="center" vertical="center"/>
    </xf>
    <xf numFmtId="174" fontId="6" fillId="0" borderId="30" xfId="0" quotePrefix="1" applyNumberFormat="1" applyFont="1" applyFill="1" applyBorder="1" applyAlignment="1">
      <alignment horizontal="center" vertical="center"/>
    </xf>
    <xf numFmtId="174" fontId="6" fillId="0" borderId="44" xfId="0" quotePrefix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4" fontId="2" fillId="0" borderId="0" xfId="0" applyNumberFormat="1" applyFont="1" applyFill="1"/>
    <xf numFmtId="0" fontId="3" fillId="2" borderId="12" xfId="0" applyFont="1" applyFill="1" applyBorder="1" applyAlignment="1">
      <alignment vertical="center"/>
    </xf>
    <xf numFmtId="4" fontId="6" fillId="0" borderId="22" xfId="1" applyNumberFormat="1" applyFont="1" applyBorder="1" applyAlignment="1">
      <alignment horizontal="center" vertical="center"/>
    </xf>
    <xf numFmtId="4" fontId="6" fillId="0" borderId="74" xfId="1" applyNumberFormat="1" applyFont="1" applyBorder="1" applyAlignment="1">
      <alignment horizontal="center" vertical="center"/>
    </xf>
    <xf numFmtId="4" fontId="5" fillId="3" borderId="12" xfId="1" applyNumberFormat="1" applyFont="1" applyFill="1" applyBorder="1" applyAlignment="1">
      <alignment horizontal="center" vertical="center"/>
    </xf>
    <xf numFmtId="4" fontId="6" fillId="0" borderId="22" xfId="1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6" fillId="0" borderId="22" xfId="1" applyFont="1" applyBorder="1" applyAlignment="1">
      <alignment horizontal="justify" vertical="center" wrapText="1"/>
    </xf>
    <xf numFmtId="0" fontId="6" fillId="0" borderId="74" xfId="1" applyFont="1" applyBorder="1" applyAlignment="1">
      <alignment horizontal="justify" vertical="center" wrapText="1"/>
    </xf>
    <xf numFmtId="0" fontId="2" fillId="0" borderId="22" xfId="0" applyFont="1" applyFill="1" applyBorder="1" applyAlignment="1">
      <alignment horizontal="justify" vertical="center" wrapText="1"/>
    </xf>
    <xf numFmtId="0" fontId="2" fillId="0" borderId="74" xfId="0" applyFont="1" applyFill="1" applyBorder="1" applyAlignment="1">
      <alignment horizontal="justify" vertical="center" wrapText="1"/>
    </xf>
    <xf numFmtId="0" fontId="1" fillId="0" borderId="74" xfId="0" applyFont="1" applyFill="1" applyBorder="1" applyAlignment="1">
      <alignment vertical="center"/>
    </xf>
    <xf numFmtId="4" fontId="6" fillId="0" borderId="74" xfId="1" applyNumberFormat="1" applyFont="1" applyFill="1" applyBorder="1" applyAlignment="1">
      <alignment horizontal="center" vertical="center"/>
    </xf>
    <xf numFmtId="4" fontId="1" fillId="0" borderId="22" xfId="0" applyNumberFormat="1" applyFont="1" applyFill="1" applyBorder="1" applyAlignment="1">
      <alignment horizontal="center" vertical="center"/>
    </xf>
    <xf numFmtId="4" fontId="6" fillId="4" borderId="22" xfId="0" quotePrefix="1" applyNumberFormat="1" applyFont="1" applyFill="1" applyBorder="1" applyAlignment="1">
      <alignment horizontal="center" vertical="center" wrapText="1"/>
    </xf>
    <xf numFmtId="4" fontId="6" fillId="4" borderId="75" xfId="0" quotePrefix="1" applyNumberFormat="1" applyFont="1" applyFill="1" applyBorder="1" applyAlignment="1">
      <alignment horizontal="center" vertical="center" wrapText="1"/>
    </xf>
    <xf numFmtId="4" fontId="2" fillId="4" borderId="75" xfId="0" applyNumberFormat="1" applyFont="1" applyFill="1" applyBorder="1" applyAlignment="1">
      <alignment horizontal="center" vertical="center" wrapText="1"/>
    </xf>
    <xf numFmtId="0" fontId="6" fillId="0" borderId="77" xfId="0" applyFont="1" applyBorder="1" applyAlignment="1">
      <alignment horizontal="center" vertical="center"/>
    </xf>
    <xf numFmtId="174" fontId="6" fillId="4" borderId="22" xfId="0" applyNumberFormat="1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left" vertical="center" wrapText="1"/>
    </xf>
    <xf numFmtId="10" fontId="6" fillId="0" borderId="22" xfId="0" applyNumberFormat="1" applyFont="1" applyBorder="1" applyAlignment="1">
      <alignment horizontal="center" vertical="center" wrapText="1"/>
    </xf>
    <xf numFmtId="174" fontId="6" fillId="4" borderId="78" xfId="0" applyNumberFormat="1" applyFont="1" applyFill="1" applyBorder="1" applyAlignment="1">
      <alignment horizontal="center" vertical="center" wrapText="1"/>
    </xf>
    <xf numFmtId="0" fontId="6" fillId="4" borderId="78" xfId="0" applyFont="1" applyFill="1" applyBorder="1" applyAlignment="1">
      <alignment horizontal="left" vertical="center" wrapText="1"/>
    </xf>
    <xf numFmtId="10" fontId="6" fillId="0" borderId="78" xfId="0" applyNumberFormat="1" applyFont="1" applyBorder="1" applyAlignment="1">
      <alignment horizontal="center" vertical="center" wrapText="1"/>
    </xf>
    <xf numFmtId="174" fontId="6" fillId="4" borderId="75" xfId="0" applyNumberFormat="1" applyFont="1" applyFill="1" applyBorder="1" applyAlignment="1">
      <alignment horizontal="center" vertical="center" wrapText="1"/>
    </xf>
    <xf numFmtId="0" fontId="6" fillId="4" borderId="75" xfId="0" applyFont="1" applyFill="1" applyBorder="1" applyAlignment="1">
      <alignment horizontal="left" vertical="center" wrapText="1"/>
    </xf>
    <xf numFmtId="10" fontId="6" fillId="0" borderId="75" xfId="0" applyNumberFormat="1" applyFont="1" applyBorder="1" applyAlignment="1">
      <alignment horizontal="center" vertical="center" wrapText="1"/>
    </xf>
    <xf numFmtId="3" fontId="5" fillId="6" borderId="22" xfId="6" applyFont="1" applyFill="1" applyBorder="1" applyAlignment="1">
      <alignment horizontal="center" vertical="center" wrapText="1"/>
    </xf>
    <xf numFmtId="166" fontId="5" fillId="6" borderId="22" xfId="6" applyNumberFormat="1" applyFont="1" applyFill="1" applyBorder="1" applyAlignment="1">
      <alignment horizontal="center" vertical="center" wrapText="1"/>
    </xf>
    <xf numFmtId="2" fontId="5" fillId="6" borderId="22" xfId="6" applyNumberFormat="1" applyFont="1" applyFill="1" applyBorder="1" applyAlignment="1">
      <alignment horizontal="center" vertical="center" wrapText="1"/>
    </xf>
    <xf numFmtId="0" fontId="6" fillId="0" borderId="74" xfId="6" applyNumberFormat="1" applyFont="1" applyBorder="1" applyAlignment="1">
      <alignment horizontal="justify" vertical="center" wrapText="1"/>
    </xf>
    <xf numFmtId="3" fontId="6" fillId="7" borderId="74" xfId="6" applyFont="1" applyFill="1" applyBorder="1" applyAlignment="1">
      <alignment horizontal="center" vertical="center" wrapText="1"/>
    </xf>
    <xf numFmtId="4" fontId="6" fillId="0" borderId="74" xfId="6" applyNumberFormat="1" applyFont="1" applyBorder="1" applyAlignment="1">
      <alignment horizontal="center" vertical="center" wrapText="1"/>
    </xf>
    <xf numFmtId="4" fontId="6" fillId="7" borderId="74" xfId="6" applyNumberFormat="1" applyFont="1" applyFill="1" applyBorder="1" applyAlignment="1">
      <alignment horizontal="center" vertical="center" wrapText="1"/>
    </xf>
    <xf numFmtId="3" fontId="6" fillId="4" borderId="74" xfId="6" applyFont="1" applyFill="1" applyBorder="1" applyAlignment="1">
      <alignment horizontal="center" vertical="center" wrapText="1"/>
    </xf>
    <xf numFmtId="4" fontId="6" fillId="4" borderId="74" xfId="6" applyNumberFormat="1" applyFont="1" applyFill="1" applyBorder="1" applyAlignment="1">
      <alignment horizontal="center" vertical="center" wrapText="1"/>
    </xf>
    <xf numFmtId="4" fontId="5" fillId="6" borderId="75" xfId="6" applyNumberFormat="1" applyFont="1" applyFill="1" applyBorder="1" applyAlignment="1">
      <alignment horizontal="center" vertical="center" wrapText="1"/>
    </xf>
    <xf numFmtId="166" fontId="5" fillId="6" borderId="22" xfId="6" applyNumberFormat="1" applyFont="1" applyFill="1" applyBorder="1" applyAlignment="1">
      <alignment horizontal="right" vertical="center" wrapText="1"/>
    </xf>
    <xf numFmtId="3" fontId="6" fillId="0" borderId="74" xfId="6" applyFont="1" applyBorder="1" applyAlignment="1">
      <alignment horizontal="center" vertical="center" wrapText="1"/>
    </xf>
    <xf numFmtId="166" fontId="6" fillId="0" borderId="74" xfId="6" applyNumberFormat="1" applyFont="1" applyBorder="1" applyAlignment="1">
      <alignment horizontal="right" vertical="center" wrapText="1"/>
    </xf>
    <xf numFmtId="2" fontId="6" fillId="0" borderId="74" xfId="6" applyNumberFormat="1" applyFont="1" applyBorder="1" applyAlignment="1">
      <alignment horizontal="center" vertical="center" wrapText="1"/>
    </xf>
    <xf numFmtId="3" fontId="5" fillId="6" borderId="22" xfId="6" applyFont="1" applyFill="1" applyBorder="1" applyAlignment="1">
      <alignment horizontal="right" vertical="center" wrapText="1"/>
    </xf>
    <xf numFmtId="2" fontId="6" fillId="4" borderId="74" xfId="6" applyNumberFormat="1" applyFont="1" applyFill="1" applyBorder="1" applyAlignment="1">
      <alignment horizontal="center" vertical="center" wrapText="1"/>
    </xf>
    <xf numFmtId="166" fontId="6" fillId="4" borderId="74" xfId="6" applyNumberFormat="1" applyFont="1" applyFill="1" applyBorder="1" applyAlignment="1">
      <alignment horizontal="right" vertical="center" wrapText="1"/>
    </xf>
    <xf numFmtId="4" fontId="7" fillId="0" borderId="75" xfId="0" applyNumberFormat="1" applyFont="1" applyFill="1" applyBorder="1" applyAlignment="1">
      <alignment horizontal="center" vertical="center"/>
    </xf>
    <xf numFmtId="0" fontId="6" fillId="0" borderId="77" xfId="0" applyFont="1" applyFill="1" applyBorder="1" applyAlignment="1">
      <alignment horizontal="left" vertical="center"/>
    </xf>
    <xf numFmtId="0" fontId="6" fillId="0" borderId="77" xfId="0" applyFont="1" applyFill="1" applyBorder="1" applyAlignment="1">
      <alignment horizontal="justify" vertical="center" wrapText="1"/>
    </xf>
    <xf numFmtId="0" fontId="6" fillId="0" borderId="77" xfId="0" applyFont="1" applyFill="1" applyBorder="1" applyAlignment="1">
      <alignment horizontal="center" vertical="center"/>
    </xf>
    <xf numFmtId="0" fontId="6" fillId="0" borderId="7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justify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175" fontId="6" fillId="0" borderId="0" xfId="2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vertical="center"/>
    </xf>
    <xf numFmtId="175" fontId="6" fillId="0" borderId="22" xfId="2" applyNumberFormat="1" applyFont="1" applyFill="1" applyBorder="1" applyAlignment="1">
      <alignment horizontal="center" vertical="center"/>
    </xf>
    <xf numFmtId="0" fontId="6" fillId="0" borderId="74" xfId="0" applyFont="1" applyFill="1" applyBorder="1" applyAlignment="1">
      <alignment vertical="center"/>
    </xf>
    <xf numFmtId="175" fontId="6" fillId="0" borderId="74" xfId="2" applyNumberFormat="1" applyFont="1" applyFill="1" applyBorder="1" applyAlignment="1">
      <alignment horizontal="center" vertical="center"/>
    </xf>
    <xf numFmtId="0" fontId="6" fillId="0" borderId="75" xfId="0" applyFont="1" applyFill="1" applyBorder="1" applyAlignment="1">
      <alignment vertical="center"/>
    </xf>
    <xf numFmtId="175" fontId="6" fillId="0" borderId="75" xfId="2" applyNumberFormat="1" applyFont="1" applyFill="1" applyBorder="1" applyAlignment="1">
      <alignment horizontal="center" vertical="center"/>
    </xf>
    <xf numFmtId="0" fontId="6" fillId="0" borderId="40" xfId="87" applyFont="1" applyFill="1" applyBorder="1" applyAlignment="1">
      <alignment horizontal="left" vertical="center"/>
    </xf>
    <xf numFmtId="0" fontId="6" fillId="0" borderId="40" xfId="87" applyFont="1" applyFill="1" applyBorder="1" applyAlignment="1">
      <alignment horizontal="center" vertical="center"/>
    </xf>
    <xf numFmtId="0" fontId="6" fillId="0" borderId="0" xfId="87" applyFont="1" applyFill="1" applyBorder="1" applyAlignment="1">
      <alignment horizontal="center" vertical="center"/>
    </xf>
    <xf numFmtId="0" fontId="6" fillId="0" borderId="8" xfId="87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6" fillId="0" borderId="74" xfId="6" applyNumberFormat="1" applyFont="1" applyBorder="1" applyAlignment="1">
      <alignment horizontal="center" vertical="center" wrapText="1"/>
    </xf>
    <xf numFmtId="167" fontId="5" fillId="2" borderId="3" xfId="6" applyNumberFormat="1" applyFont="1" applyFill="1" applyBorder="1" applyAlignment="1">
      <alignment horizontal="center" vertical="center" wrapText="1"/>
    </xf>
    <xf numFmtId="4" fontId="5" fillId="2" borderId="3" xfId="6" applyNumberFormat="1" applyFont="1" applyFill="1" applyBorder="1" applyAlignment="1">
      <alignment horizontal="center" vertical="center" wrapText="1"/>
    </xf>
    <xf numFmtId="3" fontId="6" fillId="0" borderId="74" xfId="6" applyFont="1" applyFill="1" applyBorder="1" applyAlignment="1">
      <alignment horizontal="center" vertical="center" wrapText="1"/>
    </xf>
    <xf numFmtId="4" fontId="6" fillId="0" borderId="74" xfId="6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174" fontId="6" fillId="0" borderId="79" xfId="0" quotePrefix="1" applyNumberFormat="1" applyFont="1" applyFill="1" applyBorder="1" applyAlignment="1">
      <alignment horizontal="center" vertical="center"/>
    </xf>
    <xf numFmtId="0" fontId="1" fillId="0" borderId="78" xfId="0" applyFont="1" applyBorder="1" applyAlignment="1">
      <alignment horizontal="left" vertical="center"/>
    </xf>
    <xf numFmtId="0" fontId="1" fillId="0" borderId="78" xfId="0" applyNumberFormat="1" applyFont="1" applyFill="1" applyBorder="1" applyAlignment="1">
      <alignment horizontal="left" vertical="center"/>
    </xf>
    <xf numFmtId="0" fontId="1" fillId="0" borderId="78" xfId="0" applyNumberFormat="1" applyFont="1" applyBorder="1" applyAlignment="1">
      <alignment horizontal="left" vertical="center"/>
    </xf>
    <xf numFmtId="3" fontId="1" fillId="0" borderId="78" xfId="0" applyNumberFormat="1" applyFont="1" applyBorder="1" applyAlignment="1">
      <alignment horizontal="left" vertical="center"/>
    </xf>
    <xf numFmtId="3" fontId="1" fillId="0" borderId="78" xfId="0" applyNumberFormat="1" applyFont="1" applyFill="1" applyBorder="1" applyAlignment="1">
      <alignment horizontal="left" vertical="center"/>
    </xf>
    <xf numFmtId="0" fontId="1" fillId="0" borderId="78" xfId="0" applyFont="1" applyFill="1" applyBorder="1" applyAlignment="1">
      <alignment horizontal="left" vertical="center"/>
    </xf>
    <xf numFmtId="0" fontId="2" fillId="0" borderId="79" xfId="0" quotePrefix="1" applyFont="1" applyBorder="1" applyAlignment="1">
      <alignment horizontal="center" vertical="center"/>
    </xf>
    <xf numFmtId="0" fontId="1" fillId="0" borderId="78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center" vertical="center"/>
    </xf>
    <xf numFmtId="4" fontId="1" fillId="0" borderId="78" xfId="0" applyNumberFormat="1" applyFont="1" applyBorder="1" applyAlignment="1">
      <alignment horizontal="center" vertical="center" wrapText="1"/>
    </xf>
    <xf numFmtId="4" fontId="2" fillId="0" borderId="78" xfId="0" applyNumberFormat="1" applyFont="1" applyBorder="1" applyAlignment="1">
      <alignment horizontal="center" vertical="center"/>
    </xf>
    <xf numFmtId="0" fontId="1" fillId="0" borderId="78" xfId="0" applyFont="1" applyFill="1" applyBorder="1" applyAlignment="1">
      <alignment horizontal="left" vertical="center" wrapText="1"/>
    </xf>
    <xf numFmtId="0" fontId="2" fillId="0" borderId="78" xfId="0" applyFont="1" applyFill="1" applyBorder="1" applyAlignment="1">
      <alignment horizontal="center" vertical="center"/>
    </xf>
    <xf numFmtId="4" fontId="1" fillId="0" borderId="78" xfId="0" applyNumberFormat="1" applyFont="1" applyFill="1" applyBorder="1" applyAlignment="1">
      <alignment horizontal="center" vertical="center" wrapText="1"/>
    </xf>
    <xf numFmtId="4" fontId="2" fillId="0" borderId="78" xfId="0" applyNumberFormat="1" applyFont="1" applyFill="1" applyBorder="1" applyAlignment="1">
      <alignment horizontal="center" vertical="center"/>
    </xf>
    <xf numFmtId="0" fontId="1" fillId="0" borderId="78" xfId="0" applyFont="1" applyFill="1" applyBorder="1" applyAlignment="1">
      <alignment vertical="center" wrapText="1"/>
    </xf>
    <xf numFmtId="0" fontId="1" fillId="0" borderId="78" xfId="0" applyFont="1" applyBorder="1" applyAlignment="1">
      <alignment vertical="center" wrapText="1"/>
    </xf>
    <xf numFmtId="0" fontId="2" fillId="0" borderId="78" xfId="0" applyFont="1" applyBorder="1" applyAlignment="1">
      <alignment vertical="center" wrapText="1"/>
    </xf>
    <xf numFmtId="1" fontId="2" fillId="0" borderId="78" xfId="0" applyNumberFormat="1" applyFont="1" applyFill="1" applyBorder="1" applyAlignment="1">
      <alignment horizontal="left" vertical="center" wrapText="1"/>
    </xf>
    <xf numFmtId="4" fontId="2" fillId="0" borderId="78" xfId="0" applyNumberFormat="1" applyFont="1" applyFill="1" applyBorder="1" applyAlignment="1">
      <alignment horizontal="center" vertical="center" wrapText="1"/>
    </xf>
    <xf numFmtId="0" fontId="1" fillId="0" borderId="75" xfId="0" applyFont="1" applyFill="1" applyBorder="1" applyAlignment="1">
      <alignment horizontal="left" vertical="center" wrapText="1"/>
    </xf>
    <xf numFmtId="0" fontId="2" fillId="0" borderId="75" xfId="0" applyFont="1" applyFill="1" applyBorder="1" applyAlignment="1">
      <alignment horizontal="center" vertical="center"/>
    </xf>
    <xf numFmtId="4" fontId="1" fillId="0" borderId="75" xfId="0" applyNumberFormat="1" applyFont="1" applyFill="1" applyBorder="1" applyAlignment="1">
      <alignment horizontal="center" vertical="center" wrapText="1"/>
    </xf>
    <xf numFmtId="0" fontId="6" fillId="0" borderId="78" xfId="0" applyFont="1" applyFill="1" applyBorder="1" applyAlignment="1">
      <alignment vertical="center" wrapText="1"/>
    </xf>
    <xf numFmtId="4" fontId="6" fillId="0" borderId="78" xfId="0" applyNumberFormat="1" applyFont="1" applyFill="1" applyBorder="1" applyAlignment="1">
      <alignment horizontal="center" vertical="center" wrapText="1"/>
    </xf>
    <xf numFmtId="0" fontId="1" fillId="0" borderId="78" xfId="0" applyFont="1" applyFill="1" applyBorder="1" applyAlignment="1">
      <alignment horizontal="justify" vertical="center" wrapText="1"/>
    </xf>
    <xf numFmtId="4" fontId="2" fillId="0" borderId="78" xfId="0" applyNumberFormat="1" applyFont="1" applyBorder="1" applyAlignment="1">
      <alignment horizontal="center" vertical="center" wrapText="1"/>
    </xf>
    <xf numFmtId="0" fontId="1" fillId="0" borderId="78" xfId="0" applyFont="1" applyBorder="1" applyAlignment="1">
      <alignment horizontal="justify" vertical="center" wrapText="1"/>
    </xf>
    <xf numFmtId="0" fontId="6" fillId="0" borderId="78" xfId="0" applyFont="1" applyBorder="1" applyAlignment="1">
      <alignment vertical="center" wrapText="1"/>
    </xf>
    <xf numFmtId="0" fontId="6" fillId="0" borderId="78" xfId="0" applyFont="1" applyBorder="1" applyAlignment="1">
      <alignment horizontal="justify" vertical="center" wrapText="1"/>
    </xf>
    <xf numFmtId="0" fontId="6" fillId="0" borderId="78" xfId="0" applyFont="1" applyBorder="1" applyAlignment="1">
      <alignment horizontal="left" vertical="center" wrapText="1"/>
    </xf>
    <xf numFmtId="4" fontId="6" fillId="0" borderId="78" xfId="0" applyNumberFormat="1" applyFont="1" applyBorder="1" applyAlignment="1">
      <alignment horizontal="center" vertical="center" wrapText="1"/>
    </xf>
    <xf numFmtId="4" fontId="1" fillId="4" borderId="22" xfId="0" applyNumberFormat="1" applyFont="1" applyFill="1" applyBorder="1" applyAlignment="1">
      <alignment horizontal="center" vertical="center" wrapText="1"/>
    </xf>
    <xf numFmtId="4" fontId="1" fillId="4" borderId="78" xfId="0" applyNumberFormat="1" applyFont="1" applyFill="1" applyBorder="1" applyAlignment="1">
      <alignment horizontal="center" vertical="center" wrapText="1"/>
    </xf>
    <xf numFmtId="0" fontId="2" fillId="0" borderId="78" xfId="0" applyFont="1" applyFill="1" applyBorder="1" applyAlignment="1">
      <alignment vertical="center" wrapText="1"/>
    </xf>
    <xf numFmtId="4" fontId="2" fillId="4" borderId="78" xfId="0" applyNumberFormat="1" applyFont="1" applyFill="1" applyBorder="1" applyAlignment="1">
      <alignment horizontal="center" vertical="center" wrapText="1"/>
    </xf>
    <xf numFmtId="0" fontId="2" fillId="0" borderId="78" xfId="0" applyFont="1" applyBorder="1" applyAlignment="1">
      <alignment horizontal="justify" vertical="center" wrapText="1"/>
    </xf>
    <xf numFmtId="4" fontId="6" fillId="0" borderId="22" xfId="0" applyNumberFormat="1" applyFont="1" applyFill="1" applyBorder="1" applyAlignment="1">
      <alignment horizontal="center" vertical="center" wrapText="1"/>
    </xf>
    <xf numFmtId="4" fontId="6" fillId="0" borderId="78" xfId="0" applyNumberFormat="1" applyFont="1" applyBorder="1" applyAlignment="1">
      <alignment horizontal="center" vertical="center"/>
    </xf>
    <xf numFmtId="4" fontId="6" fillId="0" borderId="75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10" fontId="6" fillId="0" borderId="0" xfId="3" applyNumberFormat="1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10" fontId="6" fillId="0" borderId="0" xfId="3" applyNumberFormat="1" applyFont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174" fontId="6" fillId="0" borderId="79" xfId="0" quotePrefix="1" applyNumberFormat="1" applyFont="1" applyBorder="1" applyAlignment="1">
      <alignment horizontal="center" vertical="center"/>
    </xf>
    <xf numFmtId="0" fontId="6" fillId="0" borderId="65" xfId="87" applyFont="1" applyFill="1" applyBorder="1" applyAlignment="1">
      <alignment horizontal="center" vertical="center"/>
    </xf>
    <xf numFmtId="4" fontId="2" fillId="0" borderId="66" xfId="0" applyNumberFormat="1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6" xfId="0" applyFont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/>
    </xf>
    <xf numFmtId="0" fontId="6" fillId="0" borderId="25" xfId="0" applyFont="1" applyFill="1" applyBorder="1" applyAlignment="1">
      <alignment horizontal="center" vertical="center"/>
    </xf>
    <xf numFmtId="4" fontId="6" fillId="0" borderId="25" xfId="0" applyNumberFormat="1" applyFont="1" applyFill="1" applyBorder="1" applyAlignment="1">
      <alignment horizontal="center" vertical="center"/>
    </xf>
    <xf numFmtId="0" fontId="6" fillId="0" borderId="7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6" fillId="0" borderId="66" xfId="0" applyFont="1" applyBorder="1" applyAlignment="1">
      <alignment horizontal="justify" vertical="center" wrapText="1"/>
    </xf>
    <xf numFmtId="3" fontId="6" fillId="7" borderId="44" xfId="6" applyFont="1" applyFill="1" applyBorder="1" applyAlignment="1">
      <alignment horizontal="center" vertical="center" wrapText="1"/>
    </xf>
    <xf numFmtId="4" fontId="6" fillId="0" borderId="74" xfId="6" quotePrefix="1" applyNumberFormat="1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1" fillId="0" borderId="80" xfId="88" quotePrefix="1" applyFont="1" applyBorder="1" applyAlignment="1" applyProtection="1">
      <alignment horizontal="center" vertical="center"/>
    </xf>
    <xf numFmtId="0" fontId="1" fillId="0" borderId="81" xfId="88" quotePrefix="1" applyFont="1" applyBorder="1" applyAlignment="1" applyProtection="1">
      <alignment horizontal="center" vertical="center"/>
    </xf>
    <xf numFmtId="0" fontId="1" fillId="0" borderId="82" xfId="88" quotePrefix="1" applyFont="1" applyBorder="1" applyAlignment="1" applyProtection="1">
      <alignment horizontal="center" vertical="center"/>
    </xf>
    <xf numFmtId="0" fontId="1" fillId="0" borderId="0" xfId="88" applyFont="1" applyAlignment="1" applyProtection="1">
      <alignment horizontal="center" vertical="top"/>
    </xf>
    <xf numFmtId="0" fontId="5" fillId="6" borderId="22" xfId="0" applyFont="1" applyFill="1" applyBorder="1" applyAlignment="1">
      <alignment horizontal="left" vertical="center"/>
    </xf>
    <xf numFmtId="0" fontId="6" fillId="0" borderId="78" xfId="0" applyFont="1" applyBorder="1" applyAlignment="1">
      <alignment horizontal="left" vertical="center"/>
    </xf>
    <xf numFmtId="0" fontId="6" fillId="4" borderId="78" xfId="0" quotePrefix="1" applyFont="1" applyFill="1" applyBorder="1" applyAlignment="1">
      <alignment vertical="center" wrapText="1"/>
    </xf>
    <xf numFmtId="0" fontId="6" fillId="0" borderId="78" xfId="0" applyFont="1" applyBorder="1" applyAlignment="1">
      <alignment horizontal="center" vertical="center"/>
    </xf>
    <xf numFmtId="4" fontId="6" fillId="4" borderId="78" xfId="0" quotePrefix="1" applyNumberFormat="1" applyFont="1" applyFill="1" applyBorder="1" applyAlignment="1">
      <alignment horizontal="center" vertical="center" wrapText="1"/>
    </xf>
    <xf numFmtId="4" fontId="2" fillId="0" borderId="78" xfId="0" applyNumberFormat="1" applyFont="1" applyBorder="1" applyAlignment="1">
      <alignment horizontal="center"/>
    </xf>
    <xf numFmtId="4" fontId="6" fillId="0" borderId="78" xfId="4" applyNumberFormat="1" applyFont="1" applyBorder="1" applyAlignment="1">
      <alignment horizontal="center" vertical="center"/>
    </xf>
    <xf numFmtId="0" fontId="6" fillId="4" borderId="75" xfId="0" quotePrefix="1" applyFont="1" applyFill="1" applyBorder="1" applyAlignment="1">
      <alignment vertical="center" wrapText="1"/>
    </xf>
    <xf numFmtId="0" fontId="6" fillId="4" borderId="22" xfId="0" quotePrefix="1" applyFont="1" applyFill="1" applyBorder="1" applyAlignment="1">
      <alignment vertical="center" wrapText="1"/>
    </xf>
    <xf numFmtId="0" fontId="5" fillId="6" borderId="12" xfId="0" applyFont="1" applyFill="1" applyBorder="1" applyAlignment="1">
      <alignment horizontal="left" vertical="center"/>
    </xf>
    <xf numFmtId="0" fontId="6" fillId="0" borderId="77" xfId="0" applyFont="1" applyBorder="1" applyAlignment="1">
      <alignment horizontal="left" vertical="center"/>
    </xf>
    <xf numFmtId="0" fontId="6" fillId="4" borderId="77" xfId="0" quotePrefix="1" applyFont="1" applyFill="1" applyBorder="1" applyAlignment="1">
      <alignment vertical="center" wrapText="1"/>
    </xf>
    <xf numFmtId="4" fontId="6" fillId="4" borderId="77" xfId="0" quotePrefix="1" applyNumberFormat="1" applyFont="1" applyFill="1" applyBorder="1" applyAlignment="1">
      <alignment horizontal="center" vertical="center" wrapText="1"/>
    </xf>
    <xf numFmtId="4" fontId="2" fillId="0" borderId="77" xfId="0" applyNumberFormat="1" applyFont="1" applyBorder="1" applyAlignment="1">
      <alignment horizontal="center"/>
    </xf>
    <xf numFmtId="4" fontId="6" fillId="0" borderId="77" xfId="4" applyNumberFormat="1" applyFont="1" applyBorder="1" applyAlignment="1">
      <alignment horizontal="center" vertical="center"/>
    </xf>
    <xf numFmtId="0" fontId="2" fillId="0" borderId="22" xfId="0" quotePrefix="1" applyFont="1" applyBorder="1" applyAlignment="1">
      <alignment horizontal="center" vertical="center"/>
    </xf>
    <xf numFmtId="0" fontId="2" fillId="0" borderId="75" xfId="0" quotePrefix="1" applyFont="1" applyBorder="1" applyAlignment="1">
      <alignment horizontal="center" vertical="center"/>
    </xf>
    <xf numFmtId="0" fontId="5" fillId="6" borderId="10" xfId="0" applyFont="1" applyFill="1" applyBorder="1" applyAlignment="1">
      <alignment horizontal="left" vertical="center"/>
    </xf>
    <xf numFmtId="0" fontId="5" fillId="6" borderId="10" xfId="0" applyFont="1" applyFill="1" applyBorder="1" applyAlignment="1">
      <alignment horizontal="center" vertical="center"/>
    </xf>
    <xf numFmtId="0" fontId="6" fillId="0" borderId="76" xfId="0" applyNumberFormat="1" applyFont="1" applyFill="1" applyBorder="1" applyAlignment="1">
      <alignment horizontal="center" vertical="center" wrapText="1"/>
    </xf>
    <xf numFmtId="4" fontId="6" fillId="0" borderId="76" xfId="0" applyNumberFormat="1" applyFont="1" applyFill="1" applyBorder="1" applyAlignment="1">
      <alignment horizontal="center" vertical="center"/>
    </xf>
    <xf numFmtId="0" fontId="6" fillId="0" borderId="76" xfId="2" applyNumberFormat="1" applyFont="1" applyFill="1" applyBorder="1" applyAlignment="1">
      <alignment horizontal="center" vertical="center" wrapText="1"/>
    </xf>
    <xf numFmtId="43" fontId="6" fillId="0" borderId="75" xfId="2" applyFont="1" applyFill="1" applyBorder="1" applyAlignment="1">
      <alignment horizontal="justify" vertical="center" wrapText="1"/>
    </xf>
    <xf numFmtId="0" fontId="3" fillId="3" borderId="66" xfId="88" applyFont="1" applyFill="1" applyBorder="1" applyAlignment="1" applyProtection="1">
      <alignment horizontal="justify" vertical="center" wrapText="1"/>
    </xf>
    <xf numFmtId="0" fontId="1" fillId="0" borderId="61" xfId="88" applyFont="1" applyBorder="1" applyAlignment="1" applyProtection="1">
      <alignment horizontal="justify" vertical="center" wrapText="1"/>
    </xf>
    <xf numFmtId="0" fontId="1" fillId="0" borderId="68" xfId="88" applyFont="1" applyBorder="1" applyAlignment="1" applyProtection="1">
      <alignment horizontal="justify" vertical="center" wrapText="1"/>
    </xf>
    <xf numFmtId="0" fontId="1" fillId="0" borderId="72" xfId="88" applyFont="1" applyBorder="1" applyAlignment="1" applyProtection="1">
      <alignment horizontal="justify" vertical="center" wrapText="1"/>
    </xf>
    <xf numFmtId="0" fontId="5" fillId="6" borderId="12" xfId="0" applyNumberFormat="1" applyFont="1" applyFill="1" applyBorder="1" applyAlignment="1">
      <alignment horizontal="left" vertical="center"/>
    </xf>
    <xf numFmtId="0" fontId="1" fillId="0" borderId="76" xfId="0" applyFont="1" applyBorder="1" applyAlignment="1">
      <alignment horizontal="left" vertical="center"/>
    </xf>
    <xf numFmtId="0" fontId="3" fillId="2" borderId="44" xfId="0" applyFont="1" applyFill="1" applyBorder="1" applyAlignment="1">
      <alignment vertical="center"/>
    </xf>
    <xf numFmtId="4" fontId="1" fillId="0" borderId="61" xfId="88" quotePrefix="1" applyNumberFormat="1" applyFont="1" applyBorder="1" applyAlignment="1" applyProtection="1">
      <alignment horizontal="right" vertical="center"/>
    </xf>
    <xf numFmtId="176" fontId="1" fillId="0" borderId="61" xfId="88" applyNumberFormat="1" applyFont="1" applyBorder="1" applyAlignment="1" applyProtection="1">
      <alignment horizontal="right" vertical="center"/>
    </xf>
    <xf numFmtId="167" fontId="1" fillId="0" borderId="61" xfId="88" applyNumberFormat="1" applyFont="1" applyBorder="1" applyAlignment="1" applyProtection="1">
      <alignment horizontal="right" vertical="center"/>
    </xf>
    <xf numFmtId="4" fontId="1" fillId="0" borderId="69" xfId="88" applyNumberFormat="1" applyFont="1" applyBorder="1" applyAlignment="1" applyProtection="1">
      <alignment horizontal="center" vertical="center"/>
    </xf>
    <xf numFmtId="4" fontId="1" fillId="0" borderId="71" xfId="88" applyNumberFormat="1" applyFont="1" applyBorder="1" applyAlignment="1" applyProtection="1">
      <alignment horizontal="center" vertical="center"/>
    </xf>
    <xf numFmtId="0" fontId="1" fillId="0" borderId="83" xfId="88" quotePrefix="1" applyFont="1" applyBorder="1" applyAlignment="1" applyProtection="1">
      <alignment horizontal="left" vertical="center"/>
    </xf>
    <xf numFmtId="0" fontId="1" fillId="0" borderId="72" xfId="88" applyFont="1" applyBorder="1" applyAlignment="1" applyProtection="1">
      <alignment horizontal="center" vertical="center"/>
    </xf>
    <xf numFmtId="4" fontId="1" fillId="0" borderId="84" xfId="88" applyNumberFormat="1" applyFont="1" applyBorder="1" applyAlignment="1" applyProtection="1">
      <alignment horizontal="center" vertical="center"/>
    </xf>
    <xf numFmtId="10" fontId="1" fillId="0" borderId="71" xfId="3" applyNumberFormat="1" applyFont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0" fontId="1" fillId="0" borderId="85" xfId="88" quotePrefix="1" applyFont="1" applyBorder="1" applyAlignment="1" applyProtection="1">
      <alignment horizontal="left" vertical="center"/>
    </xf>
    <xf numFmtId="0" fontId="1" fillId="0" borderId="85" xfId="88" quotePrefix="1" applyFont="1" applyBorder="1" applyAlignment="1" applyProtection="1">
      <alignment horizontal="center" vertical="center"/>
    </xf>
    <xf numFmtId="0" fontId="1" fillId="0" borderId="85" xfId="88" applyFont="1" applyBorder="1" applyAlignment="1" applyProtection="1">
      <alignment horizontal="justify" vertical="center" wrapText="1"/>
    </xf>
    <xf numFmtId="4" fontId="1" fillId="0" borderId="85" xfId="88" applyNumberFormat="1" applyFont="1" applyBorder="1" applyAlignment="1" applyProtection="1">
      <alignment horizontal="right" vertical="center"/>
    </xf>
    <xf numFmtId="10" fontId="1" fillId="0" borderId="85" xfId="3" applyNumberFormat="1" applyFont="1" applyBorder="1" applyAlignment="1" applyProtection="1">
      <alignment horizontal="center" vertical="center"/>
    </xf>
    <xf numFmtId="0" fontId="1" fillId="0" borderId="86" xfId="88" quotePrefix="1" applyFont="1" applyBorder="1" applyAlignment="1" applyProtection="1">
      <alignment horizontal="left" vertical="center"/>
    </xf>
    <xf numFmtId="0" fontId="1" fillId="0" borderId="86" xfId="88" quotePrefix="1" applyFont="1" applyBorder="1" applyAlignment="1" applyProtection="1">
      <alignment horizontal="center" vertical="center"/>
    </xf>
    <xf numFmtId="0" fontId="1" fillId="0" borderId="86" xfId="88" applyFont="1" applyBorder="1" applyAlignment="1" applyProtection="1">
      <alignment horizontal="justify" vertical="center" wrapText="1"/>
    </xf>
    <xf numFmtId="4" fontId="1" fillId="0" borderId="86" xfId="88" applyNumberFormat="1" applyFont="1" applyBorder="1" applyAlignment="1" applyProtection="1">
      <alignment horizontal="right" vertical="center"/>
    </xf>
    <xf numFmtId="10" fontId="1" fillId="0" borderId="86" xfId="3" applyNumberFormat="1" applyFont="1" applyBorder="1" applyAlignment="1" applyProtection="1">
      <alignment horizontal="center" vertical="center"/>
    </xf>
    <xf numFmtId="0" fontId="1" fillId="0" borderId="87" xfId="88" quotePrefix="1" applyFont="1" applyBorder="1" applyAlignment="1" applyProtection="1">
      <alignment horizontal="left" vertical="center"/>
    </xf>
    <xf numFmtId="0" fontId="1" fillId="0" borderId="87" xfId="88" quotePrefix="1" applyFont="1" applyBorder="1" applyAlignment="1" applyProtection="1">
      <alignment horizontal="center" vertical="center"/>
    </xf>
    <xf numFmtId="0" fontId="1" fillId="0" borderId="87" xfId="88" applyFont="1" applyBorder="1" applyAlignment="1" applyProtection="1">
      <alignment horizontal="justify" vertical="center" wrapText="1"/>
    </xf>
    <xf numFmtId="4" fontId="1" fillId="0" borderId="87" xfId="88" applyNumberFormat="1" applyFont="1" applyBorder="1" applyAlignment="1" applyProtection="1">
      <alignment horizontal="right" vertical="center"/>
    </xf>
    <xf numFmtId="10" fontId="1" fillId="0" borderId="87" xfId="3" applyNumberFormat="1" applyFont="1" applyBorder="1" applyAlignment="1" applyProtection="1">
      <alignment horizontal="center" vertical="center"/>
    </xf>
    <xf numFmtId="0" fontId="5" fillId="2" borderId="48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6" borderId="22" xfId="0" applyFont="1" applyFill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1" fillId="0" borderId="78" xfId="0" applyFont="1" applyFill="1" applyBorder="1" applyAlignment="1">
      <alignment horizontal="center" vertical="center"/>
    </xf>
    <xf numFmtId="0" fontId="1" fillId="0" borderId="75" xfId="0" applyFont="1" applyFill="1" applyBorder="1" applyAlignment="1">
      <alignment horizontal="center" vertical="center"/>
    </xf>
    <xf numFmtId="0" fontId="5" fillId="6" borderId="10" xfId="0" applyNumberFormat="1" applyFont="1" applyFill="1" applyBorder="1" applyAlignment="1">
      <alignment horizontal="center" vertical="center"/>
    </xf>
    <xf numFmtId="0" fontId="1" fillId="0" borderId="22" xfId="0" applyNumberFormat="1" applyFont="1" applyBorder="1" applyAlignment="1">
      <alignment horizontal="center" vertical="center"/>
    </xf>
    <xf numFmtId="0" fontId="1" fillId="0" borderId="78" xfId="0" applyNumberFormat="1" applyFont="1" applyFill="1" applyBorder="1" applyAlignment="1">
      <alignment horizontal="center" vertical="center"/>
    </xf>
    <xf numFmtId="0" fontId="1" fillId="0" borderId="78" xfId="0" applyNumberFormat="1" applyFont="1" applyBorder="1" applyAlignment="1">
      <alignment horizontal="center" vertical="center"/>
    </xf>
    <xf numFmtId="3" fontId="1" fillId="0" borderId="78" xfId="0" applyNumberFormat="1" applyFont="1" applyBorder="1" applyAlignment="1">
      <alignment horizontal="center" vertical="center"/>
    </xf>
    <xf numFmtId="3" fontId="1" fillId="0" borderId="78" xfId="0" applyNumberFormat="1" applyFont="1" applyFill="1" applyBorder="1" applyAlignment="1">
      <alignment horizontal="center" vertical="center"/>
    </xf>
    <xf numFmtId="3" fontId="1" fillId="0" borderId="75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0" borderId="7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75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vertical="center"/>
    </xf>
    <xf numFmtId="0" fontId="6" fillId="0" borderId="1" xfId="8" applyFont="1" applyFill="1" applyBorder="1" applyAlignment="1">
      <alignment vertical="top"/>
    </xf>
    <xf numFmtId="0" fontId="6" fillId="0" borderId="9" xfId="8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4" fillId="0" borderId="0" xfId="0" applyFont="1" applyFill="1"/>
    <xf numFmtId="0" fontId="9" fillId="0" borderId="1" xfId="7" applyFont="1" applyFill="1" applyBorder="1" applyAlignment="1">
      <alignment horizontal="left" vertical="top"/>
    </xf>
    <xf numFmtId="0" fontId="9" fillId="0" borderId="9" xfId="7" applyFont="1" applyFill="1" applyBorder="1" applyAlignment="1">
      <alignment horizontal="left" vertical="top"/>
    </xf>
    <xf numFmtId="0" fontId="9" fillId="0" borderId="2" xfId="7" applyFont="1" applyFill="1" applyBorder="1" applyAlignment="1">
      <alignment horizontal="left" vertical="top"/>
    </xf>
    <xf numFmtId="43" fontId="1" fillId="0" borderId="0" xfId="2" applyFont="1" applyAlignment="1" applyProtection="1">
      <alignment horizontal="left" vertical="top"/>
    </xf>
    <xf numFmtId="43" fontId="1" fillId="0" borderId="0" xfId="88" applyNumberFormat="1" applyFont="1" applyAlignment="1" applyProtection="1">
      <alignment horizontal="left" vertical="top"/>
    </xf>
    <xf numFmtId="0" fontId="4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66" xfId="0" applyFont="1" applyBorder="1" applyAlignment="1">
      <alignment vertical="center"/>
    </xf>
    <xf numFmtId="0" fontId="6" fillId="0" borderId="74" xfId="2" applyNumberFormat="1" applyFont="1" applyFill="1" applyBorder="1" applyAlignment="1">
      <alignment horizontal="justify" vertical="center" wrapText="1"/>
    </xf>
    <xf numFmtId="0" fontId="6" fillId="0" borderId="74" xfId="0" applyNumberFormat="1" applyFont="1" applyFill="1" applyBorder="1" applyAlignment="1">
      <alignment horizontal="justify" vertical="center" wrapText="1"/>
    </xf>
    <xf numFmtId="0" fontId="4" fillId="2" borderId="12" xfId="0" applyFont="1" applyFill="1" applyBorder="1" applyAlignment="1">
      <alignment horizontal="left" vertical="center"/>
    </xf>
    <xf numFmtId="0" fontId="6" fillId="0" borderId="22" xfId="2" applyNumberFormat="1" applyFont="1" applyFill="1" applyBorder="1" applyAlignment="1">
      <alignment horizontal="justify" vertical="center" wrapText="1"/>
    </xf>
    <xf numFmtId="0" fontId="6" fillId="0" borderId="76" xfId="2" applyNumberFormat="1" applyFont="1" applyFill="1" applyBorder="1" applyAlignment="1">
      <alignment horizontal="justify" vertical="center" wrapText="1"/>
    </xf>
    <xf numFmtId="0" fontId="6" fillId="0" borderId="22" xfId="0" applyNumberFormat="1" applyFont="1" applyFill="1" applyBorder="1" applyAlignment="1">
      <alignment horizontal="justify" vertical="center" wrapText="1"/>
    </xf>
    <xf numFmtId="0" fontId="6" fillId="0" borderId="76" xfId="0" applyNumberFormat="1" applyFont="1" applyFill="1" applyBorder="1" applyAlignment="1">
      <alignment horizontal="justify" vertical="center" wrapText="1"/>
    </xf>
    <xf numFmtId="0" fontId="1" fillId="0" borderId="22" xfId="0" applyFont="1" applyFill="1" applyBorder="1" applyAlignment="1">
      <alignment horizontal="left" vertical="center"/>
    </xf>
    <xf numFmtId="0" fontId="2" fillId="0" borderId="22" xfId="0" applyNumberFormat="1" applyFont="1" applyFill="1" applyBorder="1" applyAlignment="1">
      <alignment horizontal="justify" vertical="center" wrapText="1"/>
    </xf>
    <xf numFmtId="0" fontId="2" fillId="0" borderId="78" xfId="0" applyNumberFormat="1" applyFont="1" applyFill="1" applyBorder="1" applyAlignment="1">
      <alignment horizontal="justify" vertical="center" wrapText="1"/>
    </xf>
    <xf numFmtId="0" fontId="1" fillId="0" borderId="78" xfId="0" applyNumberFormat="1" applyFont="1" applyFill="1" applyBorder="1" applyAlignment="1">
      <alignment horizontal="justify" vertical="center" wrapText="1"/>
    </xf>
    <xf numFmtId="0" fontId="6" fillId="0" borderId="78" xfId="0" applyNumberFormat="1" applyFont="1" applyFill="1" applyBorder="1" applyAlignment="1">
      <alignment horizontal="justify" vertical="center" wrapText="1"/>
    </xf>
    <xf numFmtId="0" fontId="1" fillId="0" borderId="75" xfId="0" applyNumberFormat="1" applyFont="1" applyFill="1" applyBorder="1" applyAlignment="1">
      <alignment horizontal="justify" vertical="center" wrapText="1"/>
    </xf>
    <xf numFmtId="0" fontId="1" fillId="0" borderId="22" xfId="0" applyNumberFormat="1" applyFont="1" applyFill="1" applyBorder="1" applyAlignment="1">
      <alignment horizontal="left" vertical="center"/>
    </xf>
    <xf numFmtId="0" fontId="1" fillId="0" borderId="22" xfId="0" applyNumberFormat="1" applyFont="1" applyFill="1" applyBorder="1" applyAlignment="1">
      <alignment horizontal="center" vertical="center"/>
    </xf>
    <xf numFmtId="0" fontId="1" fillId="0" borderId="78" xfId="0" applyNumberFormat="1" applyFont="1" applyFill="1" applyBorder="1" applyAlignment="1">
      <alignment horizontal="left" vertical="center" wrapText="1"/>
    </xf>
    <xf numFmtId="0" fontId="1" fillId="0" borderId="78" xfId="0" applyNumberFormat="1" applyFont="1" applyFill="1" applyBorder="1" applyAlignment="1">
      <alignment horizontal="center" vertical="center" wrapText="1"/>
    </xf>
    <xf numFmtId="0" fontId="2" fillId="0" borderId="78" xfId="0" applyFont="1" applyFill="1" applyBorder="1" applyAlignment="1">
      <alignment horizontal="center" vertical="center" wrapText="1"/>
    </xf>
    <xf numFmtId="4" fontId="6" fillId="0" borderId="78" xfId="0" applyNumberFormat="1" applyFont="1" applyFill="1" applyBorder="1" applyAlignment="1">
      <alignment horizontal="center" vertical="center"/>
    </xf>
    <xf numFmtId="0" fontId="1" fillId="0" borderId="75" xfId="0" applyNumberFormat="1" applyFont="1" applyFill="1" applyBorder="1" applyAlignment="1">
      <alignment horizontal="left" vertical="center" wrapText="1"/>
    </xf>
    <xf numFmtId="0" fontId="1" fillId="0" borderId="75" xfId="0" applyNumberFormat="1" applyFont="1" applyFill="1" applyBorder="1" applyAlignment="1">
      <alignment horizontal="center" vertical="center" wrapText="1"/>
    </xf>
    <xf numFmtId="0" fontId="6" fillId="0" borderId="75" xfId="0" applyNumberFormat="1" applyFont="1" applyFill="1" applyBorder="1" applyAlignment="1">
      <alignment horizontal="justify" vertical="center" wrapText="1"/>
    </xf>
    <xf numFmtId="0" fontId="2" fillId="0" borderId="42" xfId="0" quotePrefix="1" applyFont="1" applyFill="1" applyBorder="1" applyAlignment="1">
      <alignment horizontal="center" vertical="center"/>
    </xf>
    <xf numFmtId="0" fontId="2" fillId="0" borderId="79" xfId="0" quotePrefix="1" applyFont="1" applyFill="1" applyBorder="1" applyAlignment="1">
      <alignment horizontal="center" vertical="center"/>
    </xf>
    <xf numFmtId="0" fontId="2" fillId="0" borderId="30" xfId="0" quotePrefix="1" applyFont="1" applyFill="1" applyBorder="1" applyAlignment="1">
      <alignment horizontal="center" vertical="center"/>
    </xf>
    <xf numFmtId="0" fontId="2" fillId="0" borderId="55" xfId="0" quotePrefix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 wrapText="1"/>
    </xf>
    <xf numFmtId="0" fontId="4" fillId="0" borderId="66" xfId="0" applyFont="1" applyBorder="1" applyAlignment="1">
      <alignment horizontal="center" vertical="center"/>
    </xf>
    <xf numFmtId="0" fontId="2" fillId="0" borderId="66" xfId="0" applyFont="1" applyBorder="1" applyAlignment="1">
      <alignment vertical="center" wrapText="1"/>
    </xf>
    <xf numFmtId="167" fontId="2" fillId="0" borderId="66" xfId="0" applyNumberFormat="1" applyFont="1" applyBorder="1" applyAlignment="1">
      <alignment horizontal="center" vertical="center"/>
    </xf>
    <xf numFmtId="0" fontId="26" fillId="0" borderId="66" xfId="0" applyFont="1" applyBorder="1" applyAlignment="1">
      <alignment horizontal="center" vertical="center"/>
    </xf>
    <xf numFmtId="0" fontId="6" fillId="0" borderId="78" xfId="0" applyFont="1" applyFill="1" applyBorder="1" applyAlignment="1">
      <alignment horizontal="left" vertical="center"/>
    </xf>
    <xf numFmtId="0" fontId="6" fillId="0" borderId="78" xfId="0" applyFont="1" applyFill="1" applyBorder="1" applyAlignment="1">
      <alignment horizontal="justify" vertical="center" wrapText="1"/>
    </xf>
    <xf numFmtId="0" fontId="6" fillId="0" borderId="78" xfId="0" applyFont="1" applyFill="1" applyBorder="1" applyAlignment="1">
      <alignment horizontal="center" vertical="center" wrapText="1"/>
    </xf>
    <xf numFmtId="4" fontId="6" fillId="4" borderId="7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indent="20"/>
    </xf>
    <xf numFmtId="0" fontId="6" fillId="0" borderId="0" xfId="7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5" fillId="6" borderId="0" xfId="0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 wrapText="1"/>
    </xf>
    <xf numFmtId="4" fontId="4" fillId="6" borderId="0" xfId="0" applyNumberFormat="1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4" fontId="2" fillId="0" borderId="66" xfId="0" applyNumberFormat="1" applyFont="1" applyBorder="1" applyAlignment="1">
      <alignment vertical="center"/>
    </xf>
    <xf numFmtId="4" fontId="4" fillId="0" borderId="66" xfId="0" applyNumberFormat="1" applyFont="1" applyBorder="1" applyAlignment="1">
      <alignment horizontal="center" vertical="center"/>
    </xf>
    <xf numFmtId="0" fontId="6" fillId="0" borderId="66" xfId="0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0" fontId="5" fillId="0" borderId="66" xfId="0" applyFont="1" applyBorder="1" applyAlignment="1">
      <alignment horizontal="center" vertical="center"/>
    </xf>
    <xf numFmtId="43" fontId="6" fillId="0" borderId="0" xfId="2" applyFont="1" applyFill="1" applyAlignment="1">
      <alignment vertical="center"/>
    </xf>
    <xf numFmtId="43" fontId="6" fillId="0" borderId="0" xfId="2" applyFont="1" applyAlignment="1">
      <alignment vertical="center"/>
    </xf>
    <xf numFmtId="43" fontId="2" fillId="0" borderId="0" xfId="2" applyFont="1" applyFill="1" applyAlignment="1">
      <alignment vertical="center"/>
    </xf>
    <xf numFmtId="43" fontId="2" fillId="0" borderId="0" xfId="2" applyFont="1" applyFill="1" applyAlignment="1">
      <alignment horizontal="center" vertical="center"/>
    </xf>
    <xf numFmtId="43" fontId="2" fillId="0" borderId="0" xfId="2" applyFont="1" applyAlignment="1">
      <alignment vertical="center"/>
    </xf>
    <xf numFmtId="43" fontId="2" fillId="0" borderId="0" xfId="2" applyFont="1" applyFill="1" applyAlignment="1">
      <alignment vertical="center" wrapText="1"/>
    </xf>
    <xf numFmtId="43" fontId="2" fillId="0" borderId="0" xfId="0" applyNumberFormat="1" applyFont="1" applyFill="1" applyAlignment="1">
      <alignment vertical="center"/>
    </xf>
    <xf numFmtId="9" fontId="27" fillId="0" borderId="66" xfId="0" applyNumberFormat="1" applyFont="1" applyFill="1" applyBorder="1" applyAlignment="1">
      <alignment horizontal="center" vertical="center"/>
    </xf>
    <xf numFmtId="4" fontId="6" fillId="4" borderId="22" xfId="0" applyNumberFormat="1" applyFont="1" applyFill="1" applyBorder="1" applyAlignment="1">
      <alignment horizontal="center" vertical="center"/>
    </xf>
    <xf numFmtId="0" fontId="4" fillId="0" borderId="66" xfId="0" applyFont="1" applyBorder="1" applyAlignment="1">
      <alignment vertical="center"/>
    </xf>
    <xf numFmtId="2" fontId="6" fillId="0" borderId="30" xfId="0" applyNumberFormat="1" applyFont="1" applyBorder="1" applyAlignment="1">
      <alignment horizontal="center" vertical="center"/>
    </xf>
    <xf numFmtId="4" fontId="6" fillId="0" borderId="66" xfId="0" applyNumberFormat="1" applyFont="1" applyBorder="1" applyAlignment="1">
      <alignment horizontal="center" vertical="center"/>
    </xf>
    <xf numFmtId="167" fontId="6" fillId="0" borderId="66" xfId="0" applyNumberFormat="1" applyFont="1" applyBorder="1" applyAlignment="1">
      <alignment horizontal="center" vertical="center"/>
    </xf>
    <xf numFmtId="2" fontId="6" fillId="0" borderId="26" xfId="0" applyNumberFormat="1" applyFont="1" applyBorder="1" applyAlignment="1">
      <alignment horizontal="center" vertical="center"/>
    </xf>
    <xf numFmtId="2" fontId="6" fillId="0" borderId="35" xfId="0" applyNumberFormat="1" applyFont="1" applyBorder="1" applyAlignment="1">
      <alignment horizontal="center" vertical="center"/>
    </xf>
    <xf numFmtId="4" fontId="6" fillId="0" borderId="78" xfId="71" applyNumberFormat="1" applyFont="1" applyFill="1" applyBorder="1" applyAlignment="1">
      <alignment horizontal="center" vertical="center"/>
    </xf>
    <xf numFmtId="10" fontId="6" fillId="0" borderId="22" xfId="2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 wrapText="1"/>
    </xf>
    <xf numFmtId="0" fontId="5" fillId="0" borderId="6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65" xfId="0" applyFont="1" applyFill="1" applyBorder="1" applyAlignment="1">
      <alignment horizontal="left" vertical="center" indent="8"/>
    </xf>
    <xf numFmtId="0" fontId="6" fillId="0" borderId="0" xfId="0" applyFont="1" applyFill="1" applyBorder="1" applyAlignment="1">
      <alignment horizontal="left" vertical="center" indent="8"/>
    </xf>
    <xf numFmtId="0" fontId="6" fillId="0" borderId="8" xfId="0" applyFont="1" applyFill="1" applyBorder="1" applyAlignment="1">
      <alignment horizontal="left" vertical="center" indent="8"/>
    </xf>
    <xf numFmtId="0" fontId="6" fillId="0" borderId="44" xfId="7" applyFont="1" applyFill="1" applyBorder="1" applyAlignment="1">
      <alignment horizontal="left" vertical="top"/>
    </xf>
    <xf numFmtId="0" fontId="6" fillId="0" borderId="0" xfId="7" applyFont="1" applyFill="1" applyBorder="1" applyAlignment="1">
      <alignment horizontal="left" vertical="top"/>
    </xf>
    <xf numFmtId="0" fontId="6" fillId="0" borderId="5" xfId="7" applyFont="1" applyFill="1" applyBorder="1" applyAlignment="1">
      <alignment horizontal="left" vertical="top"/>
    </xf>
    <xf numFmtId="0" fontId="6" fillId="0" borderId="3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33" xfId="7" applyFont="1" applyFill="1" applyBorder="1" applyAlignment="1">
      <alignment horizontal="left" vertical="top"/>
    </xf>
    <xf numFmtId="0" fontId="6" fillId="0" borderId="8" xfId="7" applyFont="1" applyFill="1" applyBorder="1" applyAlignment="1">
      <alignment horizontal="left" vertical="top"/>
    </xf>
    <xf numFmtId="0" fontId="6" fillId="0" borderId="6" xfId="7" applyFont="1" applyFill="1" applyBorder="1" applyAlignment="1">
      <alignment horizontal="left" vertical="top"/>
    </xf>
    <xf numFmtId="0" fontId="6" fillId="0" borderId="48" xfId="7" applyFont="1" applyFill="1" applyBorder="1" applyAlignment="1">
      <alignment horizontal="left" vertical="top"/>
    </xf>
    <xf numFmtId="0" fontId="6" fillId="0" borderId="40" xfId="7" applyFont="1" applyFill="1" applyBorder="1" applyAlignment="1">
      <alignment horizontal="left" vertical="top"/>
    </xf>
    <xf numFmtId="0" fontId="6" fillId="0" borderId="4" xfId="7" applyFont="1" applyFill="1" applyBorder="1" applyAlignment="1">
      <alignment horizontal="left" vertical="top"/>
    </xf>
    <xf numFmtId="4" fontId="5" fillId="2" borderId="7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0" fontId="6" fillId="0" borderId="65" xfId="0" applyFont="1" applyFill="1" applyBorder="1" applyAlignment="1">
      <alignment horizontal="left" vertical="center" indent="19"/>
    </xf>
    <xf numFmtId="0" fontId="6" fillId="0" borderId="0" xfId="0" applyFont="1" applyFill="1" applyBorder="1" applyAlignment="1">
      <alignment horizontal="left" vertical="center" indent="19"/>
    </xf>
    <xf numFmtId="0" fontId="6" fillId="0" borderId="8" xfId="0" applyFont="1" applyFill="1" applyBorder="1" applyAlignment="1">
      <alignment horizontal="left" vertical="center" indent="19"/>
    </xf>
    <xf numFmtId="0" fontId="6" fillId="0" borderId="33" xfId="7" applyFont="1" applyFill="1" applyBorder="1" applyAlignment="1">
      <alignment vertical="top" wrapText="1"/>
    </xf>
    <xf numFmtId="0" fontId="6" fillId="0" borderId="8" xfId="7" applyFont="1" applyFill="1" applyBorder="1" applyAlignment="1">
      <alignment vertical="top" wrapText="1"/>
    </xf>
    <xf numFmtId="0" fontId="6" fillId="0" borderId="6" xfId="7" applyFont="1" applyFill="1" applyBorder="1" applyAlignment="1">
      <alignment vertical="top" wrapText="1"/>
    </xf>
    <xf numFmtId="4" fontId="4" fillId="3" borderId="12" xfId="0" applyNumberFormat="1" applyFont="1" applyFill="1" applyBorder="1" applyAlignment="1">
      <alignment vertical="center" wrapText="1"/>
    </xf>
    <xf numFmtId="4" fontId="2" fillId="0" borderId="22" xfId="0" applyNumberFormat="1" applyFont="1" applyBorder="1" applyAlignment="1">
      <alignment horizontal="center" vertical="center"/>
    </xf>
    <xf numFmtId="4" fontId="2" fillId="0" borderId="75" xfId="0" applyNumberFormat="1" applyFont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4" fontId="4" fillId="3" borderId="3" xfId="0" applyNumberFormat="1" applyFont="1" applyFill="1" applyBorder="1" applyAlignment="1">
      <alignment horizontal="center" vertical="center"/>
    </xf>
    <xf numFmtId="0" fontId="6" fillId="0" borderId="44" xfId="7" applyFont="1" applyFill="1" applyBorder="1" applyAlignment="1">
      <alignment vertical="top" wrapText="1"/>
    </xf>
    <xf numFmtId="0" fontId="6" fillId="0" borderId="0" xfId="7" applyFont="1" applyFill="1" applyBorder="1" applyAlignment="1">
      <alignment vertical="top" wrapText="1"/>
    </xf>
    <xf numFmtId="0" fontId="6" fillId="0" borderId="5" xfId="7" applyFont="1" applyFill="1" applyBorder="1" applyAlignment="1">
      <alignment vertical="top" wrapText="1"/>
    </xf>
    <xf numFmtId="0" fontId="5" fillId="2" borderId="10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center"/>
    </xf>
    <xf numFmtId="0" fontId="5" fillId="6" borderId="12" xfId="0" applyFont="1" applyFill="1" applyBorder="1" applyAlignment="1">
      <alignment horizontal="left" vertical="center" wrapText="1"/>
    </xf>
    <xf numFmtId="0" fontId="6" fillId="0" borderId="65" xfId="0" applyFont="1" applyFill="1" applyBorder="1" applyAlignment="1">
      <alignment horizontal="left" vertical="center" indent="20"/>
    </xf>
    <xf numFmtId="0" fontId="6" fillId="0" borderId="40" xfId="0" applyFont="1" applyFill="1" applyBorder="1" applyAlignment="1">
      <alignment horizontal="left" vertical="center" indent="20"/>
    </xf>
    <xf numFmtId="0" fontId="6" fillId="0" borderId="0" xfId="0" applyFont="1" applyFill="1" applyBorder="1" applyAlignment="1">
      <alignment horizontal="left" vertical="center" indent="20"/>
    </xf>
    <xf numFmtId="0" fontId="6" fillId="0" borderId="8" xfId="0" applyFont="1" applyFill="1" applyBorder="1" applyAlignment="1">
      <alignment horizontal="left" vertical="center" indent="20"/>
    </xf>
    <xf numFmtId="0" fontId="4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6" fillId="0" borderId="65" xfId="7" applyFont="1" applyFill="1" applyBorder="1" applyAlignment="1">
      <alignment horizontal="left" vertical="top"/>
    </xf>
    <xf numFmtId="0" fontId="2" fillId="0" borderId="22" xfId="0" applyFont="1" applyBorder="1" applyAlignment="1">
      <alignment horizontal="left" vertical="center"/>
    </xf>
    <xf numFmtId="0" fontId="6" fillId="0" borderId="0" xfId="7" applyFont="1" applyFill="1" applyAlignment="1">
      <alignment horizontal="left" vertical="top"/>
    </xf>
    <xf numFmtId="0" fontId="2" fillId="0" borderId="75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5" fillId="3" borderId="10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  <xf numFmtId="0" fontId="4" fillId="3" borderId="12" xfId="0" applyFont="1" applyFill="1" applyBorder="1" applyAlignment="1">
      <alignment vertical="center"/>
    </xf>
    <xf numFmtId="0" fontId="6" fillId="0" borderId="44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65" xfId="0" applyFont="1" applyFill="1" applyBorder="1" applyAlignment="1">
      <alignment horizontal="left" vertical="center" indent="26"/>
    </xf>
    <xf numFmtId="0" fontId="6" fillId="0" borderId="40" xfId="0" applyFont="1" applyFill="1" applyBorder="1" applyAlignment="1">
      <alignment horizontal="left" vertical="center" indent="26"/>
    </xf>
    <xf numFmtId="0" fontId="6" fillId="0" borderId="0" xfId="0" applyFont="1" applyFill="1" applyBorder="1" applyAlignment="1">
      <alignment horizontal="left" vertical="center" indent="26"/>
    </xf>
    <xf numFmtId="0" fontId="6" fillId="0" borderId="8" xfId="0" applyFont="1" applyFill="1" applyBorder="1" applyAlignment="1">
      <alignment horizontal="left" vertical="center" indent="26"/>
    </xf>
    <xf numFmtId="3" fontId="5" fillId="3" borderId="33" xfId="6" applyFont="1" applyFill="1" applyBorder="1" applyAlignment="1">
      <alignment horizontal="center" vertical="center" wrapText="1"/>
    </xf>
    <xf numFmtId="3" fontId="5" fillId="3" borderId="8" xfId="6" applyFont="1" applyFill="1" applyBorder="1" applyAlignment="1">
      <alignment horizontal="center" vertical="center" wrapText="1"/>
    </xf>
    <xf numFmtId="3" fontId="5" fillId="3" borderId="6" xfId="6" applyFont="1" applyFill="1" applyBorder="1" applyAlignment="1">
      <alignment horizontal="center" vertical="center" wrapText="1"/>
    </xf>
    <xf numFmtId="3" fontId="5" fillId="3" borderId="48" xfId="6" applyFont="1" applyFill="1" applyBorder="1" applyAlignment="1">
      <alignment horizontal="center" vertical="center" wrapText="1"/>
    </xf>
    <xf numFmtId="3" fontId="5" fillId="3" borderId="40" xfId="6" applyFont="1" applyFill="1" applyBorder="1" applyAlignment="1">
      <alignment horizontal="center" vertical="center" wrapText="1"/>
    </xf>
    <xf numFmtId="3" fontId="5" fillId="3" borderId="65" xfId="6" applyFont="1" applyFill="1" applyBorder="1" applyAlignment="1">
      <alignment horizontal="center" vertical="center" wrapText="1"/>
    </xf>
    <xf numFmtId="3" fontId="5" fillId="3" borderId="4" xfId="6" applyFont="1" applyFill="1" applyBorder="1" applyAlignment="1">
      <alignment horizontal="center" vertical="center" wrapText="1"/>
    </xf>
    <xf numFmtId="3" fontId="6" fillId="0" borderId="10" xfId="6" applyFont="1" applyFill="1" applyBorder="1" applyAlignment="1">
      <alignment horizontal="right" vertical="center" wrapText="1"/>
    </xf>
    <xf numFmtId="3" fontId="6" fillId="0" borderId="7" xfId="6" applyFont="1" applyFill="1" applyBorder="1" applyAlignment="1">
      <alignment horizontal="right" vertical="center" wrapText="1"/>
    </xf>
    <xf numFmtId="3" fontId="5" fillId="2" borderId="10" xfId="6" applyFont="1" applyFill="1" applyBorder="1" applyAlignment="1">
      <alignment horizontal="center" vertical="center" wrapText="1"/>
    </xf>
    <xf numFmtId="3" fontId="5" fillId="2" borderId="7" xfId="6" applyFont="1" applyFill="1" applyBorder="1" applyAlignment="1">
      <alignment horizontal="center" vertical="center" wrapText="1"/>
    </xf>
    <xf numFmtId="3" fontId="5" fillId="2" borderId="3" xfId="6" applyFont="1" applyFill="1" applyBorder="1" applyAlignment="1">
      <alignment horizontal="center" vertical="center" wrapText="1"/>
    </xf>
    <xf numFmtId="3" fontId="5" fillId="6" borderId="75" xfId="6" applyFont="1" applyFill="1" applyBorder="1" applyAlignment="1">
      <alignment horizontal="right" vertical="center" wrapText="1"/>
    </xf>
    <xf numFmtId="3" fontId="5" fillId="2" borderId="10" xfId="6" applyFont="1" applyFill="1" applyBorder="1" applyAlignment="1">
      <alignment horizontal="right" vertical="center" wrapText="1"/>
    </xf>
    <xf numFmtId="3" fontId="5" fillId="2" borderId="7" xfId="6" applyFont="1" applyFill="1" applyBorder="1" applyAlignment="1">
      <alignment horizontal="right" vertical="center" wrapText="1"/>
    </xf>
    <xf numFmtId="2" fontId="5" fillId="3" borderId="27" xfId="6" applyNumberFormat="1" applyFont="1" applyFill="1" applyBorder="1" applyAlignment="1">
      <alignment horizontal="right" vertical="center" wrapText="1"/>
    </xf>
    <xf numFmtId="2" fontId="5" fillId="3" borderId="32" xfId="6" applyNumberFormat="1" applyFont="1" applyFill="1" applyBorder="1" applyAlignment="1">
      <alignment horizontal="right" vertical="center" wrapText="1"/>
    </xf>
    <xf numFmtId="2" fontId="5" fillId="3" borderId="28" xfId="6" applyNumberFormat="1" applyFont="1" applyFill="1" applyBorder="1" applyAlignment="1">
      <alignment horizontal="right" vertical="center" wrapText="1"/>
    </xf>
    <xf numFmtId="2" fontId="5" fillId="3" borderId="49" xfId="6" applyNumberFormat="1" applyFont="1" applyFill="1" applyBorder="1" applyAlignment="1">
      <alignment horizontal="right" vertical="center" wrapText="1"/>
    </xf>
    <xf numFmtId="3" fontId="6" fillId="7" borderId="10" xfId="6" applyFont="1" applyFill="1" applyBorder="1" applyAlignment="1">
      <alignment horizontal="right" vertical="center" wrapText="1"/>
    </xf>
    <xf numFmtId="3" fontId="6" fillId="7" borderId="7" xfId="6" applyFont="1" applyFill="1" applyBorder="1" applyAlignment="1">
      <alignment horizontal="right" vertical="center" wrapText="1"/>
    </xf>
    <xf numFmtId="3" fontId="5" fillId="2" borderId="28" xfId="6" applyFont="1" applyFill="1" applyBorder="1" applyAlignment="1">
      <alignment horizontal="right" vertical="center" wrapText="1"/>
    </xf>
    <xf numFmtId="3" fontId="5" fillId="2" borderId="49" xfId="6" applyFont="1" applyFill="1" applyBorder="1" applyAlignment="1">
      <alignment horizontal="right" vertical="center" wrapText="1"/>
    </xf>
    <xf numFmtId="3" fontId="5" fillId="2" borderId="32" xfId="6" applyFont="1" applyFill="1" applyBorder="1" applyAlignment="1">
      <alignment horizontal="right" vertical="center" wrapText="1"/>
    </xf>
    <xf numFmtId="0" fontId="6" fillId="0" borderId="33" xfId="7" applyFont="1" applyFill="1" applyBorder="1" applyAlignment="1">
      <alignment horizontal="left" vertical="center"/>
    </xf>
    <xf numFmtId="0" fontId="6" fillId="0" borderId="8" xfId="7" applyFont="1" applyFill="1" applyBorder="1" applyAlignment="1">
      <alignment horizontal="left" vertical="center"/>
    </xf>
    <xf numFmtId="0" fontId="6" fillId="0" borderId="6" xfId="7" applyFont="1" applyFill="1" applyBorder="1" applyAlignment="1">
      <alignment horizontal="left" vertical="center"/>
    </xf>
    <xf numFmtId="0" fontId="6" fillId="0" borderId="48" xfId="7" applyFont="1" applyFill="1" applyBorder="1" applyAlignment="1">
      <alignment horizontal="left" vertical="center"/>
    </xf>
    <xf numFmtId="0" fontId="6" fillId="0" borderId="65" xfId="7" applyFont="1" applyFill="1" applyBorder="1" applyAlignment="1">
      <alignment horizontal="left" vertical="center"/>
    </xf>
    <xf numFmtId="0" fontId="6" fillId="0" borderId="40" xfId="7" applyFont="1" applyFill="1" applyBorder="1" applyAlignment="1">
      <alignment horizontal="left" vertical="center"/>
    </xf>
    <xf numFmtId="0" fontId="6" fillId="0" borderId="4" xfId="7" applyFont="1" applyFill="1" applyBorder="1" applyAlignment="1">
      <alignment horizontal="left" vertical="center"/>
    </xf>
    <xf numFmtId="0" fontId="6" fillId="0" borderId="65" xfId="0" applyFont="1" applyFill="1" applyBorder="1" applyAlignment="1">
      <alignment horizontal="left" vertical="center" indent="3"/>
    </xf>
    <xf numFmtId="0" fontId="6" fillId="0" borderId="0" xfId="0" applyFont="1" applyFill="1" applyBorder="1" applyAlignment="1">
      <alignment horizontal="left" vertical="center" indent="3"/>
    </xf>
    <xf numFmtId="0" fontId="6" fillId="0" borderId="8" xfId="0" applyFont="1" applyFill="1" applyBorder="1" applyAlignment="1">
      <alignment horizontal="left" vertical="center" indent="3"/>
    </xf>
    <xf numFmtId="4" fontId="2" fillId="4" borderId="22" xfId="0" applyNumberFormat="1" applyFont="1" applyFill="1" applyBorder="1" applyAlignment="1">
      <alignment horizontal="center" vertical="center" wrapText="1"/>
    </xf>
    <xf numFmtId="4" fontId="2" fillId="4" borderId="74" xfId="0" applyNumberFormat="1" applyFont="1" applyFill="1" applyBorder="1" applyAlignment="1">
      <alignment horizontal="center" vertical="center" wrapText="1"/>
    </xf>
    <xf numFmtId="4" fontId="2" fillId="4" borderId="75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0" fontId="6" fillId="0" borderId="48" xfId="8" applyFont="1" applyFill="1" applyBorder="1" applyAlignment="1">
      <alignment horizontal="left" vertical="center" wrapText="1"/>
    </xf>
    <xf numFmtId="0" fontId="6" fillId="0" borderId="40" xfId="8" applyFont="1" applyFill="1" applyBorder="1" applyAlignment="1">
      <alignment horizontal="left" vertical="center" wrapText="1"/>
    </xf>
    <xf numFmtId="0" fontId="6" fillId="0" borderId="65" xfId="8" applyFont="1" applyFill="1" applyBorder="1" applyAlignment="1">
      <alignment horizontal="left" vertical="center" wrapText="1"/>
    </xf>
    <xf numFmtId="0" fontId="6" fillId="0" borderId="4" xfId="8" applyFont="1" applyFill="1" applyBorder="1" applyAlignment="1">
      <alignment horizontal="left" vertical="center" wrapText="1"/>
    </xf>
    <xf numFmtId="0" fontId="6" fillId="0" borderId="44" xfId="8" applyFont="1" applyFill="1" applyBorder="1" applyAlignment="1">
      <alignment horizontal="left" vertical="center" wrapText="1"/>
    </xf>
    <xf numFmtId="0" fontId="6" fillId="0" borderId="0" xfId="8" applyFont="1" applyFill="1" applyBorder="1" applyAlignment="1">
      <alignment horizontal="left" vertical="center" wrapText="1"/>
    </xf>
    <xf numFmtId="0" fontId="6" fillId="0" borderId="5" xfId="8" applyFont="1" applyFill="1" applyBorder="1" applyAlignment="1">
      <alignment horizontal="left" vertical="center" wrapText="1"/>
    </xf>
    <xf numFmtId="0" fontId="6" fillId="0" borderId="33" xfId="8" applyFont="1" applyFill="1" applyBorder="1" applyAlignment="1">
      <alignment horizontal="left" vertical="center" wrapText="1"/>
    </xf>
    <xf numFmtId="0" fontId="6" fillId="0" borderId="8" xfId="8" applyFont="1" applyFill="1" applyBorder="1" applyAlignment="1">
      <alignment horizontal="left" vertical="center" wrapText="1"/>
    </xf>
    <xf numFmtId="0" fontId="6" fillId="0" borderId="6" xfId="8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6" fillId="0" borderId="33" xfId="8" applyFont="1" applyFill="1" applyBorder="1" applyAlignment="1">
      <alignment horizontal="left" vertical="center"/>
    </xf>
    <xf numFmtId="0" fontId="6" fillId="0" borderId="8" xfId="8" applyFont="1" applyFill="1" applyBorder="1" applyAlignment="1">
      <alignment horizontal="left" vertical="center"/>
    </xf>
    <xf numFmtId="0" fontId="6" fillId="0" borderId="6" xfId="8" applyFont="1" applyFill="1" applyBorder="1" applyAlignment="1">
      <alignment horizontal="left" vertical="center"/>
    </xf>
    <xf numFmtId="0" fontId="6" fillId="0" borderId="48" xfId="8" applyFont="1" applyFill="1" applyBorder="1" applyAlignment="1">
      <alignment horizontal="left" vertical="center"/>
    </xf>
    <xf numFmtId="0" fontId="6" fillId="0" borderId="40" xfId="8" applyFont="1" applyFill="1" applyBorder="1" applyAlignment="1">
      <alignment horizontal="left" vertical="center"/>
    </xf>
    <xf numFmtId="0" fontId="6" fillId="0" borderId="65" xfId="8" applyFont="1" applyFill="1" applyBorder="1" applyAlignment="1">
      <alignment horizontal="left" vertical="center"/>
    </xf>
    <xf numFmtId="0" fontId="6" fillId="0" borderId="4" xfId="8" applyFont="1" applyFill="1" applyBorder="1" applyAlignment="1">
      <alignment horizontal="left" vertical="center"/>
    </xf>
    <xf numFmtId="0" fontId="6" fillId="0" borderId="48" xfId="8" applyFont="1" applyFill="1" applyBorder="1" applyAlignment="1">
      <alignment vertical="center"/>
    </xf>
    <xf numFmtId="0" fontId="6" fillId="0" borderId="4" xfId="8" applyFont="1" applyFill="1" applyBorder="1" applyAlignment="1">
      <alignment vertical="center"/>
    </xf>
    <xf numFmtId="174" fontId="2" fillId="0" borderId="22" xfId="0" applyNumberFormat="1" applyFont="1" applyBorder="1" applyAlignment="1">
      <alignment horizontal="center" vertical="center" wrapText="1"/>
    </xf>
    <xf numFmtId="174" fontId="2" fillId="0" borderId="74" xfId="0" applyNumberFormat="1" applyFont="1" applyBorder="1" applyAlignment="1">
      <alignment horizontal="center" vertical="center" wrapText="1"/>
    </xf>
    <xf numFmtId="174" fontId="2" fillId="0" borderId="75" xfId="0" applyNumberFormat="1" applyFont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74" xfId="0" applyFont="1" applyFill="1" applyBorder="1" applyAlignment="1">
      <alignment horizontal="center" vertical="center" wrapText="1"/>
    </xf>
    <xf numFmtId="0" fontId="2" fillId="4" borderId="75" xfId="0" applyFont="1" applyFill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/>
    </xf>
    <xf numFmtId="0" fontId="4" fillId="0" borderId="66" xfId="0" applyFont="1" applyBorder="1" applyAlignment="1">
      <alignment horizontal="left" vertical="center"/>
    </xf>
    <xf numFmtId="0" fontId="6" fillId="0" borderId="44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justify" vertical="top" wrapText="1"/>
    </xf>
    <xf numFmtId="0" fontId="6" fillId="0" borderId="5" xfId="0" applyFont="1" applyFill="1" applyBorder="1" applyAlignment="1">
      <alignment horizontal="justify" vertical="top" wrapText="1"/>
    </xf>
    <xf numFmtId="0" fontId="6" fillId="0" borderId="33" xfId="0" applyFont="1" applyFill="1" applyBorder="1" applyAlignment="1">
      <alignment horizontal="justify" vertical="top" wrapText="1"/>
    </xf>
    <xf numFmtId="0" fontId="6" fillId="0" borderId="8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 wrapText="1"/>
    </xf>
    <xf numFmtId="4" fontId="4" fillId="3" borderId="12" xfId="0" applyNumberFormat="1" applyFont="1" applyFill="1" applyBorder="1" applyAlignment="1">
      <alignment horizontal="center" vertical="center" wrapText="1"/>
    </xf>
    <xf numFmtId="0" fontId="6" fillId="0" borderId="48" xfId="0" applyFont="1" applyFill="1" applyBorder="1" applyAlignment="1">
      <alignment horizontal="left" vertical="center"/>
    </xf>
    <xf numFmtId="0" fontId="6" fillId="0" borderId="6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4" fillId="6" borderId="10" xfId="0" applyFont="1" applyFill="1" applyBorder="1" applyAlignment="1">
      <alignment horizontal="right" vertical="center"/>
    </xf>
    <xf numFmtId="0" fontId="4" fillId="6" borderId="7" xfId="0" applyFont="1" applyFill="1" applyBorder="1" applyAlignment="1">
      <alignment horizontal="right" vertical="center"/>
    </xf>
    <xf numFmtId="0" fontId="4" fillId="6" borderId="3" xfId="0" applyFont="1" applyFill="1" applyBorder="1" applyAlignment="1">
      <alignment horizontal="right" vertical="center"/>
    </xf>
    <xf numFmtId="0" fontId="4" fillId="3" borderId="10" xfId="0" applyFont="1" applyFill="1" applyBorder="1" applyAlignment="1">
      <alignment horizontal="right" vertical="center" wrapText="1"/>
    </xf>
    <xf numFmtId="0" fontId="4" fillId="3" borderId="7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6" fillId="0" borderId="44" xfId="7" applyFont="1" applyFill="1" applyBorder="1" applyAlignment="1">
      <alignment horizontal="left" vertical="center"/>
    </xf>
    <xf numFmtId="0" fontId="6" fillId="0" borderId="5" xfId="7" applyFont="1" applyFill="1" applyBorder="1" applyAlignment="1">
      <alignment horizontal="left" vertical="center"/>
    </xf>
    <xf numFmtId="0" fontId="6" fillId="0" borderId="0" xfId="7" applyFont="1" applyFill="1" applyBorder="1" applyAlignment="1">
      <alignment horizontal="left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49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54" xfId="0" applyFont="1" applyBorder="1" applyAlignment="1">
      <alignment horizontal="left" vertical="center"/>
    </xf>
    <xf numFmtId="4" fontId="6" fillId="0" borderId="20" xfId="0" applyNumberFormat="1" applyFont="1" applyBorder="1" applyAlignment="1">
      <alignment horizontal="center" vertical="center"/>
    </xf>
    <xf numFmtId="4" fontId="6" fillId="0" borderId="21" xfId="0" applyNumberFormat="1" applyFont="1" applyBorder="1" applyAlignment="1">
      <alignment horizontal="center" vertical="center"/>
    </xf>
    <xf numFmtId="4" fontId="5" fillId="3" borderId="27" xfId="0" applyNumberFormat="1" applyFont="1" applyFill="1" applyBorder="1" applyAlignment="1">
      <alignment horizontal="center" vertical="center"/>
    </xf>
    <xf numFmtId="4" fontId="5" fillId="3" borderId="29" xfId="0" applyNumberFormat="1" applyFont="1" applyFill="1" applyBorder="1" applyAlignment="1">
      <alignment horizontal="center" vertical="center"/>
    </xf>
    <xf numFmtId="4" fontId="5" fillId="3" borderId="27" xfId="0" applyNumberFormat="1" applyFont="1" applyFill="1" applyBorder="1" applyAlignment="1">
      <alignment horizontal="center" vertical="center" wrapText="1"/>
    </xf>
    <xf numFmtId="4" fontId="5" fillId="3" borderId="29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50" xfId="0" applyFont="1" applyBorder="1" applyAlignment="1">
      <alignment horizontal="left" vertical="center"/>
    </xf>
    <xf numFmtId="0" fontId="5" fillId="6" borderId="10" xfId="0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0" borderId="4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justify" vertical="center"/>
    </xf>
    <xf numFmtId="0" fontId="6" fillId="0" borderId="0" xfId="0" applyFont="1" applyFill="1" applyBorder="1" applyAlignment="1">
      <alignment horizontal="justify" vertical="center"/>
    </xf>
    <xf numFmtId="0" fontId="6" fillId="0" borderId="5" xfId="0" applyFont="1" applyFill="1" applyBorder="1" applyAlignment="1">
      <alignment horizontal="justify" vertical="center"/>
    </xf>
    <xf numFmtId="0" fontId="5" fillId="2" borderId="48" xfId="0" applyFont="1" applyFill="1" applyBorder="1" applyAlignment="1">
      <alignment horizontal="left" vertical="center" wrapText="1"/>
    </xf>
    <xf numFmtId="0" fontId="5" fillId="2" borderId="40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6" fillId="0" borderId="33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0" fontId="6" fillId="0" borderId="48" xfId="0" applyFont="1" applyFill="1" applyBorder="1" applyAlignment="1">
      <alignment vertical="center"/>
    </xf>
    <xf numFmtId="0" fontId="6" fillId="0" borderId="65" xfId="0" applyFont="1" applyFill="1" applyBorder="1" applyAlignment="1">
      <alignment vertical="center"/>
    </xf>
    <xf numFmtId="0" fontId="6" fillId="0" borderId="4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5" fillId="3" borderId="4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6" fillId="0" borderId="48" xfId="8" applyFont="1" applyFill="1" applyBorder="1" applyAlignment="1">
      <alignment horizontal="left" vertical="top"/>
    </xf>
    <xf numFmtId="0" fontId="6" fillId="0" borderId="65" xfId="8" applyFont="1" applyFill="1" applyBorder="1" applyAlignment="1">
      <alignment horizontal="left" vertical="top"/>
    </xf>
    <xf numFmtId="0" fontId="6" fillId="0" borderId="4" xfId="8" applyFont="1" applyFill="1" applyBorder="1" applyAlignment="1">
      <alignment horizontal="left" vertical="top"/>
    </xf>
    <xf numFmtId="0" fontId="6" fillId="0" borderId="44" xfId="8" applyFont="1" applyFill="1" applyBorder="1" applyAlignment="1">
      <alignment horizontal="left" vertical="top"/>
    </xf>
    <xf numFmtId="0" fontId="6" fillId="0" borderId="0" xfId="8" applyFont="1" applyFill="1" applyBorder="1" applyAlignment="1">
      <alignment horizontal="left" vertical="top"/>
    </xf>
    <xf numFmtId="0" fontId="6" fillId="0" borderId="5" xfId="8" applyFont="1" applyFill="1" applyBorder="1" applyAlignment="1">
      <alignment horizontal="left" vertical="top"/>
    </xf>
    <xf numFmtId="0" fontId="6" fillId="0" borderId="33" xfId="8" applyFont="1" applyFill="1" applyBorder="1" applyAlignment="1">
      <alignment horizontal="left" vertical="top"/>
    </xf>
    <xf numFmtId="0" fontId="6" fillId="0" borderId="8" xfId="8" applyFont="1" applyFill="1" applyBorder="1" applyAlignment="1">
      <alignment horizontal="left" vertical="top"/>
    </xf>
    <xf numFmtId="0" fontId="6" fillId="0" borderId="6" xfId="8" applyFont="1" applyFill="1" applyBorder="1" applyAlignment="1">
      <alignment horizontal="left" vertical="top"/>
    </xf>
    <xf numFmtId="0" fontId="6" fillId="0" borderId="48" xfId="8" applyFont="1" applyFill="1" applyBorder="1" applyAlignment="1">
      <alignment horizontal="left" vertical="top" wrapText="1"/>
    </xf>
    <xf numFmtId="0" fontId="6" fillId="0" borderId="65" xfId="8" applyFont="1" applyFill="1" applyBorder="1" applyAlignment="1">
      <alignment horizontal="left" vertical="top" wrapText="1"/>
    </xf>
    <xf numFmtId="0" fontId="6" fillId="0" borderId="4" xfId="8" applyFont="1" applyFill="1" applyBorder="1" applyAlignment="1">
      <alignment horizontal="left" vertical="top" wrapText="1"/>
    </xf>
    <xf numFmtId="0" fontId="6" fillId="0" borderId="40" xfId="8" applyFont="1" applyFill="1" applyBorder="1" applyAlignment="1">
      <alignment horizontal="left" vertical="top"/>
    </xf>
    <xf numFmtId="0" fontId="6" fillId="0" borderId="48" xfId="8" applyFont="1" applyFill="1" applyBorder="1" applyAlignment="1">
      <alignment vertical="top"/>
    </xf>
    <xf numFmtId="0" fontId="6" fillId="0" borderId="4" xfId="8" applyFont="1" applyFill="1" applyBorder="1" applyAlignment="1">
      <alignment vertical="top"/>
    </xf>
    <xf numFmtId="0" fontId="2" fillId="0" borderId="33" xfId="0" applyFont="1" applyFill="1" applyBorder="1"/>
    <xf numFmtId="0" fontId="2" fillId="0" borderId="6" xfId="0" applyFont="1" applyFill="1" applyBorder="1"/>
    <xf numFmtId="0" fontId="6" fillId="0" borderId="65" xfId="0" applyFont="1" applyFill="1" applyBorder="1" applyAlignment="1">
      <alignment horizontal="left" vertical="center" indent="14"/>
    </xf>
    <xf numFmtId="0" fontId="6" fillId="0" borderId="0" xfId="0" applyFont="1" applyFill="1" applyBorder="1" applyAlignment="1">
      <alignment horizontal="left" vertical="center" indent="14"/>
    </xf>
    <xf numFmtId="0" fontId="6" fillId="0" borderId="8" xfId="0" applyFont="1" applyFill="1" applyBorder="1" applyAlignment="1">
      <alignment horizontal="left" vertical="center" indent="14"/>
    </xf>
    <xf numFmtId="0" fontId="6" fillId="0" borderId="44" xfId="7" applyFill="1" applyBorder="1" applyAlignment="1">
      <alignment horizontal="left" vertical="top"/>
    </xf>
    <xf numFmtId="0" fontId="6" fillId="0" borderId="0" xfId="7" applyFill="1" applyBorder="1" applyAlignment="1">
      <alignment horizontal="left" vertical="top"/>
    </xf>
    <xf numFmtId="0" fontId="6" fillId="0" borderId="5" xfId="7" applyFill="1" applyBorder="1" applyAlignment="1">
      <alignment horizontal="left" vertical="top"/>
    </xf>
    <xf numFmtId="0" fontId="5" fillId="8" borderId="10" xfId="0" applyFont="1" applyFill="1" applyBorder="1" applyAlignment="1">
      <alignment horizontal="left" vertical="center" wrapText="1"/>
    </xf>
    <xf numFmtId="0" fontId="5" fillId="8" borderId="3" xfId="0" applyFont="1" applyFill="1" applyBorder="1" applyAlignment="1">
      <alignment horizontal="left" vertical="center" wrapText="1"/>
    </xf>
    <xf numFmtId="0" fontId="5" fillId="8" borderId="10" xfId="0" applyFont="1" applyFill="1" applyBorder="1" applyAlignment="1">
      <alignment horizontal="right" vertical="center" wrapText="1"/>
    </xf>
    <xf numFmtId="0" fontId="5" fillId="8" borderId="7" xfId="0" applyFont="1" applyFill="1" applyBorder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0" fontId="6" fillId="4" borderId="7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left" vertical="center" wrapText="1"/>
    </xf>
    <xf numFmtId="0" fontId="6" fillId="0" borderId="33" xfId="7" applyFill="1" applyBorder="1" applyAlignment="1">
      <alignment horizontal="left" vertical="top"/>
    </xf>
    <xf numFmtId="0" fontId="6" fillId="0" borderId="8" xfId="7" applyFill="1" applyBorder="1" applyAlignment="1">
      <alignment horizontal="left" vertical="top"/>
    </xf>
    <xf numFmtId="0" fontId="6" fillId="0" borderId="6" xfId="7" applyFill="1" applyBorder="1" applyAlignment="1">
      <alignment horizontal="left" vertical="top"/>
    </xf>
    <xf numFmtId="0" fontId="6" fillId="0" borderId="44" xfId="7" applyFill="1" applyBorder="1" applyAlignment="1">
      <alignment horizontal="left" vertical="top" wrapText="1"/>
    </xf>
    <xf numFmtId="0" fontId="6" fillId="0" borderId="0" xfId="7" applyFill="1" applyBorder="1" applyAlignment="1">
      <alignment horizontal="left" vertical="top" wrapText="1"/>
    </xf>
    <xf numFmtId="0" fontId="6" fillId="0" borderId="5" xfId="7" applyFill="1" applyBorder="1" applyAlignment="1">
      <alignment horizontal="left" vertical="top" wrapText="1"/>
    </xf>
    <xf numFmtId="0" fontId="9" fillId="0" borderId="48" xfId="7" applyFont="1" applyFill="1" applyBorder="1" applyAlignment="1">
      <alignment horizontal="left" vertical="top"/>
    </xf>
    <xf numFmtId="0" fontId="9" fillId="0" borderId="40" xfId="7" applyFont="1" applyFill="1" applyBorder="1" applyAlignment="1">
      <alignment horizontal="left" vertical="top"/>
    </xf>
    <xf numFmtId="0" fontId="9" fillId="0" borderId="33" xfId="7" applyFont="1" applyFill="1" applyBorder="1" applyAlignment="1">
      <alignment horizontal="left" vertical="top"/>
    </xf>
    <xf numFmtId="0" fontId="9" fillId="0" borderId="8" xfId="7" applyFont="1" applyFill="1" applyBorder="1" applyAlignment="1">
      <alignment horizontal="left" vertical="top"/>
    </xf>
    <xf numFmtId="0" fontId="9" fillId="0" borderId="44" xfId="7" applyFont="1" applyFill="1" applyBorder="1" applyAlignment="1">
      <alignment horizontal="left" vertical="top"/>
    </xf>
    <xf numFmtId="0" fontId="9" fillId="0" borderId="0" xfId="7" applyFont="1" applyFill="1" applyAlignment="1">
      <alignment horizontal="left" vertical="top"/>
    </xf>
    <xf numFmtId="0" fontId="9" fillId="0" borderId="0" xfId="7" applyFont="1" applyFill="1" applyBorder="1" applyAlignment="1">
      <alignment horizontal="left" vertical="top"/>
    </xf>
    <xf numFmtId="0" fontId="5" fillId="8" borderId="3" xfId="0" applyFont="1" applyFill="1" applyBorder="1" applyAlignment="1">
      <alignment horizontal="right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/>
    </xf>
    <xf numFmtId="4" fontId="4" fillId="3" borderId="27" xfId="0" applyNumberFormat="1" applyFont="1" applyFill="1" applyBorder="1" applyAlignment="1">
      <alignment horizontal="center" vertical="center" wrapText="1"/>
    </xf>
    <xf numFmtId="4" fontId="4" fillId="3" borderId="29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6" fillId="0" borderId="33" xfId="0" applyFont="1" applyFill="1" applyBorder="1" applyAlignment="1">
      <alignment horizontal="justify" vertical="center"/>
    </xf>
    <xf numFmtId="0" fontId="6" fillId="0" borderId="8" xfId="0" applyFont="1" applyFill="1" applyBorder="1" applyAlignment="1">
      <alignment horizontal="justify" vertical="center"/>
    </xf>
    <xf numFmtId="0" fontId="6" fillId="0" borderId="6" xfId="0" applyFont="1" applyFill="1" applyBorder="1" applyAlignment="1">
      <alignment horizontal="justify" vertical="center"/>
    </xf>
    <xf numFmtId="0" fontId="6" fillId="0" borderId="44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4" fillId="3" borderId="26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/>
    </xf>
    <xf numFmtId="4" fontId="4" fillId="3" borderId="27" xfId="0" applyNumberFormat="1" applyFont="1" applyFill="1" applyBorder="1" applyAlignment="1">
      <alignment horizontal="center" vertical="center"/>
    </xf>
    <xf numFmtId="4" fontId="4" fillId="3" borderId="29" xfId="0" applyNumberFormat="1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4" fontId="4" fillId="3" borderId="22" xfId="0" applyNumberFormat="1" applyFont="1" applyFill="1" applyBorder="1" applyAlignment="1">
      <alignment horizontal="center" vertical="center"/>
    </xf>
    <xf numFmtId="4" fontId="4" fillId="3" borderId="24" xfId="0" applyNumberFormat="1" applyFont="1" applyFill="1" applyBorder="1" applyAlignment="1">
      <alignment horizontal="center" vertical="center"/>
    </xf>
    <xf numFmtId="4" fontId="4" fillId="3" borderId="13" xfId="0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4" fontId="4" fillId="3" borderId="26" xfId="0" applyNumberFormat="1" applyFont="1" applyFill="1" applyBorder="1" applyAlignment="1">
      <alignment horizontal="center" vertical="center"/>
    </xf>
    <xf numFmtId="4" fontId="4" fillId="3" borderId="37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horizontal="center" vertical="center"/>
    </xf>
    <xf numFmtId="0" fontId="5" fillId="3" borderId="12" xfId="1" applyFont="1" applyFill="1" applyBorder="1" applyAlignment="1">
      <alignment horizontal="right" vertical="center"/>
    </xf>
    <xf numFmtId="0" fontId="6" fillId="0" borderId="33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4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0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vertical="center" wrapText="1"/>
    </xf>
    <xf numFmtId="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4" fillId="3" borderId="12" xfId="0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50" xfId="0" applyFont="1" applyFill="1" applyBorder="1" applyAlignment="1">
      <alignment horizontal="left" vertical="center"/>
    </xf>
    <xf numFmtId="4" fontId="6" fillId="0" borderId="20" xfId="0" applyNumberFormat="1" applyFont="1" applyFill="1" applyBorder="1" applyAlignment="1">
      <alignment horizontal="center" vertical="center"/>
    </xf>
    <xf numFmtId="4" fontId="6" fillId="0" borderId="21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6" fillId="0" borderId="45" xfId="0" applyFont="1" applyFill="1" applyBorder="1" applyAlignment="1">
      <alignment horizontal="left" vertical="center"/>
    </xf>
    <xf numFmtId="0" fontId="6" fillId="0" borderId="31" xfId="0" applyFont="1" applyFill="1" applyBorder="1" applyAlignment="1">
      <alignment horizontal="left" vertical="center"/>
    </xf>
    <xf numFmtId="0" fontId="6" fillId="0" borderId="58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54" xfId="0" applyFont="1" applyFill="1" applyBorder="1" applyAlignment="1">
      <alignment horizontal="left" vertical="center"/>
    </xf>
    <xf numFmtId="0" fontId="5" fillId="6" borderId="10" xfId="0" applyFont="1" applyFill="1" applyBorder="1" applyAlignment="1">
      <alignment horizontal="left" vertical="center"/>
    </xf>
    <xf numFmtId="0" fontId="5" fillId="6" borderId="7" xfId="0" applyFont="1" applyFill="1" applyBorder="1" applyAlignment="1">
      <alignment horizontal="left" vertical="center"/>
    </xf>
    <xf numFmtId="0" fontId="5" fillId="6" borderId="3" xfId="0" applyFont="1" applyFill="1" applyBorder="1" applyAlignment="1">
      <alignment horizontal="left" vertical="center"/>
    </xf>
    <xf numFmtId="0" fontId="6" fillId="0" borderId="30" xfId="0" applyFont="1" applyFill="1" applyBorder="1" applyAlignment="1">
      <alignment horizontal="left" vertical="center"/>
    </xf>
    <xf numFmtId="0" fontId="6" fillId="0" borderId="39" xfId="0" applyFont="1" applyFill="1" applyBorder="1" applyAlignment="1">
      <alignment horizontal="left" vertical="center"/>
    </xf>
    <xf numFmtId="0" fontId="6" fillId="0" borderId="34" xfId="0" applyFont="1" applyFill="1" applyBorder="1" applyAlignment="1">
      <alignment horizontal="left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34" xfId="0" applyNumberFormat="1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left" vertical="center"/>
    </xf>
    <xf numFmtId="0" fontId="6" fillId="0" borderId="37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6" fillId="0" borderId="35" xfId="0" applyFont="1" applyFill="1" applyBorder="1" applyAlignment="1">
      <alignment horizontal="left" vertical="center"/>
    </xf>
    <xf numFmtId="0" fontId="6" fillId="0" borderId="43" xfId="0" applyFont="1" applyFill="1" applyBorder="1" applyAlignment="1">
      <alignment horizontal="left" vertical="center"/>
    </xf>
    <xf numFmtId="0" fontId="6" fillId="0" borderId="36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4" fontId="2" fillId="0" borderId="20" xfId="0" applyNumberFormat="1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4" fontId="2" fillId="0" borderId="46" xfId="0" applyNumberFormat="1" applyFont="1" applyBorder="1" applyAlignment="1">
      <alignment horizontal="center" vertical="center"/>
    </xf>
    <xf numFmtId="4" fontId="2" fillId="0" borderId="47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5" fillId="6" borderId="22" xfId="0" applyFont="1" applyFill="1" applyBorder="1" applyAlignment="1">
      <alignment horizontal="left" vertical="center"/>
    </xf>
    <xf numFmtId="0" fontId="5" fillId="2" borderId="22" xfId="0" applyFont="1" applyFill="1" applyBorder="1" applyAlignment="1">
      <alignment horizontal="left" vertical="center"/>
    </xf>
    <xf numFmtId="0" fontId="6" fillId="0" borderId="33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justify" vertical="center" wrapText="1"/>
    </xf>
    <xf numFmtId="4" fontId="2" fillId="0" borderId="16" xfId="0" applyNumberFormat="1" applyFont="1" applyFill="1" applyBorder="1" applyAlignment="1">
      <alignment horizontal="center" vertical="center"/>
    </xf>
    <xf numFmtId="4" fontId="2" fillId="0" borderId="17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0" fontId="2" fillId="0" borderId="52" xfId="0" applyFont="1" applyFill="1" applyBorder="1" applyAlignment="1">
      <alignment horizontal="left" vertical="center"/>
    </xf>
    <xf numFmtId="4" fontId="2" fillId="0" borderId="46" xfId="0" applyNumberFormat="1" applyFont="1" applyFill="1" applyBorder="1" applyAlignment="1">
      <alignment horizontal="center" vertical="center"/>
    </xf>
    <xf numFmtId="4" fontId="2" fillId="0" borderId="47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50" xfId="0" applyFont="1" applyFill="1" applyBorder="1" applyAlignment="1">
      <alignment horizontal="left" vertical="center"/>
    </xf>
    <xf numFmtId="4" fontId="2" fillId="0" borderId="20" xfId="0" applyNumberFormat="1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left" vertical="top"/>
    </xf>
    <xf numFmtId="0" fontId="2" fillId="0" borderId="65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5" fillId="0" borderId="44" xfId="8" applyFont="1" applyFill="1" applyBorder="1" applyAlignment="1">
      <alignment horizontal="justify" vertical="top" wrapText="1"/>
    </xf>
    <xf numFmtId="0" fontId="5" fillId="0" borderId="0" xfId="8" applyFont="1" applyFill="1" applyBorder="1" applyAlignment="1">
      <alignment horizontal="justify" vertical="top" wrapText="1"/>
    </xf>
    <xf numFmtId="0" fontId="5" fillId="0" borderId="5" xfId="8" applyFont="1" applyFill="1" applyBorder="1" applyAlignment="1">
      <alignment horizontal="justify" vertical="top" wrapText="1"/>
    </xf>
    <xf numFmtId="0" fontId="6" fillId="0" borderId="44" xfId="8" applyFont="1" applyFill="1" applyBorder="1" applyAlignment="1">
      <alignment horizontal="justify" vertical="top" wrapText="1"/>
    </xf>
    <xf numFmtId="0" fontId="6" fillId="0" borderId="0" xfId="8" applyFont="1" applyFill="1" applyBorder="1" applyAlignment="1">
      <alignment horizontal="justify" vertical="top" wrapText="1"/>
    </xf>
    <xf numFmtId="0" fontId="6" fillId="0" borderId="5" xfId="8" applyFont="1" applyFill="1" applyBorder="1" applyAlignment="1">
      <alignment horizontal="justify" vertical="top" wrapText="1"/>
    </xf>
    <xf numFmtId="0" fontId="5" fillId="0" borderId="33" xfId="8" applyFont="1" applyFill="1" applyBorder="1" applyAlignment="1">
      <alignment horizontal="justify" vertical="top" wrapText="1"/>
    </xf>
    <xf numFmtId="0" fontId="5" fillId="0" borderId="8" xfId="8" applyFont="1" applyFill="1" applyBorder="1" applyAlignment="1">
      <alignment horizontal="justify" vertical="top" wrapText="1"/>
    </xf>
    <xf numFmtId="0" fontId="5" fillId="0" borderId="6" xfId="8" applyFont="1" applyFill="1" applyBorder="1" applyAlignment="1">
      <alignment horizontal="justify" vertical="top" wrapText="1"/>
    </xf>
    <xf numFmtId="10" fontId="2" fillId="0" borderId="12" xfId="3" applyNumberFormat="1" applyFont="1" applyBorder="1" applyAlignment="1">
      <alignment horizontal="center" vertical="center"/>
    </xf>
    <xf numFmtId="10" fontId="4" fillId="3" borderId="12" xfId="3" applyNumberFormat="1" applyFont="1" applyFill="1" applyBorder="1" applyAlignment="1">
      <alignment horizontal="center" vertical="center"/>
    </xf>
    <xf numFmtId="0" fontId="5" fillId="2" borderId="10" xfId="8" applyFont="1" applyFill="1" applyBorder="1" applyAlignment="1">
      <alignment horizontal="left" vertical="center"/>
    </xf>
    <xf numFmtId="0" fontId="5" fillId="2" borderId="7" xfId="8" applyFont="1" applyFill="1" applyBorder="1" applyAlignment="1">
      <alignment horizontal="left" vertical="center"/>
    </xf>
    <xf numFmtId="0" fontId="5" fillId="2" borderId="3" xfId="8" applyFont="1" applyFill="1" applyBorder="1" applyAlignment="1">
      <alignment horizontal="left" vertical="center"/>
    </xf>
    <xf numFmtId="0" fontId="5" fillId="2" borderId="12" xfId="8" applyFont="1" applyFill="1" applyBorder="1" applyAlignment="1">
      <alignment horizontal="right" vertical="center"/>
    </xf>
    <xf numFmtId="0" fontId="6" fillId="0" borderId="40" xfId="0" applyFont="1" applyFill="1" applyBorder="1" applyAlignment="1">
      <alignment horizontal="left" vertical="center" indent="19"/>
    </xf>
  </cellXfs>
  <cellStyles count="89">
    <cellStyle name="Euro" xfId="18"/>
    <cellStyle name="Euro 2" xfId="19"/>
    <cellStyle name="Excel Built-in Normal" xfId="20"/>
    <cellStyle name="Excel Built-in Normal 2" xfId="21"/>
    <cellStyle name="Excel Built-in Normal 2 2" xfId="22"/>
    <cellStyle name="Excel Built-in Normal 3" xfId="23"/>
    <cellStyle name="Millares_Salario_SMARIA" xfId="24"/>
    <cellStyle name="Milliers_Água-nov" xfId="25"/>
    <cellStyle name="Moeda 2" xfId="26"/>
    <cellStyle name="Moeda 2 2" xfId="27"/>
    <cellStyle name="Moeda 2 3" xfId="28"/>
    <cellStyle name="Moeda 3" xfId="29"/>
    <cellStyle name="Moeda 3 2" xfId="30"/>
    <cellStyle name="Moeda 4" xfId="31"/>
    <cellStyle name="Moeda 4 2" xfId="32"/>
    <cellStyle name="Moeda 5" xfId="33"/>
    <cellStyle name="Moeda 5 2" xfId="34"/>
    <cellStyle name="Normal" xfId="0" builtinId="0"/>
    <cellStyle name="Normal 16" xfId="35"/>
    <cellStyle name="Normal 2" xfId="11"/>
    <cellStyle name="Normal 2 2" xfId="1"/>
    <cellStyle name="Normal 2 2 2" xfId="36"/>
    <cellStyle name="Normal 2 3" xfId="37"/>
    <cellStyle name="Normal 2 3 2" xfId="38"/>
    <cellStyle name="Normal 2 4" xfId="39"/>
    <cellStyle name="Normal 3" xfId="10"/>
    <cellStyle name="Normal 3 2" xfId="14"/>
    <cellStyle name="Normal 3 3" xfId="40"/>
    <cellStyle name="Normal 4" xfId="13"/>
    <cellStyle name="Normal 4 2" xfId="41"/>
    <cellStyle name="Normal 4 3" xfId="42"/>
    <cellStyle name="Normal 5" xfId="43"/>
    <cellStyle name="Normal 6" xfId="44"/>
    <cellStyle name="Normal 7" xfId="88"/>
    <cellStyle name="Normal_Estrutura_de_preço_-_CODEVASF_versão8" xfId="5"/>
    <cellStyle name="Normal_Estrutura_de_preços_-_CODEVASF_versão10" xfId="6"/>
    <cellStyle name="Normal_PP-II" xfId="87"/>
    <cellStyle name="Normal_PP-V" xfId="7"/>
    <cellStyle name="Normal_PP-VI" xfId="8"/>
    <cellStyle name="Porcentagem" xfId="3" builtinId="5"/>
    <cellStyle name="Porcentagem 2" xfId="45"/>
    <cellStyle name="Porcentagem 2 2" xfId="46"/>
    <cellStyle name="Porcentagem 3" xfId="47"/>
    <cellStyle name="Porcentagem 3 2" xfId="48"/>
    <cellStyle name="Porcentagem 4" xfId="49"/>
    <cellStyle name="Porcentagem 5" xfId="50"/>
    <cellStyle name="Porcentagem 6" xfId="51"/>
    <cellStyle name="Porcentagem 7" xfId="52"/>
    <cellStyle name="Separador de milhares [0] 2" xfId="53"/>
    <cellStyle name="Separador de milhares [0] 2 2" xfId="54"/>
    <cellStyle name="Separador de milhares 17" xfId="55"/>
    <cellStyle name="Separador de milhares 2" xfId="56"/>
    <cellStyle name="Separador de milhares 2 2" xfId="57"/>
    <cellStyle name="Separador de milhares 2 2 2" xfId="58"/>
    <cellStyle name="Separador de milhares 3" xfId="59"/>
    <cellStyle name="Separador de milhares 3 2" xfId="60"/>
    <cellStyle name="Separador de milhares 4" xfId="61"/>
    <cellStyle name="Separador de milhares 4 2" xfId="62"/>
    <cellStyle name="Separador de milhares 5" xfId="4"/>
    <cellStyle name="Separador de milhares 5 2" xfId="64"/>
    <cellStyle name="Separador de milhares 5 3" xfId="63"/>
    <cellStyle name="TableStyleLight1" xfId="17"/>
    <cellStyle name="Título 1 1" xfId="65"/>
    <cellStyle name="Título 1 1 1" xfId="66"/>
    <cellStyle name="Título 1 1 1 1" xfId="67"/>
    <cellStyle name="Título 1 1 1_Preços de Referência PIMA_ PMAB_Edital_08_auto_cotada_30_10" xfId="68"/>
    <cellStyle name="Título 1 1_-Anexo corrigido 11 04VERSÃO P IMPRESSÃO 05_11_08" xfId="69"/>
    <cellStyle name="Vírgula" xfId="2" builtinId="3"/>
    <cellStyle name="Vírgula 10" xfId="70"/>
    <cellStyle name="Vírgula 11" xfId="71"/>
    <cellStyle name="Vírgula 12" xfId="15"/>
    <cellStyle name="Vírgula 2" xfId="9"/>
    <cellStyle name="Vírgula 2 2" xfId="72"/>
    <cellStyle name="Vírgula 2 3" xfId="73"/>
    <cellStyle name="Vírgula 2 4" xfId="74"/>
    <cellStyle name="Vírgula 2 5" xfId="16"/>
    <cellStyle name="Vírgula 3" xfId="12"/>
    <cellStyle name="Vírgula 3 2" xfId="75"/>
    <cellStyle name="Vírgula 3 3" xfId="76"/>
    <cellStyle name="Vírgula 4" xfId="77"/>
    <cellStyle name="Vírgula 5" xfId="78"/>
    <cellStyle name="Vírgula 6" xfId="79"/>
    <cellStyle name="Vírgula 6 2" xfId="80"/>
    <cellStyle name="Vírgula 7" xfId="81"/>
    <cellStyle name="Vírgula 7 2" xfId="82"/>
    <cellStyle name="Vírgula 8" xfId="83"/>
    <cellStyle name="Vírgula 8 2" xfId="84"/>
    <cellStyle name="Vírgula 9" xfId="85"/>
    <cellStyle name="Vírgula 9 2" xfId="86"/>
  </cellStyles>
  <dxfs count="46"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25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38108</xdr:colOff>
      <xdr:row>0</xdr:row>
      <xdr:rowOff>19058</xdr:rowOff>
    </xdr:from>
    <xdr:to>
      <xdr:col>2</xdr:col>
      <xdr:colOff>715279</xdr:colOff>
      <xdr:row>2</xdr:row>
      <xdr:rowOff>156778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D5E07251-A39F-40CD-B783-6A34698DD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8" y="19058"/>
          <a:ext cx="2239271" cy="4615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38108</xdr:colOff>
      <xdr:row>0</xdr:row>
      <xdr:rowOff>19058</xdr:rowOff>
    </xdr:from>
    <xdr:to>
      <xdr:col>1</xdr:col>
      <xdr:colOff>1884053</xdr:colOff>
      <xdr:row>2</xdr:row>
      <xdr:rowOff>146693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8" y="19058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19059</xdr:rowOff>
    </xdr:from>
    <xdr:to>
      <xdr:col>1</xdr:col>
      <xdr:colOff>1701396</xdr:colOff>
      <xdr:row>2</xdr:row>
      <xdr:rowOff>156779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59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19059</xdr:rowOff>
    </xdr:from>
    <xdr:to>
      <xdr:col>2</xdr:col>
      <xdr:colOff>715278</xdr:colOff>
      <xdr:row>2</xdr:row>
      <xdr:rowOff>156779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59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38107</xdr:colOff>
      <xdr:row>0</xdr:row>
      <xdr:rowOff>19058</xdr:rowOff>
    </xdr:from>
    <xdr:to>
      <xdr:col>1</xdr:col>
      <xdr:colOff>1174720</xdr:colOff>
      <xdr:row>2</xdr:row>
      <xdr:rowOff>156778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58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38108</xdr:colOff>
      <xdr:row>0</xdr:row>
      <xdr:rowOff>19061</xdr:rowOff>
    </xdr:from>
    <xdr:to>
      <xdr:col>2</xdr:col>
      <xdr:colOff>1703078</xdr:colOff>
      <xdr:row>2</xdr:row>
      <xdr:rowOff>146696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1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8" y="19061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19059</xdr:rowOff>
    </xdr:from>
    <xdr:to>
      <xdr:col>2</xdr:col>
      <xdr:colOff>54131</xdr:colOff>
      <xdr:row>2</xdr:row>
      <xdr:rowOff>156779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1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59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19060</xdr:rowOff>
    </xdr:from>
    <xdr:to>
      <xdr:col>2</xdr:col>
      <xdr:colOff>1703077</xdr:colOff>
      <xdr:row>2</xdr:row>
      <xdr:rowOff>146695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1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60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19060</xdr:rowOff>
    </xdr:from>
    <xdr:to>
      <xdr:col>2</xdr:col>
      <xdr:colOff>716959</xdr:colOff>
      <xdr:row>2</xdr:row>
      <xdr:rowOff>146695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1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60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38106</xdr:colOff>
      <xdr:row>0</xdr:row>
      <xdr:rowOff>19059</xdr:rowOff>
    </xdr:from>
    <xdr:to>
      <xdr:col>2</xdr:col>
      <xdr:colOff>715277</xdr:colOff>
      <xdr:row>2</xdr:row>
      <xdr:rowOff>156779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6" y="19059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19060</xdr:rowOff>
    </xdr:from>
    <xdr:to>
      <xdr:col>2</xdr:col>
      <xdr:colOff>716959</xdr:colOff>
      <xdr:row>2</xdr:row>
      <xdr:rowOff>146695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60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38108</xdr:colOff>
      <xdr:row>0</xdr:row>
      <xdr:rowOff>19058</xdr:rowOff>
    </xdr:from>
    <xdr:to>
      <xdr:col>2</xdr:col>
      <xdr:colOff>715279</xdr:colOff>
      <xdr:row>2</xdr:row>
      <xdr:rowOff>156778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8" y="19058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19060</xdr:rowOff>
    </xdr:from>
    <xdr:to>
      <xdr:col>2</xdr:col>
      <xdr:colOff>734888</xdr:colOff>
      <xdr:row>2</xdr:row>
      <xdr:rowOff>146695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914677CB-EB9D-4479-A055-430023A1C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60"/>
          <a:ext cx="2240952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19059</xdr:rowOff>
    </xdr:from>
    <xdr:to>
      <xdr:col>2</xdr:col>
      <xdr:colOff>733207</xdr:colOff>
      <xdr:row>2</xdr:row>
      <xdr:rowOff>156779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59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19060</xdr:rowOff>
    </xdr:from>
    <xdr:to>
      <xdr:col>2</xdr:col>
      <xdr:colOff>744693</xdr:colOff>
      <xdr:row>2</xdr:row>
      <xdr:rowOff>146695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1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60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19060</xdr:rowOff>
    </xdr:from>
    <xdr:to>
      <xdr:col>2</xdr:col>
      <xdr:colOff>1721006</xdr:colOff>
      <xdr:row>2</xdr:row>
      <xdr:rowOff>146695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1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60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19060</xdr:rowOff>
    </xdr:from>
    <xdr:to>
      <xdr:col>2</xdr:col>
      <xdr:colOff>1703077</xdr:colOff>
      <xdr:row>2</xdr:row>
      <xdr:rowOff>146695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1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60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19059</xdr:rowOff>
    </xdr:from>
    <xdr:to>
      <xdr:col>1</xdr:col>
      <xdr:colOff>1701396</xdr:colOff>
      <xdr:row>2</xdr:row>
      <xdr:rowOff>156779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1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59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19059</xdr:rowOff>
    </xdr:from>
    <xdr:to>
      <xdr:col>1</xdr:col>
      <xdr:colOff>1701396</xdr:colOff>
      <xdr:row>2</xdr:row>
      <xdr:rowOff>156779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1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59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19059</xdr:rowOff>
    </xdr:from>
    <xdr:to>
      <xdr:col>2</xdr:col>
      <xdr:colOff>1701396</xdr:colOff>
      <xdr:row>2</xdr:row>
      <xdr:rowOff>156779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59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38108</xdr:colOff>
      <xdr:row>0</xdr:row>
      <xdr:rowOff>19060</xdr:rowOff>
    </xdr:from>
    <xdr:to>
      <xdr:col>1</xdr:col>
      <xdr:colOff>2245995</xdr:colOff>
      <xdr:row>2</xdr:row>
      <xdr:rowOff>146695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8" y="19060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38108</xdr:colOff>
      <xdr:row>0</xdr:row>
      <xdr:rowOff>19060</xdr:rowOff>
    </xdr:from>
    <xdr:to>
      <xdr:col>1</xdr:col>
      <xdr:colOff>2245995</xdr:colOff>
      <xdr:row>2</xdr:row>
      <xdr:rowOff>146695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8" y="19060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19059</xdr:rowOff>
    </xdr:from>
    <xdr:to>
      <xdr:col>2</xdr:col>
      <xdr:colOff>211013</xdr:colOff>
      <xdr:row>2</xdr:row>
      <xdr:rowOff>156779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59"/>
          <a:ext cx="1426284" cy="4615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19059</xdr:rowOff>
    </xdr:from>
    <xdr:to>
      <xdr:col>2</xdr:col>
      <xdr:colOff>1701396</xdr:colOff>
      <xdr:row>2</xdr:row>
      <xdr:rowOff>156779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59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19060</xdr:rowOff>
    </xdr:from>
    <xdr:to>
      <xdr:col>2</xdr:col>
      <xdr:colOff>734888</xdr:colOff>
      <xdr:row>2</xdr:row>
      <xdr:rowOff>146695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60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38107</xdr:colOff>
      <xdr:row>0</xdr:row>
      <xdr:rowOff>19059</xdr:rowOff>
    </xdr:from>
    <xdr:to>
      <xdr:col>2</xdr:col>
      <xdr:colOff>697349</xdr:colOff>
      <xdr:row>2</xdr:row>
      <xdr:rowOff>156779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7" y="19059"/>
          <a:ext cx="2245995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Relationship Id="rId4" Type="http://schemas.openxmlformats.org/officeDocument/2006/relationships/comments" Target="../comments3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showOutlineSymbols="0" view="pageBreakPreview" zoomScale="85" zoomScaleNormal="115" zoomScaleSheetLayoutView="85" workbookViewId="0">
      <selection activeCell="A8" sqref="A8:C8"/>
    </sheetView>
  </sheetViews>
  <sheetFormatPr defaultColWidth="9.140625" defaultRowHeight="12.75" outlineLevelRow="4" x14ac:dyDescent="0.25"/>
  <cols>
    <col min="1" max="1" width="8.7109375" style="108" customWidth="1"/>
    <col min="2" max="2" width="14.7109375" style="516" customWidth="1"/>
    <col min="3" max="3" width="60.7109375" style="108" customWidth="1"/>
    <col min="4" max="5" width="14.7109375" style="108" customWidth="1"/>
    <col min="6" max="6" width="14.28515625" style="108" bestFit="1" customWidth="1"/>
    <col min="7" max="16384" width="9.140625" style="108"/>
  </cols>
  <sheetData>
    <row r="1" spans="1:6" s="89" customFormat="1" x14ac:dyDescent="0.25">
      <c r="A1" s="117"/>
      <c r="B1" s="495"/>
      <c r="C1" s="692" t="s">
        <v>1117</v>
      </c>
      <c r="D1" s="692"/>
      <c r="E1" s="692"/>
    </row>
    <row r="2" spans="1:6" s="89" customFormat="1" x14ac:dyDescent="0.25">
      <c r="A2" s="90"/>
      <c r="B2" s="428"/>
      <c r="C2" s="693" t="s">
        <v>1118</v>
      </c>
      <c r="D2" s="693"/>
      <c r="E2" s="693"/>
    </row>
    <row r="3" spans="1:6" s="89" customFormat="1" ht="13.5" thickBot="1" x14ac:dyDescent="0.3">
      <c r="A3" s="118"/>
      <c r="B3" s="429"/>
      <c r="C3" s="694" t="s">
        <v>1116</v>
      </c>
      <c r="D3" s="694"/>
      <c r="E3" s="694"/>
    </row>
    <row r="4" spans="1:6" s="78" customFormat="1" ht="13.9" thickBot="1" x14ac:dyDescent="0.35">
      <c r="A4" s="505"/>
      <c r="B4" s="507"/>
    </row>
    <row r="5" spans="1:6" s="78" customFormat="1" x14ac:dyDescent="0.25">
      <c r="A5" s="689" t="s">
        <v>1119</v>
      </c>
      <c r="B5" s="690"/>
      <c r="C5" s="689"/>
      <c r="D5" s="689"/>
      <c r="E5" s="689"/>
    </row>
    <row r="6" spans="1:6" s="78" customFormat="1" ht="13.5" thickBot="1" x14ac:dyDescent="0.3">
      <c r="A6" s="691"/>
      <c r="B6" s="691"/>
      <c r="C6" s="691"/>
      <c r="D6" s="691"/>
      <c r="E6" s="691"/>
    </row>
    <row r="7" spans="1:6" s="78" customFormat="1" ht="13.9" thickBot="1" x14ac:dyDescent="0.35">
      <c r="B7" s="72"/>
      <c r="C7" s="70"/>
    </row>
    <row r="8" spans="1:6" s="21" customFormat="1" ht="13.5" thickBot="1" x14ac:dyDescent="0.3">
      <c r="A8" s="686" t="s">
        <v>1521</v>
      </c>
      <c r="B8" s="687"/>
      <c r="C8" s="688"/>
      <c r="D8" s="506" t="s">
        <v>2113</v>
      </c>
      <c r="E8" s="557">
        <f ca="1">SUBTOTAL(109,D12:D45)</f>
        <v>69386539.360000014</v>
      </c>
    </row>
    <row r="9" spans="1:6" s="78" customFormat="1" ht="13.15" x14ac:dyDescent="0.3">
      <c r="A9" s="69"/>
      <c r="B9" s="72"/>
      <c r="C9" s="70"/>
      <c r="D9" s="72"/>
      <c r="E9" s="72"/>
    </row>
    <row r="10" spans="1:6" s="100" customFormat="1" ht="13.15" x14ac:dyDescent="0.3">
      <c r="A10" s="97"/>
      <c r="B10" s="97"/>
      <c r="C10" s="101"/>
      <c r="D10" s="99"/>
      <c r="E10" s="98"/>
    </row>
    <row r="11" spans="1:6" s="104" customFormat="1" x14ac:dyDescent="0.25">
      <c r="A11" s="102" t="s">
        <v>363</v>
      </c>
      <c r="B11" s="102" t="s">
        <v>1466</v>
      </c>
      <c r="C11" s="540" t="s">
        <v>366</v>
      </c>
      <c r="D11" s="103" t="s">
        <v>1124</v>
      </c>
      <c r="E11" s="103" t="s">
        <v>446</v>
      </c>
    </row>
    <row r="12" spans="1:6" outlineLevel="4" x14ac:dyDescent="0.25">
      <c r="A12" s="558" t="s">
        <v>360</v>
      </c>
      <c r="B12" s="559"/>
      <c r="C12" s="560" t="str">
        <f>VLOOKUP(A12,ORCAMENTO_CONSOLIDADO!A$12:C$782,3,FALSE)</f>
        <v>MOBILIZAÇÃO E DESMOBILIZAÇAO</v>
      </c>
      <c r="D12" s="561">
        <f>SUBTOTAL(109,D13:D14)</f>
        <v>237283.91999999998</v>
      </c>
      <c r="E12" s="562">
        <f ca="1">ROUND(D12/E$8,4)</f>
        <v>3.3999999999999998E-3</v>
      </c>
      <c r="F12" s="600"/>
    </row>
    <row r="13" spans="1:6" ht="25.5" outlineLevel="4" x14ac:dyDescent="0.25">
      <c r="A13" s="563" t="s">
        <v>124</v>
      </c>
      <c r="B13" s="564"/>
      <c r="C13" s="565" t="str">
        <f>VLOOKUP(A13&amp;".",ORCAMENTO_CONSOLIDADO!A$12:C$782,3,FALSE)</f>
        <v>MOBILIZAÇÃO (Máquinas, Equipamentos, Ferramentas, Instrumentos, Materiais, Mobiliário)</v>
      </c>
      <c r="D13" s="566">
        <f>SUMIF(ORCAMENTO_CONSOLIDADO!A$12:A$782,A13&amp;".",ORCAMENTO_CONSOLIDADO!G$12:G$782)</f>
        <v>118641.95</v>
      </c>
      <c r="E13" s="567">
        <f t="shared" ref="E13:E45" ca="1" si="0">ROUND(D13/E$8,4)</f>
        <v>1.6999999999999999E-3</v>
      </c>
    </row>
    <row r="14" spans="1:6" ht="25.5" outlineLevel="4" x14ac:dyDescent="0.25">
      <c r="A14" s="563" t="s">
        <v>125</v>
      </c>
      <c r="B14" s="564"/>
      <c r="C14" s="565" t="str">
        <f>VLOOKUP(A14&amp;".",ORCAMENTO_CONSOLIDADO!A$12:C$782,3,FALSE)</f>
        <v>DESMOBILIZAÇÃO (Máquinas, Equip., Ferramentas, Instrumentos, Materiais, Mobiliário)</v>
      </c>
      <c r="D14" s="566">
        <f>SUMIF(ORCAMENTO_CONSOLIDADO!A$12:A$782,A14&amp;".",ORCAMENTO_CONSOLIDADO!G$12:G$782)</f>
        <v>118641.97</v>
      </c>
      <c r="E14" s="567">
        <f t="shared" ca="1" si="0"/>
        <v>1.6999999999999999E-3</v>
      </c>
    </row>
    <row r="15" spans="1:6" ht="13.15" x14ac:dyDescent="0.3">
      <c r="A15" s="563" t="s">
        <v>361</v>
      </c>
      <c r="B15" s="564"/>
      <c r="C15" s="565" t="str">
        <f>VLOOKUP(A15,ORCAMENTO_CONSOLIDADO!A$12:C$782,3,FALSE)</f>
        <v>REFORMA DOS CANTEIROS</v>
      </c>
      <c r="D15" s="566">
        <f>SUBTOTAL(109,D16:D18)</f>
        <v>2089967.8699999999</v>
      </c>
      <c r="E15" s="567">
        <f t="shared" ca="1" si="0"/>
        <v>3.0099999999999998E-2</v>
      </c>
    </row>
    <row r="16" spans="1:6" x14ac:dyDescent="0.25">
      <c r="A16" s="563" t="s">
        <v>173</v>
      </c>
      <c r="B16" s="564"/>
      <c r="C16" s="565" t="s">
        <v>2704</v>
      </c>
      <c r="D16" s="566">
        <f>SUMIF(ORCAMENTO_CONSOLIDADO!A$12:A$782,A16&amp;".",ORCAMENTO_CONSOLIDADO!G$12:G$782)</f>
        <v>265212.87</v>
      </c>
      <c r="E16" s="567">
        <f t="shared" ca="1" si="0"/>
        <v>3.8E-3</v>
      </c>
    </row>
    <row r="17" spans="1:6" x14ac:dyDescent="0.25">
      <c r="A17" s="563" t="s">
        <v>174</v>
      </c>
      <c r="B17" s="564"/>
      <c r="C17" s="565" t="str">
        <f>VLOOKUP(A17&amp;".",ORCAMENTO_CONSOLIDADO!A$12:C$782,3,FALSE)</f>
        <v>REFORMA DO CANTEIRO DO LOTE 10 (CUSTÓDIA/PE)</v>
      </c>
      <c r="D17" s="566">
        <f>SUMIF(ORCAMENTO_CONSOLIDADO!A$12:A$782,A17&amp;".",ORCAMENTO_CONSOLIDADO!G$12:G$782)</f>
        <v>1449334.7</v>
      </c>
      <c r="E17" s="567">
        <f t="shared" ca="1" si="0"/>
        <v>2.0899999999999998E-2</v>
      </c>
      <c r="F17" s="600"/>
    </row>
    <row r="18" spans="1:6" x14ac:dyDescent="0.25">
      <c r="A18" s="563" t="s">
        <v>175</v>
      </c>
      <c r="B18" s="564"/>
      <c r="C18" s="565" t="str">
        <f>VLOOKUP(A18&amp;".",ORCAMENTO_CONSOLIDADO!A$12:C$782,3,FALSE)</f>
        <v>REFORMA DO CANTEIRO DO LOTE 12 (SERTÂNIA/PE)</v>
      </c>
      <c r="D18" s="566">
        <f>SUMIF(ORCAMENTO_CONSOLIDADO!A$12:A$782,A18&amp;".",ORCAMENTO_CONSOLIDADO!G$12:G$782)</f>
        <v>375420.30000000005</v>
      </c>
      <c r="E18" s="567">
        <f t="shared" ca="1" si="0"/>
        <v>5.4000000000000003E-3</v>
      </c>
      <c r="F18" s="600"/>
    </row>
    <row r="19" spans="1:6" x14ac:dyDescent="0.25">
      <c r="A19" s="563" t="s">
        <v>362</v>
      </c>
      <c r="B19" s="564"/>
      <c r="C19" s="565" t="str">
        <f>VLOOKUP(A19,ORCAMENTO_CONSOLIDADO!A$12:C$782,3,FALSE)</f>
        <v>MOBILIÁRIO E EQUIPAMENTOS DE ESCRTÓRIO</v>
      </c>
      <c r="D19" s="566">
        <f>SUMIF(ORCAMENTO_CONSOLIDADO!A$12:A$782,A19,ORCAMENTO_CONSOLIDADO!G$12:G$782)</f>
        <v>671937.35000000009</v>
      </c>
      <c r="E19" s="567">
        <f t="shared" ca="1" si="0"/>
        <v>9.7000000000000003E-3</v>
      </c>
      <c r="F19" s="600"/>
    </row>
    <row r="20" spans="1:6" x14ac:dyDescent="0.25">
      <c r="A20" s="563" t="s">
        <v>381</v>
      </c>
      <c r="B20" s="564"/>
      <c r="C20" s="565" t="str">
        <f>VLOOKUP(A20,ORCAMENTO_CONSOLIDADO!A$12:C$782,3,FALSE)</f>
        <v>EQUIPE - MÃO DE OBRA</v>
      </c>
      <c r="D20" s="566">
        <f ca="1">SUMIF(ORCAMENTO_CONSOLIDADO!A$12:A$782,A20,ORCAMENTO_CONSOLIDADO!G$12:G$782)</f>
        <v>30708604.920000017</v>
      </c>
      <c r="E20" s="567">
        <f t="shared" ca="1" si="0"/>
        <v>0.44259999999999999</v>
      </c>
      <c r="F20" s="600"/>
    </row>
    <row r="21" spans="1:6" x14ac:dyDescent="0.25">
      <c r="A21" s="563" t="s">
        <v>382</v>
      </c>
      <c r="B21" s="564"/>
      <c r="C21" s="565" t="str">
        <f>VLOOKUP(A21,ORCAMENTO_CONSOLIDADO!A$12:C$782,3,FALSE)</f>
        <v>VIAGENS / DIÁRIAS</v>
      </c>
      <c r="D21" s="566">
        <f>SUBTOTAL(109,D22:D23)</f>
        <v>25418.76</v>
      </c>
      <c r="E21" s="567">
        <f t="shared" ca="1" si="0"/>
        <v>4.0000000000000002E-4</v>
      </c>
      <c r="F21" s="600"/>
    </row>
    <row r="22" spans="1:6" ht="13.15" x14ac:dyDescent="0.3">
      <c r="A22" s="563" t="s">
        <v>383</v>
      </c>
      <c r="B22" s="564"/>
      <c r="C22" s="565" t="str">
        <f>VLOOKUP(A22&amp;".",ORCAMENTO_CONSOLIDADO!A$12:C$782,3,FALSE)</f>
        <v>DESPESAS COM VIAGENS COMERCIAIS</v>
      </c>
      <c r="D22" s="566">
        <f>SUMIF(ORCAMENTO_CONSOLIDADO!A$12:A$782,A22&amp;".",ORCAMENTO_CONSOLIDADO!G$12:G$782)</f>
        <v>12512.759999999998</v>
      </c>
      <c r="E22" s="567">
        <f t="shared" ca="1" si="0"/>
        <v>2.0000000000000001E-4</v>
      </c>
      <c r="F22" s="600"/>
    </row>
    <row r="23" spans="1:6" x14ac:dyDescent="0.25">
      <c r="A23" s="563" t="s">
        <v>384</v>
      </c>
      <c r="B23" s="564"/>
      <c r="C23" s="565" t="str">
        <f>VLOOKUP(A23&amp;".",ORCAMENTO_CONSOLIDADO!A$12:C$782,3,FALSE)</f>
        <v>DESPESAS COM DIÁRIAS</v>
      </c>
      <c r="D23" s="566">
        <f>SUMIF(ORCAMENTO_CONSOLIDADO!A$12:A$782,A23&amp;".",ORCAMENTO_CONSOLIDADO!G$12:G$782)</f>
        <v>12906</v>
      </c>
      <c r="E23" s="567">
        <f t="shared" ca="1" si="0"/>
        <v>2.0000000000000001E-4</v>
      </c>
      <c r="F23" s="600"/>
    </row>
    <row r="24" spans="1:6" x14ac:dyDescent="0.25">
      <c r="A24" s="563" t="s">
        <v>389</v>
      </c>
      <c r="B24" s="564"/>
      <c r="C24" s="565" t="str">
        <f>VLOOKUP(A24,ORCAMENTO_CONSOLIDADO!A$12:C$782,3,FALSE)</f>
        <v>VEÍCULOS AUTOMOTORES</v>
      </c>
      <c r="D24" s="566">
        <f>SUMIF(ORCAMENTO_CONSOLIDADO!A$12:A$782,A24,ORCAMENTO_CONSOLIDADO!G$12:G$782)</f>
        <v>4267518.72</v>
      </c>
      <c r="E24" s="567">
        <f t="shared" ca="1" si="0"/>
        <v>6.1499999999999999E-2</v>
      </c>
      <c r="F24" s="600"/>
    </row>
    <row r="25" spans="1:6" x14ac:dyDescent="0.25">
      <c r="A25" s="563" t="s">
        <v>392</v>
      </c>
      <c r="B25" s="564"/>
      <c r="C25" s="565" t="str">
        <f>VLOOKUP(A25,ORCAMENTO_CONSOLIDADO!A$12:C$782,3,FALSE)</f>
        <v>FRENTES MÓVEIS DE LIMPEZA E CONSERVAÇÃO</v>
      </c>
      <c r="D25" s="566">
        <f>SUMIF(ORCAMENTO_CONSOLIDADO!A$12:A$782,A25,ORCAMENTO_CONSOLIDADO!G$12:G$782)</f>
        <v>185984.4</v>
      </c>
      <c r="E25" s="567">
        <f t="shared" ca="1" si="0"/>
        <v>2.7000000000000001E-3</v>
      </c>
      <c r="F25" s="600"/>
    </row>
    <row r="26" spans="1:6" ht="13.15" x14ac:dyDescent="0.3">
      <c r="A26" s="563" t="s">
        <v>441</v>
      </c>
      <c r="B26" s="564"/>
      <c r="C26" s="565" t="str">
        <f>VLOOKUP(A26,ORCAMENTO_CONSOLIDADO!A$12:C$782,3,FALSE)</f>
        <v>MATERIAL DE CONSUMO - ALMOXARIFADOS</v>
      </c>
      <c r="D26" s="566">
        <f>SUBTOTAL(109,D27:D30)</f>
        <v>1543218.3900000001</v>
      </c>
      <c r="E26" s="567">
        <f t="shared" ca="1" si="0"/>
        <v>2.2200000000000001E-2</v>
      </c>
      <c r="F26" s="600"/>
    </row>
    <row r="27" spans="1:6" x14ac:dyDescent="0.25">
      <c r="A27" s="563" t="s">
        <v>365</v>
      </c>
      <c r="B27" s="564"/>
      <c r="C27" s="565" t="str">
        <f>VLOOKUP(A27&amp;".",ORCAMENTO_CONSOLIDADO!A$12:C$782,3,FALSE)</f>
        <v>MATERIAL DE CONSUMO - MECÂNICA</v>
      </c>
      <c r="D27" s="566">
        <f>SUMIF(ORCAMENTO_CONSOLIDADO!A$12:A$782,A27&amp;".",ORCAMENTO_CONSOLIDADO!G$12:G$782)</f>
        <v>572079.81000000006</v>
      </c>
      <c r="E27" s="567">
        <f t="shared" ca="1" si="0"/>
        <v>8.2000000000000007E-3</v>
      </c>
      <c r="F27" s="600"/>
    </row>
    <row r="28" spans="1:6" x14ac:dyDescent="0.25">
      <c r="A28" s="563" t="s">
        <v>987</v>
      </c>
      <c r="B28" s="564"/>
      <c r="C28" s="565" t="str">
        <f>VLOOKUP(A28&amp;".",ORCAMENTO_CONSOLIDADO!A$12:C$782,3,FALSE)</f>
        <v>MATERIAL DE CONSUMO - ELÉTRICA</v>
      </c>
      <c r="D28" s="566">
        <f>SUMIF(ORCAMENTO_CONSOLIDADO!A$12:A$782,A28&amp;".",ORCAMENTO_CONSOLIDADO!G$12:G$782)</f>
        <v>381321.02</v>
      </c>
      <c r="E28" s="567">
        <f t="shared" ca="1" si="0"/>
        <v>5.4999999999999997E-3</v>
      </c>
      <c r="F28" s="600"/>
    </row>
    <row r="29" spans="1:6" ht="13.15" x14ac:dyDescent="0.3">
      <c r="A29" s="563" t="s">
        <v>988</v>
      </c>
      <c r="B29" s="564"/>
      <c r="C29" s="565" t="str">
        <f>VLOOKUP(A29&amp;".",ORCAMENTO_CONSOLIDADO!A$12:C$782,3,FALSE)</f>
        <v>MATERIAL DE CONSUMO - CIVIL</v>
      </c>
      <c r="D29" s="566">
        <f>SUMIF(ORCAMENTO_CONSOLIDADO!A$12:A$782,A29&amp;".",ORCAMENTO_CONSOLIDADO!G$12:G$782)</f>
        <v>480643.96000000008</v>
      </c>
      <c r="E29" s="567">
        <f t="shared" ca="1" si="0"/>
        <v>6.8999999999999999E-3</v>
      </c>
      <c r="F29" s="600"/>
    </row>
    <row r="30" spans="1:6" x14ac:dyDescent="0.25">
      <c r="A30" s="563" t="s">
        <v>989</v>
      </c>
      <c r="B30" s="564"/>
      <c r="C30" s="565" t="str">
        <f>VLOOKUP(A30&amp;".",ORCAMENTO_CONSOLIDADO!A$12:C$782,3,FALSE)</f>
        <v>MANUTENÇÃO DE CANTEIRO - ESCRITÓRIO</v>
      </c>
      <c r="D30" s="566">
        <f>SUMIF(ORCAMENTO_CONSOLIDADO!A$12:A$782,A30&amp;".",ORCAMENTO_CONSOLIDADO!G$12:G$782)</f>
        <v>109173.6</v>
      </c>
      <c r="E30" s="567">
        <f t="shared" ca="1" si="0"/>
        <v>1.6000000000000001E-3</v>
      </c>
      <c r="F30" s="600"/>
    </row>
    <row r="31" spans="1:6" ht="13.15" x14ac:dyDescent="0.3">
      <c r="A31" s="563" t="s">
        <v>442</v>
      </c>
      <c r="B31" s="564"/>
      <c r="C31" s="565" t="str">
        <f>VLOOKUP(A31,ORCAMENTO_CONSOLIDADO!A$12:C$782,3,FALSE)</f>
        <v>FERRAMENTAS</v>
      </c>
      <c r="D31" s="566">
        <f>SUBTOTAL(109,D32:D34)</f>
        <v>417850.60000000003</v>
      </c>
      <c r="E31" s="567">
        <f t="shared" ca="1" si="0"/>
        <v>6.0000000000000001E-3</v>
      </c>
      <c r="F31" s="600"/>
    </row>
    <row r="32" spans="1:6" x14ac:dyDescent="0.25">
      <c r="A32" s="563" t="s">
        <v>996</v>
      </c>
      <c r="B32" s="564"/>
      <c r="C32" s="565" t="str">
        <f>VLOOKUP(A32&amp;".",ORCAMENTO_CONSOLIDADO!A$12:C$782,3,FALSE)</f>
        <v>FERRAMENTAS - MECÂNICA</v>
      </c>
      <c r="D32" s="566">
        <f>SUMIF(ORCAMENTO_CONSOLIDADO!A$12:A$782,A32&amp;".",ORCAMENTO_CONSOLIDADO!G$12:G$782)</f>
        <v>31325.3</v>
      </c>
      <c r="E32" s="567">
        <f t="shared" ca="1" si="0"/>
        <v>5.0000000000000001E-4</v>
      </c>
      <c r="F32" s="600"/>
    </row>
    <row r="33" spans="1:6" x14ac:dyDescent="0.25">
      <c r="A33" s="563" t="s">
        <v>997</v>
      </c>
      <c r="B33" s="564"/>
      <c r="C33" s="565" t="str">
        <f>VLOOKUP(A33&amp;".",ORCAMENTO_CONSOLIDADO!A$12:C$782,3,FALSE)</f>
        <v>FERRAMENTAS - ELÉTRICA</v>
      </c>
      <c r="D33" s="566">
        <f>SUMIF(ORCAMENTO_CONSOLIDADO!A$12:A$782,A33&amp;".",ORCAMENTO_CONSOLIDADO!G$12:G$782)</f>
        <v>311016.37000000005</v>
      </c>
      <c r="E33" s="567">
        <f t="shared" ca="1" si="0"/>
        <v>4.4999999999999997E-3</v>
      </c>
      <c r="F33" s="600"/>
    </row>
    <row r="34" spans="1:6" ht="13.15" x14ac:dyDescent="0.3">
      <c r="A34" s="563" t="s">
        <v>998</v>
      </c>
      <c r="B34" s="564"/>
      <c r="C34" s="565" t="str">
        <f>VLOOKUP(A34&amp;".",ORCAMENTO_CONSOLIDADO!A$12:C$782,3,FALSE)</f>
        <v>FERRAMENTAS - CIVIL</v>
      </c>
      <c r="D34" s="566">
        <f>SUMIF(ORCAMENTO_CONSOLIDADO!A$12:A$782,A34&amp;".",ORCAMENTO_CONSOLIDADO!G$12:G$782)</f>
        <v>75508.930000000008</v>
      </c>
      <c r="E34" s="567">
        <f t="shared" ca="1" si="0"/>
        <v>1.1000000000000001E-3</v>
      </c>
      <c r="F34" s="600"/>
    </row>
    <row r="35" spans="1:6" ht="13.15" x14ac:dyDescent="0.3">
      <c r="A35" s="563" t="s">
        <v>608</v>
      </c>
      <c r="B35" s="564"/>
      <c r="C35" s="565" t="str">
        <f>VLOOKUP(A35,ORCAMENTO_CONSOLIDADO!A$12:C$782,3,FALSE)</f>
        <v>EQUIPAMENTOS</v>
      </c>
      <c r="D35" s="566">
        <f>SUBTOTAL(109,D36:D38)</f>
        <v>13664858.779999994</v>
      </c>
      <c r="E35" s="567">
        <f t="shared" ca="1" si="0"/>
        <v>0.19689999999999999</v>
      </c>
      <c r="F35" s="600"/>
    </row>
    <row r="36" spans="1:6" x14ac:dyDescent="0.25">
      <c r="A36" s="563" t="s">
        <v>1002</v>
      </c>
      <c r="B36" s="564"/>
      <c r="C36" s="565" t="str">
        <f>VLOOKUP(A36&amp;".",ORCAMENTO_CONSOLIDADO!A$12:C$782,3,FALSE)</f>
        <v>EQUIPAMENTOS - MECÂNICA</v>
      </c>
      <c r="D36" s="566">
        <f>SUMIF(ORCAMENTO_CONSOLIDADO!A$12:A$782,A36&amp;".",ORCAMENTO_CONSOLIDADO!G$12:G$782)</f>
        <v>92643.74</v>
      </c>
      <c r="E36" s="567">
        <f t="shared" ca="1" si="0"/>
        <v>1.2999999999999999E-3</v>
      </c>
      <c r="F36" s="600"/>
    </row>
    <row r="37" spans="1:6" x14ac:dyDescent="0.25">
      <c r="A37" s="563" t="s">
        <v>1003</v>
      </c>
      <c r="B37" s="564"/>
      <c r="C37" s="565" t="str">
        <f>VLOOKUP(A37&amp;".",ORCAMENTO_CONSOLIDADO!A$12:C$782,3,FALSE)</f>
        <v>EQUIPAMENTOS - ELÉTRICA</v>
      </c>
      <c r="D37" s="566">
        <f>SUMIF(ORCAMENTO_CONSOLIDADO!A$12:A$782,A37&amp;".",ORCAMENTO_CONSOLIDADO!G$12:G$782)</f>
        <v>42949.440000000002</v>
      </c>
      <c r="E37" s="567">
        <f t="shared" ca="1" si="0"/>
        <v>5.9999999999999995E-4</v>
      </c>
      <c r="F37" s="600"/>
    </row>
    <row r="38" spans="1:6" ht="13.15" x14ac:dyDescent="0.3">
      <c r="A38" s="563" t="s">
        <v>1004</v>
      </c>
      <c r="B38" s="564"/>
      <c r="C38" s="565" t="str">
        <f>VLOOKUP(A38&amp;".",ORCAMENTO_CONSOLIDADO!A$12:C$782,3,FALSE)</f>
        <v>EQUIPAMENTOS - CIVIL</v>
      </c>
      <c r="D38" s="566">
        <f>SUMIF(ORCAMENTO_CONSOLIDADO!A$12:A$782,A38&amp;".",ORCAMENTO_CONSOLIDADO!G$12:G$782)</f>
        <v>13529265.599999994</v>
      </c>
      <c r="E38" s="567">
        <f t="shared" ca="1" si="0"/>
        <v>0.19500000000000001</v>
      </c>
      <c r="F38" s="600"/>
    </row>
    <row r="39" spans="1:6" ht="13.15" x14ac:dyDescent="0.3">
      <c r="A39" s="563" t="s">
        <v>611</v>
      </c>
      <c r="B39" s="564"/>
      <c r="C39" s="565" t="str">
        <f>VLOOKUP(A39,ORCAMENTO_CONSOLIDADO!A$12:C$782,3,FALSE)</f>
        <v>INSTRUMENTOS</v>
      </c>
      <c r="D39" s="566">
        <f>SUBTOTAL(109,D40:D42)</f>
        <v>389614.27999999991</v>
      </c>
      <c r="E39" s="567">
        <f t="shared" ca="1" si="0"/>
        <v>5.5999999999999999E-3</v>
      </c>
      <c r="F39" s="600"/>
    </row>
    <row r="40" spans="1:6" x14ac:dyDescent="0.25">
      <c r="A40" s="563" t="s">
        <v>1007</v>
      </c>
      <c r="B40" s="564"/>
      <c r="C40" s="565" t="str">
        <f>VLOOKUP(A40&amp;".",ORCAMENTO_CONSOLIDADO!A$12:C$782,3,FALSE)</f>
        <v>INSTRUMENTOS - MECÂNICA</v>
      </c>
      <c r="D40" s="566">
        <f>SUMIF(ORCAMENTO_CONSOLIDADO!A$12:A$782,A40&amp;".",ORCAMENTO_CONSOLIDADO!G$12:G$782)</f>
        <v>26330.280000000002</v>
      </c>
      <c r="E40" s="567">
        <f t="shared" ca="1" si="0"/>
        <v>4.0000000000000002E-4</v>
      </c>
      <c r="F40" s="600"/>
    </row>
    <row r="41" spans="1:6" x14ac:dyDescent="0.25">
      <c r="A41" s="563" t="s">
        <v>1008</v>
      </c>
      <c r="B41" s="564"/>
      <c r="C41" s="565" t="str">
        <f>VLOOKUP(A41&amp;".",ORCAMENTO_CONSOLIDADO!A$12:C$782,3,FALSE)</f>
        <v>INSTRUMENTOS - ELÉTRICA</v>
      </c>
      <c r="D41" s="566">
        <f>SUMIF(ORCAMENTO_CONSOLIDADO!A$12:A$782,A41&amp;".",ORCAMENTO_CONSOLIDADO!G$12:G$782)</f>
        <v>298489.6399999999</v>
      </c>
      <c r="E41" s="567">
        <f t="shared" ca="1" si="0"/>
        <v>4.3E-3</v>
      </c>
      <c r="F41" s="600"/>
    </row>
    <row r="42" spans="1:6" ht="13.15" x14ac:dyDescent="0.3">
      <c r="A42" s="563" t="s">
        <v>1009</v>
      </c>
      <c r="B42" s="564"/>
      <c r="C42" s="565" t="str">
        <f>VLOOKUP(A42&amp;".",ORCAMENTO_CONSOLIDADO!A$12:C$782,3,FALSE)</f>
        <v>INSTRUMENTOS - CIVIL</v>
      </c>
      <c r="D42" s="566">
        <f>SUMIF(ORCAMENTO_CONSOLIDADO!A$12:A$782,A42&amp;".",ORCAMENTO_CONSOLIDADO!G$12:G$782)</f>
        <v>64794.36</v>
      </c>
      <c r="E42" s="567">
        <f t="shared" ca="1" si="0"/>
        <v>8.9999999999999998E-4</v>
      </c>
      <c r="F42" s="600"/>
    </row>
    <row r="43" spans="1:6" x14ac:dyDescent="0.25">
      <c r="A43" s="563" t="s">
        <v>620</v>
      </c>
      <c r="B43" s="564"/>
      <c r="C43" s="565" t="str">
        <f>VLOOKUP(A43,ORCAMENTO_CONSOLIDADO!A$12:C$782,3,FALSE)</f>
        <v>SISTEMA DE RÁDIO COMUNICAÇÃO</v>
      </c>
      <c r="D43" s="566">
        <f>SUMIF(ORCAMENTO_CONSOLIDADO!A$12:A$782,A43,ORCAMENTO_CONSOLIDADO!G$12:G$782)</f>
        <v>238897.59</v>
      </c>
      <c r="E43" s="567">
        <f t="shared" ca="1" si="0"/>
        <v>3.3999999999999998E-3</v>
      </c>
      <c r="F43" s="600"/>
    </row>
    <row r="44" spans="1:6" x14ac:dyDescent="0.25">
      <c r="A44" s="563" t="s">
        <v>621</v>
      </c>
      <c r="B44" s="564"/>
      <c r="C44" s="565" t="str">
        <f>VLOOKUP(A44,ORCAMENTO_CONSOLIDADO!A$12:C$782,3,FALSE)</f>
        <v>SERVIÇOS E FORNECIMENTOS REEMBOLSÁVEIS</v>
      </c>
      <c r="D44" s="566">
        <f ca="1">SUMIF(ORCAMENTO_CONSOLIDADO!A$12:A$782,A44,ORCAMENTO_CONSOLIDADO!G$12:G$782)</f>
        <v>346946.4</v>
      </c>
      <c r="E44" s="567">
        <f t="shared" ca="1" si="0"/>
        <v>5.0000000000000001E-3</v>
      </c>
      <c r="F44" s="600"/>
    </row>
    <row r="45" spans="1:6" x14ac:dyDescent="0.25">
      <c r="A45" s="568" t="s">
        <v>623</v>
      </c>
      <c r="B45" s="569"/>
      <c r="C45" s="570" t="str">
        <f>VLOOKUP(A45,ORCAMENTO_CONSOLIDADO!A$12:C$782,3,FALSE)</f>
        <v>CUSTOS INDIRETOS</v>
      </c>
      <c r="D45" s="571">
        <f ca="1">SUMIF(ORCAMENTO_CONSOLIDADO!A$12:A$782,A45,ORCAMENTO_CONSOLIDADO!G$12:G$782)</f>
        <v>14598437.379999999</v>
      </c>
      <c r="E45" s="572">
        <f t="shared" ca="1" si="0"/>
        <v>0.2104</v>
      </c>
      <c r="F45" s="600"/>
    </row>
  </sheetData>
  <sheetProtection autoFilter="0"/>
  <autoFilter ref="A11:E45"/>
  <mergeCells count="5">
    <mergeCell ref="A8:C8"/>
    <mergeCell ref="A5:E6"/>
    <mergeCell ref="C1:E1"/>
    <mergeCell ref="C2:E2"/>
    <mergeCell ref="C3:E3"/>
  </mergeCells>
  <conditionalFormatting sqref="A12:E45">
    <cfRule type="expression" dxfId="45" priority="16" stopIfTrue="1">
      <formula>AND(LEN($A12)&lt;=3,RIGHT($A12,1)=".")</formula>
    </cfRule>
    <cfRule type="expression" dxfId="44" priority="17" stopIfTrue="1">
      <formula>AND(LEN($A12)&lt;=6,RIGHT($A12,1)=".")</formula>
    </cfRule>
    <cfRule type="expression" dxfId="43" priority="18">
      <formula>RIGHT($A12,1)="."</formula>
    </cfRule>
  </conditionalFormatting>
  <printOptions horizontalCentered="1"/>
  <pageMargins left="0.59055118110236227" right="0.59055118110236227" top="0.78740157480314965" bottom="0.59055118110236227" header="0.19685039370078741" footer="0.19685039370078741"/>
  <pageSetup paperSize="9" scale="79" fitToHeight="1000" orientation="portrait" r:id="rId1"/>
  <headerFooter>
    <oddFooter>&amp;R&amp;"Arial,Normal"&amp;8&amp;F
Página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8"/>
  <sheetViews>
    <sheetView view="pageBreakPreview" zoomScale="85" zoomScaleNormal="100" zoomScaleSheetLayoutView="85" workbookViewId="0">
      <pane xSplit="2" ySplit="13" topLeftCell="C50" activePane="bottomRight" state="frozen"/>
      <selection activeCell="C90" sqref="C90"/>
      <selection pane="topRight" activeCell="C90" sqref="C90"/>
      <selection pane="bottomLeft" activeCell="C90" sqref="C90"/>
      <selection pane="bottomRight" activeCell="V28" sqref="V28"/>
    </sheetView>
  </sheetViews>
  <sheetFormatPr defaultColWidth="9.140625" defaultRowHeight="12.75" outlineLevelCol="1" x14ac:dyDescent="0.25"/>
  <cols>
    <col min="1" max="1" width="6" style="21" bestFit="1" customWidth="1"/>
    <col min="2" max="2" width="60.7109375" style="78" customWidth="1"/>
    <col min="3" max="3" width="10.85546875" style="78" bestFit="1" customWidth="1"/>
    <col min="4" max="4" width="9.28515625" style="78" customWidth="1"/>
    <col min="5" max="5" width="10.140625" style="78" customWidth="1"/>
    <col min="6" max="6" width="9.140625" style="78" customWidth="1"/>
    <col min="7" max="7" width="14.140625" style="78" customWidth="1"/>
    <col min="8" max="8" width="16.5703125" style="78" customWidth="1"/>
    <col min="9" max="9" width="12.7109375" style="78" customWidth="1"/>
    <col min="10" max="10" width="14.42578125" style="78" customWidth="1"/>
    <col min="11" max="11" width="11.42578125" style="78" hidden="1" customWidth="1" outlineLevel="1"/>
    <col min="12" max="12" width="14" style="78" hidden="1" customWidth="1" outlineLevel="1"/>
    <col min="13" max="14" width="12.7109375" style="78" hidden="1" customWidth="1" outlineLevel="1"/>
    <col min="15" max="15" width="15" style="78" customWidth="1" collapsed="1"/>
    <col min="16" max="16" width="16.5703125" style="78" customWidth="1"/>
    <col min="17" max="17" width="20.5703125" style="78" customWidth="1"/>
    <col min="18" max="18" width="18.7109375" style="78" customWidth="1"/>
    <col min="19" max="19" width="15.42578125" style="78" customWidth="1"/>
    <col min="20" max="20" width="18.7109375" style="78" hidden="1" customWidth="1" outlineLevel="1"/>
    <col min="21" max="21" width="20.5703125" style="78" customWidth="1" collapsed="1"/>
    <col min="22" max="22" width="20.5703125" style="80" customWidth="1"/>
    <col min="23" max="23" width="12.7109375" style="78" customWidth="1"/>
    <col min="24" max="25" width="14.7109375" style="78" customWidth="1"/>
    <col min="26" max="27" width="14.7109375" style="21" customWidth="1"/>
    <col min="28" max="33" width="14.7109375" style="78" customWidth="1"/>
    <col min="34" max="16384" width="9.140625" style="21"/>
  </cols>
  <sheetData>
    <row r="1" spans="1:33" s="89" customFormat="1" x14ac:dyDescent="0.25">
      <c r="A1" s="87"/>
      <c r="B1" s="88"/>
      <c r="C1" s="887" t="s">
        <v>1117</v>
      </c>
      <c r="D1" s="887"/>
      <c r="E1" s="887"/>
      <c r="F1" s="887"/>
      <c r="G1" s="887"/>
      <c r="H1" s="887"/>
      <c r="I1" s="887"/>
      <c r="J1" s="887"/>
      <c r="K1" s="887"/>
      <c r="L1" s="887"/>
      <c r="M1" s="887"/>
      <c r="N1" s="887"/>
      <c r="O1" s="887"/>
      <c r="P1" s="887"/>
      <c r="Q1" s="887"/>
      <c r="R1" s="887"/>
      <c r="S1" s="887"/>
      <c r="T1" s="887"/>
      <c r="U1" s="887"/>
      <c r="V1" s="887"/>
    </row>
    <row r="2" spans="1:33" s="89" customFormat="1" x14ac:dyDescent="0.25">
      <c r="A2" s="90"/>
      <c r="B2" s="91"/>
      <c r="C2" s="896" t="s">
        <v>1118</v>
      </c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896"/>
    </row>
    <row r="3" spans="1:33" s="89" customFormat="1" ht="13.5" thickBot="1" x14ac:dyDescent="0.3">
      <c r="A3" s="93"/>
      <c r="B3" s="94"/>
      <c r="C3" s="897" t="s">
        <v>1116</v>
      </c>
      <c r="D3" s="897"/>
      <c r="E3" s="897"/>
      <c r="F3" s="897"/>
      <c r="G3" s="897"/>
      <c r="H3" s="897"/>
      <c r="I3" s="897"/>
      <c r="J3" s="897"/>
      <c r="K3" s="897"/>
      <c r="L3" s="897"/>
      <c r="M3" s="897"/>
      <c r="N3" s="897"/>
      <c r="O3" s="897"/>
      <c r="P3" s="897"/>
      <c r="Q3" s="897"/>
      <c r="R3" s="897"/>
      <c r="S3" s="897"/>
      <c r="T3" s="897"/>
      <c r="U3" s="897"/>
      <c r="V3" s="897"/>
    </row>
    <row r="4" spans="1:33" s="78" customFormat="1" ht="13.9" thickBot="1" x14ac:dyDescent="0.35">
      <c r="A4" s="96"/>
    </row>
    <row r="5" spans="1:33" s="78" customFormat="1" x14ac:dyDescent="0.25">
      <c r="A5" s="690" t="s">
        <v>1119</v>
      </c>
      <c r="B5" s="690"/>
      <c r="C5" s="690"/>
      <c r="D5" s="690"/>
      <c r="E5" s="690"/>
      <c r="F5" s="690"/>
      <c r="G5" s="690"/>
      <c r="H5" s="690"/>
      <c r="I5" s="690"/>
      <c r="J5" s="690"/>
      <c r="K5" s="690"/>
      <c r="L5" s="690"/>
      <c r="M5" s="690"/>
      <c r="N5" s="690"/>
      <c r="O5" s="690"/>
      <c r="P5" s="690"/>
      <c r="Q5" s="690"/>
      <c r="R5" s="690"/>
      <c r="S5" s="690"/>
      <c r="T5" s="690"/>
      <c r="U5" s="690"/>
      <c r="V5" s="690"/>
    </row>
    <row r="6" spans="1:33" s="78" customFormat="1" ht="13.5" thickBot="1" x14ac:dyDescent="0.3">
      <c r="A6" s="691"/>
      <c r="B6" s="691"/>
      <c r="C6" s="691"/>
      <c r="D6" s="691"/>
      <c r="E6" s="691"/>
      <c r="F6" s="691"/>
      <c r="G6" s="691"/>
      <c r="H6" s="691"/>
      <c r="I6" s="691"/>
      <c r="J6" s="691"/>
      <c r="K6" s="691"/>
      <c r="L6" s="691"/>
      <c r="M6" s="691"/>
      <c r="N6" s="691"/>
      <c r="O6" s="691"/>
      <c r="P6" s="691"/>
      <c r="Q6" s="691"/>
      <c r="R6" s="691"/>
      <c r="S6" s="691"/>
      <c r="T6" s="691"/>
      <c r="U6" s="691"/>
      <c r="V6" s="691"/>
    </row>
    <row r="7" spans="1:33" s="78" customFormat="1" ht="13.9" thickBot="1" x14ac:dyDescent="0.35">
      <c r="B7" s="70"/>
      <c r="C7" s="72"/>
      <c r="J7" s="72"/>
    </row>
    <row r="8" spans="1:33" ht="13.5" thickBot="1" x14ac:dyDescent="0.3">
      <c r="A8" s="686" t="s">
        <v>1120</v>
      </c>
      <c r="B8" s="687"/>
      <c r="C8" s="687"/>
      <c r="D8" s="687"/>
      <c r="E8" s="687"/>
      <c r="F8" s="687"/>
      <c r="G8" s="687"/>
      <c r="H8" s="687"/>
      <c r="I8" s="687"/>
      <c r="J8" s="687"/>
      <c r="K8" s="687"/>
      <c r="L8" s="687"/>
      <c r="M8" s="687"/>
      <c r="N8" s="687"/>
      <c r="O8" s="687"/>
      <c r="P8" s="687"/>
      <c r="Q8" s="687"/>
      <c r="R8" s="687"/>
      <c r="S8" s="687"/>
      <c r="T8" s="687"/>
      <c r="U8" s="687"/>
      <c r="V8" s="688"/>
      <c r="W8" s="21"/>
      <c r="X8" s="21"/>
      <c r="Y8" s="21"/>
      <c r="AB8" s="21"/>
      <c r="AC8" s="21"/>
      <c r="AD8" s="21"/>
      <c r="AE8" s="21"/>
      <c r="AF8" s="21"/>
      <c r="AG8" s="21"/>
    </row>
    <row r="9" spans="1:33" s="78" customFormat="1" ht="13.15" x14ac:dyDescent="0.3">
      <c r="B9" s="70"/>
      <c r="C9" s="72"/>
      <c r="J9" s="72"/>
    </row>
    <row r="10" spans="1:33" s="78" customFormat="1" ht="13.9" thickBot="1" x14ac:dyDescent="0.35">
      <c r="A10" s="69"/>
      <c r="B10" s="70"/>
      <c r="C10" s="72"/>
      <c r="D10" s="72"/>
      <c r="E10" s="77"/>
      <c r="F10" s="73"/>
      <c r="G10" s="77"/>
      <c r="H10" s="72"/>
      <c r="I10" s="72"/>
      <c r="J10" s="72"/>
      <c r="K10" s="72"/>
      <c r="L10" s="72"/>
      <c r="M10" s="72"/>
      <c r="N10" s="72"/>
      <c r="O10" s="79"/>
      <c r="P10" s="72"/>
      <c r="Q10" s="72"/>
      <c r="R10" s="77"/>
      <c r="S10" s="77"/>
      <c r="T10" s="77"/>
      <c r="V10" s="80"/>
    </row>
    <row r="11" spans="1:33" ht="13.5" thickBot="1" x14ac:dyDescent="0.3">
      <c r="A11" s="895" t="s">
        <v>363</v>
      </c>
      <c r="B11" s="895" t="s">
        <v>366</v>
      </c>
      <c r="C11" s="895" t="s">
        <v>543</v>
      </c>
      <c r="D11" s="895" t="s">
        <v>427</v>
      </c>
      <c r="E11" s="895" t="s">
        <v>544</v>
      </c>
      <c r="F11" s="895"/>
      <c r="G11" s="895" t="s">
        <v>545</v>
      </c>
      <c r="H11" s="895"/>
      <c r="I11" s="895"/>
      <c r="J11" s="895"/>
      <c r="K11" s="895"/>
      <c r="L11" s="895"/>
      <c r="M11" s="895"/>
      <c r="N11" s="895"/>
      <c r="O11" s="895"/>
      <c r="P11" s="895"/>
      <c r="Q11" s="895" t="s">
        <v>546</v>
      </c>
      <c r="R11" s="895"/>
      <c r="S11" s="895"/>
      <c r="T11" s="895"/>
      <c r="U11" s="895"/>
      <c r="V11" s="895"/>
      <c r="W11" s="21"/>
      <c r="X11" s="893" t="s">
        <v>1476</v>
      </c>
      <c r="Y11" s="894"/>
      <c r="Z11" s="889" t="s">
        <v>1477</v>
      </c>
      <c r="AA11" s="890"/>
      <c r="AB11" s="478" t="s">
        <v>1110</v>
      </c>
      <c r="AC11" s="479"/>
      <c r="AD11" s="479"/>
      <c r="AE11" s="479"/>
      <c r="AF11" s="479"/>
      <c r="AG11" s="479"/>
    </row>
    <row r="12" spans="1:33" ht="26.25" thickBot="1" x14ac:dyDescent="0.3">
      <c r="A12" s="895"/>
      <c r="B12" s="895"/>
      <c r="C12" s="895"/>
      <c r="D12" s="895"/>
      <c r="E12" s="895"/>
      <c r="F12" s="895"/>
      <c r="G12" s="895" t="s">
        <v>1034</v>
      </c>
      <c r="H12" s="82" t="s">
        <v>548</v>
      </c>
      <c r="I12" s="895" t="s">
        <v>1032</v>
      </c>
      <c r="J12" s="895"/>
      <c r="K12" s="893" t="s">
        <v>1035</v>
      </c>
      <c r="L12" s="894"/>
      <c r="M12" s="893" t="s">
        <v>1074</v>
      </c>
      <c r="N12" s="894"/>
      <c r="O12" s="82" t="s">
        <v>541</v>
      </c>
      <c r="P12" s="895" t="s">
        <v>1043</v>
      </c>
      <c r="Q12" s="895" t="s">
        <v>1034</v>
      </c>
      <c r="R12" s="82" t="s">
        <v>542</v>
      </c>
      <c r="S12" s="895" t="s">
        <v>1070</v>
      </c>
      <c r="T12" s="895" t="s">
        <v>1033</v>
      </c>
      <c r="U12" s="82" t="s">
        <v>541</v>
      </c>
      <c r="V12" s="895" t="s">
        <v>1041</v>
      </c>
      <c r="W12" s="21"/>
      <c r="X12" s="891" t="s">
        <v>1111</v>
      </c>
      <c r="Y12" s="891" t="s">
        <v>1112</v>
      </c>
      <c r="Z12" s="891" t="s">
        <v>1111</v>
      </c>
      <c r="AA12" s="891" t="s">
        <v>1112</v>
      </c>
      <c r="AB12" s="891" t="s">
        <v>180</v>
      </c>
      <c r="AC12" s="891" t="s">
        <v>1342</v>
      </c>
      <c r="AD12" s="891" t="s">
        <v>1347</v>
      </c>
      <c r="AE12" s="891" t="s">
        <v>887</v>
      </c>
      <c r="AF12" s="891" t="s">
        <v>603</v>
      </c>
      <c r="AG12" s="891" t="s">
        <v>2602</v>
      </c>
    </row>
    <row r="13" spans="1:33" ht="51.75" thickBot="1" x14ac:dyDescent="0.3">
      <c r="A13" s="895"/>
      <c r="B13" s="895"/>
      <c r="C13" s="895"/>
      <c r="D13" s="895"/>
      <c r="E13" s="83" t="s">
        <v>549</v>
      </c>
      <c r="F13" s="83" t="s">
        <v>180</v>
      </c>
      <c r="G13" s="895"/>
      <c r="H13" s="62">
        <v>0.3</v>
      </c>
      <c r="I13" s="83" t="s">
        <v>1039</v>
      </c>
      <c r="J13" s="83" t="s">
        <v>1069</v>
      </c>
      <c r="K13" s="83" t="s">
        <v>1036</v>
      </c>
      <c r="L13" s="86" t="s">
        <v>1038</v>
      </c>
      <c r="M13" s="83" t="s">
        <v>1036</v>
      </c>
      <c r="N13" s="86" t="s">
        <v>1037</v>
      </c>
      <c r="O13" s="62">
        <f>'Encargos Sociais e Benefícios'!$C$66</f>
        <v>0.77166480000000015</v>
      </c>
      <c r="P13" s="895"/>
      <c r="Q13" s="895"/>
      <c r="R13" s="62">
        <f>H13</f>
        <v>0.3</v>
      </c>
      <c r="S13" s="895"/>
      <c r="T13" s="895"/>
      <c r="U13" s="62">
        <f>O13</f>
        <v>0.77166480000000015</v>
      </c>
      <c r="V13" s="895"/>
      <c r="W13" s="21"/>
      <c r="X13" s="892"/>
      <c r="Y13" s="892"/>
      <c r="Z13" s="892"/>
      <c r="AA13" s="892"/>
      <c r="AB13" s="892"/>
      <c r="AC13" s="892"/>
      <c r="AD13" s="892"/>
      <c r="AE13" s="892"/>
      <c r="AF13" s="892"/>
      <c r="AG13" s="892"/>
    </row>
    <row r="14" spans="1:33" s="78" customFormat="1" ht="13.5" thickBot="1" x14ac:dyDescent="0.3">
      <c r="A14" s="135" t="s">
        <v>360</v>
      </c>
      <c r="B14" s="35" t="s">
        <v>550</v>
      </c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</row>
    <row r="15" spans="1:33" s="78" customFormat="1" ht="25.5" x14ac:dyDescent="0.25">
      <c r="A15" s="175" t="s">
        <v>124</v>
      </c>
      <c r="B15" s="181" t="s">
        <v>551</v>
      </c>
      <c r="C15" s="137" t="s">
        <v>428</v>
      </c>
      <c r="D15" s="137">
        <v>12</v>
      </c>
      <c r="E15" s="138">
        <f>AB15</f>
        <v>1</v>
      </c>
      <c r="F15" s="84">
        <f>D15*E15</f>
        <v>12</v>
      </c>
      <c r="G15" s="139">
        <f>VLOOKUP(C15,CPU_SALARIOS!$B$13:$E$30,4,FALSE)</f>
        <v>18874.240000000002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  <c r="N15" s="85">
        <v>0</v>
      </c>
      <c r="O15" s="85">
        <f>ROUND((G15+H15+J15+L15+N15)*$O$13,2)</f>
        <v>14564.59</v>
      </c>
      <c r="P15" s="85">
        <f>G15+H15+J15+L15+N15+O15</f>
        <v>33438.83</v>
      </c>
      <c r="Q15" s="139">
        <f>ROUND(F15*G15,2)</f>
        <v>226490.88</v>
      </c>
      <c r="R15" s="85">
        <f>ROUND(F15*H15,2)</f>
        <v>0</v>
      </c>
      <c r="S15" s="85">
        <f>ROUND(F15*J15,2)</f>
        <v>0</v>
      </c>
      <c r="T15" s="85">
        <f>ROUND((F15*L15)+(F15*N15),2)</f>
        <v>0</v>
      </c>
      <c r="U15" s="85">
        <f>ROUND(F15*O15,2)</f>
        <v>174775.08</v>
      </c>
      <c r="V15" s="140">
        <f>ROUND(F15*P15,2)</f>
        <v>401265.96</v>
      </c>
      <c r="X15" s="138">
        <v>1</v>
      </c>
      <c r="Y15" s="138">
        <f>AB15-$X15</f>
        <v>0</v>
      </c>
      <c r="Z15" s="138">
        <v>1</v>
      </c>
      <c r="AA15" s="138">
        <f>AB15-Z15</f>
        <v>0</v>
      </c>
      <c r="AB15" s="138">
        <f>SUM(AC15:AG15)</f>
        <v>1</v>
      </c>
      <c r="AC15" s="138">
        <v>1</v>
      </c>
      <c r="AD15" s="138">
        <v>0</v>
      </c>
      <c r="AE15" s="138">
        <v>0</v>
      </c>
      <c r="AF15" s="138">
        <v>0</v>
      </c>
      <c r="AG15" s="138">
        <v>0</v>
      </c>
    </row>
    <row r="16" spans="1:33" s="78" customFormat="1" ht="13.15" x14ac:dyDescent="0.3">
      <c r="A16" s="176" t="s">
        <v>125</v>
      </c>
      <c r="B16" s="182" t="s">
        <v>553</v>
      </c>
      <c r="C16" s="141" t="s">
        <v>453</v>
      </c>
      <c r="D16" s="141">
        <f>D$15</f>
        <v>12</v>
      </c>
      <c r="E16" s="142">
        <f>AB16</f>
        <v>1</v>
      </c>
      <c r="F16" s="143">
        <f>D16*E16</f>
        <v>12</v>
      </c>
      <c r="G16" s="144">
        <f>VLOOKUP(C16,CPU_SALARIOS!$B$13:$E$30,4,FALSE)</f>
        <v>4829.4399999999996</v>
      </c>
      <c r="H16" s="145">
        <v>0</v>
      </c>
      <c r="I16" s="145">
        <v>0</v>
      </c>
      <c r="J16" s="145">
        <v>0</v>
      </c>
      <c r="K16" s="145">
        <v>0</v>
      </c>
      <c r="L16" s="145">
        <v>0</v>
      </c>
      <c r="M16" s="145">
        <v>0</v>
      </c>
      <c r="N16" s="145">
        <v>0</v>
      </c>
      <c r="O16" s="145">
        <f>ROUND((G16+H16+J16+L16+N16)*$O$13,2)</f>
        <v>3726.71</v>
      </c>
      <c r="P16" s="145">
        <f>G16+H16+J16+L16+N16+O16</f>
        <v>8556.15</v>
      </c>
      <c r="Q16" s="144">
        <f>ROUND(F16*G16,2)</f>
        <v>57953.279999999999</v>
      </c>
      <c r="R16" s="145">
        <f>ROUND(F16*H16,2)</f>
        <v>0</v>
      </c>
      <c r="S16" s="145">
        <f>ROUND(F16*J16,2)</f>
        <v>0</v>
      </c>
      <c r="T16" s="145">
        <f>ROUND((F16*L16)+(F16*N16),2)</f>
        <v>0</v>
      </c>
      <c r="U16" s="145">
        <f>ROUND(F16*O16,2)</f>
        <v>44720.52</v>
      </c>
      <c r="V16" s="146">
        <f>ROUND(F16*P16,2)</f>
        <v>102673.8</v>
      </c>
      <c r="X16" s="142">
        <v>1</v>
      </c>
      <c r="Y16" s="142">
        <f>AB16-$X16</f>
        <v>0</v>
      </c>
      <c r="Z16" s="142">
        <v>1</v>
      </c>
      <c r="AA16" s="142">
        <f>AB16-Z16</f>
        <v>0</v>
      </c>
      <c r="AB16" s="142">
        <f>SUM(AC16:AG16)</f>
        <v>1</v>
      </c>
      <c r="AC16" s="142">
        <v>1</v>
      </c>
      <c r="AD16" s="142">
        <v>0</v>
      </c>
      <c r="AE16" s="142">
        <v>0</v>
      </c>
      <c r="AF16" s="142">
        <v>0</v>
      </c>
      <c r="AG16" s="142">
        <v>0</v>
      </c>
    </row>
    <row r="17" spans="1:33" s="78" customFormat="1" ht="13.9" thickBot="1" x14ac:dyDescent="0.35">
      <c r="A17" s="177" t="s">
        <v>126</v>
      </c>
      <c r="B17" s="183" t="s">
        <v>554</v>
      </c>
      <c r="C17" s="147" t="s">
        <v>457</v>
      </c>
      <c r="D17" s="147">
        <f>D$15</f>
        <v>12</v>
      </c>
      <c r="E17" s="148">
        <f>AB17</f>
        <v>1</v>
      </c>
      <c r="F17" s="149">
        <f>D17*E17</f>
        <v>12</v>
      </c>
      <c r="G17" s="150">
        <f>VLOOKUP(C17,CPU_SALARIOS!$B$13:$E$30,4,FALSE)</f>
        <v>2465.7600000000002</v>
      </c>
      <c r="H17" s="151">
        <v>0</v>
      </c>
      <c r="I17" s="151">
        <v>0</v>
      </c>
      <c r="J17" s="151">
        <v>0</v>
      </c>
      <c r="K17" s="151">
        <v>0</v>
      </c>
      <c r="L17" s="151">
        <v>0</v>
      </c>
      <c r="M17" s="151">
        <v>0</v>
      </c>
      <c r="N17" s="151">
        <v>0</v>
      </c>
      <c r="O17" s="151">
        <f>ROUND((G17+H17+J17+L17+N17)*$O$13,2)</f>
        <v>1902.74</v>
      </c>
      <c r="P17" s="151">
        <f>G17+H17+J17+L17+N17+O17</f>
        <v>4368.5</v>
      </c>
      <c r="Q17" s="150">
        <f>ROUND(F17*G17,2)</f>
        <v>29589.119999999999</v>
      </c>
      <c r="R17" s="151">
        <f>ROUND(F17*H17,2)</f>
        <v>0</v>
      </c>
      <c r="S17" s="151">
        <f>ROUND(F17*J17,2)</f>
        <v>0</v>
      </c>
      <c r="T17" s="151">
        <f>ROUND((F17*L17)+(F17*N17),2)</f>
        <v>0</v>
      </c>
      <c r="U17" s="151">
        <f>ROUND(F17*O17,2)</f>
        <v>22832.880000000001</v>
      </c>
      <c r="V17" s="152">
        <f>ROUND(F17*P17,2)</f>
        <v>52422</v>
      </c>
      <c r="X17" s="148">
        <v>1</v>
      </c>
      <c r="Y17" s="148">
        <f>AB17-$X17</f>
        <v>0</v>
      </c>
      <c r="Z17" s="148">
        <v>1</v>
      </c>
      <c r="AA17" s="148">
        <f>AB17-Z17</f>
        <v>0</v>
      </c>
      <c r="AB17" s="148">
        <f>SUM(AC17:AG17)</f>
        <v>1</v>
      </c>
      <c r="AC17" s="148">
        <v>1</v>
      </c>
      <c r="AD17" s="148">
        <v>0</v>
      </c>
      <c r="AE17" s="148">
        <v>0</v>
      </c>
      <c r="AF17" s="148">
        <v>0</v>
      </c>
      <c r="AG17" s="148">
        <v>0</v>
      </c>
    </row>
    <row r="18" spans="1:33" s="78" customFormat="1" ht="13.5" thickBot="1" x14ac:dyDescent="0.3">
      <c r="A18" s="135" t="s">
        <v>361</v>
      </c>
      <c r="B18" s="35" t="s">
        <v>555</v>
      </c>
      <c r="C18" s="136"/>
      <c r="D18" s="136"/>
      <c r="E18" s="136"/>
      <c r="F18" s="136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9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</row>
    <row r="19" spans="1:33" s="78" customFormat="1" ht="25.5" x14ac:dyDescent="0.25">
      <c r="A19" s="175" t="s">
        <v>173</v>
      </c>
      <c r="B19" s="181" t="s">
        <v>1114</v>
      </c>
      <c r="C19" s="137" t="s">
        <v>430</v>
      </c>
      <c r="D19" s="137">
        <f t="shared" ref="D19:D20" si="0">D$15</f>
        <v>12</v>
      </c>
      <c r="E19" s="138">
        <f>AB19</f>
        <v>1</v>
      </c>
      <c r="F19" s="84">
        <f>D19*E19</f>
        <v>12</v>
      </c>
      <c r="G19" s="139">
        <f>VLOOKUP(C19,CPU_SALARIOS!$B$13:$E$30,4,FALSE)</f>
        <v>14602.72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  <c r="M19" s="85">
        <v>0</v>
      </c>
      <c r="N19" s="85">
        <v>0</v>
      </c>
      <c r="O19" s="85">
        <f>ROUND((G19+H19+J19+L19+N19)*$O$13,2)</f>
        <v>11268.41</v>
      </c>
      <c r="P19" s="85">
        <f>G19+H19+J19+L19+N19+O19</f>
        <v>25871.129999999997</v>
      </c>
      <c r="Q19" s="139">
        <f>ROUND(F19*G19,2)</f>
        <v>175232.64000000001</v>
      </c>
      <c r="R19" s="85">
        <f>ROUND(F19*H19,2)</f>
        <v>0</v>
      </c>
      <c r="S19" s="85">
        <f>ROUND(F19*J19,2)</f>
        <v>0</v>
      </c>
      <c r="T19" s="85">
        <f>ROUND((F19*L19)+(F19*N19),2)</f>
        <v>0</v>
      </c>
      <c r="U19" s="85">
        <f>ROUND(F19*O19,2)</f>
        <v>135220.92000000001</v>
      </c>
      <c r="V19" s="140">
        <f>ROUND(F19*P19,2)</f>
        <v>310453.56</v>
      </c>
      <c r="X19" s="138">
        <v>1</v>
      </c>
      <c r="Y19" s="138">
        <f>AB19-$X19</f>
        <v>0</v>
      </c>
      <c r="Z19" s="138">
        <v>1</v>
      </c>
      <c r="AA19" s="138">
        <f>AB19-Z19</f>
        <v>0</v>
      </c>
      <c r="AB19" s="138">
        <f>SUM(AC19:AG19)</f>
        <v>1</v>
      </c>
      <c r="AC19" s="138">
        <v>1</v>
      </c>
      <c r="AD19" s="138">
        <v>0</v>
      </c>
      <c r="AE19" s="138">
        <v>0</v>
      </c>
      <c r="AF19" s="138">
        <v>0</v>
      </c>
      <c r="AG19" s="138">
        <v>0</v>
      </c>
    </row>
    <row r="20" spans="1:33" s="78" customFormat="1" ht="13.9" thickBot="1" x14ac:dyDescent="0.35">
      <c r="A20" s="177" t="s">
        <v>174</v>
      </c>
      <c r="B20" s="183" t="s">
        <v>554</v>
      </c>
      <c r="C20" s="147" t="s">
        <v>457</v>
      </c>
      <c r="D20" s="147">
        <f t="shared" si="0"/>
        <v>12</v>
      </c>
      <c r="E20" s="148">
        <f>AB20</f>
        <v>1</v>
      </c>
      <c r="F20" s="149">
        <f>D20*E20</f>
        <v>12</v>
      </c>
      <c r="G20" s="150">
        <f>VLOOKUP(C20,CPU_SALARIOS!$B$13:$E$30,4,FALSE)</f>
        <v>2465.7600000000002</v>
      </c>
      <c r="H20" s="151">
        <v>0</v>
      </c>
      <c r="I20" s="151">
        <v>0</v>
      </c>
      <c r="J20" s="151">
        <v>0</v>
      </c>
      <c r="K20" s="151">
        <v>0</v>
      </c>
      <c r="L20" s="151">
        <v>0</v>
      </c>
      <c r="M20" s="151">
        <v>0</v>
      </c>
      <c r="N20" s="151">
        <v>0</v>
      </c>
      <c r="O20" s="151">
        <f>ROUND((G20+H20+J20+L20+N20)*$O$13,2)</f>
        <v>1902.74</v>
      </c>
      <c r="P20" s="151">
        <f>G20+H20+J20+L20+N20+O20</f>
        <v>4368.5</v>
      </c>
      <c r="Q20" s="150">
        <f>ROUND(F20*G20,2)</f>
        <v>29589.119999999999</v>
      </c>
      <c r="R20" s="151">
        <f>ROUND(F20*H20,2)</f>
        <v>0</v>
      </c>
      <c r="S20" s="151">
        <f>ROUND(F20*J20,2)</f>
        <v>0</v>
      </c>
      <c r="T20" s="151">
        <f>ROUND((F20*L20)+(F20*N20),2)</f>
        <v>0</v>
      </c>
      <c r="U20" s="151">
        <f>ROUND(F20*O20,2)</f>
        <v>22832.880000000001</v>
      </c>
      <c r="V20" s="152">
        <f>ROUND(F20*P20,2)</f>
        <v>52422</v>
      </c>
      <c r="X20" s="148">
        <v>2</v>
      </c>
      <c r="Y20" s="148">
        <f>AB20-$X20</f>
        <v>-1</v>
      </c>
      <c r="Z20" s="148">
        <v>2</v>
      </c>
      <c r="AA20" s="148">
        <f>AB20-Z20</f>
        <v>-1</v>
      </c>
      <c r="AB20" s="148">
        <f>SUM(AC20:AG20)</f>
        <v>1</v>
      </c>
      <c r="AC20" s="148">
        <v>1</v>
      </c>
      <c r="AD20" s="148">
        <v>0</v>
      </c>
      <c r="AE20" s="148">
        <v>0</v>
      </c>
      <c r="AF20" s="148">
        <v>0</v>
      </c>
      <c r="AG20" s="148">
        <v>0</v>
      </c>
    </row>
    <row r="21" spans="1:33" s="78" customFormat="1" ht="13.5" thickBot="1" x14ac:dyDescent="0.3">
      <c r="A21" s="135" t="s">
        <v>362</v>
      </c>
      <c r="B21" s="35" t="s">
        <v>556</v>
      </c>
      <c r="C21" s="136"/>
      <c r="D21" s="136"/>
      <c r="E21" s="136"/>
      <c r="F21" s="136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9"/>
      <c r="X21" s="136"/>
      <c r="Y21" s="136"/>
      <c r="Z21" s="136"/>
      <c r="AA21" s="136"/>
      <c r="AB21" s="136"/>
      <c r="AC21" s="136"/>
      <c r="AD21" s="136"/>
      <c r="AE21" s="136"/>
      <c r="AF21" s="136"/>
      <c r="AG21" s="136"/>
    </row>
    <row r="22" spans="1:33" s="78" customFormat="1" ht="25.5" x14ac:dyDescent="0.25">
      <c r="A22" s="175" t="s">
        <v>238</v>
      </c>
      <c r="B22" s="181" t="s">
        <v>1115</v>
      </c>
      <c r="C22" s="137" t="s">
        <v>430</v>
      </c>
      <c r="D22" s="137">
        <f t="shared" ref="D22:D23" si="1">D$15</f>
        <v>12</v>
      </c>
      <c r="E22" s="138">
        <f>AB22</f>
        <v>1</v>
      </c>
      <c r="F22" s="84">
        <f>D22*E22</f>
        <v>12</v>
      </c>
      <c r="G22" s="139">
        <f>VLOOKUP(C22,CPU_SALARIOS!$B$13:$E$30,4,FALSE)</f>
        <v>14602.72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f>ROUND((G22+H22+J22+L22+N22)*$O$13,2)</f>
        <v>11268.41</v>
      </c>
      <c r="P22" s="85">
        <f>G22+H22+J22+L22+N22+O22</f>
        <v>25871.129999999997</v>
      </c>
      <c r="Q22" s="139">
        <f>ROUND(F22*G22,2)</f>
        <v>175232.64000000001</v>
      </c>
      <c r="R22" s="85">
        <f>ROUND(F22*H22,2)</f>
        <v>0</v>
      </c>
      <c r="S22" s="85">
        <f>ROUND(F22*J22,2)</f>
        <v>0</v>
      </c>
      <c r="T22" s="85">
        <f>ROUND((F22*L22)+(F22*N22),2)</f>
        <v>0</v>
      </c>
      <c r="U22" s="85">
        <f>ROUND(F22*O22,2)</f>
        <v>135220.92000000001</v>
      </c>
      <c r="V22" s="140">
        <f>ROUND(F22*P22,2)</f>
        <v>310453.56</v>
      </c>
      <c r="X22" s="138">
        <v>1</v>
      </c>
      <c r="Y22" s="138">
        <f>AB22-$X22</f>
        <v>0</v>
      </c>
      <c r="Z22" s="138">
        <v>1</v>
      </c>
      <c r="AA22" s="138">
        <f>AB22-Z22</f>
        <v>0</v>
      </c>
      <c r="AB22" s="138">
        <f>SUM(AC22:AG22)</f>
        <v>1</v>
      </c>
      <c r="AC22" s="138">
        <v>1</v>
      </c>
      <c r="AD22" s="138">
        <v>0</v>
      </c>
      <c r="AE22" s="138">
        <v>0</v>
      </c>
      <c r="AF22" s="138">
        <v>0</v>
      </c>
      <c r="AG22" s="138">
        <v>0</v>
      </c>
    </row>
    <row r="23" spans="1:33" s="78" customFormat="1" ht="13.9" thickBot="1" x14ac:dyDescent="0.35">
      <c r="A23" s="177" t="s">
        <v>239</v>
      </c>
      <c r="B23" s="183" t="s">
        <v>554</v>
      </c>
      <c r="C23" s="147" t="s">
        <v>457</v>
      </c>
      <c r="D23" s="147">
        <f t="shared" si="1"/>
        <v>12</v>
      </c>
      <c r="E23" s="148">
        <f>AB23</f>
        <v>1</v>
      </c>
      <c r="F23" s="149">
        <f>D23*E23</f>
        <v>12</v>
      </c>
      <c r="G23" s="150">
        <f>VLOOKUP(C23,CPU_SALARIOS!$B$13:$E$30,4,FALSE)</f>
        <v>2465.7600000000002</v>
      </c>
      <c r="H23" s="151">
        <v>0</v>
      </c>
      <c r="I23" s="151">
        <v>0</v>
      </c>
      <c r="J23" s="151">
        <v>0</v>
      </c>
      <c r="K23" s="151">
        <v>0</v>
      </c>
      <c r="L23" s="151">
        <v>0</v>
      </c>
      <c r="M23" s="151">
        <v>0</v>
      </c>
      <c r="N23" s="151">
        <v>0</v>
      </c>
      <c r="O23" s="151">
        <f>ROUND((G23+H23+J23+L23+N23)*$O$13,2)</f>
        <v>1902.74</v>
      </c>
      <c r="P23" s="151">
        <f>G23+H23+J23+L23+N23+O23</f>
        <v>4368.5</v>
      </c>
      <c r="Q23" s="150">
        <f>ROUND(F23*G23,2)</f>
        <v>29589.119999999999</v>
      </c>
      <c r="R23" s="151">
        <f>ROUND(F23*H23,2)</f>
        <v>0</v>
      </c>
      <c r="S23" s="151">
        <f>ROUND(F23*J23,2)</f>
        <v>0</v>
      </c>
      <c r="T23" s="151">
        <f>ROUND((F23*L23)+(F23*N23),2)</f>
        <v>0</v>
      </c>
      <c r="U23" s="151">
        <f>ROUND(F23*O23,2)</f>
        <v>22832.880000000001</v>
      </c>
      <c r="V23" s="152">
        <f>ROUND(F23*P23,2)</f>
        <v>52422</v>
      </c>
      <c r="X23" s="148">
        <v>2</v>
      </c>
      <c r="Y23" s="148">
        <f>AB23-$X23</f>
        <v>-1</v>
      </c>
      <c r="Z23" s="148">
        <v>2</v>
      </c>
      <c r="AA23" s="148">
        <f>AB23-Z23</f>
        <v>-1</v>
      </c>
      <c r="AB23" s="148">
        <f>SUM(AC23:AG23)</f>
        <v>1</v>
      </c>
      <c r="AC23" s="148">
        <v>1</v>
      </c>
      <c r="AD23" s="148">
        <v>0</v>
      </c>
      <c r="AE23" s="148">
        <v>0</v>
      </c>
      <c r="AF23" s="148">
        <v>0</v>
      </c>
      <c r="AG23" s="148">
        <v>0</v>
      </c>
    </row>
    <row r="24" spans="1:33" s="78" customFormat="1" ht="13.5" thickBot="1" x14ac:dyDescent="0.3">
      <c r="A24" s="135" t="s">
        <v>381</v>
      </c>
      <c r="B24" s="35" t="s">
        <v>557</v>
      </c>
      <c r="C24" s="136"/>
      <c r="D24" s="136"/>
      <c r="E24" s="136"/>
      <c r="F24" s="136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9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</row>
    <row r="25" spans="1:33" s="78" customFormat="1" x14ac:dyDescent="0.25">
      <c r="A25" s="175" t="s">
        <v>295</v>
      </c>
      <c r="B25" s="181" t="s">
        <v>558</v>
      </c>
      <c r="C25" s="137" t="s">
        <v>531</v>
      </c>
      <c r="D25" s="137">
        <f t="shared" ref="D25:D32" si="2">D$15</f>
        <v>12</v>
      </c>
      <c r="E25" s="138">
        <f t="shared" ref="E25:E32" si="3">AB25</f>
        <v>1</v>
      </c>
      <c r="F25" s="84">
        <f t="shared" ref="F25:F32" si="4">D25*E25</f>
        <v>12</v>
      </c>
      <c r="G25" s="139">
        <f>VLOOKUP(C25,CPU_SALARIOS!$B$13:$E$30,4,FALSE)</f>
        <v>5610.88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f t="shared" ref="O25:O32" si="5">ROUND((G25+H25+J25+L25+N25)*$O$13,2)</f>
        <v>4329.72</v>
      </c>
      <c r="P25" s="85">
        <f t="shared" ref="P25:P32" si="6">G25+H25+J25+L25+N25+O25</f>
        <v>9940.6</v>
      </c>
      <c r="Q25" s="139">
        <f t="shared" ref="Q25:Q32" si="7">ROUND(F25*G25,2)</f>
        <v>67330.559999999998</v>
      </c>
      <c r="R25" s="85">
        <f t="shared" ref="R25:R32" si="8">ROUND(F25*H25,2)</f>
        <v>0</v>
      </c>
      <c r="S25" s="85">
        <f t="shared" ref="S25:S32" si="9">ROUND(F25*J25,2)</f>
        <v>0</v>
      </c>
      <c r="T25" s="85">
        <f t="shared" ref="T25:T32" si="10">ROUND((F25*L25)+(F25*N25),2)</f>
        <v>0</v>
      </c>
      <c r="U25" s="85">
        <f t="shared" ref="U25:U32" si="11">ROUND(F25*O25,2)</f>
        <v>51956.639999999999</v>
      </c>
      <c r="V25" s="140">
        <f t="shared" ref="V25:V32" si="12">ROUND(F25*P25,2)</f>
        <v>119287.2</v>
      </c>
      <c r="X25" s="138">
        <v>1</v>
      </c>
      <c r="Y25" s="138">
        <f t="shared" ref="Y25:Y32" si="13">AB25-$X25</f>
        <v>0</v>
      </c>
      <c r="Z25" s="138">
        <v>1</v>
      </c>
      <c r="AA25" s="138">
        <f t="shared" ref="AA25:AA32" si="14">AB25-Z25</f>
        <v>0</v>
      </c>
      <c r="AB25" s="138">
        <f t="shared" ref="AB25:AB32" si="15">SUM(AC25:AG25)</f>
        <v>1</v>
      </c>
      <c r="AC25" s="138">
        <v>1</v>
      </c>
      <c r="AD25" s="138">
        <v>0</v>
      </c>
      <c r="AE25" s="138">
        <v>0</v>
      </c>
      <c r="AF25" s="138">
        <v>0</v>
      </c>
      <c r="AG25" s="138">
        <v>0</v>
      </c>
    </row>
    <row r="26" spans="1:33" s="78" customFormat="1" ht="13.15" x14ac:dyDescent="0.3">
      <c r="A26" s="176" t="s">
        <v>296</v>
      </c>
      <c r="B26" s="182" t="s">
        <v>554</v>
      </c>
      <c r="C26" s="141" t="s">
        <v>457</v>
      </c>
      <c r="D26" s="141">
        <f t="shared" si="2"/>
        <v>12</v>
      </c>
      <c r="E26" s="142">
        <f t="shared" si="3"/>
        <v>1</v>
      </c>
      <c r="F26" s="143">
        <f t="shared" si="4"/>
        <v>12</v>
      </c>
      <c r="G26" s="144">
        <f>VLOOKUP(C26,CPU_SALARIOS!$B$13:$E$30,4,FALSE)</f>
        <v>2465.7600000000002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145">
        <f t="shared" si="5"/>
        <v>1902.74</v>
      </c>
      <c r="P26" s="145">
        <f t="shared" si="6"/>
        <v>4368.5</v>
      </c>
      <c r="Q26" s="144">
        <f t="shared" si="7"/>
        <v>29589.119999999999</v>
      </c>
      <c r="R26" s="145">
        <f t="shared" si="8"/>
        <v>0</v>
      </c>
      <c r="S26" s="145">
        <f t="shared" si="9"/>
        <v>0</v>
      </c>
      <c r="T26" s="145">
        <f t="shared" si="10"/>
        <v>0</v>
      </c>
      <c r="U26" s="145">
        <f t="shared" si="11"/>
        <v>22832.880000000001</v>
      </c>
      <c r="V26" s="146">
        <f t="shared" si="12"/>
        <v>52422</v>
      </c>
      <c r="X26" s="142">
        <v>2</v>
      </c>
      <c r="Y26" s="142">
        <f t="shared" si="13"/>
        <v>-1</v>
      </c>
      <c r="Z26" s="142">
        <v>2</v>
      </c>
      <c r="AA26" s="142">
        <f t="shared" si="14"/>
        <v>-1</v>
      </c>
      <c r="AB26" s="142">
        <f t="shared" si="15"/>
        <v>1</v>
      </c>
      <c r="AC26" s="142">
        <v>1</v>
      </c>
      <c r="AD26" s="142">
        <v>0</v>
      </c>
      <c r="AE26" s="142">
        <v>0</v>
      </c>
      <c r="AF26" s="142">
        <v>0</v>
      </c>
      <c r="AG26" s="142">
        <v>0</v>
      </c>
    </row>
    <row r="27" spans="1:33" s="78" customFormat="1" x14ac:dyDescent="0.25">
      <c r="A27" s="176" t="s">
        <v>297</v>
      </c>
      <c r="B27" s="182" t="s">
        <v>559</v>
      </c>
      <c r="C27" s="141" t="s">
        <v>434</v>
      </c>
      <c r="D27" s="141">
        <f t="shared" si="2"/>
        <v>12</v>
      </c>
      <c r="E27" s="142">
        <f t="shared" si="3"/>
        <v>1</v>
      </c>
      <c r="F27" s="143">
        <f t="shared" si="4"/>
        <v>12</v>
      </c>
      <c r="G27" s="144">
        <f>VLOOKUP(C27,CPU_SALARIOS!$B$13:$E$30,4,FALSE)</f>
        <v>4095.52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145">
        <f t="shared" si="5"/>
        <v>3160.37</v>
      </c>
      <c r="P27" s="145">
        <f t="shared" si="6"/>
        <v>7255.8899999999994</v>
      </c>
      <c r="Q27" s="144">
        <f t="shared" si="7"/>
        <v>49146.239999999998</v>
      </c>
      <c r="R27" s="145">
        <f t="shared" si="8"/>
        <v>0</v>
      </c>
      <c r="S27" s="145">
        <f t="shared" si="9"/>
        <v>0</v>
      </c>
      <c r="T27" s="145">
        <f t="shared" si="10"/>
        <v>0</v>
      </c>
      <c r="U27" s="145">
        <f t="shared" si="11"/>
        <v>37924.44</v>
      </c>
      <c r="V27" s="146">
        <f t="shared" si="12"/>
        <v>87070.68</v>
      </c>
      <c r="X27" s="142">
        <v>1</v>
      </c>
      <c r="Y27" s="142">
        <f t="shared" si="13"/>
        <v>0</v>
      </c>
      <c r="Z27" s="142">
        <v>1</v>
      </c>
      <c r="AA27" s="142">
        <f t="shared" si="14"/>
        <v>0</v>
      </c>
      <c r="AB27" s="142">
        <f t="shared" si="15"/>
        <v>1</v>
      </c>
      <c r="AC27" s="142">
        <v>1</v>
      </c>
      <c r="AD27" s="142">
        <v>0</v>
      </c>
      <c r="AE27" s="142">
        <v>0</v>
      </c>
      <c r="AF27" s="142">
        <v>0</v>
      </c>
      <c r="AG27" s="142">
        <v>0</v>
      </c>
    </row>
    <row r="28" spans="1:33" s="78" customFormat="1" x14ac:dyDescent="0.25">
      <c r="A28" s="176" t="s">
        <v>298</v>
      </c>
      <c r="B28" s="182" t="s">
        <v>560</v>
      </c>
      <c r="C28" s="141" t="s">
        <v>526</v>
      </c>
      <c r="D28" s="141">
        <f t="shared" si="2"/>
        <v>12</v>
      </c>
      <c r="E28" s="142">
        <f t="shared" si="3"/>
        <v>0</v>
      </c>
      <c r="F28" s="143">
        <f t="shared" si="4"/>
        <v>0</v>
      </c>
      <c r="G28" s="144">
        <f>VLOOKUP(C28,CPU_SALARIOS!$B$13:$E$30,4,FALSE)</f>
        <v>3395.04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  <c r="O28" s="145">
        <f t="shared" si="5"/>
        <v>2619.83</v>
      </c>
      <c r="P28" s="145">
        <f t="shared" si="6"/>
        <v>6014.87</v>
      </c>
      <c r="Q28" s="144">
        <f t="shared" si="7"/>
        <v>0</v>
      </c>
      <c r="R28" s="145">
        <f t="shared" si="8"/>
        <v>0</v>
      </c>
      <c r="S28" s="145">
        <f t="shared" si="9"/>
        <v>0</v>
      </c>
      <c r="T28" s="145">
        <f t="shared" si="10"/>
        <v>0</v>
      </c>
      <c r="U28" s="145">
        <f t="shared" si="11"/>
        <v>0</v>
      </c>
      <c r="V28" s="146">
        <f t="shared" si="12"/>
        <v>0</v>
      </c>
      <c r="X28" s="142">
        <v>1</v>
      </c>
      <c r="Y28" s="142">
        <f t="shared" si="13"/>
        <v>-1</v>
      </c>
      <c r="Z28" s="142">
        <v>1</v>
      </c>
      <c r="AA28" s="142">
        <f t="shared" si="14"/>
        <v>-1</v>
      </c>
      <c r="AB28" s="142">
        <f t="shared" si="15"/>
        <v>0</v>
      </c>
      <c r="AC28" s="142">
        <v>0</v>
      </c>
      <c r="AD28" s="142">
        <v>0</v>
      </c>
      <c r="AE28" s="142">
        <v>0</v>
      </c>
      <c r="AF28" s="142">
        <v>0</v>
      </c>
      <c r="AG28" s="142">
        <v>0</v>
      </c>
    </row>
    <row r="29" spans="1:33" s="78" customFormat="1" ht="13.15" x14ac:dyDescent="0.3">
      <c r="A29" s="176" t="s">
        <v>299</v>
      </c>
      <c r="B29" s="182" t="s">
        <v>561</v>
      </c>
      <c r="C29" s="141" t="s">
        <v>457</v>
      </c>
      <c r="D29" s="141">
        <f t="shared" si="2"/>
        <v>12</v>
      </c>
      <c r="E29" s="142">
        <f t="shared" si="3"/>
        <v>5</v>
      </c>
      <c r="F29" s="143">
        <f t="shared" si="4"/>
        <v>60</v>
      </c>
      <c r="G29" s="144">
        <f>VLOOKUP(C29,CPU_SALARIOS!$B$13:$E$30,4,FALSE)</f>
        <v>2465.7600000000002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145">
        <f t="shared" si="5"/>
        <v>1902.74</v>
      </c>
      <c r="P29" s="145">
        <f t="shared" si="6"/>
        <v>4368.5</v>
      </c>
      <c r="Q29" s="144">
        <f t="shared" si="7"/>
        <v>147945.60000000001</v>
      </c>
      <c r="R29" s="145">
        <f t="shared" si="8"/>
        <v>0</v>
      </c>
      <c r="S29" s="145">
        <f t="shared" si="9"/>
        <v>0</v>
      </c>
      <c r="T29" s="145">
        <f t="shared" si="10"/>
        <v>0</v>
      </c>
      <c r="U29" s="145">
        <f t="shared" si="11"/>
        <v>114164.4</v>
      </c>
      <c r="V29" s="146">
        <f t="shared" si="12"/>
        <v>262110</v>
      </c>
      <c r="X29" s="142">
        <v>9</v>
      </c>
      <c r="Y29" s="142">
        <f t="shared" si="13"/>
        <v>-4</v>
      </c>
      <c r="Z29" s="142">
        <v>5</v>
      </c>
      <c r="AA29" s="142">
        <f t="shared" si="14"/>
        <v>0</v>
      </c>
      <c r="AB29" s="142">
        <f t="shared" si="15"/>
        <v>5</v>
      </c>
      <c r="AC29" s="142">
        <v>2</v>
      </c>
      <c r="AD29" s="142">
        <v>1</v>
      </c>
      <c r="AE29" s="142">
        <v>1</v>
      </c>
      <c r="AF29" s="142">
        <v>1</v>
      </c>
      <c r="AG29" s="142">
        <v>0</v>
      </c>
    </row>
    <row r="30" spans="1:33" s="78" customFormat="1" ht="13.15" x14ac:dyDescent="0.3">
      <c r="A30" s="176" t="s">
        <v>300</v>
      </c>
      <c r="B30" s="182" t="s">
        <v>562</v>
      </c>
      <c r="C30" s="141" t="s">
        <v>453</v>
      </c>
      <c r="D30" s="141">
        <f t="shared" si="2"/>
        <v>12</v>
      </c>
      <c r="E30" s="142">
        <f t="shared" si="3"/>
        <v>1</v>
      </c>
      <c r="F30" s="143">
        <f t="shared" si="4"/>
        <v>12</v>
      </c>
      <c r="G30" s="144">
        <f>VLOOKUP(C30,CPU_SALARIOS!$B$13:$E$30,4,FALSE)</f>
        <v>4829.4399999999996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145">
        <f t="shared" si="5"/>
        <v>3726.71</v>
      </c>
      <c r="P30" s="145">
        <f t="shared" si="6"/>
        <v>8556.15</v>
      </c>
      <c r="Q30" s="144">
        <f t="shared" si="7"/>
        <v>57953.279999999999</v>
      </c>
      <c r="R30" s="145">
        <f t="shared" si="8"/>
        <v>0</v>
      </c>
      <c r="S30" s="145">
        <f t="shared" si="9"/>
        <v>0</v>
      </c>
      <c r="T30" s="145">
        <f t="shared" si="10"/>
        <v>0</v>
      </c>
      <c r="U30" s="145">
        <f t="shared" si="11"/>
        <v>44720.52</v>
      </c>
      <c r="V30" s="146">
        <f t="shared" si="12"/>
        <v>102673.8</v>
      </c>
      <c r="X30" s="142">
        <v>2</v>
      </c>
      <c r="Y30" s="142">
        <f t="shared" si="13"/>
        <v>-1</v>
      </c>
      <c r="Z30" s="142">
        <v>1</v>
      </c>
      <c r="AA30" s="142">
        <f t="shared" si="14"/>
        <v>0</v>
      </c>
      <c r="AB30" s="142">
        <f t="shared" si="15"/>
        <v>1</v>
      </c>
      <c r="AC30" s="142">
        <v>1</v>
      </c>
      <c r="AD30" s="142">
        <v>0</v>
      </c>
      <c r="AE30" s="142">
        <v>0</v>
      </c>
      <c r="AF30" s="142">
        <v>0</v>
      </c>
      <c r="AG30" s="142">
        <v>0</v>
      </c>
    </row>
    <row r="31" spans="1:33" s="78" customFormat="1" ht="13.15" x14ac:dyDescent="0.3">
      <c r="A31" s="176" t="s">
        <v>301</v>
      </c>
      <c r="B31" s="182" t="s">
        <v>563</v>
      </c>
      <c r="C31" s="141" t="s">
        <v>457</v>
      </c>
      <c r="D31" s="141">
        <f t="shared" si="2"/>
        <v>12</v>
      </c>
      <c r="E31" s="142">
        <f t="shared" si="3"/>
        <v>3</v>
      </c>
      <c r="F31" s="143">
        <f t="shared" si="4"/>
        <v>36</v>
      </c>
      <c r="G31" s="144">
        <f>VLOOKUP(C31,CPU_SALARIOS!$B$13:$E$30,4,FALSE)</f>
        <v>2465.7600000000002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  <c r="O31" s="145">
        <f t="shared" si="5"/>
        <v>1902.74</v>
      </c>
      <c r="P31" s="145">
        <f t="shared" si="6"/>
        <v>4368.5</v>
      </c>
      <c r="Q31" s="144">
        <f t="shared" si="7"/>
        <v>88767.360000000001</v>
      </c>
      <c r="R31" s="145">
        <f t="shared" si="8"/>
        <v>0</v>
      </c>
      <c r="S31" s="145">
        <f t="shared" si="9"/>
        <v>0</v>
      </c>
      <c r="T31" s="145">
        <f t="shared" si="10"/>
        <v>0</v>
      </c>
      <c r="U31" s="145">
        <f t="shared" si="11"/>
        <v>68498.64</v>
      </c>
      <c r="V31" s="146">
        <f t="shared" si="12"/>
        <v>157266</v>
      </c>
      <c r="X31" s="142">
        <v>3</v>
      </c>
      <c r="Y31" s="142">
        <f t="shared" si="13"/>
        <v>0</v>
      </c>
      <c r="Z31" s="142">
        <v>3</v>
      </c>
      <c r="AA31" s="142">
        <f t="shared" si="14"/>
        <v>0</v>
      </c>
      <c r="AB31" s="142">
        <f t="shared" si="15"/>
        <v>3</v>
      </c>
      <c r="AC31" s="142">
        <v>0</v>
      </c>
      <c r="AD31" s="142">
        <v>1</v>
      </c>
      <c r="AE31" s="142">
        <v>1</v>
      </c>
      <c r="AF31" s="142">
        <v>1</v>
      </c>
      <c r="AG31" s="142">
        <v>0</v>
      </c>
    </row>
    <row r="32" spans="1:33" s="78" customFormat="1" ht="13.9" thickBot="1" x14ac:dyDescent="0.35">
      <c r="A32" s="176" t="s">
        <v>302</v>
      </c>
      <c r="B32" s="183" t="s">
        <v>564</v>
      </c>
      <c r="C32" s="147" t="s">
        <v>459</v>
      </c>
      <c r="D32" s="147">
        <f t="shared" si="2"/>
        <v>12</v>
      </c>
      <c r="E32" s="148">
        <f t="shared" si="3"/>
        <v>12</v>
      </c>
      <c r="F32" s="149">
        <f t="shared" si="4"/>
        <v>144</v>
      </c>
      <c r="G32" s="150">
        <f>VLOOKUP(C32,CPU_SALARIOS!$B$13:$E$30,4,FALSE)</f>
        <v>1443.2</v>
      </c>
      <c r="H32" s="151">
        <v>0</v>
      </c>
      <c r="I32" s="151">
        <v>0</v>
      </c>
      <c r="J32" s="151">
        <v>0</v>
      </c>
      <c r="K32" s="151">
        <v>0</v>
      </c>
      <c r="L32" s="151">
        <v>0</v>
      </c>
      <c r="M32" s="151">
        <v>0</v>
      </c>
      <c r="N32" s="151">
        <v>0</v>
      </c>
      <c r="O32" s="151">
        <f t="shared" si="5"/>
        <v>1113.67</v>
      </c>
      <c r="P32" s="151">
        <f t="shared" si="6"/>
        <v>2556.87</v>
      </c>
      <c r="Q32" s="150">
        <f t="shared" si="7"/>
        <v>207820.79999999999</v>
      </c>
      <c r="R32" s="151">
        <f t="shared" si="8"/>
        <v>0</v>
      </c>
      <c r="S32" s="151">
        <f t="shared" si="9"/>
        <v>0</v>
      </c>
      <c r="T32" s="151">
        <f t="shared" si="10"/>
        <v>0</v>
      </c>
      <c r="U32" s="151">
        <f t="shared" si="11"/>
        <v>160368.48000000001</v>
      </c>
      <c r="V32" s="152">
        <f t="shared" si="12"/>
        <v>368189.28</v>
      </c>
      <c r="X32" s="148">
        <v>6</v>
      </c>
      <c r="Y32" s="148">
        <f t="shared" si="13"/>
        <v>6</v>
      </c>
      <c r="Z32" s="148">
        <v>6</v>
      </c>
      <c r="AA32" s="148">
        <f t="shared" si="14"/>
        <v>6</v>
      </c>
      <c r="AB32" s="148">
        <f t="shared" si="15"/>
        <v>12</v>
      </c>
      <c r="AC32" s="148">
        <v>0</v>
      </c>
      <c r="AD32" s="148">
        <v>4</v>
      </c>
      <c r="AE32" s="148">
        <v>4</v>
      </c>
      <c r="AF32" s="148">
        <v>4</v>
      </c>
      <c r="AG32" s="148">
        <v>0</v>
      </c>
    </row>
    <row r="33" spans="1:33" s="78" customFormat="1" ht="13.5" thickBot="1" x14ac:dyDescent="0.3">
      <c r="A33" s="135" t="s">
        <v>382</v>
      </c>
      <c r="B33" s="35" t="s">
        <v>566</v>
      </c>
      <c r="C33" s="136"/>
      <c r="D33" s="136"/>
      <c r="E33" s="136"/>
      <c r="F33" s="136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9"/>
      <c r="X33" s="136"/>
      <c r="Y33" s="136"/>
      <c r="Z33" s="136"/>
      <c r="AA33" s="136"/>
      <c r="AB33" s="136"/>
      <c r="AC33" s="136"/>
      <c r="AD33" s="136"/>
      <c r="AE33" s="136"/>
      <c r="AF33" s="136"/>
      <c r="AG33" s="136"/>
    </row>
    <row r="34" spans="1:33" s="78" customFormat="1" x14ac:dyDescent="0.25">
      <c r="A34" s="175" t="s">
        <v>383</v>
      </c>
      <c r="B34" s="181" t="s">
        <v>567</v>
      </c>
      <c r="C34" s="137" t="s">
        <v>430</v>
      </c>
      <c r="D34" s="137">
        <f t="shared" ref="D34:D36" si="16">D$15</f>
        <v>12</v>
      </c>
      <c r="E34" s="138">
        <f>AB34</f>
        <v>1</v>
      </c>
      <c r="F34" s="84">
        <f>D34*E34</f>
        <v>12</v>
      </c>
      <c r="G34" s="139">
        <f>VLOOKUP(C34,CPU_SALARIOS!$B$13:$E$30,4,FALSE)</f>
        <v>14602.72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f>ROUND((G34+H34+J34+L34+N34)*$O$13,2)</f>
        <v>11268.41</v>
      </c>
      <c r="P34" s="85">
        <f>G34+H34+J34+L34+N34+O34</f>
        <v>25871.129999999997</v>
      </c>
      <c r="Q34" s="139">
        <f>ROUND(F34*G34,2)</f>
        <v>175232.64000000001</v>
      </c>
      <c r="R34" s="85">
        <f>ROUND(F34*H34,2)</f>
        <v>0</v>
      </c>
      <c r="S34" s="85">
        <f>ROUND(F34*J34,2)</f>
        <v>0</v>
      </c>
      <c r="T34" s="85">
        <f>ROUND((F34*L34)+(F34*N34),2)</f>
        <v>0</v>
      </c>
      <c r="U34" s="85">
        <f>ROUND(F34*O34,2)</f>
        <v>135220.92000000001</v>
      </c>
      <c r="V34" s="140">
        <f>ROUND(F34*P34,2)</f>
        <v>310453.56</v>
      </c>
      <c r="X34" s="138">
        <v>1</v>
      </c>
      <c r="Y34" s="138">
        <f>AB34-$X34</f>
        <v>0</v>
      </c>
      <c r="Z34" s="138">
        <v>1</v>
      </c>
      <c r="AA34" s="138">
        <f>AB34-Z34</f>
        <v>0</v>
      </c>
      <c r="AB34" s="138">
        <f>SUM(AC34:AG34)</f>
        <v>1</v>
      </c>
      <c r="AC34" s="138">
        <v>1</v>
      </c>
      <c r="AD34" s="138">
        <v>0</v>
      </c>
      <c r="AE34" s="138">
        <v>0</v>
      </c>
      <c r="AF34" s="138">
        <v>0</v>
      </c>
      <c r="AG34" s="138">
        <v>0</v>
      </c>
    </row>
    <row r="35" spans="1:33" s="78" customFormat="1" x14ac:dyDescent="0.25">
      <c r="A35" s="176" t="s">
        <v>384</v>
      </c>
      <c r="B35" s="182" t="s">
        <v>568</v>
      </c>
      <c r="C35" s="141" t="s">
        <v>526</v>
      </c>
      <c r="D35" s="141">
        <f t="shared" si="16"/>
        <v>12</v>
      </c>
      <c r="E35" s="142">
        <f>AB35</f>
        <v>2</v>
      </c>
      <c r="F35" s="143">
        <f>D35*E35</f>
        <v>24</v>
      </c>
      <c r="G35" s="144">
        <f>VLOOKUP(C35,CPU_SALARIOS!$B$13:$E$30,4,FALSE)</f>
        <v>3395.04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0</v>
      </c>
      <c r="O35" s="145">
        <f>ROUND((G35+H35+J35+L35+N35)*$O$13,2)</f>
        <v>2619.83</v>
      </c>
      <c r="P35" s="145">
        <f>G35+H35+J35+L35+N35+O35</f>
        <v>6014.87</v>
      </c>
      <c r="Q35" s="144">
        <f>ROUND(F35*G35,2)</f>
        <v>81480.960000000006</v>
      </c>
      <c r="R35" s="145">
        <f>ROUND(F35*H35,2)</f>
        <v>0</v>
      </c>
      <c r="S35" s="145">
        <f>ROUND(F35*J35,2)</f>
        <v>0</v>
      </c>
      <c r="T35" s="145">
        <f>ROUND((F35*L35)+(F35*N35),2)</f>
        <v>0</v>
      </c>
      <c r="U35" s="145">
        <f>ROUND(F35*O35,2)</f>
        <v>62875.92</v>
      </c>
      <c r="V35" s="146">
        <f>ROUND(F35*P35,2)</f>
        <v>144356.88</v>
      </c>
      <c r="X35" s="142">
        <v>7</v>
      </c>
      <c r="Y35" s="142">
        <f>AB35-$X35</f>
        <v>-5</v>
      </c>
      <c r="Z35" s="142">
        <v>3</v>
      </c>
      <c r="AA35" s="142">
        <f>AB35-Z35</f>
        <v>-1</v>
      </c>
      <c r="AB35" s="142">
        <f>SUM(AC35:AG35)</f>
        <v>2</v>
      </c>
      <c r="AC35" s="142">
        <v>2</v>
      </c>
      <c r="AD35" s="142">
        <v>0</v>
      </c>
      <c r="AE35" s="142">
        <v>0</v>
      </c>
      <c r="AF35" s="142">
        <v>0</v>
      </c>
      <c r="AG35" s="142">
        <v>0</v>
      </c>
    </row>
    <row r="36" spans="1:33" s="78" customFormat="1" ht="13.5" thickBot="1" x14ac:dyDescent="0.3">
      <c r="A36" s="177" t="s">
        <v>385</v>
      </c>
      <c r="B36" s="183" t="s">
        <v>570</v>
      </c>
      <c r="C36" s="147" t="s">
        <v>430</v>
      </c>
      <c r="D36" s="147">
        <f t="shared" si="16"/>
        <v>12</v>
      </c>
      <c r="E36" s="148">
        <f>AB36</f>
        <v>1</v>
      </c>
      <c r="F36" s="149">
        <f>D36*E36</f>
        <v>12</v>
      </c>
      <c r="G36" s="150">
        <f>VLOOKUP(C36,CPU_SALARIOS!$B$13:$E$30,4,FALSE)</f>
        <v>14602.72</v>
      </c>
      <c r="H36" s="151">
        <v>0</v>
      </c>
      <c r="I36" s="151">
        <v>0</v>
      </c>
      <c r="J36" s="151">
        <v>0</v>
      </c>
      <c r="K36" s="151">
        <v>0</v>
      </c>
      <c r="L36" s="151">
        <v>0</v>
      </c>
      <c r="M36" s="151">
        <v>0</v>
      </c>
      <c r="N36" s="151">
        <v>0</v>
      </c>
      <c r="O36" s="151">
        <f>ROUND((G36+H36+J36+L36+N36)*$O$13,2)</f>
        <v>11268.41</v>
      </c>
      <c r="P36" s="151">
        <f>G36+H36+J36+L36+N36+O36</f>
        <v>25871.129999999997</v>
      </c>
      <c r="Q36" s="150">
        <f>ROUND(F36*G36,2)</f>
        <v>175232.64000000001</v>
      </c>
      <c r="R36" s="151">
        <f>ROUND(F36*H36,2)</f>
        <v>0</v>
      </c>
      <c r="S36" s="151">
        <f>ROUND(F36*J36,2)</f>
        <v>0</v>
      </c>
      <c r="T36" s="151">
        <f>ROUND((F36*L36)+(F36*N36),2)</f>
        <v>0</v>
      </c>
      <c r="U36" s="151">
        <f>ROUND(F36*O36,2)</f>
        <v>135220.92000000001</v>
      </c>
      <c r="V36" s="152">
        <f>ROUND(F36*P36,2)</f>
        <v>310453.56</v>
      </c>
      <c r="X36" s="148">
        <v>1</v>
      </c>
      <c r="Y36" s="148">
        <f>AB36-$X36</f>
        <v>0</v>
      </c>
      <c r="Z36" s="148">
        <v>1</v>
      </c>
      <c r="AA36" s="148">
        <f>AB36-Z36</f>
        <v>0</v>
      </c>
      <c r="AB36" s="148">
        <f>SUM(AC36:AG36)</f>
        <v>1</v>
      </c>
      <c r="AC36" s="148">
        <v>1</v>
      </c>
      <c r="AD36" s="148">
        <v>0</v>
      </c>
      <c r="AE36" s="148">
        <v>0</v>
      </c>
      <c r="AF36" s="148">
        <v>0</v>
      </c>
      <c r="AG36" s="148">
        <v>0</v>
      </c>
    </row>
    <row r="37" spans="1:33" s="78" customFormat="1" ht="13.5" thickBot="1" x14ac:dyDescent="0.3">
      <c r="A37" s="135" t="s">
        <v>389</v>
      </c>
      <c r="B37" s="35" t="s">
        <v>571</v>
      </c>
      <c r="C37" s="136"/>
      <c r="D37" s="136"/>
      <c r="E37" s="136"/>
      <c r="F37" s="136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9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</row>
    <row r="38" spans="1:33" s="78" customFormat="1" x14ac:dyDescent="0.25">
      <c r="A38" s="63" t="s">
        <v>386</v>
      </c>
      <c r="B38" s="184" t="s">
        <v>572</v>
      </c>
      <c r="C38" s="27" t="s">
        <v>430</v>
      </c>
      <c r="D38" s="27">
        <f t="shared" ref="D38:D42" si="17">D$15</f>
        <v>12</v>
      </c>
      <c r="E38" s="153">
        <f>AB38</f>
        <v>1</v>
      </c>
      <c r="F38" s="154">
        <f>D38*E38</f>
        <v>12</v>
      </c>
      <c r="G38" s="32">
        <f>VLOOKUP(C38,CPU_SALARIOS!$B$13:$E$30,4,FALSE)</f>
        <v>14602.72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134">
        <v>0</v>
      </c>
      <c r="O38" s="134">
        <f>ROUND((G38+H38+J38+L38+N38)*$O$13,2)</f>
        <v>11268.41</v>
      </c>
      <c r="P38" s="134">
        <f>G38+H38+J38+L38+N38+O38</f>
        <v>25871.129999999997</v>
      </c>
      <c r="Q38" s="32">
        <f>ROUND(F38*G38,2)</f>
        <v>175232.64000000001</v>
      </c>
      <c r="R38" s="134">
        <f>ROUND(F38*H38,2)</f>
        <v>0</v>
      </c>
      <c r="S38" s="134">
        <f>ROUND(F38*J38,2)</f>
        <v>0</v>
      </c>
      <c r="T38" s="134">
        <f>ROUND((F38*L38)+(F38*N38),2)</f>
        <v>0</v>
      </c>
      <c r="U38" s="134">
        <f>ROUND(F38*O38,2)</f>
        <v>135220.92000000001</v>
      </c>
      <c r="V38" s="28">
        <f>ROUND(F38*P38,2)</f>
        <v>310453.56</v>
      </c>
      <c r="X38" s="153">
        <v>1</v>
      </c>
      <c r="Y38" s="153">
        <f>AB38-$X38</f>
        <v>0</v>
      </c>
      <c r="Z38" s="153">
        <v>1</v>
      </c>
      <c r="AA38" s="153">
        <f>AB38-Z38</f>
        <v>0</v>
      </c>
      <c r="AB38" s="153">
        <f>SUM(AC38:AG38)</f>
        <v>1</v>
      </c>
      <c r="AC38" s="153">
        <v>1</v>
      </c>
      <c r="AD38" s="153">
        <v>0</v>
      </c>
      <c r="AE38" s="153">
        <v>0</v>
      </c>
      <c r="AF38" s="153">
        <v>0</v>
      </c>
      <c r="AG38" s="153">
        <v>0</v>
      </c>
    </row>
    <row r="39" spans="1:33" s="78" customFormat="1" ht="13.15" x14ac:dyDescent="0.3">
      <c r="A39" s="178" t="s">
        <v>387</v>
      </c>
      <c r="B39" s="185" t="s">
        <v>574</v>
      </c>
      <c r="C39" s="155" t="s">
        <v>430</v>
      </c>
      <c r="D39" s="155">
        <f t="shared" si="17"/>
        <v>12</v>
      </c>
      <c r="E39" s="156">
        <f>AB39</f>
        <v>1</v>
      </c>
      <c r="F39" s="157">
        <f>D39*E39</f>
        <v>12</v>
      </c>
      <c r="G39" s="158">
        <f>VLOOKUP(C39,CPU_SALARIOS!$B$13:$E$30,4,FALSE)</f>
        <v>14602.72</v>
      </c>
      <c r="H39" s="159">
        <v>0</v>
      </c>
      <c r="I39" s="159">
        <v>0</v>
      </c>
      <c r="J39" s="159">
        <v>0</v>
      </c>
      <c r="K39" s="159">
        <v>0</v>
      </c>
      <c r="L39" s="159">
        <v>0</v>
      </c>
      <c r="M39" s="159">
        <v>0</v>
      </c>
      <c r="N39" s="160">
        <v>0</v>
      </c>
      <c r="O39" s="160">
        <f>ROUND((G39+H39+J39+L39+N39)*$O$13,2)</f>
        <v>11268.41</v>
      </c>
      <c r="P39" s="160">
        <f>G39+H39+J39+L39+N39+O39</f>
        <v>25871.129999999997</v>
      </c>
      <c r="Q39" s="158">
        <f>ROUND(F39*G39,2)</f>
        <v>175232.64000000001</v>
      </c>
      <c r="R39" s="160">
        <f>ROUND(F39*H39,2)</f>
        <v>0</v>
      </c>
      <c r="S39" s="160">
        <f>ROUND(F39*J39,2)</f>
        <v>0</v>
      </c>
      <c r="T39" s="160">
        <f>ROUND((F39*L39)+(F39*N39),2)</f>
        <v>0</v>
      </c>
      <c r="U39" s="160">
        <f>ROUND(F39*O39,2)</f>
        <v>135220.92000000001</v>
      </c>
      <c r="V39" s="161">
        <f>ROUND(F39*P39,2)</f>
        <v>310453.56</v>
      </c>
      <c r="X39" s="156">
        <v>1</v>
      </c>
      <c r="Y39" s="156">
        <f>AB39-$X39</f>
        <v>0</v>
      </c>
      <c r="Z39" s="156">
        <v>1</v>
      </c>
      <c r="AA39" s="156">
        <f>AB39-Z39</f>
        <v>0</v>
      </c>
      <c r="AB39" s="156">
        <f>SUM(AC39:AG39)</f>
        <v>1</v>
      </c>
      <c r="AC39" s="156">
        <v>1</v>
      </c>
      <c r="AD39" s="156">
        <v>0</v>
      </c>
      <c r="AE39" s="156">
        <v>0</v>
      </c>
      <c r="AF39" s="156">
        <v>0</v>
      </c>
      <c r="AG39" s="156">
        <v>0</v>
      </c>
    </row>
    <row r="40" spans="1:33" s="78" customFormat="1" ht="13.15" x14ac:dyDescent="0.3">
      <c r="A40" s="178" t="s">
        <v>388</v>
      </c>
      <c r="B40" s="185" t="s">
        <v>575</v>
      </c>
      <c r="C40" s="155" t="s">
        <v>435</v>
      </c>
      <c r="D40" s="155">
        <f t="shared" si="17"/>
        <v>12</v>
      </c>
      <c r="E40" s="156">
        <f>AB40</f>
        <v>1</v>
      </c>
      <c r="F40" s="157">
        <f>D40*E40</f>
        <v>12</v>
      </c>
      <c r="G40" s="158">
        <f>VLOOKUP(C40,CPU_SALARIOS!$B$13:$E$30,4,FALSE)</f>
        <v>9285.76</v>
      </c>
      <c r="H40" s="159">
        <v>0</v>
      </c>
      <c r="I40" s="159">
        <v>0</v>
      </c>
      <c r="J40" s="159">
        <v>0</v>
      </c>
      <c r="K40" s="159">
        <v>0</v>
      </c>
      <c r="L40" s="159">
        <v>0</v>
      </c>
      <c r="M40" s="159">
        <v>0</v>
      </c>
      <c r="N40" s="160">
        <v>0</v>
      </c>
      <c r="O40" s="160">
        <f>ROUND((G40+H40+J40+L40+N40)*$O$13,2)</f>
        <v>7165.49</v>
      </c>
      <c r="P40" s="160">
        <f>G40+H40+J40+L40+N40+O40</f>
        <v>16451.25</v>
      </c>
      <c r="Q40" s="158">
        <f>ROUND(F40*G40,2)</f>
        <v>111429.12</v>
      </c>
      <c r="R40" s="160">
        <f>ROUND(F40*H40,2)</f>
        <v>0</v>
      </c>
      <c r="S40" s="160">
        <f>ROUND(F40*J40,2)</f>
        <v>0</v>
      </c>
      <c r="T40" s="160">
        <f>ROUND((F40*L40)+(F40*N40),2)</f>
        <v>0</v>
      </c>
      <c r="U40" s="160">
        <f>ROUND(F40*O40,2)</f>
        <v>85985.88</v>
      </c>
      <c r="V40" s="161">
        <f>ROUND(F40*P40,2)</f>
        <v>197415</v>
      </c>
      <c r="X40" s="156">
        <v>2</v>
      </c>
      <c r="Y40" s="156">
        <f>AB40-$X40</f>
        <v>-1</v>
      </c>
      <c r="Z40" s="156">
        <v>1</v>
      </c>
      <c r="AA40" s="156">
        <f>AB40-Z40</f>
        <v>0</v>
      </c>
      <c r="AB40" s="156">
        <f>SUM(AC40:AG40)</f>
        <v>1</v>
      </c>
      <c r="AC40" s="156">
        <v>1</v>
      </c>
      <c r="AD40" s="156">
        <v>0</v>
      </c>
      <c r="AE40" s="156">
        <v>0</v>
      </c>
      <c r="AF40" s="156">
        <v>0</v>
      </c>
      <c r="AG40" s="156">
        <v>0</v>
      </c>
    </row>
    <row r="41" spans="1:33" s="78" customFormat="1" ht="13.15" x14ac:dyDescent="0.3">
      <c r="A41" s="178" t="s">
        <v>390</v>
      </c>
      <c r="B41" s="185" t="s">
        <v>576</v>
      </c>
      <c r="C41" s="155" t="s">
        <v>430</v>
      </c>
      <c r="D41" s="155">
        <f t="shared" si="17"/>
        <v>12</v>
      </c>
      <c r="E41" s="156">
        <f>AB41</f>
        <v>1</v>
      </c>
      <c r="F41" s="157">
        <f>D41*E41</f>
        <v>12</v>
      </c>
      <c r="G41" s="158">
        <f>VLOOKUP(C41,CPU_SALARIOS!$B$13:$E$30,4,FALSE)</f>
        <v>14602.72</v>
      </c>
      <c r="H41" s="159">
        <v>0</v>
      </c>
      <c r="I41" s="159">
        <v>0</v>
      </c>
      <c r="J41" s="159">
        <v>0</v>
      </c>
      <c r="K41" s="159">
        <v>0</v>
      </c>
      <c r="L41" s="159">
        <v>0</v>
      </c>
      <c r="M41" s="159">
        <v>0</v>
      </c>
      <c r="N41" s="160">
        <v>0</v>
      </c>
      <c r="O41" s="160">
        <f>ROUND((G41+H41+J41+L41+N41)*$O$13,2)</f>
        <v>11268.41</v>
      </c>
      <c r="P41" s="160">
        <f>G41+H41+J41+L41+N41+O41</f>
        <v>25871.129999999997</v>
      </c>
      <c r="Q41" s="158">
        <f>ROUND(F41*G41,2)</f>
        <v>175232.64000000001</v>
      </c>
      <c r="R41" s="160">
        <f>ROUND(F41*H41,2)</f>
        <v>0</v>
      </c>
      <c r="S41" s="160">
        <f>ROUND(F41*J41,2)</f>
        <v>0</v>
      </c>
      <c r="T41" s="160">
        <f>ROUND((F41*L41)+(F41*N41),2)</f>
        <v>0</v>
      </c>
      <c r="U41" s="160">
        <f>ROUND(F41*O41,2)</f>
        <v>135220.92000000001</v>
      </c>
      <c r="V41" s="161">
        <f>ROUND(F41*P41,2)</f>
        <v>310453.56</v>
      </c>
      <c r="X41" s="156">
        <v>1</v>
      </c>
      <c r="Y41" s="156">
        <f>AB41-$X41</f>
        <v>0</v>
      </c>
      <c r="Z41" s="156">
        <v>1</v>
      </c>
      <c r="AA41" s="156">
        <f>AB41-Z41</f>
        <v>0</v>
      </c>
      <c r="AB41" s="156">
        <f>SUM(AC41:AG41)</f>
        <v>1</v>
      </c>
      <c r="AC41" s="156">
        <v>1</v>
      </c>
      <c r="AD41" s="156">
        <v>0</v>
      </c>
      <c r="AE41" s="156">
        <v>0</v>
      </c>
      <c r="AF41" s="156">
        <v>0</v>
      </c>
      <c r="AG41" s="156">
        <v>0</v>
      </c>
    </row>
    <row r="42" spans="1:33" s="78" customFormat="1" ht="13.9" thickBot="1" x14ac:dyDescent="0.35">
      <c r="A42" s="178" t="s">
        <v>391</v>
      </c>
      <c r="B42" s="186" t="s">
        <v>577</v>
      </c>
      <c r="C42" s="162" t="s">
        <v>435</v>
      </c>
      <c r="D42" s="162">
        <f t="shared" si="17"/>
        <v>12</v>
      </c>
      <c r="E42" s="163">
        <f>AB42</f>
        <v>0</v>
      </c>
      <c r="F42" s="164">
        <f>D42*E42</f>
        <v>0</v>
      </c>
      <c r="G42" s="165">
        <f>VLOOKUP(C42,CPU_SALARIOS!$B$13:$E$30,4,FALSE)</f>
        <v>9285.76</v>
      </c>
      <c r="H42" s="166">
        <v>0</v>
      </c>
      <c r="I42" s="166">
        <v>0</v>
      </c>
      <c r="J42" s="166">
        <v>0</v>
      </c>
      <c r="K42" s="166">
        <v>0</v>
      </c>
      <c r="L42" s="166">
        <v>0</v>
      </c>
      <c r="M42" s="166">
        <v>0</v>
      </c>
      <c r="N42" s="167">
        <v>0</v>
      </c>
      <c r="O42" s="167">
        <f>ROUND((G42+H42+J42+L42+N42)*$O$13,2)</f>
        <v>7165.49</v>
      </c>
      <c r="P42" s="167">
        <f>G42+H42+J42+L42+N42+O42</f>
        <v>16451.25</v>
      </c>
      <c r="Q42" s="165">
        <f>ROUND(F42*G42,2)</f>
        <v>0</v>
      </c>
      <c r="R42" s="167">
        <f>ROUND(F42*H42,2)</f>
        <v>0</v>
      </c>
      <c r="S42" s="167">
        <f>ROUND(F42*J42,2)</f>
        <v>0</v>
      </c>
      <c r="T42" s="167">
        <f>ROUND((F42*L42)+(F42*N42),2)</f>
        <v>0</v>
      </c>
      <c r="U42" s="167">
        <f>ROUND(F42*O42,2)</f>
        <v>0</v>
      </c>
      <c r="V42" s="168">
        <f>ROUND(F42*P42,2)</f>
        <v>0</v>
      </c>
      <c r="X42" s="163">
        <v>1</v>
      </c>
      <c r="Y42" s="163">
        <f>AB42-$X42</f>
        <v>-1</v>
      </c>
      <c r="Z42" s="163">
        <v>1</v>
      </c>
      <c r="AA42" s="163">
        <f>AB42-Z42</f>
        <v>-1</v>
      </c>
      <c r="AB42" s="163">
        <f>SUM(AC42:AG42)</f>
        <v>0</v>
      </c>
      <c r="AC42" s="163">
        <v>0</v>
      </c>
      <c r="AD42" s="163">
        <v>0</v>
      </c>
      <c r="AE42" s="163">
        <v>0</v>
      </c>
      <c r="AF42" s="163">
        <v>0</v>
      </c>
      <c r="AG42" s="163">
        <v>0</v>
      </c>
    </row>
    <row r="43" spans="1:33" s="78" customFormat="1" ht="13.5" thickBot="1" x14ac:dyDescent="0.3">
      <c r="A43" s="135" t="s">
        <v>392</v>
      </c>
      <c r="B43" s="35" t="s">
        <v>578</v>
      </c>
      <c r="C43" s="136"/>
      <c r="D43" s="136"/>
      <c r="E43" s="136"/>
      <c r="F43" s="136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9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</row>
    <row r="44" spans="1:33" s="78" customFormat="1" ht="25.5" x14ac:dyDescent="0.25">
      <c r="A44" s="63" t="s">
        <v>393</v>
      </c>
      <c r="B44" s="184" t="s">
        <v>579</v>
      </c>
      <c r="C44" s="27" t="s">
        <v>430</v>
      </c>
      <c r="D44" s="27">
        <f t="shared" ref="D44:D60" si="18">D$15</f>
        <v>12</v>
      </c>
      <c r="E44" s="153">
        <f t="shared" ref="E44:E60" si="19">AB44</f>
        <v>1</v>
      </c>
      <c r="F44" s="154">
        <f t="shared" ref="F44:F60" si="20">D44*E44</f>
        <v>12</v>
      </c>
      <c r="G44" s="32">
        <f>VLOOKUP(C44,CPU_SALARIOS!$B$13:$E$30,4,FALSE)</f>
        <v>14602.72</v>
      </c>
      <c r="H44" s="61">
        <v>0</v>
      </c>
      <c r="I44" s="61">
        <v>0</v>
      </c>
      <c r="J44" s="61">
        <v>0</v>
      </c>
      <c r="K44" s="61">
        <v>0</v>
      </c>
      <c r="L44" s="61">
        <v>0</v>
      </c>
      <c r="M44" s="61">
        <v>0</v>
      </c>
      <c r="N44" s="134">
        <v>0</v>
      </c>
      <c r="O44" s="134">
        <f t="shared" ref="O44:O60" si="21">ROUND((G44+H44+J44+L44+N44)*$O$13,2)</f>
        <v>11268.41</v>
      </c>
      <c r="P44" s="134">
        <f t="shared" ref="P44:P60" si="22">G44+H44+J44+L44+N44+O44</f>
        <v>25871.129999999997</v>
      </c>
      <c r="Q44" s="32">
        <f t="shared" ref="Q44:Q60" si="23">ROUND(F44*G44,2)</f>
        <v>175232.64000000001</v>
      </c>
      <c r="R44" s="134">
        <f t="shared" ref="R44:R60" si="24">ROUND(F44*H44,2)</f>
        <v>0</v>
      </c>
      <c r="S44" s="134">
        <f t="shared" ref="S44:S60" si="25">ROUND(F44*J44,2)</f>
        <v>0</v>
      </c>
      <c r="T44" s="134">
        <f t="shared" ref="T44:T60" si="26">ROUND((F44*L44)+(F44*N44),2)</f>
        <v>0</v>
      </c>
      <c r="U44" s="134">
        <f t="shared" ref="U44:U60" si="27">ROUND(F44*O44,2)</f>
        <v>135220.92000000001</v>
      </c>
      <c r="V44" s="28">
        <f t="shared" ref="V44:V60" si="28">ROUND(F44*P44,2)</f>
        <v>310453.56</v>
      </c>
      <c r="X44" s="153">
        <v>1</v>
      </c>
      <c r="Y44" s="153">
        <f t="shared" ref="Y44:Y60" si="29">AB44-$X44</f>
        <v>0</v>
      </c>
      <c r="Z44" s="153">
        <v>1</v>
      </c>
      <c r="AA44" s="153">
        <f t="shared" ref="AA44:AA60" si="30">AB44-Z44</f>
        <v>0</v>
      </c>
      <c r="AB44" s="153">
        <f t="shared" ref="AB44:AB60" si="31">SUM(AC44:AG44)</f>
        <v>1</v>
      </c>
      <c r="AC44" s="153">
        <v>1</v>
      </c>
      <c r="AD44" s="153">
        <v>0</v>
      </c>
      <c r="AE44" s="153">
        <v>0</v>
      </c>
      <c r="AF44" s="153">
        <v>0</v>
      </c>
      <c r="AG44" s="153">
        <v>0</v>
      </c>
    </row>
    <row r="45" spans="1:33" s="78" customFormat="1" ht="25.5" x14ac:dyDescent="0.25">
      <c r="A45" s="178" t="s">
        <v>394</v>
      </c>
      <c r="B45" s="185" t="s">
        <v>580</v>
      </c>
      <c r="C45" s="155" t="s">
        <v>430</v>
      </c>
      <c r="D45" s="155">
        <f t="shared" si="18"/>
        <v>12</v>
      </c>
      <c r="E45" s="156">
        <f t="shared" si="19"/>
        <v>1</v>
      </c>
      <c r="F45" s="157">
        <f t="shared" si="20"/>
        <v>12</v>
      </c>
      <c r="G45" s="158">
        <f>VLOOKUP(C45,CPU_SALARIOS!$B$13:$E$30,4,FALSE)</f>
        <v>14602.72</v>
      </c>
      <c r="H45" s="159">
        <v>0</v>
      </c>
      <c r="I45" s="159">
        <v>0</v>
      </c>
      <c r="J45" s="159">
        <v>0</v>
      </c>
      <c r="K45" s="159">
        <v>0</v>
      </c>
      <c r="L45" s="159">
        <v>0</v>
      </c>
      <c r="M45" s="159">
        <v>0</v>
      </c>
      <c r="N45" s="160">
        <v>0</v>
      </c>
      <c r="O45" s="160">
        <f t="shared" si="21"/>
        <v>11268.41</v>
      </c>
      <c r="P45" s="160">
        <f t="shared" si="22"/>
        <v>25871.129999999997</v>
      </c>
      <c r="Q45" s="158">
        <f t="shared" si="23"/>
        <v>175232.64000000001</v>
      </c>
      <c r="R45" s="160">
        <f t="shared" si="24"/>
        <v>0</v>
      </c>
      <c r="S45" s="160">
        <f t="shared" si="25"/>
        <v>0</v>
      </c>
      <c r="T45" s="160">
        <f t="shared" si="26"/>
        <v>0</v>
      </c>
      <c r="U45" s="160">
        <f t="shared" si="27"/>
        <v>135220.92000000001</v>
      </c>
      <c r="V45" s="161">
        <f t="shared" si="28"/>
        <v>310453.56</v>
      </c>
      <c r="X45" s="156">
        <v>1</v>
      </c>
      <c r="Y45" s="156">
        <f t="shared" si="29"/>
        <v>0</v>
      </c>
      <c r="Z45" s="156">
        <v>1</v>
      </c>
      <c r="AA45" s="156">
        <f t="shared" si="30"/>
        <v>0</v>
      </c>
      <c r="AB45" s="156">
        <f t="shared" si="31"/>
        <v>1</v>
      </c>
      <c r="AC45" s="156">
        <v>1</v>
      </c>
      <c r="AD45" s="156">
        <v>0</v>
      </c>
      <c r="AE45" s="156">
        <v>0</v>
      </c>
      <c r="AF45" s="156">
        <v>0</v>
      </c>
      <c r="AG45" s="156">
        <v>0</v>
      </c>
    </row>
    <row r="46" spans="1:33" s="78" customFormat="1" ht="25.5" x14ac:dyDescent="0.25">
      <c r="A46" s="178" t="s">
        <v>395</v>
      </c>
      <c r="B46" s="185" t="s">
        <v>581</v>
      </c>
      <c r="C46" s="155" t="s">
        <v>430</v>
      </c>
      <c r="D46" s="155">
        <f t="shared" si="18"/>
        <v>12</v>
      </c>
      <c r="E46" s="156">
        <f t="shared" si="19"/>
        <v>1</v>
      </c>
      <c r="F46" s="157">
        <f t="shared" si="20"/>
        <v>12</v>
      </c>
      <c r="G46" s="158">
        <f>VLOOKUP(C46,CPU_SALARIOS!$B$13:$E$30,4,FALSE)</f>
        <v>14602.72</v>
      </c>
      <c r="H46" s="159">
        <v>0</v>
      </c>
      <c r="I46" s="159">
        <v>0</v>
      </c>
      <c r="J46" s="159">
        <v>0</v>
      </c>
      <c r="K46" s="159">
        <v>0</v>
      </c>
      <c r="L46" s="159">
        <v>0</v>
      </c>
      <c r="M46" s="159">
        <v>0</v>
      </c>
      <c r="N46" s="160">
        <v>0</v>
      </c>
      <c r="O46" s="160">
        <f t="shared" si="21"/>
        <v>11268.41</v>
      </c>
      <c r="P46" s="160">
        <f t="shared" si="22"/>
        <v>25871.129999999997</v>
      </c>
      <c r="Q46" s="158">
        <f t="shared" si="23"/>
        <v>175232.64000000001</v>
      </c>
      <c r="R46" s="160">
        <f t="shared" si="24"/>
        <v>0</v>
      </c>
      <c r="S46" s="160">
        <f t="shared" si="25"/>
        <v>0</v>
      </c>
      <c r="T46" s="160">
        <f t="shared" si="26"/>
        <v>0</v>
      </c>
      <c r="U46" s="160">
        <f t="shared" si="27"/>
        <v>135220.92000000001</v>
      </c>
      <c r="V46" s="161">
        <f t="shared" si="28"/>
        <v>310453.56</v>
      </c>
      <c r="X46" s="156">
        <v>1</v>
      </c>
      <c r="Y46" s="156">
        <f t="shared" si="29"/>
        <v>0</v>
      </c>
      <c r="Z46" s="156">
        <v>1</v>
      </c>
      <c r="AA46" s="156">
        <f t="shared" si="30"/>
        <v>0</v>
      </c>
      <c r="AB46" s="156">
        <f t="shared" si="31"/>
        <v>1</v>
      </c>
      <c r="AC46" s="156">
        <v>1</v>
      </c>
      <c r="AD46" s="156">
        <v>0</v>
      </c>
      <c r="AE46" s="156">
        <v>0</v>
      </c>
      <c r="AF46" s="156">
        <v>0</v>
      </c>
      <c r="AG46" s="156">
        <v>0</v>
      </c>
    </row>
    <row r="47" spans="1:33" s="78" customFormat="1" ht="13.15" x14ac:dyDescent="0.3">
      <c r="A47" s="178" t="s">
        <v>396</v>
      </c>
      <c r="B47" s="185" t="s">
        <v>577</v>
      </c>
      <c r="C47" s="155" t="s">
        <v>435</v>
      </c>
      <c r="D47" s="155">
        <f t="shared" si="18"/>
        <v>12</v>
      </c>
      <c r="E47" s="156">
        <f t="shared" si="19"/>
        <v>0</v>
      </c>
      <c r="F47" s="157">
        <f t="shared" si="20"/>
        <v>0</v>
      </c>
      <c r="G47" s="158">
        <f>VLOOKUP(C47,CPU_SALARIOS!$B$13:$E$30,4,FALSE)</f>
        <v>9285.76</v>
      </c>
      <c r="H47" s="159">
        <v>0</v>
      </c>
      <c r="I47" s="159">
        <v>0</v>
      </c>
      <c r="J47" s="159">
        <v>0</v>
      </c>
      <c r="K47" s="159">
        <v>0</v>
      </c>
      <c r="L47" s="159">
        <v>0</v>
      </c>
      <c r="M47" s="159">
        <v>0</v>
      </c>
      <c r="N47" s="160">
        <v>0</v>
      </c>
      <c r="O47" s="160">
        <f t="shared" si="21"/>
        <v>7165.49</v>
      </c>
      <c r="P47" s="160">
        <f t="shared" si="22"/>
        <v>16451.25</v>
      </c>
      <c r="Q47" s="158">
        <f t="shared" si="23"/>
        <v>0</v>
      </c>
      <c r="R47" s="160">
        <f t="shared" si="24"/>
        <v>0</v>
      </c>
      <c r="S47" s="160">
        <f t="shared" si="25"/>
        <v>0</v>
      </c>
      <c r="T47" s="160">
        <f t="shared" si="26"/>
        <v>0</v>
      </c>
      <c r="U47" s="160">
        <f t="shared" si="27"/>
        <v>0</v>
      </c>
      <c r="V47" s="161">
        <f t="shared" si="28"/>
        <v>0</v>
      </c>
      <c r="X47" s="156">
        <v>2</v>
      </c>
      <c r="Y47" s="156">
        <f t="shared" si="29"/>
        <v>-2</v>
      </c>
      <c r="Z47" s="156">
        <v>1</v>
      </c>
      <c r="AA47" s="156">
        <f t="shared" si="30"/>
        <v>-1</v>
      </c>
      <c r="AB47" s="156">
        <f t="shared" si="31"/>
        <v>0</v>
      </c>
      <c r="AC47" s="156">
        <v>0</v>
      </c>
      <c r="AD47" s="156">
        <v>0</v>
      </c>
      <c r="AE47" s="156">
        <v>0</v>
      </c>
      <c r="AF47" s="156">
        <v>0</v>
      </c>
      <c r="AG47" s="156">
        <v>0</v>
      </c>
    </row>
    <row r="48" spans="1:33" s="78" customFormat="1" x14ac:dyDescent="0.25">
      <c r="A48" s="178" t="s">
        <v>397</v>
      </c>
      <c r="B48" s="185" t="s">
        <v>582</v>
      </c>
      <c r="C48" s="155" t="s">
        <v>430</v>
      </c>
      <c r="D48" s="155">
        <f t="shared" si="18"/>
        <v>12</v>
      </c>
      <c r="E48" s="156">
        <f t="shared" si="19"/>
        <v>1</v>
      </c>
      <c r="F48" s="157">
        <f t="shared" si="20"/>
        <v>12</v>
      </c>
      <c r="G48" s="158">
        <f>VLOOKUP(C48,CPU_SALARIOS!$B$13:$E$30,4,FALSE)</f>
        <v>14602.72</v>
      </c>
      <c r="H48" s="159">
        <v>0</v>
      </c>
      <c r="I48" s="159">
        <v>0</v>
      </c>
      <c r="J48" s="159">
        <v>0</v>
      </c>
      <c r="K48" s="159">
        <v>0</v>
      </c>
      <c r="L48" s="159">
        <v>0</v>
      </c>
      <c r="M48" s="159">
        <v>0</v>
      </c>
      <c r="N48" s="160">
        <v>0</v>
      </c>
      <c r="O48" s="160">
        <f t="shared" si="21"/>
        <v>11268.41</v>
      </c>
      <c r="P48" s="160">
        <f t="shared" si="22"/>
        <v>25871.129999999997</v>
      </c>
      <c r="Q48" s="158">
        <f t="shared" si="23"/>
        <v>175232.64000000001</v>
      </c>
      <c r="R48" s="160">
        <f t="shared" si="24"/>
        <v>0</v>
      </c>
      <c r="S48" s="160">
        <f t="shared" si="25"/>
        <v>0</v>
      </c>
      <c r="T48" s="160">
        <f t="shared" si="26"/>
        <v>0</v>
      </c>
      <c r="U48" s="160">
        <f t="shared" si="27"/>
        <v>135220.92000000001</v>
      </c>
      <c r="V48" s="161">
        <f t="shared" si="28"/>
        <v>310453.56</v>
      </c>
      <c r="X48" s="156">
        <v>2</v>
      </c>
      <c r="Y48" s="156">
        <f t="shared" si="29"/>
        <v>-1</v>
      </c>
      <c r="Z48" s="156">
        <v>1</v>
      </c>
      <c r="AA48" s="156">
        <f t="shared" si="30"/>
        <v>0</v>
      </c>
      <c r="AB48" s="156">
        <f t="shared" si="31"/>
        <v>1</v>
      </c>
      <c r="AC48" s="156">
        <v>1</v>
      </c>
      <c r="AD48" s="156">
        <v>0</v>
      </c>
      <c r="AE48" s="156">
        <v>0</v>
      </c>
      <c r="AF48" s="156">
        <v>0</v>
      </c>
      <c r="AG48" s="156">
        <v>0</v>
      </c>
    </row>
    <row r="49" spans="1:33" s="78" customFormat="1" x14ac:dyDescent="0.25">
      <c r="A49" s="178" t="s">
        <v>398</v>
      </c>
      <c r="B49" s="185" t="s">
        <v>583</v>
      </c>
      <c r="C49" s="155" t="s">
        <v>435</v>
      </c>
      <c r="D49" s="155">
        <f t="shared" si="18"/>
        <v>12</v>
      </c>
      <c r="E49" s="156">
        <f t="shared" si="19"/>
        <v>0</v>
      </c>
      <c r="F49" s="157">
        <f t="shared" si="20"/>
        <v>0</v>
      </c>
      <c r="G49" s="158">
        <f>VLOOKUP(C49,CPU_SALARIOS!$B$13:$E$30,4,FALSE)</f>
        <v>9285.76</v>
      </c>
      <c r="H49" s="159">
        <v>0</v>
      </c>
      <c r="I49" s="159">
        <v>0</v>
      </c>
      <c r="J49" s="159">
        <v>0</v>
      </c>
      <c r="K49" s="159">
        <v>0</v>
      </c>
      <c r="L49" s="159">
        <v>0</v>
      </c>
      <c r="M49" s="159">
        <v>0</v>
      </c>
      <c r="N49" s="160">
        <v>0</v>
      </c>
      <c r="O49" s="160">
        <f t="shared" si="21"/>
        <v>7165.49</v>
      </c>
      <c r="P49" s="160">
        <f t="shared" si="22"/>
        <v>16451.25</v>
      </c>
      <c r="Q49" s="158">
        <f t="shared" si="23"/>
        <v>0</v>
      </c>
      <c r="R49" s="160">
        <f t="shared" si="24"/>
        <v>0</v>
      </c>
      <c r="S49" s="160">
        <f t="shared" si="25"/>
        <v>0</v>
      </c>
      <c r="T49" s="160">
        <f t="shared" si="26"/>
        <v>0</v>
      </c>
      <c r="U49" s="160">
        <f t="shared" si="27"/>
        <v>0</v>
      </c>
      <c r="V49" s="161">
        <f t="shared" si="28"/>
        <v>0</v>
      </c>
      <c r="X49" s="156">
        <v>2</v>
      </c>
      <c r="Y49" s="156">
        <f t="shared" si="29"/>
        <v>-2</v>
      </c>
      <c r="Z49" s="156">
        <v>1</v>
      </c>
      <c r="AA49" s="156">
        <f t="shared" si="30"/>
        <v>-1</v>
      </c>
      <c r="AB49" s="156">
        <f t="shared" si="31"/>
        <v>0</v>
      </c>
      <c r="AC49" s="156">
        <v>0</v>
      </c>
      <c r="AD49" s="156">
        <v>0</v>
      </c>
      <c r="AE49" s="156">
        <v>0</v>
      </c>
      <c r="AF49" s="156">
        <v>0</v>
      </c>
      <c r="AG49" s="156">
        <v>0</v>
      </c>
    </row>
    <row r="50" spans="1:33" s="78" customFormat="1" x14ac:dyDescent="0.25">
      <c r="A50" s="178" t="s">
        <v>399</v>
      </c>
      <c r="B50" s="185" t="s">
        <v>584</v>
      </c>
      <c r="C50" s="155" t="s">
        <v>430</v>
      </c>
      <c r="D50" s="155">
        <f t="shared" si="18"/>
        <v>12</v>
      </c>
      <c r="E50" s="156">
        <f t="shared" si="19"/>
        <v>1</v>
      </c>
      <c r="F50" s="157">
        <f t="shared" si="20"/>
        <v>12</v>
      </c>
      <c r="G50" s="158">
        <f>VLOOKUP(C50,CPU_SALARIOS!$B$13:$E$30,4,FALSE)</f>
        <v>14602.72</v>
      </c>
      <c r="H50" s="159">
        <v>0</v>
      </c>
      <c r="I50" s="159">
        <v>0</v>
      </c>
      <c r="J50" s="159">
        <v>0</v>
      </c>
      <c r="K50" s="159">
        <v>0</v>
      </c>
      <c r="L50" s="159">
        <v>0</v>
      </c>
      <c r="M50" s="159">
        <v>0</v>
      </c>
      <c r="N50" s="160">
        <v>0</v>
      </c>
      <c r="O50" s="160">
        <f t="shared" si="21"/>
        <v>11268.41</v>
      </c>
      <c r="P50" s="160">
        <f t="shared" si="22"/>
        <v>25871.129999999997</v>
      </c>
      <c r="Q50" s="158">
        <f t="shared" si="23"/>
        <v>175232.64000000001</v>
      </c>
      <c r="R50" s="160">
        <f t="shared" si="24"/>
        <v>0</v>
      </c>
      <c r="S50" s="160">
        <f t="shared" si="25"/>
        <v>0</v>
      </c>
      <c r="T50" s="160">
        <f t="shared" si="26"/>
        <v>0</v>
      </c>
      <c r="U50" s="160">
        <f t="shared" si="27"/>
        <v>135220.92000000001</v>
      </c>
      <c r="V50" s="161">
        <f t="shared" si="28"/>
        <v>310453.56</v>
      </c>
      <c r="X50" s="156">
        <v>2</v>
      </c>
      <c r="Y50" s="156">
        <f t="shared" si="29"/>
        <v>-1</v>
      </c>
      <c r="Z50" s="156">
        <v>1</v>
      </c>
      <c r="AA50" s="156">
        <f t="shared" si="30"/>
        <v>0</v>
      </c>
      <c r="AB50" s="156">
        <f t="shared" si="31"/>
        <v>1</v>
      </c>
      <c r="AC50" s="156">
        <v>1</v>
      </c>
      <c r="AD50" s="156">
        <v>0</v>
      </c>
      <c r="AE50" s="156">
        <v>0</v>
      </c>
      <c r="AF50" s="156">
        <v>0</v>
      </c>
      <c r="AG50" s="156">
        <v>0</v>
      </c>
    </row>
    <row r="51" spans="1:33" s="78" customFormat="1" x14ac:dyDescent="0.25">
      <c r="A51" s="178" t="s">
        <v>400</v>
      </c>
      <c r="B51" s="185" t="s">
        <v>575</v>
      </c>
      <c r="C51" s="155" t="s">
        <v>435</v>
      </c>
      <c r="D51" s="155">
        <f t="shared" si="18"/>
        <v>12</v>
      </c>
      <c r="E51" s="156">
        <f t="shared" si="19"/>
        <v>0</v>
      </c>
      <c r="F51" s="157">
        <f t="shared" si="20"/>
        <v>0</v>
      </c>
      <c r="G51" s="158">
        <f>VLOOKUP(C51,CPU_SALARIOS!$B$13:$E$30,4,FALSE)</f>
        <v>9285.76</v>
      </c>
      <c r="H51" s="159">
        <v>0</v>
      </c>
      <c r="I51" s="159">
        <v>0</v>
      </c>
      <c r="J51" s="159">
        <v>0</v>
      </c>
      <c r="K51" s="159">
        <v>0</v>
      </c>
      <c r="L51" s="159">
        <v>0</v>
      </c>
      <c r="M51" s="159">
        <v>0</v>
      </c>
      <c r="N51" s="160">
        <v>0</v>
      </c>
      <c r="O51" s="160">
        <f t="shared" si="21"/>
        <v>7165.49</v>
      </c>
      <c r="P51" s="160">
        <f t="shared" si="22"/>
        <v>16451.25</v>
      </c>
      <c r="Q51" s="158">
        <f t="shared" si="23"/>
        <v>0</v>
      </c>
      <c r="R51" s="160">
        <f t="shared" si="24"/>
        <v>0</v>
      </c>
      <c r="S51" s="160">
        <f t="shared" si="25"/>
        <v>0</v>
      </c>
      <c r="T51" s="160">
        <f t="shared" si="26"/>
        <v>0</v>
      </c>
      <c r="U51" s="160">
        <f t="shared" si="27"/>
        <v>0</v>
      </c>
      <c r="V51" s="161">
        <f t="shared" si="28"/>
        <v>0</v>
      </c>
      <c r="X51" s="156">
        <v>2</v>
      </c>
      <c r="Y51" s="156">
        <f t="shared" si="29"/>
        <v>-2</v>
      </c>
      <c r="Z51" s="156">
        <v>1</v>
      </c>
      <c r="AA51" s="156">
        <f t="shared" si="30"/>
        <v>-1</v>
      </c>
      <c r="AB51" s="156">
        <f t="shared" si="31"/>
        <v>0</v>
      </c>
      <c r="AC51" s="156">
        <v>0</v>
      </c>
      <c r="AD51" s="156">
        <v>0</v>
      </c>
      <c r="AE51" s="156">
        <v>0</v>
      </c>
      <c r="AF51" s="156">
        <v>0</v>
      </c>
      <c r="AG51" s="156">
        <v>0</v>
      </c>
    </row>
    <row r="52" spans="1:33" s="78" customFormat="1" x14ac:dyDescent="0.25">
      <c r="A52" s="178" t="s">
        <v>401</v>
      </c>
      <c r="B52" s="185" t="s">
        <v>585</v>
      </c>
      <c r="C52" s="155" t="s">
        <v>430</v>
      </c>
      <c r="D52" s="155">
        <f t="shared" si="18"/>
        <v>12</v>
      </c>
      <c r="E52" s="156">
        <f t="shared" si="19"/>
        <v>1</v>
      </c>
      <c r="F52" s="157">
        <f t="shared" si="20"/>
        <v>12</v>
      </c>
      <c r="G52" s="158">
        <f>VLOOKUP(C52,CPU_SALARIOS!$B$13:$E$30,4,FALSE)</f>
        <v>14602.72</v>
      </c>
      <c r="H52" s="159">
        <v>0</v>
      </c>
      <c r="I52" s="159">
        <v>0</v>
      </c>
      <c r="J52" s="159">
        <v>0</v>
      </c>
      <c r="K52" s="159">
        <v>0</v>
      </c>
      <c r="L52" s="159">
        <v>0</v>
      </c>
      <c r="M52" s="159">
        <v>0</v>
      </c>
      <c r="N52" s="160">
        <v>0</v>
      </c>
      <c r="O52" s="160">
        <f t="shared" si="21"/>
        <v>11268.41</v>
      </c>
      <c r="P52" s="160">
        <f t="shared" si="22"/>
        <v>25871.129999999997</v>
      </c>
      <c r="Q52" s="158">
        <f t="shared" si="23"/>
        <v>175232.64000000001</v>
      </c>
      <c r="R52" s="160">
        <f t="shared" si="24"/>
        <v>0</v>
      </c>
      <c r="S52" s="160">
        <f t="shared" si="25"/>
        <v>0</v>
      </c>
      <c r="T52" s="160">
        <f t="shared" si="26"/>
        <v>0</v>
      </c>
      <c r="U52" s="160">
        <f t="shared" si="27"/>
        <v>135220.92000000001</v>
      </c>
      <c r="V52" s="161">
        <f t="shared" si="28"/>
        <v>310453.56</v>
      </c>
      <c r="X52" s="156">
        <v>1</v>
      </c>
      <c r="Y52" s="156">
        <f t="shared" si="29"/>
        <v>0</v>
      </c>
      <c r="Z52" s="156">
        <v>1</v>
      </c>
      <c r="AA52" s="156">
        <f t="shared" si="30"/>
        <v>0</v>
      </c>
      <c r="AB52" s="156">
        <f t="shared" si="31"/>
        <v>1</v>
      </c>
      <c r="AC52" s="156">
        <v>1</v>
      </c>
      <c r="AD52" s="156">
        <v>0</v>
      </c>
      <c r="AE52" s="156">
        <v>0</v>
      </c>
      <c r="AF52" s="156">
        <v>0</v>
      </c>
      <c r="AG52" s="156">
        <v>0</v>
      </c>
    </row>
    <row r="53" spans="1:33" s="78" customFormat="1" x14ac:dyDescent="0.25">
      <c r="A53" s="178" t="s">
        <v>402</v>
      </c>
      <c r="B53" s="185" t="s">
        <v>586</v>
      </c>
      <c r="C53" s="155" t="s">
        <v>435</v>
      </c>
      <c r="D53" s="155">
        <f t="shared" si="18"/>
        <v>12</v>
      </c>
      <c r="E53" s="156">
        <f t="shared" si="19"/>
        <v>0</v>
      </c>
      <c r="F53" s="157">
        <f t="shared" si="20"/>
        <v>0</v>
      </c>
      <c r="G53" s="158">
        <f>VLOOKUP(C53,CPU_SALARIOS!$B$13:$E$30,4,FALSE)</f>
        <v>9285.76</v>
      </c>
      <c r="H53" s="159">
        <v>0</v>
      </c>
      <c r="I53" s="159">
        <v>0</v>
      </c>
      <c r="J53" s="159">
        <v>0</v>
      </c>
      <c r="K53" s="159">
        <v>0</v>
      </c>
      <c r="L53" s="159">
        <v>0</v>
      </c>
      <c r="M53" s="159">
        <v>0</v>
      </c>
      <c r="N53" s="160">
        <v>0</v>
      </c>
      <c r="O53" s="160">
        <f t="shared" si="21"/>
        <v>7165.49</v>
      </c>
      <c r="P53" s="160">
        <f t="shared" si="22"/>
        <v>16451.25</v>
      </c>
      <c r="Q53" s="158">
        <f t="shared" si="23"/>
        <v>0</v>
      </c>
      <c r="R53" s="160">
        <f t="shared" si="24"/>
        <v>0</v>
      </c>
      <c r="S53" s="160">
        <f t="shared" si="25"/>
        <v>0</v>
      </c>
      <c r="T53" s="160">
        <f t="shared" si="26"/>
        <v>0</v>
      </c>
      <c r="U53" s="160">
        <f t="shared" si="27"/>
        <v>0</v>
      </c>
      <c r="V53" s="161">
        <f t="shared" si="28"/>
        <v>0</v>
      </c>
      <c r="X53" s="156">
        <v>1</v>
      </c>
      <c r="Y53" s="156">
        <f t="shared" si="29"/>
        <v>-1</v>
      </c>
      <c r="Z53" s="156">
        <v>1</v>
      </c>
      <c r="AA53" s="156">
        <f t="shared" si="30"/>
        <v>-1</v>
      </c>
      <c r="AB53" s="156">
        <f t="shared" si="31"/>
        <v>0</v>
      </c>
      <c r="AC53" s="156">
        <v>0</v>
      </c>
      <c r="AD53" s="156">
        <v>0</v>
      </c>
      <c r="AE53" s="156">
        <v>0</v>
      </c>
      <c r="AF53" s="156">
        <v>0</v>
      </c>
      <c r="AG53" s="156">
        <v>0</v>
      </c>
    </row>
    <row r="54" spans="1:33" s="78" customFormat="1" x14ac:dyDescent="0.25">
      <c r="A54" s="178" t="s">
        <v>403</v>
      </c>
      <c r="B54" s="185" t="s">
        <v>587</v>
      </c>
      <c r="C54" s="155" t="s">
        <v>430</v>
      </c>
      <c r="D54" s="155">
        <f t="shared" si="18"/>
        <v>12</v>
      </c>
      <c r="E54" s="156">
        <f t="shared" si="19"/>
        <v>1</v>
      </c>
      <c r="F54" s="157">
        <f t="shared" si="20"/>
        <v>12</v>
      </c>
      <c r="G54" s="158">
        <f>VLOOKUP(C54,CPU_SALARIOS!$B$13:$E$30,4,FALSE)</f>
        <v>14602.72</v>
      </c>
      <c r="H54" s="159">
        <v>0</v>
      </c>
      <c r="I54" s="159">
        <v>0</v>
      </c>
      <c r="J54" s="159">
        <v>0</v>
      </c>
      <c r="K54" s="159">
        <v>0</v>
      </c>
      <c r="L54" s="159">
        <v>0</v>
      </c>
      <c r="M54" s="159">
        <v>0</v>
      </c>
      <c r="N54" s="160">
        <v>0</v>
      </c>
      <c r="O54" s="160">
        <f t="shared" si="21"/>
        <v>11268.41</v>
      </c>
      <c r="P54" s="160">
        <f t="shared" si="22"/>
        <v>25871.129999999997</v>
      </c>
      <c r="Q54" s="158">
        <f t="shared" si="23"/>
        <v>175232.64000000001</v>
      </c>
      <c r="R54" s="160">
        <f t="shared" si="24"/>
        <v>0</v>
      </c>
      <c r="S54" s="160">
        <f t="shared" si="25"/>
        <v>0</v>
      </c>
      <c r="T54" s="160">
        <f t="shared" si="26"/>
        <v>0</v>
      </c>
      <c r="U54" s="160">
        <f t="shared" si="27"/>
        <v>135220.92000000001</v>
      </c>
      <c r="V54" s="161">
        <f t="shared" si="28"/>
        <v>310453.56</v>
      </c>
      <c r="X54" s="156">
        <v>1</v>
      </c>
      <c r="Y54" s="156">
        <f t="shared" si="29"/>
        <v>0</v>
      </c>
      <c r="Z54" s="156">
        <v>1</v>
      </c>
      <c r="AA54" s="156">
        <f t="shared" si="30"/>
        <v>0</v>
      </c>
      <c r="AB54" s="156">
        <f t="shared" si="31"/>
        <v>1</v>
      </c>
      <c r="AC54" s="156">
        <v>1</v>
      </c>
      <c r="AD54" s="156">
        <v>0</v>
      </c>
      <c r="AE54" s="156">
        <v>0</v>
      </c>
      <c r="AF54" s="156">
        <v>0</v>
      </c>
      <c r="AG54" s="156">
        <v>0</v>
      </c>
    </row>
    <row r="55" spans="1:33" s="78" customFormat="1" ht="25.5" x14ac:dyDescent="0.25">
      <c r="A55" s="178" t="s">
        <v>404</v>
      </c>
      <c r="B55" s="185" t="s">
        <v>2212</v>
      </c>
      <c r="C55" s="155" t="s">
        <v>434</v>
      </c>
      <c r="D55" s="155">
        <f t="shared" si="18"/>
        <v>12</v>
      </c>
      <c r="E55" s="156">
        <f t="shared" si="19"/>
        <v>1</v>
      </c>
      <c r="F55" s="157">
        <f t="shared" si="20"/>
        <v>12</v>
      </c>
      <c r="G55" s="158">
        <f>VLOOKUP(C55,CPU_SALARIOS!$B$13:$E$30,4,FALSE)</f>
        <v>4095.52</v>
      </c>
      <c r="H55" s="159">
        <v>0</v>
      </c>
      <c r="I55" s="159">
        <v>0</v>
      </c>
      <c r="J55" s="159">
        <v>0</v>
      </c>
      <c r="K55" s="159">
        <v>0</v>
      </c>
      <c r="L55" s="159">
        <v>0</v>
      </c>
      <c r="M55" s="159">
        <v>0</v>
      </c>
      <c r="N55" s="160">
        <v>0</v>
      </c>
      <c r="O55" s="160">
        <f t="shared" si="21"/>
        <v>3160.37</v>
      </c>
      <c r="P55" s="160">
        <f t="shared" si="22"/>
        <v>7255.8899999999994</v>
      </c>
      <c r="Q55" s="158">
        <f t="shared" si="23"/>
        <v>49146.239999999998</v>
      </c>
      <c r="R55" s="160">
        <f t="shared" si="24"/>
        <v>0</v>
      </c>
      <c r="S55" s="160">
        <f t="shared" si="25"/>
        <v>0</v>
      </c>
      <c r="T55" s="160">
        <f t="shared" si="26"/>
        <v>0</v>
      </c>
      <c r="U55" s="160">
        <f t="shared" si="27"/>
        <v>37924.44</v>
      </c>
      <c r="V55" s="161">
        <f t="shared" si="28"/>
        <v>87070.68</v>
      </c>
      <c r="X55" s="156">
        <v>2</v>
      </c>
      <c r="Y55" s="156">
        <f t="shared" si="29"/>
        <v>-1</v>
      </c>
      <c r="Z55" s="156">
        <v>2</v>
      </c>
      <c r="AA55" s="156">
        <f t="shared" si="30"/>
        <v>-1</v>
      </c>
      <c r="AB55" s="156">
        <f t="shared" si="31"/>
        <v>1</v>
      </c>
      <c r="AC55" s="156">
        <v>1</v>
      </c>
      <c r="AD55" s="156">
        <v>0</v>
      </c>
      <c r="AE55" s="156">
        <v>0</v>
      </c>
      <c r="AF55" s="156">
        <v>0</v>
      </c>
      <c r="AG55" s="156">
        <v>0</v>
      </c>
    </row>
    <row r="56" spans="1:33" s="78" customFormat="1" ht="25.5" x14ac:dyDescent="0.25">
      <c r="A56" s="178" t="s">
        <v>405</v>
      </c>
      <c r="B56" s="185" t="s">
        <v>2213</v>
      </c>
      <c r="C56" s="155" t="s">
        <v>434</v>
      </c>
      <c r="D56" s="155">
        <f t="shared" si="18"/>
        <v>12</v>
      </c>
      <c r="E56" s="156">
        <f t="shared" si="19"/>
        <v>1</v>
      </c>
      <c r="F56" s="157">
        <f t="shared" si="20"/>
        <v>12</v>
      </c>
      <c r="G56" s="158">
        <f>VLOOKUP(C56,CPU_SALARIOS!$B$13:$E$30,4,FALSE)</f>
        <v>4095.52</v>
      </c>
      <c r="H56" s="159">
        <v>0</v>
      </c>
      <c r="I56" s="159">
        <v>0</v>
      </c>
      <c r="J56" s="159">
        <v>0</v>
      </c>
      <c r="K56" s="159">
        <v>0</v>
      </c>
      <c r="L56" s="159">
        <v>0</v>
      </c>
      <c r="M56" s="159">
        <v>0</v>
      </c>
      <c r="N56" s="160">
        <v>0</v>
      </c>
      <c r="O56" s="160">
        <f t="shared" si="21"/>
        <v>3160.37</v>
      </c>
      <c r="P56" s="160">
        <f t="shared" si="22"/>
        <v>7255.8899999999994</v>
      </c>
      <c r="Q56" s="158">
        <f t="shared" si="23"/>
        <v>49146.239999999998</v>
      </c>
      <c r="R56" s="160">
        <f t="shared" si="24"/>
        <v>0</v>
      </c>
      <c r="S56" s="160">
        <f t="shared" si="25"/>
        <v>0</v>
      </c>
      <c r="T56" s="160">
        <f t="shared" si="26"/>
        <v>0</v>
      </c>
      <c r="U56" s="160">
        <f t="shared" si="27"/>
        <v>37924.44</v>
      </c>
      <c r="V56" s="161">
        <f t="shared" si="28"/>
        <v>87070.68</v>
      </c>
      <c r="X56" s="156">
        <v>1</v>
      </c>
      <c r="Y56" s="156">
        <f t="shared" si="29"/>
        <v>0</v>
      </c>
      <c r="Z56" s="156">
        <v>1</v>
      </c>
      <c r="AA56" s="156">
        <f t="shared" si="30"/>
        <v>0</v>
      </c>
      <c r="AB56" s="156">
        <f t="shared" si="31"/>
        <v>1</v>
      </c>
      <c r="AC56" s="156">
        <v>1</v>
      </c>
      <c r="AD56" s="156">
        <v>0</v>
      </c>
      <c r="AE56" s="156">
        <v>0</v>
      </c>
      <c r="AF56" s="156">
        <v>0</v>
      </c>
      <c r="AG56" s="156">
        <v>0</v>
      </c>
    </row>
    <row r="57" spans="1:33" s="78" customFormat="1" ht="25.5" x14ac:dyDescent="0.25">
      <c r="A57" s="178" t="s">
        <v>406</v>
      </c>
      <c r="B57" s="185" t="s">
        <v>2214</v>
      </c>
      <c r="C57" s="155" t="s">
        <v>434</v>
      </c>
      <c r="D57" s="155">
        <f t="shared" si="18"/>
        <v>12</v>
      </c>
      <c r="E57" s="156">
        <f t="shared" si="19"/>
        <v>1</v>
      </c>
      <c r="F57" s="157">
        <f t="shared" si="20"/>
        <v>12</v>
      </c>
      <c r="G57" s="158">
        <f>VLOOKUP(C57,CPU_SALARIOS!$B$13:$E$30,4,FALSE)</f>
        <v>4095.52</v>
      </c>
      <c r="H57" s="159">
        <v>0</v>
      </c>
      <c r="I57" s="159">
        <v>0</v>
      </c>
      <c r="J57" s="159">
        <v>0</v>
      </c>
      <c r="K57" s="159">
        <v>0</v>
      </c>
      <c r="L57" s="159">
        <v>0</v>
      </c>
      <c r="M57" s="159">
        <v>0</v>
      </c>
      <c r="N57" s="160">
        <v>0</v>
      </c>
      <c r="O57" s="160">
        <f t="shared" si="21"/>
        <v>3160.37</v>
      </c>
      <c r="P57" s="160">
        <f t="shared" si="22"/>
        <v>7255.8899999999994</v>
      </c>
      <c r="Q57" s="158">
        <f t="shared" si="23"/>
        <v>49146.239999999998</v>
      </c>
      <c r="R57" s="160">
        <f t="shared" si="24"/>
        <v>0</v>
      </c>
      <c r="S57" s="160">
        <f t="shared" si="25"/>
        <v>0</v>
      </c>
      <c r="T57" s="160">
        <f t="shared" si="26"/>
        <v>0</v>
      </c>
      <c r="U57" s="160">
        <f t="shared" si="27"/>
        <v>37924.44</v>
      </c>
      <c r="V57" s="161">
        <f t="shared" si="28"/>
        <v>87070.68</v>
      </c>
      <c r="X57" s="156">
        <v>1</v>
      </c>
      <c r="Y57" s="156">
        <f t="shared" si="29"/>
        <v>0</v>
      </c>
      <c r="Z57" s="156">
        <v>1</v>
      </c>
      <c r="AA57" s="156">
        <f t="shared" si="30"/>
        <v>0</v>
      </c>
      <c r="AB57" s="156">
        <f t="shared" si="31"/>
        <v>1</v>
      </c>
      <c r="AC57" s="156">
        <v>1</v>
      </c>
      <c r="AD57" s="156">
        <v>0</v>
      </c>
      <c r="AE57" s="156">
        <v>0</v>
      </c>
      <c r="AF57" s="156">
        <v>0</v>
      </c>
      <c r="AG57" s="156">
        <v>0</v>
      </c>
    </row>
    <row r="58" spans="1:33" s="78" customFormat="1" x14ac:dyDescent="0.25">
      <c r="A58" s="178" t="s">
        <v>407</v>
      </c>
      <c r="B58" s="185" t="s">
        <v>2215</v>
      </c>
      <c r="C58" s="155" t="s">
        <v>434</v>
      </c>
      <c r="D58" s="155">
        <f t="shared" si="18"/>
        <v>12</v>
      </c>
      <c r="E58" s="156">
        <f t="shared" si="19"/>
        <v>1</v>
      </c>
      <c r="F58" s="157">
        <f t="shared" si="20"/>
        <v>12</v>
      </c>
      <c r="G58" s="158">
        <f>VLOOKUP(C58,CPU_SALARIOS!$B$13:$E$30,4,FALSE)</f>
        <v>4095.52</v>
      </c>
      <c r="H58" s="159">
        <v>0</v>
      </c>
      <c r="I58" s="159">
        <v>0</v>
      </c>
      <c r="J58" s="159">
        <v>0</v>
      </c>
      <c r="K58" s="159">
        <v>0</v>
      </c>
      <c r="L58" s="159">
        <v>0</v>
      </c>
      <c r="M58" s="159">
        <v>0</v>
      </c>
      <c r="N58" s="160">
        <v>0</v>
      </c>
      <c r="O58" s="160">
        <f t="shared" si="21"/>
        <v>3160.37</v>
      </c>
      <c r="P58" s="160">
        <f t="shared" si="22"/>
        <v>7255.8899999999994</v>
      </c>
      <c r="Q58" s="158">
        <f t="shared" si="23"/>
        <v>49146.239999999998</v>
      </c>
      <c r="R58" s="160">
        <f t="shared" si="24"/>
        <v>0</v>
      </c>
      <c r="S58" s="160">
        <f t="shared" si="25"/>
        <v>0</v>
      </c>
      <c r="T58" s="160">
        <f t="shared" si="26"/>
        <v>0</v>
      </c>
      <c r="U58" s="160">
        <f t="shared" si="27"/>
        <v>37924.44</v>
      </c>
      <c r="V58" s="161">
        <f t="shared" si="28"/>
        <v>87070.68</v>
      </c>
      <c r="X58" s="156">
        <v>4</v>
      </c>
      <c r="Y58" s="156">
        <f t="shared" si="29"/>
        <v>-3</v>
      </c>
      <c r="Z58" s="156">
        <v>2</v>
      </c>
      <c r="AA58" s="156">
        <f t="shared" si="30"/>
        <v>-1</v>
      </c>
      <c r="AB58" s="156">
        <f t="shared" si="31"/>
        <v>1</v>
      </c>
      <c r="AC58" s="156">
        <v>1</v>
      </c>
      <c r="AD58" s="156">
        <v>0</v>
      </c>
      <c r="AE58" s="156">
        <v>0</v>
      </c>
      <c r="AF58" s="156">
        <v>0</v>
      </c>
      <c r="AG58" s="156">
        <v>0</v>
      </c>
    </row>
    <row r="59" spans="1:33" s="78" customFormat="1" x14ac:dyDescent="0.25">
      <c r="A59" s="178" t="s">
        <v>408</v>
      </c>
      <c r="B59" s="185" t="s">
        <v>2216</v>
      </c>
      <c r="C59" s="155" t="s">
        <v>434</v>
      </c>
      <c r="D59" s="155">
        <f t="shared" si="18"/>
        <v>12</v>
      </c>
      <c r="E59" s="156">
        <f t="shared" si="19"/>
        <v>1</v>
      </c>
      <c r="F59" s="157">
        <f t="shared" si="20"/>
        <v>12</v>
      </c>
      <c r="G59" s="158">
        <f>VLOOKUP(C59,CPU_SALARIOS!$B$13:$E$30,4,FALSE)</f>
        <v>4095.52</v>
      </c>
      <c r="H59" s="159">
        <v>0</v>
      </c>
      <c r="I59" s="159">
        <v>0</v>
      </c>
      <c r="J59" s="159">
        <v>0</v>
      </c>
      <c r="K59" s="159">
        <v>0</v>
      </c>
      <c r="L59" s="159">
        <v>0</v>
      </c>
      <c r="M59" s="159">
        <v>0</v>
      </c>
      <c r="N59" s="160">
        <v>0</v>
      </c>
      <c r="O59" s="160">
        <f t="shared" si="21"/>
        <v>3160.37</v>
      </c>
      <c r="P59" s="160">
        <f t="shared" si="22"/>
        <v>7255.8899999999994</v>
      </c>
      <c r="Q59" s="158">
        <f t="shared" si="23"/>
        <v>49146.239999999998</v>
      </c>
      <c r="R59" s="160">
        <f t="shared" si="24"/>
        <v>0</v>
      </c>
      <c r="S59" s="160">
        <f t="shared" si="25"/>
        <v>0</v>
      </c>
      <c r="T59" s="160">
        <f t="shared" si="26"/>
        <v>0</v>
      </c>
      <c r="U59" s="160">
        <f t="shared" si="27"/>
        <v>37924.44</v>
      </c>
      <c r="V59" s="161">
        <f t="shared" si="28"/>
        <v>87070.68</v>
      </c>
      <c r="X59" s="156">
        <v>4</v>
      </c>
      <c r="Y59" s="156">
        <f t="shared" si="29"/>
        <v>-3</v>
      </c>
      <c r="Z59" s="156">
        <v>2</v>
      </c>
      <c r="AA59" s="156">
        <f t="shared" si="30"/>
        <v>-1</v>
      </c>
      <c r="AB59" s="156">
        <f t="shared" si="31"/>
        <v>1</v>
      </c>
      <c r="AC59" s="156">
        <v>1</v>
      </c>
      <c r="AD59" s="156">
        <v>0</v>
      </c>
      <c r="AE59" s="156">
        <v>0</v>
      </c>
      <c r="AF59" s="156">
        <v>0</v>
      </c>
      <c r="AG59" s="156">
        <v>0</v>
      </c>
    </row>
    <row r="60" spans="1:33" s="78" customFormat="1" ht="13.5" thickBot="1" x14ac:dyDescent="0.3">
      <c r="A60" s="178" t="s">
        <v>409</v>
      </c>
      <c r="B60" s="186" t="s">
        <v>593</v>
      </c>
      <c r="C60" s="162" t="s">
        <v>430</v>
      </c>
      <c r="D60" s="162">
        <f t="shared" si="18"/>
        <v>12</v>
      </c>
      <c r="E60" s="163">
        <f t="shared" si="19"/>
        <v>1</v>
      </c>
      <c r="F60" s="164">
        <f t="shared" si="20"/>
        <v>12</v>
      </c>
      <c r="G60" s="165">
        <f>VLOOKUP(C60,CPU_SALARIOS!$B$13:$E$30,4,FALSE)</f>
        <v>14602.72</v>
      </c>
      <c r="H60" s="166">
        <v>0</v>
      </c>
      <c r="I60" s="166">
        <v>0</v>
      </c>
      <c r="J60" s="166">
        <v>0</v>
      </c>
      <c r="K60" s="166">
        <v>0</v>
      </c>
      <c r="L60" s="166">
        <v>0</v>
      </c>
      <c r="M60" s="166">
        <v>0</v>
      </c>
      <c r="N60" s="167">
        <v>0</v>
      </c>
      <c r="O60" s="167">
        <f t="shared" si="21"/>
        <v>11268.41</v>
      </c>
      <c r="P60" s="167">
        <f t="shared" si="22"/>
        <v>25871.129999999997</v>
      </c>
      <c r="Q60" s="165">
        <f t="shared" si="23"/>
        <v>175232.64000000001</v>
      </c>
      <c r="R60" s="167">
        <f t="shared" si="24"/>
        <v>0</v>
      </c>
      <c r="S60" s="167">
        <f t="shared" si="25"/>
        <v>0</v>
      </c>
      <c r="T60" s="167">
        <f t="shared" si="26"/>
        <v>0</v>
      </c>
      <c r="U60" s="167">
        <f t="shared" si="27"/>
        <v>135220.92000000001</v>
      </c>
      <c r="V60" s="168">
        <f t="shared" si="28"/>
        <v>310453.56</v>
      </c>
      <c r="X60" s="163">
        <v>2</v>
      </c>
      <c r="Y60" s="163">
        <f t="shared" si="29"/>
        <v>-1</v>
      </c>
      <c r="Z60" s="163">
        <v>1</v>
      </c>
      <c r="AA60" s="163">
        <f t="shared" si="30"/>
        <v>0</v>
      </c>
      <c r="AB60" s="163">
        <f t="shared" si="31"/>
        <v>1</v>
      </c>
      <c r="AC60" s="163">
        <v>1</v>
      </c>
      <c r="AD60" s="163">
        <v>0</v>
      </c>
      <c r="AE60" s="163">
        <v>0</v>
      </c>
      <c r="AF60" s="163">
        <v>0</v>
      </c>
      <c r="AG60" s="163">
        <v>0</v>
      </c>
    </row>
    <row r="61" spans="1:33" s="78" customFormat="1" ht="13.5" thickBot="1" x14ac:dyDescent="0.3">
      <c r="A61" s="135" t="s">
        <v>441</v>
      </c>
      <c r="B61" s="35" t="s">
        <v>595</v>
      </c>
      <c r="C61" s="136"/>
      <c r="D61" s="136"/>
      <c r="E61" s="136"/>
      <c r="F61" s="136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9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</row>
    <row r="62" spans="1:33" s="78" customFormat="1" ht="25.5" x14ac:dyDescent="0.25">
      <c r="A62" s="63" t="s">
        <v>365</v>
      </c>
      <c r="B62" s="184" t="s">
        <v>2202</v>
      </c>
      <c r="C62" s="27" t="s">
        <v>434</v>
      </c>
      <c r="D62" s="27">
        <f t="shared" ref="D62:D71" si="32">D$15</f>
        <v>12</v>
      </c>
      <c r="E62" s="153">
        <f t="shared" ref="E62:E71" si="33">AB62</f>
        <v>18</v>
      </c>
      <c r="F62" s="154">
        <f t="shared" ref="F62:F71" si="34">D62*E62</f>
        <v>216</v>
      </c>
      <c r="G62" s="32">
        <f>VLOOKUP(C62,CPU_SALARIOS!$B$13:$E$30,4,FALSE)</f>
        <v>4095.52</v>
      </c>
      <c r="H62" s="134">
        <f>ROUND(((G62+J62)*$H$13),2)</f>
        <v>1228.6600000000001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4">
        <v>0</v>
      </c>
      <c r="O62" s="134">
        <f t="shared" ref="O62:O71" si="35">ROUND((G62+H62+J62+L62+N62)*$O$13,2)</f>
        <v>4108.4799999999996</v>
      </c>
      <c r="P62" s="134">
        <f t="shared" ref="P62:P71" si="36">G62+H62+J62+L62+N62+O62</f>
        <v>9432.66</v>
      </c>
      <c r="Q62" s="32">
        <f t="shared" ref="Q62:Q71" si="37">ROUND(F62*G62,2)</f>
        <v>884632.32</v>
      </c>
      <c r="R62" s="134">
        <f t="shared" ref="R62:R71" si="38">ROUND(F62*H62,2)</f>
        <v>265390.56</v>
      </c>
      <c r="S62" s="134">
        <f t="shared" ref="S62:S71" si="39">ROUND(F62*J62,2)</f>
        <v>0</v>
      </c>
      <c r="T62" s="134">
        <f t="shared" ref="T62:T71" si="40">ROUND((F62*L62)+(F62*N62),2)</f>
        <v>0</v>
      </c>
      <c r="U62" s="134">
        <f t="shared" ref="U62:U71" si="41">ROUND(F62*O62,2)</f>
        <v>887431.68000000005</v>
      </c>
      <c r="V62" s="28">
        <f t="shared" ref="V62:V71" si="42">ROUND(F62*P62,2)</f>
        <v>2037454.56</v>
      </c>
      <c r="X62" s="153">
        <v>18</v>
      </c>
      <c r="Y62" s="153">
        <f t="shared" ref="Y62:Y71" si="43">AB62-$X62</f>
        <v>0</v>
      </c>
      <c r="Z62" s="153">
        <v>12</v>
      </c>
      <c r="AA62" s="153">
        <f t="shared" ref="AA62:AA71" si="44">AB62-Z62</f>
        <v>6</v>
      </c>
      <c r="AB62" s="153">
        <f t="shared" ref="AB62:AB71" si="45">SUM(AC62:AG62)</f>
        <v>18</v>
      </c>
      <c r="AC62" s="153">
        <v>0</v>
      </c>
      <c r="AD62" s="153">
        <v>6</v>
      </c>
      <c r="AE62" s="153">
        <v>2</v>
      </c>
      <c r="AF62" s="153">
        <v>4</v>
      </c>
      <c r="AG62" s="153">
        <v>6</v>
      </c>
    </row>
    <row r="63" spans="1:33" s="78" customFormat="1" ht="25.5" x14ac:dyDescent="0.25">
      <c r="A63" s="178" t="s">
        <v>987</v>
      </c>
      <c r="B63" s="185" t="s">
        <v>2203</v>
      </c>
      <c r="C63" s="155" t="s">
        <v>434</v>
      </c>
      <c r="D63" s="155">
        <f t="shared" si="32"/>
        <v>12</v>
      </c>
      <c r="E63" s="156">
        <f t="shared" si="33"/>
        <v>18</v>
      </c>
      <c r="F63" s="157">
        <f t="shared" si="34"/>
        <v>216</v>
      </c>
      <c r="G63" s="158">
        <f>VLOOKUP(C63,CPU_SALARIOS!$B$13:$E$30,4,FALSE)</f>
        <v>4095.52</v>
      </c>
      <c r="H63" s="160">
        <f t="shared" ref="H63:H89" ca="1" si="46">ROUND(((G63+J63)*$H$13),2)</f>
        <v>1503.52</v>
      </c>
      <c r="I63" s="160">
        <f ca="1">(((G63+H63)/176)*0.2)</f>
        <v>6.3625454545454545</v>
      </c>
      <c r="J63" s="160">
        <f ca="1">(I63*120)+((I63*120)/25)*5</f>
        <v>916.20654545454545</v>
      </c>
      <c r="K63" s="160">
        <v>0</v>
      </c>
      <c r="L63" s="160">
        <v>0</v>
      </c>
      <c r="M63" s="160">
        <v>0</v>
      </c>
      <c r="N63" s="160">
        <v>0</v>
      </c>
      <c r="O63" s="160">
        <f t="shared" ca="1" si="35"/>
        <v>5027.59</v>
      </c>
      <c r="P63" s="160">
        <f t="shared" ca="1" si="36"/>
        <v>11542.836545454546</v>
      </c>
      <c r="Q63" s="158">
        <f t="shared" si="37"/>
        <v>884632.32</v>
      </c>
      <c r="R63" s="160">
        <f t="shared" ca="1" si="38"/>
        <v>324760.32000000001</v>
      </c>
      <c r="S63" s="160">
        <f t="shared" ca="1" si="39"/>
        <v>197900.61</v>
      </c>
      <c r="T63" s="160">
        <f t="shared" si="40"/>
        <v>0</v>
      </c>
      <c r="U63" s="160">
        <f t="shared" ca="1" si="41"/>
        <v>1085959.44</v>
      </c>
      <c r="V63" s="161">
        <f t="shared" ca="1" si="42"/>
        <v>2493252.69</v>
      </c>
      <c r="X63" s="156">
        <v>18</v>
      </c>
      <c r="Y63" s="156">
        <f t="shared" si="43"/>
        <v>0</v>
      </c>
      <c r="Z63" s="156">
        <v>12</v>
      </c>
      <c r="AA63" s="156">
        <f t="shared" si="44"/>
        <v>6</v>
      </c>
      <c r="AB63" s="156">
        <f t="shared" si="45"/>
        <v>18</v>
      </c>
      <c r="AC63" s="156">
        <v>0</v>
      </c>
      <c r="AD63" s="156">
        <v>6</v>
      </c>
      <c r="AE63" s="156">
        <v>2</v>
      </c>
      <c r="AF63" s="156">
        <v>4</v>
      </c>
      <c r="AG63" s="156">
        <v>6</v>
      </c>
    </row>
    <row r="64" spans="1:33" s="78" customFormat="1" ht="25.5" x14ac:dyDescent="0.25">
      <c r="A64" s="178" t="s">
        <v>988</v>
      </c>
      <c r="B64" s="185" t="s">
        <v>2204</v>
      </c>
      <c r="C64" s="155" t="s">
        <v>526</v>
      </c>
      <c r="D64" s="155">
        <f t="shared" si="32"/>
        <v>12</v>
      </c>
      <c r="E64" s="156">
        <f t="shared" si="33"/>
        <v>18</v>
      </c>
      <c r="F64" s="157">
        <f t="shared" si="34"/>
        <v>216</v>
      </c>
      <c r="G64" s="158">
        <f>VLOOKUP(C64,CPU_SALARIOS!$B$13:$E$30,4,FALSE)</f>
        <v>3395.04</v>
      </c>
      <c r="H64" s="160">
        <f t="shared" si="46"/>
        <v>1018.51</v>
      </c>
      <c r="I64" s="160">
        <v>0</v>
      </c>
      <c r="J64" s="160">
        <v>0</v>
      </c>
      <c r="K64" s="160">
        <v>0</v>
      </c>
      <c r="L64" s="160">
        <v>0</v>
      </c>
      <c r="M64" s="160">
        <v>0</v>
      </c>
      <c r="N64" s="160">
        <v>0</v>
      </c>
      <c r="O64" s="160">
        <f t="shared" si="35"/>
        <v>3405.78</v>
      </c>
      <c r="P64" s="160">
        <f t="shared" si="36"/>
        <v>7819.33</v>
      </c>
      <c r="Q64" s="158">
        <f t="shared" si="37"/>
        <v>733328.64</v>
      </c>
      <c r="R64" s="160">
        <f t="shared" si="38"/>
        <v>219998.16</v>
      </c>
      <c r="S64" s="160">
        <f t="shared" si="39"/>
        <v>0</v>
      </c>
      <c r="T64" s="160">
        <f t="shared" si="40"/>
        <v>0</v>
      </c>
      <c r="U64" s="160">
        <f t="shared" si="41"/>
        <v>735648.48</v>
      </c>
      <c r="V64" s="161">
        <f t="shared" si="42"/>
        <v>1688975.28</v>
      </c>
      <c r="X64" s="156">
        <v>18</v>
      </c>
      <c r="Y64" s="156">
        <f t="shared" si="43"/>
        <v>0</v>
      </c>
      <c r="Z64" s="156">
        <v>12</v>
      </c>
      <c r="AA64" s="156">
        <f t="shared" si="44"/>
        <v>6</v>
      </c>
      <c r="AB64" s="156">
        <f t="shared" si="45"/>
        <v>18</v>
      </c>
      <c r="AC64" s="156">
        <v>0</v>
      </c>
      <c r="AD64" s="156">
        <v>6</v>
      </c>
      <c r="AE64" s="156">
        <v>2</v>
      </c>
      <c r="AF64" s="156">
        <v>4</v>
      </c>
      <c r="AG64" s="156">
        <v>6</v>
      </c>
    </row>
    <row r="65" spans="1:33" s="78" customFormat="1" ht="25.5" x14ac:dyDescent="0.25">
      <c r="A65" s="178" t="s">
        <v>989</v>
      </c>
      <c r="B65" s="185" t="s">
        <v>2205</v>
      </c>
      <c r="C65" s="155" t="s">
        <v>526</v>
      </c>
      <c r="D65" s="155">
        <f t="shared" si="32"/>
        <v>12</v>
      </c>
      <c r="E65" s="156">
        <f t="shared" si="33"/>
        <v>18</v>
      </c>
      <c r="F65" s="157">
        <f t="shared" si="34"/>
        <v>216</v>
      </c>
      <c r="G65" s="158">
        <f>VLOOKUP(C65,CPU_SALARIOS!$B$13:$E$30,4,FALSE)</f>
        <v>3395.04</v>
      </c>
      <c r="H65" s="160">
        <f t="shared" ca="1" si="46"/>
        <v>1246.3599999999999</v>
      </c>
      <c r="I65" s="160">
        <f ca="1">(((G65+H65)/176)*0.2)</f>
        <v>5.2743181818181819</v>
      </c>
      <c r="J65" s="160">
        <f ca="1">(I65*120)+((I65*120)/25)*5</f>
        <v>759.50181818181818</v>
      </c>
      <c r="K65" s="160">
        <v>0</v>
      </c>
      <c r="L65" s="160">
        <v>0</v>
      </c>
      <c r="M65" s="160">
        <v>0</v>
      </c>
      <c r="N65" s="160">
        <v>0</v>
      </c>
      <c r="O65" s="160">
        <f t="shared" ca="1" si="35"/>
        <v>4167.6899999999996</v>
      </c>
      <c r="P65" s="160">
        <f t="shared" ca="1" si="36"/>
        <v>9568.5918181818161</v>
      </c>
      <c r="Q65" s="158">
        <f t="shared" si="37"/>
        <v>733328.64</v>
      </c>
      <c r="R65" s="160">
        <f t="shared" ca="1" si="38"/>
        <v>269213.76</v>
      </c>
      <c r="S65" s="160">
        <f t="shared" ca="1" si="39"/>
        <v>164052.39000000001</v>
      </c>
      <c r="T65" s="160">
        <f t="shared" si="40"/>
        <v>0</v>
      </c>
      <c r="U65" s="160">
        <f t="shared" ca="1" si="41"/>
        <v>900221.04</v>
      </c>
      <c r="V65" s="161">
        <f t="shared" ca="1" si="42"/>
        <v>2066815.83</v>
      </c>
      <c r="X65" s="156">
        <v>18</v>
      </c>
      <c r="Y65" s="156">
        <f t="shared" si="43"/>
        <v>0</v>
      </c>
      <c r="Z65" s="156">
        <v>12</v>
      </c>
      <c r="AA65" s="156">
        <f t="shared" si="44"/>
        <v>6</v>
      </c>
      <c r="AB65" s="156">
        <f t="shared" si="45"/>
        <v>18</v>
      </c>
      <c r="AC65" s="156">
        <v>0</v>
      </c>
      <c r="AD65" s="156">
        <v>6</v>
      </c>
      <c r="AE65" s="156">
        <v>2</v>
      </c>
      <c r="AF65" s="156">
        <v>4</v>
      </c>
      <c r="AG65" s="156">
        <v>6</v>
      </c>
    </row>
    <row r="66" spans="1:33" s="78" customFormat="1" ht="25.5" x14ac:dyDescent="0.25">
      <c r="A66" s="178" t="s">
        <v>990</v>
      </c>
      <c r="B66" s="185" t="s">
        <v>2206</v>
      </c>
      <c r="C66" s="155" t="s">
        <v>434</v>
      </c>
      <c r="D66" s="155">
        <f t="shared" si="32"/>
        <v>12</v>
      </c>
      <c r="E66" s="156">
        <f t="shared" si="33"/>
        <v>18</v>
      </c>
      <c r="F66" s="157">
        <f t="shared" si="34"/>
        <v>216</v>
      </c>
      <c r="G66" s="158">
        <f>VLOOKUP(C66,CPU_SALARIOS!$B$13:$E$30,4,FALSE)</f>
        <v>4095.52</v>
      </c>
      <c r="H66" s="160">
        <f t="shared" si="46"/>
        <v>1228.6600000000001</v>
      </c>
      <c r="I66" s="160">
        <v>0</v>
      </c>
      <c r="J66" s="160">
        <v>0</v>
      </c>
      <c r="K66" s="160">
        <v>0</v>
      </c>
      <c r="L66" s="160">
        <v>0</v>
      </c>
      <c r="M66" s="160">
        <v>0</v>
      </c>
      <c r="N66" s="160">
        <v>0</v>
      </c>
      <c r="O66" s="160">
        <f t="shared" si="35"/>
        <v>4108.4799999999996</v>
      </c>
      <c r="P66" s="160">
        <f t="shared" si="36"/>
        <v>9432.66</v>
      </c>
      <c r="Q66" s="158">
        <f t="shared" si="37"/>
        <v>884632.32</v>
      </c>
      <c r="R66" s="160">
        <f t="shared" si="38"/>
        <v>265390.56</v>
      </c>
      <c r="S66" s="160">
        <f t="shared" si="39"/>
        <v>0</v>
      </c>
      <c r="T66" s="160">
        <f t="shared" si="40"/>
        <v>0</v>
      </c>
      <c r="U66" s="160">
        <f t="shared" si="41"/>
        <v>887431.68000000005</v>
      </c>
      <c r="V66" s="161">
        <f t="shared" si="42"/>
        <v>2037454.56</v>
      </c>
      <c r="X66" s="156">
        <v>18</v>
      </c>
      <c r="Y66" s="156">
        <f t="shared" si="43"/>
        <v>0</v>
      </c>
      <c r="Z66" s="156">
        <v>12</v>
      </c>
      <c r="AA66" s="156">
        <f t="shared" si="44"/>
        <v>6</v>
      </c>
      <c r="AB66" s="156">
        <f t="shared" si="45"/>
        <v>18</v>
      </c>
      <c r="AC66" s="156">
        <v>0</v>
      </c>
      <c r="AD66" s="156">
        <v>6</v>
      </c>
      <c r="AE66" s="156">
        <v>2</v>
      </c>
      <c r="AF66" s="156">
        <v>4</v>
      </c>
      <c r="AG66" s="156">
        <v>6</v>
      </c>
    </row>
    <row r="67" spans="1:33" s="78" customFormat="1" ht="25.5" x14ac:dyDescent="0.25">
      <c r="A67" s="178" t="s">
        <v>991</v>
      </c>
      <c r="B67" s="185" t="s">
        <v>2207</v>
      </c>
      <c r="C67" s="155" t="s">
        <v>434</v>
      </c>
      <c r="D67" s="155">
        <f t="shared" si="32"/>
        <v>12</v>
      </c>
      <c r="E67" s="156">
        <f t="shared" si="33"/>
        <v>18</v>
      </c>
      <c r="F67" s="157">
        <f t="shared" si="34"/>
        <v>216</v>
      </c>
      <c r="G67" s="158">
        <f>VLOOKUP(C67,CPU_SALARIOS!$B$13:$E$30,4,FALSE)</f>
        <v>4095.52</v>
      </c>
      <c r="H67" s="160">
        <f t="shared" ca="1" si="46"/>
        <v>1503.52</v>
      </c>
      <c r="I67" s="160">
        <f ca="1">(((G67+H67)/176)*0.2)</f>
        <v>6.3625454545454545</v>
      </c>
      <c r="J67" s="160">
        <f ca="1">(I67*120)+((I67*120)/25)*5</f>
        <v>916.20654545454545</v>
      </c>
      <c r="K67" s="160">
        <v>0</v>
      </c>
      <c r="L67" s="160">
        <v>0</v>
      </c>
      <c r="M67" s="160">
        <v>0</v>
      </c>
      <c r="N67" s="160">
        <v>0</v>
      </c>
      <c r="O67" s="160">
        <f t="shared" ca="1" si="35"/>
        <v>5027.59</v>
      </c>
      <c r="P67" s="160">
        <f t="shared" ca="1" si="36"/>
        <v>11542.836545454546</v>
      </c>
      <c r="Q67" s="158">
        <f t="shared" si="37"/>
        <v>884632.32</v>
      </c>
      <c r="R67" s="160">
        <f t="shared" ca="1" si="38"/>
        <v>324760.32000000001</v>
      </c>
      <c r="S67" s="160">
        <f t="shared" ca="1" si="39"/>
        <v>197900.61</v>
      </c>
      <c r="T67" s="160">
        <f t="shared" si="40"/>
        <v>0</v>
      </c>
      <c r="U67" s="160">
        <f t="shared" ca="1" si="41"/>
        <v>1085959.44</v>
      </c>
      <c r="V67" s="161">
        <f t="shared" ca="1" si="42"/>
        <v>2493252.69</v>
      </c>
      <c r="X67" s="156">
        <v>18</v>
      </c>
      <c r="Y67" s="156">
        <f t="shared" si="43"/>
        <v>0</v>
      </c>
      <c r="Z67" s="156">
        <v>12</v>
      </c>
      <c r="AA67" s="156">
        <f t="shared" si="44"/>
        <v>6</v>
      </c>
      <c r="AB67" s="156">
        <f t="shared" si="45"/>
        <v>18</v>
      </c>
      <c r="AC67" s="156">
        <v>0</v>
      </c>
      <c r="AD67" s="156">
        <v>6</v>
      </c>
      <c r="AE67" s="156">
        <v>2</v>
      </c>
      <c r="AF67" s="156">
        <v>4</v>
      </c>
      <c r="AG67" s="156">
        <v>6</v>
      </c>
    </row>
    <row r="68" spans="1:33" s="78" customFormat="1" ht="25.5" x14ac:dyDescent="0.25">
      <c r="A68" s="178" t="s">
        <v>992</v>
      </c>
      <c r="B68" s="185" t="s">
        <v>2208</v>
      </c>
      <c r="C68" s="155" t="s">
        <v>526</v>
      </c>
      <c r="D68" s="155">
        <f t="shared" si="32"/>
        <v>12</v>
      </c>
      <c r="E68" s="156">
        <f t="shared" si="33"/>
        <v>18</v>
      </c>
      <c r="F68" s="157">
        <f t="shared" si="34"/>
        <v>216</v>
      </c>
      <c r="G68" s="158">
        <f>VLOOKUP(C68,CPU_SALARIOS!$B$13:$E$30,4,FALSE)</f>
        <v>3395.04</v>
      </c>
      <c r="H68" s="160">
        <f t="shared" si="46"/>
        <v>1018.51</v>
      </c>
      <c r="I68" s="160">
        <v>0</v>
      </c>
      <c r="J68" s="160">
        <v>0</v>
      </c>
      <c r="K68" s="160">
        <v>0</v>
      </c>
      <c r="L68" s="160">
        <v>0</v>
      </c>
      <c r="M68" s="160">
        <v>0</v>
      </c>
      <c r="N68" s="160">
        <v>0</v>
      </c>
      <c r="O68" s="160">
        <f t="shared" si="35"/>
        <v>3405.78</v>
      </c>
      <c r="P68" s="160">
        <f t="shared" si="36"/>
        <v>7819.33</v>
      </c>
      <c r="Q68" s="158">
        <f t="shared" si="37"/>
        <v>733328.64</v>
      </c>
      <c r="R68" s="160">
        <f t="shared" si="38"/>
        <v>219998.16</v>
      </c>
      <c r="S68" s="160">
        <f t="shared" si="39"/>
        <v>0</v>
      </c>
      <c r="T68" s="160">
        <f t="shared" si="40"/>
        <v>0</v>
      </c>
      <c r="U68" s="160">
        <f t="shared" si="41"/>
        <v>735648.48</v>
      </c>
      <c r="V68" s="161">
        <f t="shared" si="42"/>
        <v>1688975.28</v>
      </c>
      <c r="X68" s="156">
        <v>18</v>
      </c>
      <c r="Y68" s="156">
        <f t="shared" si="43"/>
        <v>0</v>
      </c>
      <c r="Z68" s="156">
        <v>12</v>
      </c>
      <c r="AA68" s="156">
        <f t="shared" si="44"/>
        <v>6</v>
      </c>
      <c r="AB68" s="156">
        <f t="shared" si="45"/>
        <v>18</v>
      </c>
      <c r="AC68" s="156">
        <v>0</v>
      </c>
      <c r="AD68" s="156">
        <v>6</v>
      </c>
      <c r="AE68" s="156">
        <v>2</v>
      </c>
      <c r="AF68" s="156">
        <v>4</v>
      </c>
      <c r="AG68" s="156">
        <v>6</v>
      </c>
    </row>
    <row r="69" spans="1:33" s="78" customFormat="1" ht="25.5" x14ac:dyDescent="0.25">
      <c r="A69" s="178" t="s">
        <v>993</v>
      </c>
      <c r="B69" s="185" t="s">
        <v>2209</v>
      </c>
      <c r="C69" s="155" t="s">
        <v>526</v>
      </c>
      <c r="D69" s="155">
        <f t="shared" si="32"/>
        <v>12</v>
      </c>
      <c r="E69" s="156">
        <f t="shared" si="33"/>
        <v>18</v>
      </c>
      <c r="F69" s="157">
        <f t="shared" si="34"/>
        <v>216</v>
      </c>
      <c r="G69" s="158">
        <f>VLOOKUP(C69,CPU_SALARIOS!$B$13:$E$30,4,FALSE)</f>
        <v>3395.04</v>
      </c>
      <c r="H69" s="160">
        <f t="shared" ca="1" si="46"/>
        <v>1246.3599999999999</v>
      </c>
      <c r="I69" s="160">
        <f ca="1">(((G69+H69)/176)*0.2)</f>
        <v>5.2743181818181819</v>
      </c>
      <c r="J69" s="160">
        <f ca="1">(I69*120)+((I69*120)/25)*5</f>
        <v>759.50181818181818</v>
      </c>
      <c r="K69" s="160">
        <v>0</v>
      </c>
      <c r="L69" s="160">
        <v>0</v>
      </c>
      <c r="M69" s="160">
        <v>0</v>
      </c>
      <c r="N69" s="160">
        <v>0</v>
      </c>
      <c r="O69" s="160">
        <f t="shared" ca="1" si="35"/>
        <v>4167.6899999999996</v>
      </c>
      <c r="P69" s="160">
        <f t="shared" ca="1" si="36"/>
        <v>9568.5918181818161</v>
      </c>
      <c r="Q69" s="158">
        <f t="shared" si="37"/>
        <v>733328.64</v>
      </c>
      <c r="R69" s="160">
        <f t="shared" ca="1" si="38"/>
        <v>269213.76</v>
      </c>
      <c r="S69" s="160">
        <f t="shared" ca="1" si="39"/>
        <v>164052.39000000001</v>
      </c>
      <c r="T69" s="160">
        <f t="shared" si="40"/>
        <v>0</v>
      </c>
      <c r="U69" s="160">
        <f t="shared" ca="1" si="41"/>
        <v>900221.04</v>
      </c>
      <c r="V69" s="161">
        <f t="shared" ca="1" si="42"/>
        <v>2066815.83</v>
      </c>
      <c r="X69" s="156">
        <v>18</v>
      </c>
      <c r="Y69" s="156">
        <f t="shared" si="43"/>
        <v>0</v>
      </c>
      <c r="Z69" s="156">
        <v>12</v>
      </c>
      <c r="AA69" s="156">
        <f t="shared" si="44"/>
        <v>6</v>
      </c>
      <c r="AB69" s="156">
        <f t="shared" si="45"/>
        <v>18</v>
      </c>
      <c r="AC69" s="156">
        <v>0</v>
      </c>
      <c r="AD69" s="156">
        <v>6</v>
      </c>
      <c r="AE69" s="156">
        <v>2</v>
      </c>
      <c r="AF69" s="156">
        <v>4</v>
      </c>
      <c r="AG69" s="156">
        <v>6</v>
      </c>
    </row>
    <row r="70" spans="1:33" s="78" customFormat="1" x14ac:dyDescent="0.25">
      <c r="A70" s="178" t="s">
        <v>994</v>
      </c>
      <c r="B70" s="185" t="s">
        <v>2197</v>
      </c>
      <c r="C70" s="155" t="s">
        <v>439</v>
      </c>
      <c r="D70" s="155">
        <f t="shared" si="32"/>
        <v>12</v>
      </c>
      <c r="E70" s="142">
        <f t="shared" si="33"/>
        <v>13</v>
      </c>
      <c r="F70" s="157">
        <f t="shared" si="34"/>
        <v>156</v>
      </c>
      <c r="G70" s="158">
        <f>VLOOKUP(C70,CPU_SALARIOS!$B$13:$E$30,4,FALSE)</f>
        <v>1478.4</v>
      </c>
      <c r="H70" s="160">
        <f t="shared" si="46"/>
        <v>443.52</v>
      </c>
      <c r="I70" s="160">
        <v>0</v>
      </c>
      <c r="J70" s="160">
        <v>0</v>
      </c>
      <c r="K70" s="160">
        <v>0</v>
      </c>
      <c r="L70" s="160">
        <v>0</v>
      </c>
      <c r="M70" s="160">
        <v>0</v>
      </c>
      <c r="N70" s="160">
        <v>0</v>
      </c>
      <c r="O70" s="160">
        <f t="shared" si="35"/>
        <v>1483.08</v>
      </c>
      <c r="P70" s="160">
        <f t="shared" si="36"/>
        <v>3405</v>
      </c>
      <c r="Q70" s="158">
        <f t="shared" si="37"/>
        <v>230630.39999999999</v>
      </c>
      <c r="R70" s="160">
        <f t="shared" si="38"/>
        <v>69189.119999999995</v>
      </c>
      <c r="S70" s="160">
        <f t="shared" si="39"/>
        <v>0</v>
      </c>
      <c r="T70" s="160">
        <f t="shared" si="40"/>
        <v>0</v>
      </c>
      <c r="U70" s="160">
        <f t="shared" si="41"/>
        <v>231360.48</v>
      </c>
      <c r="V70" s="161">
        <f t="shared" si="42"/>
        <v>531180</v>
      </c>
      <c r="X70" s="142">
        <v>18</v>
      </c>
      <c r="Y70" s="142">
        <f t="shared" si="43"/>
        <v>-5</v>
      </c>
      <c r="Z70" s="142">
        <v>4</v>
      </c>
      <c r="AA70" s="142">
        <f t="shared" si="44"/>
        <v>9</v>
      </c>
      <c r="AB70" s="142">
        <f t="shared" si="45"/>
        <v>13</v>
      </c>
      <c r="AC70" s="142">
        <f>1*(4+4+5)</f>
        <v>13</v>
      </c>
      <c r="AD70" s="142">
        <v>0</v>
      </c>
      <c r="AE70" s="142">
        <v>0</v>
      </c>
      <c r="AF70" s="142">
        <v>0</v>
      </c>
      <c r="AG70" s="142">
        <v>0</v>
      </c>
    </row>
    <row r="71" spans="1:33" s="78" customFormat="1" ht="13.5" thickBot="1" x14ac:dyDescent="0.3">
      <c r="A71" s="178" t="s">
        <v>995</v>
      </c>
      <c r="B71" s="185" t="s">
        <v>2210</v>
      </c>
      <c r="C71" s="155" t="s">
        <v>439</v>
      </c>
      <c r="D71" s="141">
        <f t="shared" si="32"/>
        <v>12</v>
      </c>
      <c r="E71" s="142">
        <f t="shared" si="33"/>
        <v>4</v>
      </c>
      <c r="F71" s="157">
        <f t="shared" si="34"/>
        <v>48</v>
      </c>
      <c r="G71" s="158">
        <f>VLOOKUP(C71,CPU_SALARIOS!$B$13:$E$30,4,FALSE)</f>
        <v>1478.4</v>
      </c>
      <c r="H71" s="159">
        <f t="shared" si="46"/>
        <v>443.52</v>
      </c>
      <c r="I71" s="159">
        <v>0</v>
      </c>
      <c r="J71" s="159">
        <v>0</v>
      </c>
      <c r="K71" s="159">
        <v>0</v>
      </c>
      <c r="L71" s="159">
        <v>0</v>
      </c>
      <c r="M71" s="159">
        <v>0</v>
      </c>
      <c r="N71" s="160">
        <v>0</v>
      </c>
      <c r="O71" s="160">
        <f t="shared" si="35"/>
        <v>1483.08</v>
      </c>
      <c r="P71" s="160">
        <f t="shared" si="36"/>
        <v>3405</v>
      </c>
      <c r="Q71" s="158">
        <f t="shared" si="37"/>
        <v>70963.199999999997</v>
      </c>
      <c r="R71" s="160">
        <f t="shared" si="38"/>
        <v>21288.959999999999</v>
      </c>
      <c r="S71" s="160">
        <f t="shared" si="39"/>
        <v>0</v>
      </c>
      <c r="T71" s="160">
        <f t="shared" si="40"/>
        <v>0</v>
      </c>
      <c r="U71" s="160">
        <f t="shared" si="41"/>
        <v>71187.839999999997</v>
      </c>
      <c r="V71" s="161">
        <f t="shared" si="42"/>
        <v>163440</v>
      </c>
      <c r="X71" s="142">
        <v>6</v>
      </c>
      <c r="Y71" s="142">
        <f t="shared" si="43"/>
        <v>-2</v>
      </c>
      <c r="Z71" s="142">
        <v>2</v>
      </c>
      <c r="AA71" s="142">
        <f t="shared" si="44"/>
        <v>2</v>
      </c>
      <c r="AB71" s="142">
        <f t="shared" si="45"/>
        <v>4</v>
      </c>
      <c r="AC71" s="142">
        <v>4</v>
      </c>
      <c r="AD71" s="142">
        <v>0</v>
      </c>
      <c r="AE71" s="142">
        <v>0</v>
      </c>
      <c r="AF71" s="142">
        <v>0</v>
      </c>
      <c r="AG71" s="142">
        <v>0</v>
      </c>
    </row>
    <row r="72" spans="1:33" s="78" customFormat="1" ht="13.5" thickBot="1" x14ac:dyDescent="0.3">
      <c r="A72" s="135" t="s">
        <v>442</v>
      </c>
      <c r="B72" s="35" t="s">
        <v>605</v>
      </c>
      <c r="C72" s="136"/>
      <c r="D72" s="136"/>
      <c r="E72" s="136"/>
      <c r="F72" s="136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9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</row>
    <row r="73" spans="1:33" s="78" customFormat="1" x14ac:dyDescent="0.25">
      <c r="A73" s="63" t="s">
        <v>996</v>
      </c>
      <c r="B73" s="184" t="s">
        <v>2200</v>
      </c>
      <c r="C73" s="27" t="s">
        <v>434</v>
      </c>
      <c r="D73" s="27">
        <f t="shared" ref="D73:D74" si="47">D$15</f>
        <v>12</v>
      </c>
      <c r="E73" s="153">
        <f t="shared" ref="E73:E74" si="48">AB73</f>
        <v>3</v>
      </c>
      <c r="F73" s="154">
        <f t="shared" ref="F73:F74" si="49">D73*E73</f>
        <v>36</v>
      </c>
      <c r="G73" s="32">
        <f>VLOOKUP(C73,CPU_SALARIOS!$B$13:$E$30,4,FALSE)</f>
        <v>4095.52</v>
      </c>
      <c r="H73" s="134">
        <f t="shared" si="46"/>
        <v>1228.6600000000001</v>
      </c>
      <c r="I73" s="134">
        <v>0</v>
      </c>
      <c r="J73" s="134">
        <v>0</v>
      </c>
      <c r="K73" s="28">
        <v>0</v>
      </c>
      <c r="L73" s="134">
        <f t="shared" ref="L73:L74" si="50">K73*(176*0.025)</f>
        <v>0</v>
      </c>
      <c r="M73" s="28">
        <v>0</v>
      </c>
      <c r="N73" s="134">
        <f t="shared" ref="N73:N74" si="51">M73*(176*0.05)</f>
        <v>0</v>
      </c>
      <c r="O73" s="134">
        <f t="shared" ref="O73:O74" si="52">ROUND((G73+H73+J73+L73+N73)*$O$13,2)</f>
        <v>4108.4799999999996</v>
      </c>
      <c r="P73" s="134">
        <f t="shared" ref="P73:P74" si="53">G73+H73+J73+L73+N73+O73</f>
        <v>9432.66</v>
      </c>
      <c r="Q73" s="32">
        <f t="shared" ref="Q73:Q74" si="54">ROUND(F73*G73,2)</f>
        <v>147438.72</v>
      </c>
      <c r="R73" s="134">
        <f t="shared" ref="R73:R74" si="55">ROUND(F73*H73,2)</f>
        <v>44231.76</v>
      </c>
      <c r="S73" s="134">
        <f t="shared" ref="S73:S74" si="56">ROUND(F73*J73,2)</f>
        <v>0</v>
      </c>
      <c r="T73" s="134">
        <f t="shared" ref="T73:T74" si="57">ROUND((F73*L73)+(F73*N73),2)</f>
        <v>0</v>
      </c>
      <c r="U73" s="134">
        <f t="shared" ref="U73:U74" si="58">ROUND(F73*O73,2)</f>
        <v>147905.28</v>
      </c>
      <c r="V73" s="28">
        <f t="shared" ref="V73:V74" si="59">ROUND(F73*P73,2)</f>
        <v>339575.76</v>
      </c>
      <c r="X73" s="169">
        <v>7</v>
      </c>
      <c r="Y73" s="169">
        <f t="shared" ref="Y73:Y74" si="60">AB73-$X73</f>
        <v>-4</v>
      </c>
      <c r="Z73" s="169">
        <v>2</v>
      </c>
      <c r="AA73" s="169">
        <f t="shared" ref="AA73:AA74" si="61">AB73-Z73</f>
        <v>1</v>
      </c>
      <c r="AB73" s="169">
        <f t="shared" ref="AB73:AB74" si="62">SUM(AC73:AG73)</f>
        <v>3</v>
      </c>
      <c r="AC73" s="169">
        <v>0</v>
      </c>
      <c r="AD73" s="169">
        <v>1</v>
      </c>
      <c r="AE73" s="169">
        <v>1</v>
      </c>
      <c r="AF73" s="169">
        <v>1</v>
      </c>
      <c r="AG73" s="169">
        <v>0</v>
      </c>
    </row>
    <row r="74" spans="1:33" s="78" customFormat="1" ht="13.5" thickBot="1" x14ac:dyDescent="0.3">
      <c r="A74" s="178" t="s">
        <v>997</v>
      </c>
      <c r="B74" s="185" t="s">
        <v>2201</v>
      </c>
      <c r="C74" s="155" t="s">
        <v>439</v>
      </c>
      <c r="D74" s="141">
        <f t="shared" si="47"/>
        <v>12</v>
      </c>
      <c r="E74" s="142">
        <f t="shared" si="48"/>
        <v>4</v>
      </c>
      <c r="F74" s="157">
        <f t="shared" si="49"/>
        <v>48</v>
      </c>
      <c r="G74" s="158">
        <f>VLOOKUP(C74,CPU_SALARIOS!$B$13:$E$30,4,FALSE)</f>
        <v>1478.4</v>
      </c>
      <c r="H74" s="160">
        <f t="shared" si="46"/>
        <v>443.52</v>
      </c>
      <c r="I74" s="160">
        <v>0</v>
      </c>
      <c r="J74" s="160">
        <v>0</v>
      </c>
      <c r="K74" s="161">
        <v>0</v>
      </c>
      <c r="L74" s="160">
        <f t="shared" si="50"/>
        <v>0</v>
      </c>
      <c r="M74" s="161">
        <v>0</v>
      </c>
      <c r="N74" s="160">
        <f t="shared" si="51"/>
        <v>0</v>
      </c>
      <c r="O74" s="160">
        <f t="shared" si="52"/>
        <v>1483.08</v>
      </c>
      <c r="P74" s="160">
        <f t="shared" si="53"/>
        <v>3405</v>
      </c>
      <c r="Q74" s="158">
        <f t="shared" si="54"/>
        <v>70963.199999999997</v>
      </c>
      <c r="R74" s="160">
        <f t="shared" si="55"/>
        <v>21288.959999999999</v>
      </c>
      <c r="S74" s="160">
        <f t="shared" si="56"/>
        <v>0</v>
      </c>
      <c r="T74" s="160">
        <f t="shared" si="57"/>
        <v>0</v>
      </c>
      <c r="U74" s="160">
        <f t="shared" si="58"/>
        <v>71187.839999999997</v>
      </c>
      <c r="V74" s="161">
        <f t="shared" si="59"/>
        <v>163440</v>
      </c>
      <c r="X74" s="142">
        <v>12</v>
      </c>
      <c r="Y74" s="142">
        <f t="shared" si="60"/>
        <v>-8</v>
      </c>
      <c r="Z74" s="142">
        <v>5</v>
      </c>
      <c r="AA74" s="142">
        <f t="shared" si="61"/>
        <v>-1</v>
      </c>
      <c r="AB74" s="142">
        <f t="shared" si="62"/>
        <v>4</v>
      </c>
      <c r="AC74" s="142">
        <v>0</v>
      </c>
      <c r="AD74" s="142">
        <v>2</v>
      </c>
      <c r="AE74" s="142">
        <v>1</v>
      </c>
      <c r="AF74" s="142">
        <v>1</v>
      </c>
      <c r="AG74" s="142">
        <v>0</v>
      </c>
    </row>
    <row r="75" spans="1:33" s="78" customFormat="1" ht="13.5" thickBot="1" x14ac:dyDescent="0.3">
      <c r="A75" s="135" t="s">
        <v>608</v>
      </c>
      <c r="B75" s="35" t="s">
        <v>609</v>
      </c>
      <c r="C75" s="136"/>
      <c r="D75" s="136"/>
      <c r="E75" s="136"/>
      <c r="F75" s="136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9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</row>
    <row r="76" spans="1:33" s="78" customFormat="1" ht="25.5" x14ac:dyDescent="0.25">
      <c r="A76" s="63" t="s">
        <v>1002</v>
      </c>
      <c r="B76" s="184" t="s">
        <v>2199</v>
      </c>
      <c r="C76" s="27" t="s">
        <v>434</v>
      </c>
      <c r="D76" s="27">
        <f t="shared" ref="D76:D78" si="63">D$15</f>
        <v>12</v>
      </c>
      <c r="E76" s="153">
        <f>AB76</f>
        <v>3</v>
      </c>
      <c r="F76" s="154">
        <f>D76*E76</f>
        <v>36</v>
      </c>
      <c r="G76" s="32">
        <f>VLOOKUP(C76,CPU_SALARIOS!$B$13:$E$30,4,FALSE)</f>
        <v>4095.52</v>
      </c>
      <c r="H76" s="134">
        <f>ROUND(((G76)*$H$13),2)</f>
        <v>1228.6600000000001</v>
      </c>
      <c r="I76" s="134">
        <v>0</v>
      </c>
      <c r="J76" s="134">
        <v>0</v>
      </c>
      <c r="K76" s="28">
        <v>0</v>
      </c>
      <c r="L76" s="134">
        <f>K76*(176*0.025)</f>
        <v>0</v>
      </c>
      <c r="M76" s="28">
        <v>0</v>
      </c>
      <c r="N76" s="134">
        <f>M76*(176*0.05)</f>
        <v>0</v>
      </c>
      <c r="O76" s="134">
        <f>ROUND((G76+H76+J76+L76+N76)*$O$13,2)</f>
        <v>4108.4799999999996</v>
      </c>
      <c r="P76" s="134">
        <f>G76+H76+J76+L76+N76+O76</f>
        <v>9432.66</v>
      </c>
      <c r="Q76" s="32">
        <f>ROUND(F76*G76,2)</f>
        <v>147438.72</v>
      </c>
      <c r="R76" s="134">
        <f>ROUND(F76*H76,2)</f>
        <v>44231.76</v>
      </c>
      <c r="S76" s="134">
        <f>ROUND(F76*J76,2)</f>
        <v>0</v>
      </c>
      <c r="T76" s="134">
        <f>ROUND((F76*L76)+(F76*N76),2)</f>
        <v>0</v>
      </c>
      <c r="U76" s="134">
        <f>ROUND(F76*O76,2)</f>
        <v>147905.28</v>
      </c>
      <c r="V76" s="28">
        <f>ROUND(F76*P76,2)</f>
        <v>339575.76</v>
      </c>
      <c r="X76" s="153">
        <v>6</v>
      </c>
      <c r="Y76" s="153">
        <f>AB76-$X76</f>
        <v>-3</v>
      </c>
      <c r="Z76" s="153">
        <v>3</v>
      </c>
      <c r="AA76" s="153">
        <f>AB76-Z76</f>
        <v>0</v>
      </c>
      <c r="AB76" s="153">
        <f>SUM(AC76:AG76)</f>
        <v>3</v>
      </c>
      <c r="AC76" s="153">
        <v>0</v>
      </c>
      <c r="AD76" s="153">
        <v>1</v>
      </c>
      <c r="AE76" s="153">
        <v>1</v>
      </c>
      <c r="AF76" s="153">
        <v>1</v>
      </c>
      <c r="AG76" s="153">
        <v>0</v>
      </c>
    </row>
    <row r="77" spans="1:33" s="78" customFormat="1" ht="25.5" x14ac:dyDescent="0.25">
      <c r="A77" s="178" t="s">
        <v>1003</v>
      </c>
      <c r="B77" s="185" t="s">
        <v>2198</v>
      </c>
      <c r="C77" s="155" t="s">
        <v>526</v>
      </c>
      <c r="D77" s="155">
        <f t="shared" si="63"/>
        <v>12</v>
      </c>
      <c r="E77" s="156">
        <f>AB77</f>
        <v>0</v>
      </c>
      <c r="F77" s="157">
        <f>D77*E77</f>
        <v>0</v>
      </c>
      <c r="G77" s="158">
        <f>VLOOKUP(C77,CPU_SALARIOS!$B$13:$E$30,4,FALSE)</f>
        <v>3395.04</v>
      </c>
      <c r="H77" s="160">
        <f t="shared" si="46"/>
        <v>1018.51</v>
      </c>
      <c r="I77" s="160">
        <v>0</v>
      </c>
      <c r="J77" s="160">
        <v>0</v>
      </c>
      <c r="K77" s="161">
        <v>0</v>
      </c>
      <c r="L77" s="160">
        <f t="shared" ref="L77:L94" si="64">K77*(176*0.025)</f>
        <v>0</v>
      </c>
      <c r="M77" s="161">
        <v>0</v>
      </c>
      <c r="N77" s="160">
        <f>M77*(176*0.05)</f>
        <v>0</v>
      </c>
      <c r="O77" s="160">
        <f>ROUND((G77+H77+J77+L77+N77)*$O$13,2)</f>
        <v>3405.78</v>
      </c>
      <c r="P77" s="160">
        <f>G77+H77+J77+L77+N77+O77</f>
        <v>7819.33</v>
      </c>
      <c r="Q77" s="158">
        <f>ROUND(F77*G77,2)</f>
        <v>0</v>
      </c>
      <c r="R77" s="160">
        <f>ROUND(F77*H77,2)</f>
        <v>0</v>
      </c>
      <c r="S77" s="160">
        <f>ROUND(F77*J77,2)</f>
        <v>0</v>
      </c>
      <c r="T77" s="160">
        <f>ROUND((F77*L77)+(F77*N77),2)</f>
        <v>0</v>
      </c>
      <c r="U77" s="160">
        <f>ROUND(F77*O77,2)</f>
        <v>0</v>
      </c>
      <c r="V77" s="161">
        <f>ROUND(F77*P77,2)</f>
        <v>0</v>
      </c>
      <c r="X77" s="156">
        <v>2</v>
      </c>
      <c r="Y77" s="156">
        <f>AB77-$X77</f>
        <v>-2</v>
      </c>
      <c r="Z77" s="156">
        <v>2</v>
      </c>
      <c r="AA77" s="156">
        <f>AB77-Z77</f>
        <v>-2</v>
      </c>
      <c r="AB77" s="156">
        <f>SUM(AC77:AG77)</f>
        <v>0</v>
      </c>
      <c r="AC77" s="156">
        <v>0</v>
      </c>
      <c r="AD77" s="156">
        <v>0</v>
      </c>
      <c r="AE77" s="156">
        <v>0</v>
      </c>
      <c r="AF77" s="156">
        <v>0</v>
      </c>
      <c r="AG77" s="156">
        <v>0</v>
      </c>
    </row>
    <row r="78" spans="1:33" s="78" customFormat="1" ht="13.5" thickBot="1" x14ac:dyDescent="0.3">
      <c r="A78" s="178" t="s">
        <v>1004</v>
      </c>
      <c r="B78" s="185" t="s">
        <v>2197</v>
      </c>
      <c r="C78" s="155" t="s">
        <v>439</v>
      </c>
      <c r="D78" s="141">
        <f t="shared" si="63"/>
        <v>12</v>
      </c>
      <c r="E78" s="156">
        <f>AB78</f>
        <v>4</v>
      </c>
      <c r="F78" s="157">
        <f>D78*E78</f>
        <v>48</v>
      </c>
      <c r="G78" s="158">
        <f>VLOOKUP(C78,CPU_SALARIOS!$B$13:$E$30,4,FALSE)</f>
        <v>1478.4</v>
      </c>
      <c r="H78" s="160">
        <f t="shared" si="46"/>
        <v>443.52</v>
      </c>
      <c r="I78" s="160">
        <v>0</v>
      </c>
      <c r="J78" s="160">
        <v>0</v>
      </c>
      <c r="K78" s="161">
        <v>0</v>
      </c>
      <c r="L78" s="160">
        <f t="shared" si="64"/>
        <v>0</v>
      </c>
      <c r="M78" s="161">
        <v>0</v>
      </c>
      <c r="N78" s="160">
        <f>M78*(176*0.05)</f>
        <v>0</v>
      </c>
      <c r="O78" s="160">
        <f>ROUND((G78+H78+J78+L78+N78)*$O$13,2)</f>
        <v>1483.08</v>
      </c>
      <c r="P78" s="160">
        <f>G78+H78+J78+L78+N78+O78</f>
        <v>3405</v>
      </c>
      <c r="Q78" s="158">
        <f>ROUND(F78*G78,2)</f>
        <v>70963.199999999997</v>
      </c>
      <c r="R78" s="160">
        <f>ROUND(F78*H78,2)</f>
        <v>21288.959999999999</v>
      </c>
      <c r="S78" s="160">
        <f>ROUND(F78*J78,2)</f>
        <v>0</v>
      </c>
      <c r="T78" s="160">
        <f>ROUND((F78*L78)+(F78*N78),2)</f>
        <v>0</v>
      </c>
      <c r="U78" s="160">
        <f>ROUND(F78*O78,2)</f>
        <v>71187.839999999997</v>
      </c>
      <c r="V78" s="161">
        <f>ROUND(F78*P78,2)</f>
        <v>163440</v>
      </c>
      <c r="X78" s="156">
        <v>8</v>
      </c>
      <c r="Y78" s="156">
        <f>AB78-$X78</f>
        <v>-4</v>
      </c>
      <c r="Z78" s="156">
        <v>4</v>
      </c>
      <c r="AA78" s="156">
        <f>AB78-Z78</f>
        <v>0</v>
      </c>
      <c r="AB78" s="156">
        <f>SUM(AC78:AG78)</f>
        <v>4</v>
      </c>
      <c r="AC78" s="156">
        <v>0</v>
      </c>
      <c r="AD78" s="156">
        <v>2</v>
      </c>
      <c r="AE78" s="156">
        <v>0</v>
      </c>
      <c r="AF78" s="156">
        <v>2</v>
      </c>
      <c r="AG78" s="156">
        <v>0</v>
      </c>
    </row>
    <row r="79" spans="1:33" s="78" customFormat="1" ht="13.5" thickBot="1" x14ac:dyDescent="0.3">
      <c r="A79" s="135" t="s">
        <v>611</v>
      </c>
      <c r="B79" s="35" t="s">
        <v>1030</v>
      </c>
      <c r="C79" s="136"/>
      <c r="D79" s="136"/>
      <c r="E79" s="136"/>
      <c r="F79" s="136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9"/>
      <c r="X79" s="136"/>
      <c r="Y79" s="136"/>
      <c r="Z79" s="136"/>
      <c r="AA79" s="136"/>
      <c r="AB79" s="136"/>
      <c r="AC79" s="136"/>
      <c r="AD79" s="136"/>
      <c r="AE79" s="136"/>
      <c r="AF79" s="136"/>
      <c r="AG79" s="136"/>
    </row>
    <row r="80" spans="1:33" s="78" customFormat="1" ht="25.5" x14ac:dyDescent="0.25">
      <c r="A80" s="63" t="s">
        <v>1007</v>
      </c>
      <c r="B80" s="184" t="s">
        <v>2217</v>
      </c>
      <c r="C80" s="27" t="s">
        <v>434</v>
      </c>
      <c r="D80" s="27">
        <f t="shared" ref="D80:D82" si="65">D$15</f>
        <v>12</v>
      </c>
      <c r="E80" s="27">
        <f>AB80</f>
        <v>1</v>
      </c>
      <c r="F80" s="154">
        <f>D80*E80</f>
        <v>12</v>
      </c>
      <c r="G80" s="32">
        <f>VLOOKUP(C80,CPU_SALARIOS!$B$13:$E$30,4,FALSE)</f>
        <v>4095.52</v>
      </c>
      <c r="H80" s="134">
        <f t="shared" si="46"/>
        <v>1228.6600000000001</v>
      </c>
      <c r="I80" s="134">
        <v>0</v>
      </c>
      <c r="J80" s="134">
        <v>0</v>
      </c>
      <c r="K80" s="28">
        <v>0</v>
      </c>
      <c r="L80" s="134">
        <f t="shared" si="64"/>
        <v>0</v>
      </c>
      <c r="M80" s="28">
        <v>0</v>
      </c>
      <c r="N80" s="134">
        <f t="shared" ref="N80:N94" si="66">M80*(176*0.05)</f>
        <v>0</v>
      </c>
      <c r="O80" s="134">
        <f>ROUND((G80+H80+J80+L80+N80)*$O$13,2)</f>
        <v>4108.4799999999996</v>
      </c>
      <c r="P80" s="134">
        <f>G80+H80+J80+L80+N80+O80</f>
        <v>9432.66</v>
      </c>
      <c r="Q80" s="32">
        <f>ROUND(F80*G80,2)</f>
        <v>49146.239999999998</v>
      </c>
      <c r="R80" s="134">
        <f>ROUND(F80*H80,2)</f>
        <v>14743.92</v>
      </c>
      <c r="S80" s="134">
        <f>ROUND(F80*J80,2)</f>
        <v>0</v>
      </c>
      <c r="T80" s="134">
        <f>ROUND((F80*L80)+(F80*N80),2)</f>
        <v>0</v>
      </c>
      <c r="U80" s="134">
        <f>ROUND(F80*O80,2)</f>
        <v>49301.760000000002</v>
      </c>
      <c r="V80" s="28">
        <f>ROUND(F80*P80,2)</f>
        <v>113191.92</v>
      </c>
      <c r="X80" s="27">
        <v>1</v>
      </c>
      <c r="Y80" s="27">
        <f>AB80-$X80</f>
        <v>0</v>
      </c>
      <c r="Z80" s="27">
        <v>1</v>
      </c>
      <c r="AA80" s="27">
        <f>AB80-Z80</f>
        <v>0</v>
      </c>
      <c r="AB80" s="27">
        <f>SUM(AC80:AG80)</f>
        <v>1</v>
      </c>
      <c r="AC80" s="27">
        <v>0</v>
      </c>
      <c r="AD80" s="27">
        <v>1</v>
      </c>
      <c r="AE80" s="27">
        <v>0</v>
      </c>
      <c r="AF80" s="27">
        <v>0</v>
      </c>
      <c r="AG80" s="27">
        <v>0</v>
      </c>
    </row>
    <row r="81" spans="1:33" s="78" customFormat="1" x14ac:dyDescent="0.25">
      <c r="A81" s="178" t="s">
        <v>1008</v>
      </c>
      <c r="B81" s="185" t="s">
        <v>2184</v>
      </c>
      <c r="C81" s="155" t="s">
        <v>439</v>
      </c>
      <c r="D81" s="155">
        <f t="shared" si="65"/>
        <v>12</v>
      </c>
      <c r="E81" s="155">
        <f>AB81</f>
        <v>1</v>
      </c>
      <c r="F81" s="157">
        <f>D81*E81</f>
        <v>12</v>
      </c>
      <c r="G81" s="158">
        <f>VLOOKUP(C81,CPU_SALARIOS!$B$13:$E$30,4,FALSE)</f>
        <v>1478.4</v>
      </c>
      <c r="H81" s="160">
        <f t="shared" si="46"/>
        <v>443.52</v>
      </c>
      <c r="I81" s="160">
        <v>0</v>
      </c>
      <c r="J81" s="160">
        <v>0</v>
      </c>
      <c r="K81" s="161">
        <v>0</v>
      </c>
      <c r="L81" s="160">
        <f t="shared" si="64"/>
        <v>0</v>
      </c>
      <c r="M81" s="161">
        <v>0</v>
      </c>
      <c r="N81" s="160">
        <f t="shared" si="66"/>
        <v>0</v>
      </c>
      <c r="O81" s="160">
        <f>ROUND((G81+H81+J81+L81+N81)*$O$13,2)</f>
        <v>1483.08</v>
      </c>
      <c r="P81" s="160">
        <f>G81+H81+J81+L81+N81+O81</f>
        <v>3405</v>
      </c>
      <c r="Q81" s="158">
        <f>ROUND(F81*G81,2)</f>
        <v>17740.8</v>
      </c>
      <c r="R81" s="160">
        <f>ROUND(F81*H81,2)</f>
        <v>5322.24</v>
      </c>
      <c r="S81" s="160">
        <f>ROUND(F81*J81,2)</f>
        <v>0</v>
      </c>
      <c r="T81" s="160">
        <f>ROUND((F81*L81)+(F81*N81),2)</f>
        <v>0</v>
      </c>
      <c r="U81" s="160">
        <f>ROUND(F81*O81,2)</f>
        <v>17796.96</v>
      </c>
      <c r="V81" s="161">
        <f>ROUND(F81*P81,2)</f>
        <v>40860</v>
      </c>
      <c r="X81" s="155">
        <v>2</v>
      </c>
      <c r="Y81" s="155">
        <f>AB81-$X81</f>
        <v>-1</v>
      </c>
      <c r="Z81" s="155">
        <v>2</v>
      </c>
      <c r="AA81" s="155">
        <f>AB81-Z81</f>
        <v>-1</v>
      </c>
      <c r="AB81" s="155">
        <f>SUM(AC81:AG81)</f>
        <v>1</v>
      </c>
      <c r="AC81" s="155">
        <v>0</v>
      </c>
      <c r="AD81" s="155">
        <v>1</v>
      </c>
      <c r="AE81" s="155">
        <v>0</v>
      </c>
      <c r="AF81" s="155">
        <v>0</v>
      </c>
      <c r="AG81" s="155">
        <v>0</v>
      </c>
    </row>
    <row r="82" spans="1:33" s="78" customFormat="1" ht="13.5" thickBot="1" x14ac:dyDescent="0.3">
      <c r="A82" s="178" t="s">
        <v>1009</v>
      </c>
      <c r="B82" s="186" t="s">
        <v>2189</v>
      </c>
      <c r="C82" s="162" t="s">
        <v>439</v>
      </c>
      <c r="D82" s="162">
        <f t="shared" si="65"/>
        <v>12</v>
      </c>
      <c r="E82" s="162">
        <f>AB82</f>
        <v>0</v>
      </c>
      <c r="F82" s="164">
        <f>D82*E82</f>
        <v>0</v>
      </c>
      <c r="G82" s="165">
        <f>VLOOKUP(C82,CPU_SALARIOS!$B$13:$E$30,4,FALSE)</f>
        <v>1478.4</v>
      </c>
      <c r="H82" s="167">
        <f t="shared" si="46"/>
        <v>443.52</v>
      </c>
      <c r="I82" s="167">
        <v>0</v>
      </c>
      <c r="J82" s="167">
        <v>0</v>
      </c>
      <c r="K82" s="168">
        <v>0</v>
      </c>
      <c r="L82" s="167">
        <f t="shared" si="64"/>
        <v>0</v>
      </c>
      <c r="M82" s="168">
        <v>0</v>
      </c>
      <c r="N82" s="167">
        <f t="shared" si="66"/>
        <v>0</v>
      </c>
      <c r="O82" s="167">
        <f>ROUND((G82+H82+J82+L82+N82)*$O$13,2)</f>
        <v>1483.08</v>
      </c>
      <c r="P82" s="167">
        <f>G82+H82+J82+L82+N82+O82</f>
        <v>3405</v>
      </c>
      <c r="Q82" s="165">
        <f>ROUND(F82*G82,2)</f>
        <v>0</v>
      </c>
      <c r="R82" s="167">
        <f>ROUND(F82*H82,2)</f>
        <v>0</v>
      </c>
      <c r="S82" s="167">
        <f>ROUND(F82*J82,2)</f>
        <v>0</v>
      </c>
      <c r="T82" s="167">
        <f>ROUND((F82*L82)+(F82*N82),2)</f>
        <v>0</v>
      </c>
      <c r="U82" s="167">
        <f>ROUND(F82*O82,2)</f>
        <v>0</v>
      </c>
      <c r="V82" s="168">
        <f>ROUND(F82*P82,2)</f>
        <v>0</v>
      </c>
      <c r="X82" s="162">
        <v>2</v>
      </c>
      <c r="Y82" s="162">
        <f>AB82-$X82</f>
        <v>-2</v>
      </c>
      <c r="Z82" s="162">
        <v>2</v>
      </c>
      <c r="AA82" s="162">
        <f>AB82-Z82</f>
        <v>-2</v>
      </c>
      <c r="AB82" s="162">
        <f>SUM(AC82:AG82)</f>
        <v>0</v>
      </c>
      <c r="AC82" s="162">
        <v>0</v>
      </c>
      <c r="AD82" s="162">
        <v>0</v>
      </c>
      <c r="AE82" s="162">
        <v>0</v>
      </c>
      <c r="AF82" s="162">
        <v>0</v>
      </c>
      <c r="AG82" s="162">
        <v>0</v>
      </c>
    </row>
    <row r="83" spans="1:33" s="78" customFormat="1" ht="13.5" thickBot="1" x14ac:dyDescent="0.3">
      <c r="A83" s="135" t="s">
        <v>620</v>
      </c>
      <c r="B83" s="35" t="s">
        <v>622</v>
      </c>
      <c r="C83" s="136"/>
      <c r="D83" s="136"/>
      <c r="E83" s="136"/>
      <c r="F83" s="136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9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</row>
    <row r="84" spans="1:33" s="78" customFormat="1" ht="25.5" x14ac:dyDescent="0.25">
      <c r="A84" s="63" t="s">
        <v>1415</v>
      </c>
      <c r="B84" s="184" t="s">
        <v>2190</v>
      </c>
      <c r="C84" s="27" t="s">
        <v>434</v>
      </c>
      <c r="D84" s="27">
        <f t="shared" ref="D84:D85" si="67">D$15</f>
        <v>12</v>
      </c>
      <c r="E84" s="27">
        <f>AB84</f>
        <v>1</v>
      </c>
      <c r="F84" s="154">
        <f>D84*E84</f>
        <v>12</v>
      </c>
      <c r="G84" s="32">
        <f>VLOOKUP(C84,CPU_SALARIOS!$B$13:$E$30,4,FALSE)</f>
        <v>4095.52</v>
      </c>
      <c r="H84" s="134">
        <f t="shared" si="46"/>
        <v>1228.6600000000001</v>
      </c>
      <c r="I84" s="134">
        <v>0</v>
      </c>
      <c r="J84" s="134">
        <v>0</v>
      </c>
      <c r="K84" s="28">
        <v>0</v>
      </c>
      <c r="L84" s="134">
        <f t="shared" si="64"/>
        <v>0</v>
      </c>
      <c r="M84" s="28">
        <v>0</v>
      </c>
      <c r="N84" s="134">
        <f t="shared" si="66"/>
        <v>0</v>
      </c>
      <c r="O84" s="134">
        <f>ROUND((G84+H84+J84+L84+N84)*$O$13,2)</f>
        <v>4108.4799999999996</v>
      </c>
      <c r="P84" s="134">
        <f>G84+H84+J84+L84+N84+O84</f>
        <v>9432.66</v>
      </c>
      <c r="Q84" s="32">
        <f>ROUND(F84*G84,2)</f>
        <v>49146.239999999998</v>
      </c>
      <c r="R84" s="134">
        <f>ROUND(F84*H84,2)</f>
        <v>14743.92</v>
      </c>
      <c r="S84" s="134">
        <f>ROUND(F84*J84,2)</f>
        <v>0</v>
      </c>
      <c r="T84" s="134">
        <f>ROUND((F84*L84)+(F84*N84),2)</f>
        <v>0</v>
      </c>
      <c r="U84" s="134">
        <f>ROUND(F84*O84,2)</f>
        <v>49301.760000000002</v>
      </c>
      <c r="V84" s="28">
        <f>ROUND(F84*P84,2)</f>
        <v>113191.92</v>
      </c>
      <c r="X84" s="27">
        <v>2</v>
      </c>
      <c r="Y84" s="27">
        <f>AB84-$X84</f>
        <v>-1</v>
      </c>
      <c r="Z84" s="27">
        <v>2</v>
      </c>
      <c r="AA84" s="27">
        <f>AB84-Z84</f>
        <v>-1</v>
      </c>
      <c r="AB84" s="27">
        <f>SUM(AC84:AG84)</f>
        <v>1</v>
      </c>
      <c r="AC84" s="27">
        <v>0</v>
      </c>
      <c r="AD84" s="27">
        <v>0</v>
      </c>
      <c r="AE84" s="27">
        <v>1</v>
      </c>
      <c r="AF84" s="27">
        <v>0</v>
      </c>
      <c r="AG84" s="27">
        <v>0</v>
      </c>
    </row>
    <row r="85" spans="1:33" s="78" customFormat="1" ht="13.5" thickBot="1" x14ac:dyDescent="0.3">
      <c r="A85" s="179" t="s">
        <v>1416</v>
      </c>
      <c r="B85" s="186" t="s">
        <v>2191</v>
      </c>
      <c r="C85" s="162" t="s">
        <v>529</v>
      </c>
      <c r="D85" s="162">
        <f t="shared" si="67"/>
        <v>12</v>
      </c>
      <c r="E85" s="162">
        <f>AB85</f>
        <v>1</v>
      </c>
      <c r="F85" s="164">
        <f>D85*E85</f>
        <v>12</v>
      </c>
      <c r="G85" s="165">
        <f>VLOOKUP(C85,CPU_SALARIOS!$B$13:$E$30,4,FALSE)</f>
        <v>1038.4000000000001</v>
      </c>
      <c r="H85" s="167">
        <f t="shared" si="46"/>
        <v>311.52</v>
      </c>
      <c r="I85" s="167">
        <v>0</v>
      </c>
      <c r="J85" s="167">
        <v>0</v>
      </c>
      <c r="K85" s="168">
        <v>0</v>
      </c>
      <c r="L85" s="167">
        <f t="shared" si="64"/>
        <v>0</v>
      </c>
      <c r="M85" s="168">
        <v>0</v>
      </c>
      <c r="N85" s="167">
        <f t="shared" si="66"/>
        <v>0</v>
      </c>
      <c r="O85" s="167">
        <f>ROUND((G85+H85+J85+L85+N85)*$O$13,2)</f>
        <v>1041.69</v>
      </c>
      <c r="P85" s="167">
        <f>G85+H85+J85+L85+N85+O85</f>
        <v>2391.61</v>
      </c>
      <c r="Q85" s="165">
        <f>ROUND(F85*G85,2)</f>
        <v>12460.8</v>
      </c>
      <c r="R85" s="167">
        <f>ROUND(F85*H85,2)</f>
        <v>3738.24</v>
      </c>
      <c r="S85" s="167">
        <f>ROUND(F85*J85,2)</f>
        <v>0</v>
      </c>
      <c r="T85" s="167">
        <f>ROUND((F85*L85)+(F85*N85),2)</f>
        <v>0</v>
      </c>
      <c r="U85" s="167">
        <f>ROUND(F85*O85,2)</f>
        <v>12500.28</v>
      </c>
      <c r="V85" s="168">
        <f>ROUND(F85*P85,2)</f>
        <v>28699.32</v>
      </c>
      <c r="X85" s="162">
        <v>2</v>
      </c>
      <c r="Y85" s="162">
        <f>AB85-$X85</f>
        <v>-1</v>
      </c>
      <c r="Z85" s="162">
        <v>2</v>
      </c>
      <c r="AA85" s="162">
        <f>AB85-Z85</f>
        <v>-1</v>
      </c>
      <c r="AB85" s="162">
        <f>SUM(AC85:AG85)</f>
        <v>1</v>
      </c>
      <c r="AC85" s="162">
        <v>0</v>
      </c>
      <c r="AD85" s="162">
        <v>0</v>
      </c>
      <c r="AE85" s="162">
        <v>1</v>
      </c>
      <c r="AF85" s="162">
        <v>0</v>
      </c>
      <c r="AG85" s="162">
        <v>0</v>
      </c>
    </row>
    <row r="86" spans="1:33" s="78" customFormat="1" ht="13.5" thickBot="1" x14ac:dyDescent="0.3">
      <c r="A86" s="135" t="s">
        <v>621</v>
      </c>
      <c r="B86" s="35" t="s">
        <v>624</v>
      </c>
      <c r="C86" s="136"/>
      <c r="D86" s="136"/>
      <c r="E86" s="136"/>
      <c r="F86" s="136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8"/>
      <c r="V86" s="189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</row>
    <row r="87" spans="1:33" s="78" customFormat="1" ht="25.5" x14ac:dyDescent="0.25">
      <c r="A87" s="63" t="s">
        <v>1013</v>
      </c>
      <c r="B87" s="184" t="s">
        <v>2192</v>
      </c>
      <c r="C87" s="27" t="s">
        <v>434</v>
      </c>
      <c r="D87" s="27">
        <f t="shared" ref="D87:D89" si="68">D$15</f>
        <v>12</v>
      </c>
      <c r="E87" s="27">
        <f>AB87</f>
        <v>1</v>
      </c>
      <c r="F87" s="154">
        <f>D87*E87</f>
        <v>12</v>
      </c>
      <c r="G87" s="32">
        <f>VLOOKUP(C87,CPU_SALARIOS!$B$13:$E$30,4,FALSE)</f>
        <v>4095.52</v>
      </c>
      <c r="H87" s="134">
        <f t="shared" si="46"/>
        <v>1228.6600000000001</v>
      </c>
      <c r="I87" s="134">
        <v>0</v>
      </c>
      <c r="J87" s="134">
        <v>0</v>
      </c>
      <c r="K87" s="28">
        <v>0</v>
      </c>
      <c r="L87" s="134">
        <f t="shared" si="64"/>
        <v>0</v>
      </c>
      <c r="M87" s="28">
        <v>0</v>
      </c>
      <c r="N87" s="134">
        <f t="shared" si="66"/>
        <v>0</v>
      </c>
      <c r="O87" s="134">
        <f>ROUND((G87+H87+J87+L87+N87)*$O$13,2)</f>
        <v>4108.4799999999996</v>
      </c>
      <c r="P87" s="134">
        <f>G87+H87+J87+L87+N87+O87</f>
        <v>9432.66</v>
      </c>
      <c r="Q87" s="32">
        <f>ROUND(F87*G87,2)</f>
        <v>49146.239999999998</v>
      </c>
      <c r="R87" s="134">
        <f>ROUND(F87*H87,2)</f>
        <v>14743.92</v>
      </c>
      <c r="S87" s="134">
        <f>ROUND(F87*J87,2)</f>
        <v>0</v>
      </c>
      <c r="T87" s="134">
        <f>ROUND((F87*L87)+(F87*N87),2)</f>
        <v>0</v>
      </c>
      <c r="U87" s="134">
        <f>ROUND(F87*O87,2)</f>
        <v>49301.760000000002</v>
      </c>
      <c r="V87" s="28">
        <f>ROUND(F87*P87,2)</f>
        <v>113191.92</v>
      </c>
      <c r="X87" s="27">
        <v>3</v>
      </c>
      <c r="Y87" s="27">
        <f>AB87-$X87</f>
        <v>-2</v>
      </c>
      <c r="Z87" s="27">
        <v>2</v>
      </c>
      <c r="AA87" s="27">
        <f>AB87-Z87</f>
        <v>-1</v>
      </c>
      <c r="AB87" s="27">
        <f>SUM(AC87:AG87)</f>
        <v>1</v>
      </c>
      <c r="AC87" s="27">
        <v>0</v>
      </c>
      <c r="AD87" s="27">
        <v>0</v>
      </c>
      <c r="AE87" s="27">
        <v>0</v>
      </c>
      <c r="AF87" s="27">
        <v>1</v>
      </c>
      <c r="AG87" s="27">
        <v>0</v>
      </c>
    </row>
    <row r="88" spans="1:33" s="78" customFormat="1" x14ac:dyDescent="0.25">
      <c r="A88" s="178" t="s">
        <v>1014</v>
      </c>
      <c r="B88" s="185" t="s">
        <v>2184</v>
      </c>
      <c r="C88" s="155" t="s">
        <v>439</v>
      </c>
      <c r="D88" s="155">
        <f t="shared" si="68"/>
        <v>12</v>
      </c>
      <c r="E88" s="155">
        <f>AB88</f>
        <v>1</v>
      </c>
      <c r="F88" s="157">
        <f>D88*E88</f>
        <v>12</v>
      </c>
      <c r="G88" s="158">
        <f>VLOOKUP(C88,CPU_SALARIOS!$B$13:$E$30,4,FALSE)</f>
        <v>1478.4</v>
      </c>
      <c r="H88" s="160">
        <f t="shared" si="46"/>
        <v>443.52</v>
      </c>
      <c r="I88" s="160">
        <v>0</v>
      </c>
      <c r="J88" s="160">
        <v>0</v>
      </c>
      <c r="K88" s="161">
        <v>0</v>
      </c>
      <c r="L88" s="160">
        <f t="shared" si="64"/>
        <v>0</v>
      </c>
      <c r="M88" s="161">
        <v>0</v>
      </c>
      <c r="N88" s="160">
        <f t="shared" si="66"/>
        <v>0</v>
      </c>
      <c r="O88" s="160">
        <f>ROUND((G88+H88+J88+L88+N88)*$O$13,2)</f>
        <v>1483.08</v>
      </c>
      <c r="P88" s="160">
        <f>G88+H88+J88+L88+N88+O88</f>
        <v>3405</v>
      </c>
      <c r="Q88" s="158">
        <f>ROUND(F88*G88,2)</f>
        <v>17740.8</v>
      </c>
      <c r="R88" s="160">
        <f>ROUND(F88*H88,2)</f>
        <v>5322.24</v>
      </c>
      <c r="S88" s="160">
        <f>ROUND(F88*J88,2)</f>
        <v>0</v>
      </c>
      <c r="T88" s="160">
        <f>ROUND((F88*L88)+(F88*N88),2)</f>
        <v>0</v>
      </c>
      <c r="U88" s="160">
        <f>ROUND(F88*O88,2)</f>
        <v>17796.96</v>
      </c>
      <c r="V88" s="161">
        <f>ROUND(F88*P88,2)</f>
        <v>40860</v>
      </c>
      <c r="X88" s="155">
        <v>3</v>
      </c>
      <c r="Y88" s="155">
        <f>AB88-$X88</f>
        <v>-2</v>
      </c>
      <c r="Z88" s="155">
        <v>2</v>
      </c>
      <c r="AA88" s="155">
        <f>AB88-Z88</f>
        <v>-1</v>
      </c>
      <c r="AB88" s="155">
        <f>SUM(AC88:AG88)</f>
        <v>1</v>
      </c>
      <c r="AC88" s="155">
        <v>0</v>
      </c>
      <c r="AD88" s="155">
        <v>0</v>
      </c>
      <c r="AE88" s="155">
        <v>0</v>
      </c>
      <c r="AF88" s="155">
        <v>1</v>
      </c>
      <c r="AG88" s="155">
        <v>0</v>
      </c>
    </row>
    <row r="89" spans="1:33" s="78" customFormat="1" ht="13.5" thickBot="1" x14ac:dyDescent="0.3">
      <c r="A89" s="179" t="s">
        <v>2339</v>
      </c>
      <c r="B89" s="186" t="s">
        <v>2191</v>
      </c>
      <c r="C89" s="162" t="s">
        <v>529</v>
      </c>
      <c r="D89" s="162">
        <f t="shared" si="68"/>
        <v>12</v>
      </c>
      <c r="E89" s="162">
        <f>AB89</f>
        <v>0</v>
      </c>
      <c r="F89" s="164">
        <f>D89*E89</f>
        <v>0</v>
      </c>
      <c r="G89" s="165">
        <f>VLOOKUP(C89,CPU_SALARIOS!$B$13:$E$30,4,FALSE)</f>
        <v>1038.4000000000001</v>
      </c>
      <c r="H89" s="167">
        <f t="shared" si="46"/>
        <v>311.52</v>
      </c>
      <c r="I89" s="167">
        <v>0</v>
      </c>
      <c r="J89" s="167">
        <v>0</v>
      </c>
      <c r="K89" s="168">
        <v>0</v>
      </c>
      <c r="L89" s="167">
        <f t="shared" si="64"/>
        <v>0</v>
      </c>
      <c r="M89" s="168">
        <v>0</v>
      </c>
      <c r="N89" s="167">
        <f t="shared" si="66"/>
        <v>0</v>
      </c>
      <c r="O89" s="167">
        <f>ROUND((G89+H89+J89+L89+N89)*$O$13,2)</f>
        <v>1041.69</v>
      </c>
      <c r="P89" s="167">
        <f>G89+H89+J89+L89+N89+O89</f>
        <v>2391.61</v>
      </c>
      <c r="Q89" s="165">
        <f>ROUND(F89*G89,2)</f>
        <v>0</v>
      </c>
      <c r="R89" s="167">
        <f>ROUND(F89*H89,2)</f>
        <v>0</v>
      </c>
      <c r="S89" s="167">
        <f>ROUND(F89*J89,2)</f>
        <v>0</v>
      </c>
      <c r="T89" s="167">
        <f>ROUND((F89*L89)+(F89*N89),2)</f>
        <v>0</v>
      </c>
      <c r="U89" s="167">
        <f>ROUND(F89*O89,2)</f>
        <v>0</v>
      </c>
      <c r="V89" s="168">
        <f>ROUND(F89*P89,2)</f>
        <v>0</v>
      </c>
      <c r="X89" s="162">
        <v>3</v>
      </c>
      <c r="Y89" s="162">
        <f>AB89-$X89</f>
        <v>-3</v>
      </c>
      <c r="Z89" s="162">
        <v>2</v>
      </c>
      <c r="AA89" s="162">
        <f>AB89-Z89</f>
        <v>-2</v>
      </c>
      <c r="AB89" s="162">
        <f>SUM(AC89:AG89)</f>
        <v>0</v>
      </c>
      <c r="AC89" s="162">
        <v>0</v>
      </c>
      <c r="AD89" s="162">
        <v>0</v>
      </c>
      <c r="AE89" s="162">
        <v>0</v>
      </c>
      <c r="AF89" s="162">
        <v>0</v>
      </c>
      <c r="AG89" s="162">
        <v>0</v>
      </c>
    </row>
    <row r="90" spans="1:33" s="78" customFormat="1" ht="13.5" thickBot="1" x14ac:dyDescent="0.3">
      <c r="A90" s="135" t="s">
        <v>623</v>
      </c>
      <c r="B90" s="35" t="s">
        <v>626</v>
      </c>
      <c r="C90" s="136"/>
      <c r="D90" s="136"/>
      <c r="E90" s="136"/>
      <c r="F90" s="136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189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</row>
    <row r="91" spans="1:33" s="78" customFormat="1" ht="25.5" x14ac:dyDescent="0.25">
      <c r="A91" s="63" t="s">
        <v>1010</v>
      </c>
      <c r="B91" s="184" t="s">
        <v>2193</v>
      </c>
      <c r="C91" s="27" t="s">
        <v>434</v>
      </c>
      <c r="D91" s="27">
        <f t="shared" ref="D91:D92" si="69">D$15</f>
        <v>12</v>
      </c>
      <c r="E91" s="27">
        <f>AB91</f>
        <v>3</v>
      </c>
      <c r="F91" s="154">
        <f>D91*E91</f>
        <v>36</v>
      </c>
      <c r="G91" s="32">
        <f>VLOOKUP(C91,CPU_SALARIOS!$B$13:$E$30,4,FALSE)</f>
        <v>4095.52</v>
      </c>
      <c r="H91" s="134">
        <f t="shared" ref="H91:H94" si="70">ROUND(((G91+J91)*$H$13),2)</f>
        <v>1228.6600000000001</v>
      </c>
      <c r="I91" s="134">
        <v>0</v>
      </c>
      <c r="J91" s="134">
        <v>0</v>
      </c>
      <c r="K91" s="28">
        <v>0</v>
      </c>
      <c r="L91" s="134">
        <f t="shared" si="64"/>
        <v>0</v>
      </c>
      <c r="M91" s="28">
        <v>0</v>
      </c>
      <c r="N91" s="134">
        <f t="shared" si="66"/>
        <v>0</v>
      </c>
      <c r="O91" s="134">
        <f>ROUND((G91+H91+J91+L91+N91)*$O$13,2)</f>
        <v>4108.4799999999996</v>
      </c>
      <c r="P91" s="134">
        <f>G91+H91+J91+L91+N91+O91</f>
        <v>9432.66</v>
      </c>
      <c r="Q91" s="32">
        <f>ROUND(F91*G91,2)</f>
        <v>147438.72</v>
      </c>
      <c r="R91" s="134">
        <f>ROUND(F91*H91,2)</f>
        <v>44231.76</v>
      </c>
      <c r="S91" s="134">
        <f>ROUND(F91*J91,2)</f>
        <v>0</v>
      </c>
      <c r="T91" s="134">
        <f>ROUND((F91*L91)+(F91*N91),2)</f>
        <v>0</v>
      </c>
      <c r="U91" s="134">
        <f>ROUND(F91*O91,2)</f>
        <v>147905.28</v>
      </c>
      <c r="V91" s="28">
        <f>ROUND(F91*P91,2)</f>
        <v>339575.76</v>
      </c>
      <c r="X91" s="27">
        <v>2</v>
      </c>
      <c r="Y91" s="27">
        <f>AB91-$X91</f>
        <v>1</v>
      </c>
      <c r="Z91" s="27">
        <v>2</v>
      </c>
      <c r="AA91" s="27">
        <f>AB91-Z91</f>
        <v>1</v>
      </c>
      <c r="AB91" s="27">
        <f>SUM(AC91:AG91)</f>
        <v>3</v>
      </c>
      <c r="AC91" s="27">
        <v>0</v>
      </c>
      <c r="AD91" s="27">
        <v>1</v>
      </c>
      <c r="AE91" s="27">
        <v>1</v>
      </c>
      <c r="AF91" s="27">
        <v>1</v>
      </c>
      <c r="AG91" s="27">
        <v>0</v>
      </c>
    </row>
    <row r="92" spans="1:33" s="78" customFormat="1" ht="13.5" thickBot="1" x14ac:dyDescent="0.3">
      <c r="A92" s="179" t="s">
        <v>1011</v>
      </c>
      <c r="B92" s="186" t="s">
        <v>2194</v>
      </c>
      <c r="C92" s="162" t="s">
        <v>434</v>
      </c>
      <c r="D92" s="162">
        <f t="shared" si="69"/>
        <v>12</v>
      </c>
      <c r="E92" s="162">
        <f>AB92</f>
        <v>0</v>
      </c>
      <c r="F92" s="164">
        <f>D92*E92</f>
        <v>0</v>
      </c>
      <c r="G92" s="165">
        <f>VLOOKUP(C92,CPU_SALARIOS!$B$13:$E$30,4,FALSE)</f>
        <v>4095.52</v>
      </c>
      <c r="H92" s="167">
        <f t="shared" si="70"/>
        <v>1228.6600000000001</v>
      </c>
      <c r="I92" s="167">
        <v>0</v>
      </c>
      <c r="J92" s="167">
        <v>0</v>
      </c>
      <c r="K92" s="168">
        <v>0</v>
      </c>
      <c r="L92" s="167">
        <f t="shared" si="64"/>
        <v>0</v>
      </c>
      <c r="M92" s="168">
        <v>0</v>
      </c>
      <c r="N92" s="167">
        <f t="shared" si="66"/>
        <v>0</v>
      </c>
      <c r="O92" s="167">
        <f>ROUND((G92+H92+J92+L92+N92)*$O$13,2)</f>
        <v>4108.4799999999996</v>
      </c>
      <c r="P92" s="167">
        <f>G92+H92+J92+L92+N92+O92</f>
        <v>9432.66</v>
      </c>
      <c r="Q92" s="165">
        <f>ROUND(F92*G92,2)</f>
        <v>0</v>
      </c>
      <c r="R92" s="167">
        <f>ROUND(F92*H92,2)</f>
        <v>0</v>
      </c>
      <c r="S92" s="167">
        <f>ROUND(F92*J92,2)</f>
        <v>0</v>
      </c>
      <c r="T92" s="167">
        <f>ROUND((F92*L92)+(F92*N92),2)</f>
        <v>0</v>
      </c>
      <c r="U92" s="167">
        <f>ROUND(F92*O92,2)</f>
        <v>0</v>
      </c>
      <c r="V92" s="168">
        <f>ROUND(F92*P92,2)</f>
        <v>0</v>
      </c>
      <c r="X92" s="162">
        <v>1</v>
      </c>
      <c r="Y92" s="162">
        <f>AB92-$X92</f>
        <v>-1</v>
      </c>
      <c r="Z92" s="162">
        <v>1</v>
      </c>
      <c r="AA92" s="162">
        <f>AB92-Z92</f>
        <v>-1</v>
      </c>
      <c r="AB92" s="162">
        <f>SUM(AC92:AG92)</f>
        <v>0</v>
      </c>
      <c r="AC92" s="162">
        <v>0</v>
      </c>
      <c r="AD92" s="162">
        <v>0</v>
      </c>
      <c r="AE92" s="162">
        <v>0</v>
      </c>
      <c r="AF92" s="162">
        <v>0</v>
      </c>
      <c r="AG92" s="162">
        <v>0</v>
      </c>
    </row>
    <row r="93" spans="1:33" s="78" customFormat="1" ht="13.5" thickBot="1" x14ac:dyDescent="0.3">
      <c r="A93" s="135" t="s">
        <v>625</v>
      </c>
      <c r="B93" s="35" t="s">
        <v>628</v>
      </c>
      <c r="C93" s="136"/>
      <c r="D93" s="136"/>
      <c r="E93" s="136"/>
      <c r="F93" s="136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8"/>
      <c r="U93" s="188"/>
      <c r="V93" s="189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</row>
    <row r="94" spans="1:33" s="78" customFormat="1" ht="26.25" thickBot="1" x14ac:dyDescent="0.3">
      <c r="A94" s="180" t="s">
        <v>1015</v>
      </c>
      <c r="B94" s="187" t="s">
        <v>2195</v>
      </c>
      <c r="C94" s="170" t="s">
        <v>434</v>
      </c>
      <c r="D94" s="170">
        <f>D$15</f>
        <v>12</v>
      </c>
      <c r="E94" s="170">
        <f>AB94</f>
        <v>1</v>
      </c>
      <c r="F94" s="171">
        <f>D94*E94</f>
        <v>12</v>
      </c>
      <c r="G94" s="172">
        <f>VLOOKUP(C94,CPU_SALARIOS!$B$13:$E$30,4,FALSE)</f>
        <v>4095.52</v>
      </c>
      <c r="H94" s="173">
        <f t="shared" si="70"/>
        <v>1228.6600000000001</v>
      </c>
      <c r="I94" s="173">
        <v>0</v>
      </c>
      <c r="J94" s="173">
        <v>0</v>
      </c>
      <c r="K94" s="174">
        <v>0</v>
      </c>
      <c r="L94" s="173">
        <f t="shared" si="64"/>
        <v>0</v>
      </c>
      <c r="M94" s="174">
        <v>0</v>
      </c>
      <c r="N94" s="173">
        <f t="shared" si="66"/>
        <v>0</v>
      </c>
      <c r="O94" s="173">
        <f>ROUND((G94+H94+J94+L94+N94)*$O$13,2)</f>
        <v>4108.4799999999996</v>
      </c>
      <c r="P94" s="173">
        <f>G94+H94+J94+L94+N94+O94</f>
        <v>9432.66</v>
      </c>
      <c r="Q94" s="172">
        <f>ROUND(F94*G94,2)</f>
        <v>49146.239999999998</v>
      </c>
      <c r="R94" s="173">
        <f>ROUND(F94*H94,2)</f>
        <v>14743.92</v>
      </c>
      <c r="S94" s="173">
        <f>ROUND(F94*J94,2)</f>
        <v>0</v>
      </c>
      <c r="T94" s="173">
        <f>ROUND((F94*L94)+(F94*N94),2)</f>
        <v>0</v>
      </c>
      <c r="U94" s="173">
        <f>ROUND(F94*O94,2)</f>
        <v>49301.760000000002</v>
      </c>
      <c r="V94" s="174">
        <f>ROUND(F94*P94,2)</f>
        <v>113191.92</v>
      </c>
      <c r="X94" s="170">
        <v>2</v>
      </c>
      <c r="Y94" s="170">
        <f>AB94-$X94</f>
        <v>-1</v>
      </c>
      <c r="Z94" s="170">
        <v>2</v>
      </c>
      <c r="AA94" s="170">
        <f>AB94-Z94</f>
        <v>-1</v>
      </c>
      <c r="AB94" s="170">
        <f>SUM(AC94:AG94)</f>
        <v>1</v>
      </c>
      <c r="AC94" s="170">
        <v>1</v>
      </c>
      <c r="AD94" s="170">
        <v>0</v>
      </c>
      <c r="AE94" s="170">
        <v>0</v>
      </c>
      <c r="AF94" s="170">
        <v>0</v>
      </c>
      <c r="AG94" s="170">
        <v>0</v>
      </c>
    </row>
    <row r="95" spans="1:33" s="78" customFormat="1" ht="13.5" thickBot="1" x14ac:dyDescent="0.3">
      <c r="A95" s="135" t="s">
        <v>627</v>
      </c>
      <c r="B95" s="35" t="s">
        <v>630</v>
      </c>
      <c r="C95" s="136"/>
      <c r="D95" s="136"/>
      <c r="E95" s="136"/>
      <c r="F95" s="136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9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</row>
    <row r="96" spans="1:33" s="78" customFormat="1" ht="26.25" thickBot="1" x14ac:dyDescent="0.3">
      <c r="A96" s="180" t="s">
        <v>1017</v>
      </c>
      <c r="B96" s="187" t="s">
        <v>2196</v>
      </c>
      <c r="C96" s="170" t="s">
        <v>434</v>
      </c>
      <c r="D96" s="170">
        <f>D$15</f>
        <v>12</v>
      </c>
      <c r="E96" s="170">
        <f>AB96</f>
        <v>1</v>
      </c>
      <c r="F96" s="171">
        <f>D96*E96</f>
        <v>12</v>
      </c>
      <c r="G96" s="172">
        <f>VLOOKUP(C96,CPU_SALARIOS!$B$13:$E$30,4,FALSE)</f>
        <v>4095.52</v>
      </c>
      <c r="H96" s="173">
        <f>ROUND(((G96+J96)*$H$13),2)</f>
        <v>1228.6600000000001</v>
      </c>
      <c r="I96" s="173">
        <v>0</v>
      </c>
      <c r="J96" s="173">
        <v>0</v>
      </c>
      <c r="K96" s="174">
        <v>0</v>
      </c>
      <c r="L96" s="173">
        <f>K96*(176*0.025)</f>
        <v>0</v>
      </c>
      <c r="M96" s="174">
        <v>0</v>
      </c>
      <c r="N96" s="173">
        <f>M96*(176*0.05)</f>
        <v>0</v>
      </c>
      <c r="O96" s="173">
        <f>ROUND((G96+H96+J96+L96+N96)*$O$13,2)</f>
        <v>4108.4799999999996</v>
      </c>
      <c r="P96" s="173">
        <f>G96+H96+J96+L96+N96+O96</f>
        <v>9432.66</v>
      </c>
      <c r="Q96" s="172">
        <f>ROUND(F96*G96,2)</f>
        <v>49146.239999999998</v>
      </c>
      <c r="R96" s="173">
        <f>ROUND(F96*H96,2)</f>
        <v>14743.92</v>
      </c>
      <c r="S96" s="173">
        <f>ROUND(F96*J96,2)</f>
        <v>0</v>
      </c>
      <c r="T96" s="173">
        <f>ROUND((F96*L96)+(F96*N96),2)</f>
        <v>0</v>
      </c>
      <c r="U96" s="173">
        <f>ROUND(F96*O96,2)</f>
        <v>49301.760000000002</v>
      </c>
      <c r="V96" s="174">
        <f>ROUND(F96*P96,2)</f>
        <v>113191.92</v>
      </c>
      <c r="X96" s="170">
        <v>4</v>
      </c>
      <c r="Y96" s="170">
        <f>AB96-$X96</f>
        <v>-3</v>
      </c>
      <c r="Z96" s="170">
        <v>2</v>
      </c>
      <c r="AA96" s="170">
        <f>AB96-Z96</f>
        <v>-1</v>
      </c>
      <c r="AB96" s="170">
        <f>SUM(AC96:AG96)</f>
        <v>1</v>
      </c>
      <c r="AC96" s="170">
        <v>1</v>
      </c>
      <c r="AD96" s="170">
        <v>0</v>
      </c>
      <c r="AE96" s="170">
        <v>0</v>
      </c>
      <c r="AF96" s="170">
        <v>0</v>
      </c>
      <c r="AG96" s="170">
        <v>0</v>
      </c>
    </row>
    <row r="97" spans="1:33" s="78" customFormat="1" ht="13.5" thickBot="1" x14ac:dyDescent="0.3">
      <c r="A97" s="135" t="s">
        <v>629</v>
      </c>
      <c r="B97" s="35" t="s">
        <v>612</v>
      </c>
      <c r="C97" s="136"/>
      <c r="D97" s="136"/>
      <c r="E97" s="136"/>
      <c r="F97" s="136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9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</row>
    <row r="98" spans="1:33" s="78" customFormat="1" ht="25.5" x14ac:dyDescent="0.25">
      <c r="A98" s="63" t="s">
        <v>1018</v>
      </c>
      <c r="B98" s="184" t="s">
        <v>2218</v>
      </c>
      <c r="C98" s="27" t="s">
        <v>434</v>
      </c>
      <c r="D98" s="27">
        <f t="shared" ref="D98:D108" si="71">D$15</f>
        <v>12</v>
      </c>
      <c r="E98" s="153">
        <f t="shared" ref="E98:E108" si="72">AB98</f>
        <v>3</v>
      </c>
      <c r="F98" s="154">
        <f t="shared" ref="F98:F108" si="73">D98*E98</f>
        <v>36</v>
      </c>
      <c r="G98" s="32">
        <f>VLOOKUP(C98,CPU_SALARIOS!$B$13:$E$30,4,FALSE)</f>
        <v>4095.52</v>
      </c>
      <c r="H98" s="134">
        <f>ROUND(((G98+J98)*$H$13),2)</f>
        <v>1228.6600000000001</v>
      </c>
      <c r="I98" s="134">
        <v>0</v>
      </c>
      <c r="J98" s="134">
        <v>0</v>
      </c>
      <c r="K98" s="28">
        <v>0</v>
      </c>
      <c r="L98" s="134">
        <f t="shared" ref="L98:L108" si="74">K98*(176*0.025)</f>
        <v>0</v>
      </c>
      <c r="M98" s="28">
        <v>0</v>
      </c>
      <c r="N98" s="134">
        <f t="shared" ref="N98:N108" si="75">M98*(176*0.05)</f>
        <v>0</v>
      </c>
      <c r="O98" s="134">
        <f t="shared" ref="O98:O108" si="76">ROUND((G98+H98+J98+L98+N98)*$O$13,2)</f>
        <v>4108.4799999999996</v>
      </c>
      <c r="P98" s="134">
        <f t="shared" ref="P98:P108" si="77">G98+H98+J98+L98+N98+O98</f>
        <v>9432.66</v>
      </c>
      <c r="Q98" s="32">
        <f t="shared" ref="Q98:Q108" si="78">ROUND(F98*G98,2)</f>
        <v>147438.72</v>
      </c>
      <c r="R98" s="134">
        <f t="shared" ref="R98:R108" si="79">ROUND(F98*H98,2)</f>
        <v>44231.76</v>
      </c>
      <c r="S98" s="134">
        <f t="shared" ref="S98:S108" si="80">ROUND(F98*J98,2)</f>
        <v>0</v>
      </c>
      <c r="T98" s="134">
        <f t="shared" ref="T98:T108" si="81">ROUND((F98*L98)+(F98*N98),2)</f>
        <v>0</v>
      </c>
      <c r="U98" s="134">
        <f t="shared" ref="U98:U108" si="82">ROUND(F98*O98,2)</f>
        <v>147905.28</v>
      </c>
      <c r="V98" s="28">
        <f t="shared" ref="V98:V108" si="83">ROUND(F98*P98,2)</f>
        <v>339575.76</v>
      </c>
      <c r="X98" s="153">
        <v>5</v>
      </c>
      <c r="Y98" s="153">
        <f t="shared" ref="Y98:Y108" si="84">AB98-$X98</f>
        <v>-2</v>
      </c>
      <c r="Z98" s="153">
        <v>1</v>
      </c>
      <c r="AA98" s="153">
        <f t="shared" ref="AA98:AA108" si="85">AB98-Z98</f>
        <v>2</v>
      </c>
      <c r="AB98" s="153">
        <f t="shared" ref="AB98:AB108" si="86">SUM(AC98:AG98)</f>
        <v>3</v>
      </c>
      <c r="AC98" s="153">
        <v>0</v>
      </c>
      <c r="AD98" s="153">
        <v>1</v>
      </c>
      <c r="AE98" s="153">
        <v>1</v>
      </c>
      <c r="AF98" s="153">
        <v>1</v>
      </c>
      <c r="AG98" s="153">
        <v>0</v>
      </c>
    </row>
    <row r="99" spans="1:33" s="78" customFormat="1" x14ac:dyDescent="0.25">
      <c r="A99" s="178" t="s">
        <v>2340</v>
      </c>
      <c r="B99" s="185" t="s">
        <v>2211</v>
      </c>
      <c r="C99" s="155" t="s">
        <v>526</v>
      </c>
      <c r="D99" s="141">
        <f t="shared" si="71"/>
        <v>12</v>
      </c>
      <c r="E99" s="156">
        <f t="shared" si="72"/>
        <v>3</v>
      </c>
      <c r="F99" s="157">
        <f t="shared" si="73"/>
        <v>36</v>
      </c>
      <c r="G99" s="158">
        <f>VLOOKUP(C99,CPU_SALARIOS!$B$13:$E$30,4,FALSE)</f>
        <v>3395.04</v>
      </c>
      <c r="H99" s="160">
        <f>ROUND(((G99+J99)*$H$13),2)</f>
        <v>1018.51</v>
      </c>
      <c r="I99" s="160">
        <v>0</v>
      </c>
      <c r="J99" s="160">
        <v>0</v>
      </c>
      <c r="K99" s="161">
        <v>0</v>
      </c>
      <c r="L99" s="160">
        <f t="shared" si="74"/>
        <v>0</v>
      </c>
      <c r="M99" s="161">
        <v>0</v>
      </c>
      <c r="N99" s="160">
        <f t="shared" si="75"/>
        <v>0</v>
      </c>
      <c r="O99" s="160">
        <f t="shared" si="76"/>
        <v>3405.78</v>
      </c>
      <c r="P99" s="160">
        <f t="shared" si="77"/>
        <v>7819.33</v>
      </c>
      <c r="Q99" s="158">
        <f t="shared" si="78"/>
        <v>122221.44</v>
      </c>
      <c r="R99" s="160">
        <f t="shared" si="79"/>
        <v>36666.36</v>
      </c>
      <c r="S99" s="160">
        <f t="shared" si="80"/>
        <v>0</v>
      </c>
      <c r="T99" s="160">
        <f t="shared" si="81"/>
        <v>0</v>
      </c>
      <c r="U99" s="160">
        <f t="shared" si="82"/>
        <v>122608.08</v>
      </c>
      <c r="V99" s="161">
        <f t="shared" si="83"/>
        <v>281495.88</v>
      </c>
      <c r="X99" s="156">
        <v>3</v>
      </c>
      <c r="Y99" s="156">
        <f t="shared" si="84"/>
        <v>0</v>
      </c>
      <c r="Z99" s="156">
        <v>1</v>
      </c>
      <c r="AA99" s="156">
        <f t="shared" si="85"/>
        <v>2</v>
      </c>
      <c r="AB99" s="156">
        <f t="shared" si="86"/>
        <v>3</v>
      </c>
      <c r="AC99" s="156">
        <v>0</v>
      </c>
      <c r="AD99" s="156">
        <v>1</v>
      </c>
      <c r="AE99" s="156">
        <v>1</v>
      </c>
      <c r="AF99" s="156">
        <v>1</v>
      </c>
      <c r="AG99" s="156">
        <v>0</v>
      </c>
    </row>
    <row r="100" spans="1:33" s="78" customFormat="1" x14ac:dyDescent="0.25">
      <c r="A100" s="178" t="s">
        <v>2341</v>
      </c>
      <c r="B100" s="185" t="s">
        <v>614</v>
      </c>
      <c r="C100" s="155" t="s">
        <v>526</v>
      </c>
      <c r="D100" s="141">
        <f t="shared" si="71"/>
        <v>12</v>
      </c>
      <c r="E100" s="156">
        <f t="shared" si="72"/>
        <v>3</v>
      </c>
      <c r="F100" s="157">
        <f t="shared" si="73"/>
        <v>36</v>
      </c>
      <c r="G100" s="158">
        <f>VLOOKUP(C100,CPU_SALARIOS!$B$13:$E$30,4,FALSE)</f>
        <v>3395.04</v>
      </c>
      <c r="H100" s="160">
        <v>0</v>
      </c>
      <c r="I100" s="160">
        <v>0</v>
      </c>
      <c r="J100" s="160">
        <v>0</v>
      </c>
      <c r="K100" s="161">
        <v>0</v>
      </c>
      <c r="L100" s="160">
        <f t="shared" si="74"/>
        <v>0</v>
      </c>
      <c r="M100" s="161">
        <v>0</v>
      </c>
      <c r="N100" s="160">
        <f t="shared" si="75"/>
        <v>0</v>
      </c>
      <c r="O100" s="160">
        <f t="shared" si="76"/>
        <v>2619.83</v>
      </c>
      <c r="P100" s="160">
        <f t="shared" si="77"/>
        <v>6014.87</v>
      </c>
      <c r="Q100" s="158">
        <f t="shared" si="78"/>
        <v>122221.44</v>
      </c>
      <c r="R100" s="160">
        <f t="shared" si="79"/>
        <v>0</v>
      </c>
      <c r="S100" s="160">
        <f t="shared" si="80"/>
        <v>0</v>
      </c>
      <c r="T100" s="160">
        <f t="shared" si="81"/>
        <v>0</v>
      </c>
      <c r="U100" s="160">
        <f t="shared" si="82"/>
        <v>94313.88</v>
      </c>
      <c r="V100" s="161">
        <f t="shared" si="83"/>
        <v>216535.32</v>
      </c>
      <c r="X100" s="156">
        <v>3</v>
      </c>
      <c r="Y100" s="156">
        <f t="shared" si="84"/>
        <v>0</v>
      </c>
      <c r="Z100" s="156">
        <v>2</v>
      </c>
      <c r="AA100" s="156">
        <f t="shared" si="85"/>
        <v>1</v>
      </c>
      <c r="AB100" s="156">
        <f t="shared" si="86"/>
        <v>3</v>
      </c>
      <c r="AC100" s="156">
        <v>0</v>
      </c>
      <c r="AD100" s="156">
        <v>1</v>
      </c>
      <c r="AE100" s="156">
        <v>1</v>
      </c>
      <c r="AF100" s="156">
        <v>1</v>
      </c>
      <c r="AG100" s="156">
        <v>0</v>
      </c>
    </row>
    <row r="101" spans="1:33" s="78" customFormat="1" x14ac:dyDescent="0.25">
      <c r="A101" s="178" t="s">
        <v>2342</v>
      </c>
      <c r="B101" s="185" t="s">
        <v>2187</v>
      </c>
      <c r="C101" s="155" t="s">
        <v>434</v>
      </c>
      <c r="D101" s="141">
        <f t="shared" si="71"/>
        <v>12</v>
      </c>
      <c r="E101" s="156">
        <f t="shared" si="72"/>
        <v>1</v>
      </c>
      <c r="F101" s="157">
        <f t="shared" si="73"/>
        <v>12</v>
      </c>
      <c r="G101" s="158">
        <f>VLOOKUP(C101,CPU_SALARIOS!$B$13:$E$30,4,FALSE)</f>
        <v>4095.52</v>
      </c>
      <c r="H101" s="160">
        <f t="shared" ref="H101:H108" si="87">ROUND(((G101+J101)*$H$13),2)</f>
        <v>1228.6600000000001</v>
      </c>
      <c r="I101" s="160">
        <v>0</v>
      </c>
      <c r="J101" s="160">
        <v>0</v>
      </c>
      <c r="K101" s="161">
        <v>0</v>
      </c>
      <c r="L101" s="160">
        <f t="shared" si="74"/>
        <v>0</v>
      </c>
      <c r="M101" s="161">
        <v>0</v>
      </c>
      <c r="N101" s="160">
        <f t="shared" si="75"/>
        <v>0</v>
      </c>
      <c r="O101" s="160">
        <f t="shared" si="76"/>
        <v>4108.4799999999996</v>
      </c>
      <c r="P101" s="160">
        <f t="shared" si="77"/>
        <v>9432.66</v>
      </c>
      <c r="Q101" s="158">
        <f t="shared" si="78"/>
        <v>49146.239999999998</v>
      </c>
      <c r="R101" s="160">
        <f t="shared" si="79"/>
        <v>14743.92</v>
      </c>
      <c r="S101" s="160">
        <f t="shared" si="80"/>
        <v>0</v>
      </c>
      <c r="T101" s="160">
        <f t="shared" si="81"/>
        <v>0</v>
      </c>
      <c r="U101" s="160">
        <f t="shared" si="82"/>
        <v>49301.760000000002</v>
      </c>
      <c r="V101" s="161">
        <f t="shared" si="83"/>
        <v>113191.92</v>
      </c>
      <c r="X101" s="156">
        <v>2</v>
      </c>
      <c r="Y101" s="156">
        <f t="shared" si="84"/>
        <v>-1</v>
      </c>
      <c r="Z101" s="156">
        <v>1</v>
      </c>
      <c r="AA101" s="156">
        <f t="shared" si="85"/>
        <v>0</v>
      </c>
      <c r="AB101" s="156">
        <f t="shared" si="86"/>
        <v>1</v>
      </c>
      <c r="AC101" s="156">
        <v>1</v>
      </c>
      <c r="AD101" s="156">
        <v>0</v>
      </c>
      <c r="AE101" s="156">
        <v>0</v>
      </c>
      <c r="AF101" s="156">
        <v>0</v>
      </c>
      <c r="AG101" s="156">
        <v>0</v>
      </c>
    </row>
    <row r="102" spans="1:33" s="78" customFormat="1" x14ac:dyDescent="0.25">
      <c r="A102" s="178" t="s">
        <v>2343</v>
      </c>
      <c r="B102" s="185" t="s">
        <v>2186</v>
      </c>
      <c r="C102" s="155" t="s">
        <v>529</v>
      </c>
      <c r="D102" s="141">
        <f t="shared" si="71"/>
        <v>12</v>
      </c>
      <c r="E102" s="156">
        <f t="shared" si="72"/>
        <v>2</v>
      </c>
      <c r="F102" s="157">
        <f t="shared" si="73"/>
        <v>24</v>
      </c>
      <c r="G102" s="158">
        <f>VLOOKUP(C102,CPU_SALARIOS!$B$13:$E$30,4,FALSE)</f>
        <v>1038.4000000000001</v>
      </c>
      <c r="H102" s="160">
        <f t="shared" si="87"/>
        <v>311.52</v>
      </c>
      <c r="I102" s="160">
        <v>0</v>
      </c>
      <c r="J102" s="160">
        <v>0</v>
      </c>
      <c r="K102" s="161">
        <v>0</v>
      </c>
      <c r="L102" s="160">
        <f t="shared" si="74"/>
        <v>0</v>
      </c>
      <c r="M102" s="161">
        <v>0</v>
      </c>
      <c r="N102" s="160">
        <f t="shared" si="75"/>
        <v>0</v>
      </c>
      <c r="O102" s="160">
        <f t="shared" si="76"/>
        <v>1041.69</v>
      </c>
      <c r="P102" s="160">
        <f t="shared" si="77"/>
        <v>2391.61</v>
      </c>
      <c r="Q102" s="158">
        <f t="shared" si="78"/>
        <v>24921.599999999999</v>
      </c>
      <c r="R102" s="160">
        <f t="shared" si="79"/>
        <v>7476.48</v>
      </c>
      <c r="S102" s="160">
        <f t="shared" si="80"/>
        <v>0</v>
      </c>
      <c r="T102" s="160">
        <f t="shared" si="81"/>
        <v>0</v>
      </c>
      <c r="U102" s="160">
        <f t="shared" si="82"/>
        <v>25000.560000000001</v>
      </c>
      <c r="V102" s="161">
        <f t="shared" si="83"/>
        <v>57398.64</v>
      </c>
      <c r="X102" s="156">
        <v>4</v>
      </c>
      <c r="Y102" s="156">
        <f t="shared" si="84"/>
        <v>-2</v>
      </c>
      <c r="Z102" s="156">
        <v>2</v>
      </c>
      <c r="AA102" s="156">
        <f t="shared" si="85"/>
        <v>0</v>
      </c>
      <c r="AB102" s="156">
        <f t="shared" si="86"/>
        <v>2</v>
      </c>
      <c r="AC102" s="156">
        <v>2</v>
      </c>
      <c r="AD102" s="156">
        <v>0</v>
      </c>
      <c r="AE102" s="156">
        <v>0</v>
      </c>
      <c r="AF102" s="156">
        <v>0</v>
      </c>
      <c r="AG102" s="156">
        <v>0</v>
      </c>
    </row>
    <row r="103" spans="1:33" s="78" customFormat="1" x14ac:dyDescent="0.25">
      <c r="A103" s="178" t="s">
        <v>2344</v>
      </c>
      <c r="B103" s="185" t="s">
        <v>2185</v>
      </c>
      <c r="C103" s="155" t="s">
        <v>439</v>
      </c>
      <c r="D103" s="141">
        <f t="shared" si="71"/>
        <v>12</v>
      </c>
      <c r="E103" s="156">
        <f t="shared" si="72"/>
        <v>3</v>
      </c>
      <c r="F103" s="157">
        <f t="shared" si="73"/>
        <v>36</v>
      </c>
      <c r="G103" s="158">
        <f>VLOOKUP(C103,CPU_SALARIOS!$B$13:$E$30,4,FALSE)</f>
        <v>1478.4</v>
      </c>
      <c r="H103" s="160">
        <f t="shared" si="87"/>
        <v>443.52</v>
      </c>
      <c r="I103" s="160">
        <v>0</v>
      </c>
      <c r="J103" s="160">
        <v>0</v>
      </c>
      <c r="K103" s="161">
        <v>0</v>
      </c>
      <c r="L103" s="160">
        <f t="shared" si="74"/>
        <v>0</v>
      </c>
      <c r="M103" s="161">
        <v>0</v>
      </c>
      <c r="N103" s="160">
        <f t="shared" si="75"/>
        <v>0</v>
      </c>
      <c r="O103" s="160">
        <f t="shared" si="76"/>
        <v>1483.08</v>
      </c>
      <c r="P103" s="160">
        <f t="shared" si="77"/>
        <v>3405</v>
      </c>
      <c r="Q103" s="158">
        <f t="shared" si="78"/>
        <v>53222.400000000001</v>
      </c>
      <c r="R103" s="160">
        <f t="shared" si="79"/>
        <v>15966.72</v>
      </c>
      <c r="S103" s="160">
        <f t="shared" si="80"/>
        <v>0</v>
      </c>
      <c r="T103" s="160">
        <f t="shared" si="81"/>
        <v>0</v>
      </c>
      <c r="U103" s="160">
        <f t="shared" si="82"/>
        <v>53390.879999999997</v>
      </c>
      <c r="V103" s="161">
        <f t="shared" si="83"/>
        <v>122580</v>
      </c>
      <c r="X103" s="156">
        <v>6</v>
      </c>
      <c r="Y103" s="156">
        <f t="shared" si="84"/>
        <v>-3</v>
      </c>
      <c r="Z103" s="156">
        <v>1</v>
      </c>
      <c r="AA103" s="156">
        <f t="shared" si="85"/>
        <v>2</v>
      </c>
      <c r="AB103" s="156">
        <f t="shared" si="86"/>
        <v>3</v>
      </c>
      <c r="AC103" s="156">
        <v>0</v>
      </c>
      <c r="AD103" s="156">
        <v>1</v>
      </c>
      <c r="AE103" s="156">
        <v>1</v>
      </c>
      <c r="AF103" s="156">
        <v>1</v>
      </c>
      <c r="AG103" s="156">
        <v>0</v>
      </c>
    </row>
    <row r="104" spans="1:33" s="78" customFormat="1" x14ac:dyDescent="0.25">
      <c r="A104" s="178" t="s">
        <v>2345</v>
      </c>
      <c r="B104" s="185" t="s">
        <v>2184</v>
      </c>
      <c r="C104" s="155" t="s">
        <v>439</v>
      </c>
      <c r="D104" s="141">
        <f t="shared" si="71"/>
        <v>12</v>
      </c>
      <c r="E104" s="156">
        <f t="shared" si="72"/>
        <v>3</v>
      </c>
      <c r="F104" s="157">
        <f t="shared" si="73"/>
        <v>36</v>
      </c>
      <c r="G104" s="158">
        <f>VLOOKUP(C104,CPU_SALARIOS!$B$13:$E$30,4,FALSE)</f>
        <v>1478.4</v>
      </c>
      <c r="H104" s="160">
        <f t="shared" si="87"/>
        <v>443.52</v>
      </c>
      <c r="I104" s="160">
        <v>0</v>
      </c>
      <c r="J104" s="160">
        <v>0</v>
      </c>
      <c r="K104" s="161">
        <v>0</v>
      </c>
      <c r="L104" s="160">
        <f t="shared" si="74"/>
        <v>0</v>
      </c>
      <c r="M104" s="161">
        <v>0</v>
      </c>
      <c r="N104" s="160">
        <f t="shared" si="75"/>
        <v>0</v>
      </c>
      <c r="O104" s="160">
        <f t="shared" si="76"/>
        <v>1483.08</v>
      </c>
      <c r="P104" s="160">
        <f t="shared" si="77"/>
        <v>3405</v>
      </c>
      <c r="Q104" s="158">
        <f t="shared" si="78"/>
        <v>53222.400000000001</v>
      </c>
      <c r="R104" s="160">
        <f t="shared" si="79"/>
        <v>15966.72</v>
      </c>
      <c r="S104" s="160">
        <f t="shared" si="80"/>
        <v>0</v>
      </c>
      <c r="T104" s="160">
        <f t="shared" si="81"/>
        <v>0</v>
      </c>
      <c r="U104" s="160">
        <f t="shared" si="82"/>
        <v>53390.879999999997</v>
      </c>
      <c r="V104" s="161">
        <f t="shared" si="83"/>
        <v>122580</v>
      </c>
      <c r="X104" s="156">
        <v>7</v>
      </c>
      <c r="Y104" s="156">
        <f t="shared" si="84"/>
        <v>-4</v>
      </c>
      <c r="Z104" s="156">
        <v>2</v>
      </c>
      <c r="AA104" s="156">
        <f t="shared" si="85"/>
        <v>1</v>
      </c>
      <c r="AB104" s="156">
        <f t="shared" si="86"/>
        <v>3</v>
      </c>
      <c r="AC104" s="156">
        <v>0</v>
      </c>
      <c r="AD104" s="156">
        <v>1</v>
      </c>
      <c r="AE104" s="156">
        <v>1</v>
      </c>
      <c r="AF104" s="156">
        <v>1</v>
      </c>
      <c r="AG104" s="156">
        <v>0</v>
      </c>
    </row>
    <row r="105" spans="1:33" s="78" customFormat="1" x14ac:dyDescent="0.25">
      <c r="A105" s="178" t="s">
        <v>2346</v>
      </c>
      <c r="B105" s="185" t="s">
        <v>2183</v>
      </c>
      <c r="C105" s="155" t="s">
        <v>439</v>
      </c>
      <c r="D105" s="141">
        <f t="shared" si="71"/>
        <v>12</v>
      </c>
      <c r="E105" s="156">
        <f t="shared" si="72"/>
        <v>3</v>
      </c>
      <c r="F105" s="157">
        <f t="shared" si="73"/>
        <v>36</v>
      </c>
      <c r="G105" s="158">
        <f>VLOOKUP(C105,CPU_SALARIOS!$B$13:$E$30,4,FALSE)</f>
        <v>1478.4</v>
      </c>
      <c r="H105" s="160">
        <f t="shared" si="87"/>
        <v>443.52</v>
      </c>
      <c r="I105" s="160">
        <v>0</v>
      </c>
      <c r="J105" s="160">
        <v>0</v>
      </c>
      <c r="K105" s="161">
        <v>0</v>
      </c>
      <c r="L105" s="160">
        <f t="shared" si="74"/>
        <v>0</v>
      </c>
      <c r="M105" s="161">
        <v>0</v>
      </c>
      <c r="N105" s="160">
        <f t="shared" si="75"/>
        <v>0</v>
      </c>
      <c r="O105" s="160">
        <f t="shared" si="76"/>
        <v>1483.08</v>
      </c>
      <c r="P105" s="160">
        <f t="shared" si="77"/>
        <v>3405</v>
      </c>
      <c r="Q105" s="158">
        <f t="shared" si="78"/>
        <v>53222.400000000001</v>
      </c>
      <c r="R105" s="160">
        <f t="shared" si="79"/>
        <v>15966.72</v>
      </c>
      <c r="S105" s="160">
        <f t="shared" si="80"/>
        <v>0</v>
      </c>
      <c r="T105" s="160">
        <f t="shared" si="81"/>
        <v>0</v>
      </c>
      <c r="U105" s="160">
        <f t="shared" si="82"/>
        <v>53390.879999999997</v>
      </c>
      <c r="V105" s="161">
        <f t="shared" si="83"/>
        <v>122580</v>
      </c>
      <c r="X105" s="156">
        <v>6</v>
      </c>
      <c r="Y105" s="156">
        <f t="shared" si="84"/>
        <v>-3</v>
      </c>
      <c r="Z105" s="156">
        <v>1</v>
      </c>
      <c r="AA105" s="156">
        <f t="shared" si="85"/>
        <v>2</v>
      </c>
      <c r="AB105" s="156">
        <f t="shared" si="86"/>
        <v>3</v>
      </c>
      <c r="AC105" s="156">
        <v>0</v>
      </c>
      <c r="AD105" s="156">
        <v>1</v>
      </c>
      <c r="AE105" s="156">
        <v>1</v>
      </c>
      <c r="AF105" s="156">
        <v>1</v>
      </c>
      <c r="AG105" s="156">
        <v>0</v>
      </c>
    </row>
    <row r="106" spans="1:33" s="78" customFormat="1" x14ac:dyDescent="0.25">
      <c r="A106" s="178" t="s">
        <v>2347</v>
      </c>
      <c r="B106" s="185" t="s">
        <v>2182</v>
      </c>
      <c r="C106" s="155" t="s">
        <v>439</v>
      </c>
      <c r="D106" s="141">
        <f t="shared" si="71"/>
        <v>12</v>
      </c>
      <c r="E106" s="156">
        <f t="shared" si="72"/>
        <v>7</v>
      </c>
      <c r="F106" s="157">
        <f t="shared" si="73"/>
        <v>84</v>
      </c>
      <c r="G106" s="158">
        <f>VLOOKUP(C106,CPU_SALARIOS!$B$13:$E$30,4,FALSE)</f>
        <v>1478.4</v>
      </c>
      <c r="H106" s="160">
        <f t="shared" si="87"/>
        <v>443.52</v>
      </c>
      <c r="I106" s="160">
        <v>0</v>
      </c>
      <c r="J106" s="160">
        <v>0</v>
      </c>
      <c r="K106" s="161">
        <v>0</v>
      </c>
      <c r="L106" s="160">
        <f t="shared" si="74"/>
        <v>0</v>
      </c>
      <c r="M106" s="161">
        <v>0</v>
      </c>
      <c r="N106" s="160">
        <f t="shared" si="75"/>
        <v>0</v>
      </c>
      <c r="O106" s="160">
        <f t="shared" si="76"/>
        <v>1483.08</v>
      </c>
      <c r="P106" s="160">
        <f t="shared" si="77"/>
        <v>3405</v>
      </c>
      <c r="Q106" s="158">
        <f t="shared" si="78"/>
        <v>124185.60000000001</v>
      </c>
      <c r="R106" s="160">
        <f t="shared" si="79"/>
        <v>37255.68</v>
      </c>
      <c r="S106" s="160">
        <f t="shared" si="80"/>
        <v>0</v>
      </c>
      <c r="T106" s="160">
        <f t="shared" si="81"/>
        <v>0</v>
      </c>
      <c r="U106" s="160">
        <f t="shared" si="82"/>
        <v>124578.72</v>
      </c>
      <c r="V106" s="161">
        <f t="shared" si="83"/>
        <v>286020</v>
      </c>
      <c r="X106" s="156">
        <v>14</v>
      </c>
      <c r="Y106" s="156">
        <f t="shared" si="84"/>
        <v>-7</v>
      </c>
      <c r="Z106" s="156">
        <v>3</v>
      </c>
      <c r="AA106" s="156">
        <f t="shared" si="85"/>
        <v>4</v>
      </c>
      <c r="AB106" s="156">
        <f t="shared" si="86"/>
        <v>7</v>
      </c>
      <c r="AC106" s="156">
        <v>0</v>
      </c>
      <c r="AD106" s="156">
        <v>3</v>
      </c>
      <c r="AE106" s="156">
        <v>2</v>
      </c>
      <c r="AF106" s="156">
        <v>2</v>
      </c>
      <c r="AG106" s="156">
        <v>0</v>
      </c>
    </row>
    <row r="107" spans="1:33" s="78" customFormat="1" x14ac:dyDescent="0.25">
      <c r="A107" s="178" t="s">
        <v>2348</v>
      </c>
      <c r="B107" s="185" t="s">
        <v>2181</v>
      </c>
      <c r="C107" s="155" t="s">
        <v>459</v>
      </c>
      <c r="D107" s="141">
        <f t="shared" si="71"/>
        <v>12</v>
      </c>
      <c r="E107" s="142">
        <f t="shared" si="72"/>
        <v>63</v>
      </c>
      <c r="F107" s="157">
        <f t="shared" si="73"/>
        <v>756</v>
      </c>
      <c r="G107" s="158">
        <f>VLOOKUP(C107,CPU_SALARIOS!$B$13:$E$30,4,FALSE)</f>
        <v>1443.2</v>
      </c>
      <c r="H107" s="160">
        <f t="shared" si="87"/>
        <v>432.96</v>
      </c>
      <c r="I107" s="160">
        <v>0</v>
      </c>
      <c r="J107" s="160">
        <v>0</v>
      </c>
      <c r="K107" s="161">
        <v>0</v>
      </c>
      <c r="L107" s="160">
        <f t="shared" si="74"/>
        <v>0</v>
      </c>
      <c r="M107" s="161">
        <v>0</v>
      </c>
      <c r="N107" s="160">
        <f t="shared" si="75"/>
        <v>0</v>
      </c>
      <c r="O107" s="160">
        <f t="shared" si="76"/>
        <v>1447.77</v>
      </c>
      <c r="P107" s="160">
        <f t="shared" si="77"/>
        <v>3323.9300000000003</v>
      </c>
      <c r="Q107" s="158">
        <f t="shared" si="78"/>
        <v>1091059.2</v>
      </c>
      <c r="R107" s="160">
        <f t="shared" si="79"/>
        <v>327317.76000000001</v>
      </c>
      <c r="S107" s="160">
        <f t="shared" si="80"/>
        <v>0</v>
      </c>
      <c r="T107" s="160">
        <f t="shared" si="81"/>
        <v>0</v>
      </c>
      <c r="U107" s="160">
        <f t="shared" si="82"/>
        <v>1094514.1200000001</v>
      </c>
      <c r="V107" s="161">
        <f t="shared" si="83"/>
        <v>2512891.08</v>
      </c>
      <c r="X107" s="142">
        <v>176</v>
      </c>
      <c r="Y107" s="142">
        <f t="shared" si="84"/>
        <v>-113</v>
      </c>
      <c r="Z107" s="142">
        <v>90</v>
      </c>
      <c r="AA107" s="142">
        <f t="shared" si="85"/>
        <v>-27</v>
      </c>
      <c r="AB107" s="142">
        <f t="shared" si="86"/>
        <v>63</v>
      </c>
      <c r="AC107" s="142">
        <v>0</v>
      </c>
      <c r="AD107" s="142">
        <f>2*(3+3)+3*4</f>
        <v>24</v>
      </c>
      <c r="AE107" s="142">
        <f>2*(1+1)+3*4</f>
        <v>16</v>
      </c>
      <c r="AF107" s="142">
        <f>2*(2+2)+3*5</f>
        <v>23</v>
      </c>
      <c r="AG107" s="142">
        <v>0</v>
      </c>
    </row>
    <row r="108" spans="1:33" s="78" customFormat="1" ht="13.5" thickBot="1" x14ac:dyDescent="0.3">
      <c r="A108" s="178" t="s">
        <v>2349</v>
      </c>
      <c r="B108" s="185" t="s">
        <v>2188</v>
      </c>
      <c r="C108" s="155" t="s">
        <v>459</v>
      </c>
      <c r="D108" s="141">
        <f t="shared" si="71"/>
        <v>12</v>
      </c>
      <c r="E108" s="156">
        <f t="shared" si="72"/>
        <v>0</v>
      </c>
      <c r="F108" s="157">
        <f t="shared" si="73"/>
        <v>0</v>
      </c>
      <c r="G108" s="158">
        <f>VLOOKUP(C108,CPU_SALARIOS!$B$13:$E$30,4,FALSE)</f>
        <v>1443.2</v>
      </c>
      <c r="H108" s="160">
        <f t="shared" si="87"/>
        <v>432.96</v>
      </c>
      <c r="I108" s="160">
        <v>0</v>
      </c>
      <c r="J108" s="160">
        <v>0</v>
      </c>
      <c r="K108" s="161">
        <v>0</v>
      </c>
      <c r="L108" s="160">
        <f t="shared" si="74"/>
        <v>0</v>
      </c>
      <c r="M108" s="161">
        <v>0</v>
      </c>
      <c r="N108" s="160">
        <f t="shared" si="75"/>
        <v>0</v>
      </c>
      <c r="O108" s="160">
        <f t="shared" si="76"/>
        <v>1447.77</v>
      </c>
      <c r="P108" s="160">
        <f t="shared" si="77"/>
        <v>3323.9300000000003</v>
      </c>
      <c r="Q108" s="158">
        <f t="shared" si="78"/>
        <v>0</v>
      </c>
      <c r="R108" s="160">
        <f t="shared" si="79"/>
        <v>0</v>
      </c>
      <c r="S108" s="160">
        <f t="shared" si="80"/>
        <v>0</v>
      </c>
      <c r="T108" s="160">
        <f t="shared" si="81"/>
        <v>0</v>
      </c>
      <c r="U108" s="160">
        <f t="shared" si="82"/>
        <v>0</v>
      </c>
      <c r="V108" s="161">
        <f t="shared" si="83"/>
        <v>0</v>
      </c>
      <c r="X108" s="156">
        <v>4</v>
      </c>
      <c r="Y108" s="156">
        <f t="shared" si="84"/>
        <v>-4</v>
      </c>
      <c r="Z108" s="156">
        <v>2</v>
      </c>
      <c r="AA108" s="156">
        <f t="shared" si="85"/>
        <v>-2</v>
      </c>
      <c r="AB108" s="156">
        <f t="shared" si="86"/>
        <v>0</v>
      </c>
      <c r="AC108" s="156">
        <v>0</v>
      </c>
      <c r="AD108" s="156">
        <v>0</v>
      </c>
      <c r="AE108" s="156">
        <v>0</v>
      </c>
      <c r="AF108" s="156">
        <v>0</v>
      </c>
      <c r="AG108" s="156">
        <v>0</v>
      </c>
    </row>
    <row r="109" spans="1:33" s="78" customFormat="1" ht="13.5" thickBot="1" x14ac:dyDescent="0.3">
      <c r="A109" s="34" t="s">
        <v>1040</v>
      </c>
      <c r="B109" s="37"/>
      <c r="C109" s="37"/>
      <c r="D109" s="37"/>
      <c r="E109" s="37"/>
      <c r="F109" s="37"/>
      <c r="G109" s="191"/>
      <c r="H109" s="191"/>
      <c r="I109" s="191"/>
      <c r="J109" s="191"/>
      <c r="K109" s="191"/>
      <c r="L109" s="191"/>
      <c r="M109" s="191"/>
      <c r="N109" s="191"/>
      <c r="O109" s="191"/>
      <c r="P109" s="192"/>
      <c r="Q109" s="190">
        <f t="shared" ref="Q109:U109" si="88">SUM(Q15:Q108)</f>
        <v>13581110.400000008</v>
      </c>
      <c r="R109" s="190">
        <f t="shared" ca="1" si="88"/>
        <v>3028171.3200000003</v>
      </c>
      <c r="S109" s="190">
        <f t="shared" ca="1" si="88"/>
        <v>723906</v>
      </c>
      <c r="T109" s="190">
        <f t="shared" si="88"/>
        <v>0</v>
      </c>
      <c r="U109" s="190">
        <f t="shared" ca="1" si="88"/>
        <v>13375417.200000003</v>
      </c>
      <c r="V109" s="190">
        <f ca="1">SUM(V14:V108)</f>
        <v>30708604.920000017</v>
      </c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</row>
    <row r="110" spans="1:33" s="78" customFormat="1" x14ac:dyDescent="0.25">
      <c r="A110" s="69"/>
      <c r="B110" s="70"/>
      <c r="C110" s="71"/>
      <c r="D110" s="72"/>
      <c r="E110" s="72">
        <f>SUBTOTAL(9,E13:E109)</f>
        <v>329</v>
      </c>
      <c r="F110" s="72">
        <f>SUBTOTAL(9,F13:F109)</f>
        <v>3948</v>
      </c>
      <c r="G110" s="74"/>
      <c r="H110" s="75"/>
      <c r="I110" s="75"/>
      <c r="J110" s="75"/>
      <c r="K110" s="75"/>
      <c r="L110" s="75"/>
      <c r="M110" s="75"/>
      <c r="N110" s="75"/>
      <c r="O110" s="75"/>
      <c r="P110" s="75"/>
      <c r="Q110" s="74"/>
      <c r="R110" s="75"/>
      <c r="S110" s="75"/>
      <c r="T110" s="75"/>
      <c r="U110" s="75"/>
      <c r="V110" s="76">
        <v>24203138.280000001</v>
      </c>
      <c r="X110" s="481">
        <f t="shared" ref="X110:AG110" si="89">SUM(X14:X109)</f>
        <v>539</v>
      </c>
      <c r="Y110" s="78">
        <f t="shared" si="89"/>
        <v>-210</v>
      </c>
      <c r="Z110" s="481">
        <f t="shared" si="89"/>
        <v>305</v>
      </c>
      <c r="AA110" s="29">
        <f t="shared" si="89"/>
        <v>24</v>
      </c>
      <c r="AB110" s="481">
        <f t="shared" si="89"/>
        <v>329</v>
      </c>
      <c r="AC110" s="78">
        <f t="shared" si="89"/>
        <v>56</v>
      </c>
      <c r="AD110" s="78">
        <f t="shared" si="89"/>
        <v>96</v>
      </c>
      <c r="AE110" s="78">
        <f t="shared" si="89"/>
        <v>52</v>
      </c>
      <c r="AF110" s="78">
        <f t="shared" ref="AF110" si="90">SUM(AF14:AF109)</f>
        <v>77</v>
      </c>
      <c r="AG110" s="78">
        <f t="shared" si="89"/>
        <v>48</v>
      </c>
    </row>
    <row r="111" spans="1:33" s="78" customFormat="1" ht="13.5" thickBot="1" x14ac:dyDescent="0.3">
      <c r="A111" s="69"/>
      <c r="B111" s="70"/>
      <c r="C111" s="71"/>
      <c r="D111" s="72"/>
      <c r="E111" s="78">
        <v>214</v>
      </c>
      <c r="F111" s="73"/>
      <c r="G111" s="74"/>
      <c r="H111" s="75"/>
      <c r="I111" s="75"/>
      <c r="J111" s="75"/>
      <c r="K111" s="75"/>
      <c r="L111" s="75"/>
      <c r="M111" s="75"/>
      <c r="N111" s="75"/>
      <c r="O111" s="75"/>
      <c r="P111" s="75"/>
      <c r="Q111" s="74"/>
      <c r="R111" s="75"/>
      <c r="S111" s="75"/>
      <c r="T111" s="75"/>
      <c r="U111" s="75"/>
      <c r="V111" s="76">
        <v>24522082.080000006</v>
      </c>
      <c r="Z111" s="482">
        <f>Z110/X110</f>
        <v>0.56586270871985156</v>
      </c>
      <c r="AB111" s="480">
        <f>AB110/X110</f>
        <v>0.61038961038961037</v>
      </c>
    </row>
    <row r="112" spans="1:33" s="78" customFormat="1" x14ac:dyDescent="0.25">
      <c r="A112" s="704" t="s">
        <v>422</v>
      </c>
      <c r="B112" s="705"/>
      <c r="C112" s="705"/>
      <c r="D112" s="705"/>
      <c r="E112" s="705"/>
      <c r="F112" s="705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6"/>
      <c r="U112" s="704" t="s">
        <v>423</v>
      </c>
      <c r="V112" s="706"/>
    </row>
    <row r="113" spans="1:28" s="78" customFormat="1" ht="13.5" thickBot="1" x14ac:dyDescent="0.3">
      <c r="A113" s="701"/>
      <c r="B113" s="702"/>
      <c r="C113" s="702"/>
      <c r="D113" s="702"/>
      <c r="E113" s="702"/>
      <c r="F113" s="702"/>
      <c r="G113" s="702"/>
      <c r="H113" s="702"/>
      <c r="I113" s="702"/>
      <c r="J113" s="702"/>
      <c r="K113" s="702"/>
      <c r="L113" s="702"/>
      <c r="M113" s="702"/>
      <c r="N113" s="702"/>
      <c r="O113" s="702"/>
      <c r="P113" s="702"/>
      <c r="Q113" s="702"/>
      <c r="R113" s="702"/>
      <c r="S113" s="702"/>
      <c r="T113" s="703"/>
      <c r="U113" s="701"/>
      <c r="V113" s="703"/>
    </row>
    <row r="114" spans="1:28" s="78" customFormat="1" x14ac:dyDescent="0.25">
      <c r="A114" s="695" t="s">
        <v>424</v>
      </c>
      <c r="B114" s="738"/>
      <c r="C114" s="738"/>
      <c r="D114" s="738"/>
      <c r="E114" s="738"/>
      <c r="F114" s="738"/>
      <c r="G114" s="738"/>
      <c r="H114" s="738"/>
      <c r="I114" s="738"/>
      <c r="J114" s="738"/>
      <c r="K114" s="738"/>
      <c r="L114" s="738"/>
      <c r="M114" s="738"/>
      <c r="N114" s="738"/>
      <c r="O114" s="738"/>
      <c r="P114" s="738"/>
      <c r="Q114" s="738"/>
      <c r="R114" s="738"/>
      <c r="S114" s="738"/>
      <c r="T114" s="697"/>
      <c r="U114" s="695" t="s">
        <v>425</v>
      </c>
      <c r="V114" s="697"/>
    </row>
    <row r="115" spans="1:28" s="78" customFormat="1" ht="13.5" thickBot="1" x14ac:dyDescent="0.3">
      <c r="A115" s="695"/>
      <c r="B115" s="696"/>
      <c r="C115" s="696"/>
      <c r="D115" s="696"/>
      <c r="E115" s="696"/>
      <c r="F115" s="696"/>
      <c r="G115" s="696"/>
      <c r="H115" s="696"/>
      <c r="I115" s="696"/>
      <c r="J115" s="696"/>
      <c r="K115" s="696"/>
      <c r="L115" s="696"/>
      <c r="M115" s="696"/>
      <c r="N115" s="696"/>
      <c r="O115" s="696"/>
      <c r="P115" s="696"/>
      <c r="Q115" s="696"/>
      <c r="R115" s="696"/>
      <c r="S115" s="696"/>
      <c r="T115" s="697"/>
      <c r="U115" s="695"/>
      <c r="V115" s="697"/>
    </row>
    <row r="116" spans="1:28" s="78" customFormat="1" x14ac:dyDescent="0.25">
      <c r="A116" s="885" t="s">
        <v>1042</v>
      </c>
      <c r="B116" s="887"/>
      <c r="C116" s="887"/>
      <c r="D116" s="887"/>
      <c r="E116" s="887"/>
      <c r="F116" s="887"/>
      <c r="G116" s="887"/>
      <c r="H116" s="887"/>
      <c r="I116" s="887"/>
      <c r="J116" s="887"/>
      <c r="K116" s="887"/>
      <c r="L116" s="887"/>
      <c r="M116" s="887"/>
      <c r="N116" s="887"/>
      <c r="O116" s="887"/>
      <c r="P116" s="887"/>
      <c r="Q116" s="887"/>
      <c r="R116" s="887"/>
      <c r="S116" s="887"/>
      <c r="T116" s="887"/>
      <c r="U116" s="887"/>
      <c r="V116" s="888"/>
    </row>
    <row r="117" spans="1:28" s="78" customFormat="1" x14ac:dyDescent="0.25">
      <c r="A117" s="876" t="s">
        <v>1421</v>
      </c>
      <c r="B117" s="877"/>
      <c r="C117" s="877"/>
      <c r="D117" s="877"/>
      <c r="E117" s="877"/>
      <c r="F117" s="877"/>
      <c r="G117" s="877"/>
      <c r="H117" s="877"/>
      <c r="I117" s="877"/>
      <c r="J117" s="877"/>
      <c r="K117" s="877"/>
      <c r="L117" s="877"/>
      <c r="M117" s="877"/>
      <c r="N117" s="877"/>
      <c r="O117" s="877"/>
      <c r="P117" s="877"/>
      <c r="Q117" s="877"/>
      <c r="R117" s="877"/>
      <c r="S117" s="877"/>
      <c r="T117" s="877"/>
      <c r="U117" s="877"/>
      <c r="V117" s="878"/>
    </row>
    <row r="118" spans="1:28" s="78" customFormat="1" x14ac:dyDescent="0.25">
      <c r="A118" s="876" t="s">
        <v>1426</v>
      </c>
      <c r="B118" s="877"/>
      <c r="C118" s="877"/>
      <c r="D118" s="877"/>
      <c r="E118" s="877"/>
      <c r="F118" s="877"/>
      <c r="G118" s="877"/>
      <c r="H118" s="877"/>
      <c r="I118" s="877"/>
      <c r="J118" s="877"/>
      <c r="K118" s="877"/>
      <c r="L118" s="877"/>
      <c r="M118" s="877"/>
      <c r="N118" s="877"/>
      <c r="O118" s="877"/>
      <c r="P118" s="877"/>
      <c r="Q118" s="877"/>
      <c r="R118" s="877"/>
      <c r="S118" s="877"/>
      <c r="T118" s="877"/>
      <c r="U118" s="877"/>
      <c r="V118" s="878"/>
    </row>
    <row r="119" spans="1:28" s="78" customFormat="1" x14ac:dyDescent="0.25">
      <c r="A119" s="876" t="s">
        <v>1427</v>
      </c>
      <c r="B119" s="877"/>
      <c r="C119" s="877"/>
      <c r="D119" s="877"/>
      <c r="E119" s="877"/>
      <c r="F119" s="877"/>
      <c r="G119" s="877"/>
      <c r="H119" s="877"/>
      <c r="I119" s="877"/>
      <c r="J119" s="877"/>
      <c r="K119" s="877"/>
      <c r="L119" s="877"/>
      <c r="M119" s="877"/>
      <c r="N119" s="877"/>
      <c r="O119" s="877"/>
      <c r="P119" s="877"/>
      <c r="Q119" s="877"/>
      <c r="R119" s="877"/>
      <c r="S119" s="877"/>
      <c r="T119" s="877"/>
      <c r="U119" s="877"/>
      <c r="V119" s="878"/>
    </row>
    <row r="120" spans="1:28" s="78" customFormat="1" x14ac:dyDescent="0.25">
      <c r="A120" s="876" t="s">
        <v>1422</v>
      </c>
      <c r="B120" s="877"/>
      <c r="C120" s="877"/>
      <c r="D120" s="877"/>
      <c r="E120" s="877"/>
      <c r="F120" s="877"/>
      <c r="G120" s="877"/>
      <c r="H120" s="877"/>
      <c r="I120" s="877"/>
      <c r="J120" s="877"/>
      <c r="K120" s="877"/>
      <c r="L120" s="877"/>
      <c r="M120" s="877"/>
      <c r="N120" s="877"/>
      <c r="O120" s="877"/>
      <c r="P120" s="877"/>
      <c r="Q120" s="877"/>
      <c r="R120" s="877"/>
      <c r="S120" s="877"/>
      <c r="T120" s="877"/>
      <c r="U120" s="877"/>
      <c r="V120" s="878"/>
    </row>
    <row r="121" spans="1:28" s="78" customFormat="1" x14ac:dyDescent="0.25">
      <c r="A121" s="876" t="s">
        <v>1428</v>
      </c>
      <c r="B121" s="877"/>
      <c r="C121" s="877"/>
      <c r="D121" s="877"/>
      <c r="E121" s="877"/>
      <c r="F121" s="877"/>
      <c r="G121" s="877"/>
      <c r="H121" s="877"/>
      <c r="I121" s="877"/>
      <c r="J121" s="877"/>
      <c r="K121" s="877"/>
      <c r="L121" s="877"/>
      <c r="M121" s="877"/>
      <c r="N121" s="877"/>
      <c r="O121" s="877"/>
      <c r="P121" s="877"/>
      <c r="Q121" s="877"/>
      <c r="R121" s="877"/>
      <c r="S121" s="877"/>
      <c r="T121" s="877"/>
      <c r="U121" s="877"/>
      <c r="V121" s="878"/>
    </row>
    <row r="122" spans="1:28" s="78" customFormat="1" x14ac:dyDescent="0.25">
      <c r="A122" s="876" t="s">
        <v>1429</v>
      </c>
      <c r="B122" s="877"/>
      <c r="C122" s="877"/>
      <c r="D122" s="877"/>
      <c r="E122" s="877"/>
      <c r="F122" s="877"/>
      <c r="G122" s="877"/>
      <c r="H122" s="877"/>
      <c r="I122" s="877"/>
      <c r="J122" s="877"/>
      <c r="K122" s="877"/>
      <c r="L122" s="877"/>
      <c r="M122" s="877"/>
      <c r="N122" s="877"/>
      <c r="O122" s="877"/>
      <c r="P122" s="877"/>
      <c r="Q122" s="877"/>
      <c r="R122" s="877"/>
      <c r="S122" s="877"/>
      <c r="T122" s="877"/>
      <c r="U122" s="877"/>
      <c r="V122" s="878"/>
    </row>
    <row r="123" spans="1:28" s="78" customFormat="1" x14ac:dyDescent="0.25">
      <c r="A123" s="876" t="s">
        <v>1423</v>
      </c>
      <c r="B123" s="877"/>
      <c r="C123" s="877"/>
      <c r="D123" s="877"/>
      <c r="E123" s="877"/>
      <c r="F123" s="877"/>
      <c r="G123" s="877"/>
      <c r="H123" s="877"/>
      <c r="I123" s="877"/>
      <c r="J123" s="877"/>
      <c r="K123" s="877"/>
      <c r="L123" s="877"/>
      <c r="M123" s="877"/>
      <c r="N123" s="877"/>
      <c r="O123" s="877"/>
      <c r="P123" s="877"/>
      <c r="Q123" s="877"/>
      <c r="R123" s="877"/>
      <c r="S123" s="877"/>
      <c r="T123" s="877"/>
      <c r="U123" s="877"/>
      <c r="V123" s="878"/>
    </row>
    <row r="124" spans="1:28" s="78" customFormat="1" x14ac:dyDescent="0.25">
      <c r="A124" s="876" t="s">
        <v>1424</v>
      </c>
      <c r="B124" s="877"/>
      <c r="C124" s="877"/>
      <c r="D124" s="877"/>
      <c r="E124" s="877"/>
      <c r="F124" s="877"/>
      <c r="G124" s="877"/>
      <c r="H124" s="877"/>
      <c r="I124" s="877"/>
      <c r="J124" s="877"/>
      <c r="K124" s="877"/>
      <c r="L124" s="877"/>
      <c r="M124" s="877"/>
      <c r="N124" s="877"/>
      <c r="O124" s="877"/>
      <c r="P124" s="877"/>
      <c r="Q124" s="877"/>
      <c r="R124" s="877"/>
      <c r="S124" s="877"/>
      <c r="T124" s="877"/>
      <c r="U124" s="877"/>
      <c r="V124" s="878"/>
      <c r="Z124" s="21"/>
      <c r="AA124" s="21"/>
    </row>
    <row r="125" spans="1:28" s="78" customFormat="1" x14ac:dyDescent="0.25">
      <c r="A125" s="876" t="s">
        <v>1425</v>
      </c>
      <c r="B125" s="877"/>
      <c r="C125" s="877"/>
      <c r="D125" s="877"/>
      <c r="E125" s="877"/>
      <c r="F125" s="877"/>
      <c r="G125" s="877"/>
      <c r="H125" s="877"/>
      <c r="I125" s="877"/>
      <c r="J125" s="877"/>
      <c r="K125" s="877"/>
      <c r="L125" s="877"/>
      <c r="M125" s="877"/>
      <c r="N125" s="877"/>
      <c r="O125" s="877"/>
      <c r="P125" s="877"/>
      <c r="Q125" s="877"/>
      <c r="R125" s="877"/>
      <c r="S125" s="877"/>
      <c r="T125" s="877"/>
      <c r="U125" s="877"/>
      <c r="V125" s="878"/>
      <c r="Z125" s="21"/>
      <c r="AA125" s="21"/>
    </row>
    <row r="126" spans="1:28" s="78" customFormat="1" x14ac:dyDescent="0.25">
      <c r="A126" s="876"/>
      <c r="B126" s="877"/>
      <c r="C126" s="877"/>
      <c r="D126" s="877"/>
      <c r="E126" s="877"/>
      <c r="F126" s="877"/>
      <c r="G126" s="877"/>
      <c r="H126" s="877"/>
      <c r="I126" s="877"/>
      <c r="J126" s="877"/>
      <c r="K126" s="877"/>
      <c r="L126" s="877"/>
      <c r="M126" s="877"/>
      <c r="N126" s="877"/>
      <c r="O126" s="877"/>
      <c r="P126" s="877"/>
      <c r="Q126" s="877"/>
      <c r="R126" s="877"/>
      <c r="S126" s="877"/>
      <c r="T126" s="877"/>
      <c r="U126" s="877"/>
      <c r="V126" s="878"/>
      <c r="Z126" s="21"/>
      <c r="AA126" s="21"/>
    </row>
    <row r="127" spans="1:28" ht="13.5" thickBot="1" x14ac:dyDescent="0.3">
      <c r="A127" s="882"/>
      <c r="B127" s="883"/>
      <c r="C127" s="883"/>
      <c r="D127" s="883"/>
      <c r="E127" s="883"/>
      <c r="F127" s="883"/>
      <c r="G127" s="883"/>
      <c r="H127" s="883"/>
      <c r="I127" s="883"/>
      <c r="J127" s="883"/>
      <c r="K127" s="883"/>
      <c r="L127" s="883"/>
      <c r="M127" s="883"/>
      <c r="N127" s="883"/>
      <c r="O127" s="883"/>
      <c r="P127" s="883"/>
      <c r="Q127" s="883"/>
      <c r="R127" s="883"/>
      <c r="S127" s="883"/>
      <c r="T127" s="883"/>
      <c r="U127" s="883"/>
      <c r="V127" s="884"/>
    </row>
    <row r="128" spans="1:28" x14ac:dyDescent="0.25">
      <c r="AB128" s="480"/>
    </row>
  </sheetData>
  <autoFilter ref="A13:AG127"/>
  <mergeCells count="49">
    <mergeCell ref="A127:V127"/>
    <mergeCell ref="A118:V118"/>
    <mergeCell ref="A119:V119"/>
    <mergeCell ref="A117:V117"/>
    <mergeCell ref="A120:V120"/>
    <mergeCell ref="A121:V121"/>
    <mergeCell ref="A122:V122"/>
    <mergeCell ref="A123:V123"/>
    <mergeCell ref="A124:V124"/>
    <mergeCell ref="A125:V125"/>
    <mergeCell ref="A112:T113"/>
    <mergeCell ref="U112:V113"/>
    <mergeCell ref="A114:T115"/>
    <mergeCell ref="U114:V115"/>
    <mergeCell ref="A126:V126"/>
    <mergeCell ref="A116:V116"/>
    <mergeCell ref="C1:V1"/>
    <mergeCell ref="C2:V2"/>
    <mergeCell ref="C3:V3"/>
    <mergeCell ref="A5:V6"/>
    <mergeCell ref="X12:X13"/>
    <mergeCell ref="G11:P11"/>
    <mergeCell ref="A8:V8"/>
    <mergeCell ref="Q11:V11"/>
    <mergeCell ref="V12:V13"/>
    <mergeCell ref="T12:T13"/>
    <mergeCell ref="S12:S13"/>
    <mergeCell ref="I12:J12"/>
    <mergeCell ref="K12:L12"/>
    <mergeCell ref="M12:N12"/>
    <mergeCell ref="AB12:AB13"/>
    <mergeCell ref="AC12:AC13"/>
    <mergeCell ref="AD12:AD13"/>
    <mergeCell ref="AE12:AE13"/>
    <mergeCell ref="AG12:AG13"/>
    <mergeCell ref="AF12:AF13"/>
    <mergeCell ref="Z11:AA11"/>
    <mergeCell ref="Z12:Z13"/>
    <mergeCell ref="AA12:AA13"/>
    <mergeCell ref="X11:Y11"/>
    <mergeCell ref="A11:A13"/>
    <mergeCell ref="B11:B13"/>
    <mergeCell ref="C11:C13"/>
    <mergeCell ref="D11:D13"/>
    <mergeCell ref="E11:F12"/>
    <mergeCell ref="G12:G13"/>
    <mergeCell ref="P12:P13"/>
    <mergeCell ref="Q12:Q13"/>
    <mergeCell ref="Y12:Y13"/>
  </mergeCells>
  <phoneticPr fontId="25" type="noConversion"/>
  <printOptions horizontalCentered="1"/>
  <pageMargins left="0.59055118110236227" right="0.78740157480314965" top="0.98425196850393704" bottom="0.59055118110236227" header="0.31496062992125984" footer="0.31496062992125984"/>
  <pageSetup paperSize="9" scale="32" orientation="landscape" horizontalDpi="4294967294" verticalDpi="4294967294" r:id="rId1"/>
  <rowBreaks count="1" manualBreakCount="1">
    <brk id="85" max="21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view="pageBreakPreview" zoomScale="85" zoomScaleNormal="100" zoomScaleSheetLayoutView="85" workbookViewId="0">
      <pane ySplit="11" topLeftCell="A12" activePane="bottomLeft" state="frozen"/>
      <selection activeCell="C90" sqref="C90"/>
      <selection pane="bottomLeft" activeCell="F33" sqref="F33"/>
    </sheetView>
  </sheetViews>
  <sheetFormatPr defaultColWidth="9.140625" defaultRowHeight="12.75" x14ac:dyDescent="0.2"/>
  <cols>
    <col min="1" max="1" width="8.7109375" style="1" customWidth="1"/>
    <col min="2" max="2" width="61.7109375" style="1" customWidth="1"/>
    <col min="3" max="3" width="14.7109375" style="1" customWidth="1"/>
    <col min="4" max="5" width="24.7109375" style="1" customWidth="1"/>
    <col min="6" max="6" width="14.7109375" style="1" customWidth="1"/>
    <col min="7" max="7" width="24.7109375" style="1" customWidth="1"/>
    <col min="8" max="16384" width="9.140625" style="1"/>
  </cols>
  <sheetData>
    <row r="1" spans="1:7" s="89" customFormat="1" x14ac:dyDescent="0.25">
      <c r="A1" s="117"/>
      <c r="B1" s="726" t="s">
        <v>1117</v>
      </c>
      <c r="C1" s="726"/>
      <c r="D1" s="726"/>
      <c r="E1" s="727"/>
      <c r="F1" s="726"/>
      <c r="G1" s="726"/>
    </row>
    <row r="2" spans="1:7" s="89" customFormat="1" x14ac:dyDescent="0.25">
      <c r="A2" s="90"/>
      <c r="B2" s="728" t="s">
        <v>1118</v>
      </c>
      <c r="C2" s="728"/>
      <c r="D2" s="728"/>
      <c r="E2" s="728"/>
      <c r="F2" s="728"/>
      <c r="G2" s="728"/>
    </row>
    <row r="3" spans="1:7" s="89" customFormat="1" ht="13.5" thickBot="1" x14ac:dyDescent="0.3">
      <c r="A3" s="118"/>
      <c r="B3" s="729" t="s">
        <v>1116</v>
      </c>
      <c r="C3" s="729"/>
      <c r="D3" s="729"/>
      <c r="E3" s="729"/>
      <c r="F3" s="729"/>
      <c r="G3" s="729"/>
    </row>
    <row r="4" spans="1:7" s="78" customFormat="1" ht="13.9" thickBot="1" x14ac:dyDescent="0.35">
      <c r="A4" s="287"/>
    </row>
    <row r="5" spans="1:7" s="78" customFormat="1" x14ac:dyDescent="0.25">
      <c r="A5" s="690" t="s">
        <v>1119</v>
      </c>
      <c r="B5" s="690"/>
      <c r="C5" s="690"/>
      <c r="D5" s="690"/>
      <c r="E5" s="689"/>
      <c r="F5" s="690"/>
      <c r="G5" s="690"/>
    </row>
    <row r="6" spans="1:7" s="78" customFormat="1" ht="13.5" thickBot="1" x14ac:dyDescent="0.3">
      <c r="A6" s="691"/>
      <c r="B6" s="691"/>
      <c r="C6" s="691"/>
      <c r="D6" s="691"/>
      <c r="E6" s="691"/>
      <c r="F6" s="691"/>
      <c r="G6" s="691"/>
    </row>
    <row r="7" spans="1:7" s="78" customFormat="1" ht="13.9" thickBot="1" x14ac:dyDescent="0.35">
      <c r="B7" s="70"/>
      <c r="C7" s="72"/>
      <c r="D7" s="72"/>
      <c r="E7" s="72"/>
    </row>
    <row r="8" spans="1:7" s="21" customFormat="1" ht="13.5" thickBot="1" x14ac:dyDescent="0.3">
      <c r="A8" s="686" t="s">
        <v>694</v>
      </c>
      <c r="B8" s="687"/>
      <c r="C8" s="687"/>
      <c r="D8" s="687"/>
      <c r="E8" s="687"/>
      <c r="F8" s="687"/>
      <c r="G8" s="688"/>
    </row>
    <row r="9" spans="1:7" s="196" customFormat="1" ht="13.15" x14ac:dyDescent="0.3">
      <c r="D9" s="197"/>
      <c r="E9" s="197"/>
      <c r="F9" s="197"/>
    </row>
    <row r="10" spans="1:7" ht="13.9" thickBot="1" x14ac:dyDescent="0.3">
      <c r="A10" s="4"/>
      <c r="B10" s="15"/>
      <c r="C10" s="4"/>
      <c r="D10" s="4"/>
      <c r="E10" s="4"/>
      <c r="F10" s="18"/>
      <c r="G10" s="18"/>
    </row>
    <row r="11" spans="1:7" ht="13.5" thickBot="1" x14ac:dyDescent="0.25">
      <c r="A11" s="294" t="s">
        <v>363</v>
      </c>
      <c r="B11" s="324" t="s">
        <v>366</v>
      </c>
      <c r="C11" s="294" t="s">
        <v>543</v>
      </c>
      <c r="D11" s="294" t="s">
        <v>1341</v>
      </c>
      <c r="E11" s="294" t="s">
        <v>1340</v>
      </c>
      <c r="F11" s="297" t="s">
        <v>364</v>
      </c>
      <c r="G11" s="297" t="s">
        <v>1052</v>
      </c>
    </row>
    <row r="12" spans="1:7" ht="13.5" thickBot="1" x14ac:dyDescent="0.25">
      <c r="A12" s="331" t="s">
        <v>360</v>
      </c>
      <c r="B12" s="898" t="s">
        <v>550</v>
      </c>
      <c r="C12" s="898"/>
      <c r="D12" s="898"/>
      <c r="E12" s="898"/>
      <c r="F12" s="898"/>
      <c r="G12" s="898"/>
    </row>
    <row r="13" spans="1:7" ht="25.5" x14ac:dyDescent="0.2">
      <c r="A13" s="175" t="s">
        <v>124</v>
      </c>
      <c r="B13" s="181" t="s">
        <v>551</v>
      </c>
      <c r="C13" s="137" t="s">
        <v>428</v>
      </c>
      <c r="D13" s="137" t="s">
        <v>1342</v>
      </c>
      <c r="E13" s="137" t="s">
        <v>552</v>
      </c>
      <c r="F13" s="138">
        <v>1</v>
      </c>
      <c r="G13" s="138"/>
    </row>
    <row r="14" spans="1:7" x14ac:dyDescent="0.2">
      <c r="A14" s="176" t="s">
        <v>125</v>
      </c>
      <c r="B14" s="182" t="s">
        <v>553</v>
      </c>
      <c r="C14" s="141" t="s">
        <v>453</v>
      </c>
      <c r="D14" s="141" t="s">
        <v>1342</v>
      </c>
      <c r="E14" s="141" t="s">
        <v>552</v>
      </c>
      <c r="F14" s="142">
        <v>1</v>
      </c>
      <c r="G14" s="142"/>
    </row>
    <row r="15" spans="1:7" ht="13.5" thickBot="1" x14ac:dyDescent="0.25">
      <c r="A15" s="176" t="s">
        <v>126</v>
      </c>
      <c r="B15" s="182" t="s">
        <v>554</v>
      </c>
      <c r="C15" s="141" t="s">
        <v>457</v>
      </c>
      <c r="D15" s="141" t="s">
        <v>1342</v>
      </c>
      <c r="E15" s="141" t="s">
        <v>552</v>
      </c>
      <c r="F15" s="142">
        <v>1</v>
      </c>
      <c r="G15" s="142"/>
    </row>
    <row r="16" spans="1:7" ht="13.9" thickBot="1" x14ac:dyDescent="0.3">
      <c r="A16" s="244"/>
      <c r="B16" s="358"/>
      <c r="C16" s="359"/>
      <c r="D16" s="359"/>
      <c r="E16" s="359"/>
      <c r="F16" s="246"/>
      <c r="G16" s="246"/>
    </row>
    <row r="17" spans="1:7" ht="13.5" thickBot="1" x14ac:dyDescent="0.25">
      <c r="A17" s="331" t="s">
        <v>361</v>
      </c>
      <c r="B17" s="898" t="s">
        <v>555</v>
      </c>
      <c r="C17" s="898"/>
      <c r="D17" s="898"/>
      <c r="E17" s="898"/>
      <c r="F17" s="898"/>
      <c r="G17" s="898"/>
    </row>
    <row r="18" spans="1:7" ht="25.5" x14ac:dyDescent="0.2">
      <c r="A18" s="175" t="s">
        <v>173</v>
      </c>
      <c r="B18" s="181" t="s">
        <v>551</v>
      </c>
      <c r="C18" s="137" t="s">
        <v>430</v>
      </c>
      <c r="D18" s="137" t="s">
        <v>1342</v>
      </c>
      <c r="E18" s="137" t="s">
        <v>552</v>
      </c>
      <c r="F18" s="138">
        <v>1</v>
      </c>
      <c r="G18" s="138"/>
    </row>
    <row r="19" spans="1:7" ht="13.5" thickBot="1" x14ac:dyDescent="0.25">
      <c r="A19" s="176" t="s">
        <v>174</v>
      </c>
      <c r="B19" s="182" t="s">
        <v>554</v>
      </c>
      <c r="C19" s="141" t="s">
        <v>457</v>
      </c>
      <c r="D19" s="141" t="s">
        <v>1342</v>
      </c>
      <c r="E19" s="141" t="s">
        <v>552</v>
      </c>
      <c r="F19" s="142">
        <v>1</v>
      </c>
      <c r="G19" s="142"/>
    </row>
    <row r="20" spans="1:7" ht="13.9" thickBot="1" x14ac:dyDescent="0.3">
      <c r="A20" s="244"/>
      <c r="B20" s="358"/>
      <c r="C20" s="359"/>
      <c r="D20" s="359"/>
      <c r="E20" s="359"/>
      <c r="F20" s="246"/>
      <c r="G20" s="246"/>
    </row>
    <row r="21" spans="1:7" ht="13.5" thickBot="1" x14ac:dyDescent="0.25">
      <c r="A21" s="331" t="s">
        <v>362</v>
      </c>
      <c r="B21" s="898" t="s">
        <v>556</v>
      </c>
      <c r="C21" s="898"/>
      <c r="D21" s="898"/>
      <c r="E21" s="898"/>
      <c r="F21" s="898"/>
      <c r="G21" s="898"/>
    </row>
    <row r="22" spans="1:7" ht="25.5" x14ac:dyDescent="0.2">
      <c r="A22" s="175" t="s">
        <v>238</v>
      </c>
      <c r="B22" s="181" t="s">
        <v>551</v>
      </c>
      <c r="C22" s="137" t="s">
        <v>430</v>
      </c>
      <c r="D22" s="137" t="s">
        <v>1342</v>
      </c>
      <c r="E22" s="137" t="s">
        <v>552</v>
      </c>
      <c r="F22" s="138">
        <v>1</v>
      </c>
      <c r="G22" s="138"/>
    </row>
    <row r="23" spans="1:7" ht="13.5" thickBot="1" x14ac:dyDescent="0.25">
      <c r="A23" s="176" t="s">
        <v>239</v>
      </c>
      <c r="B23" s="182" t="s">
        <v>554</v>
      </c>
      <c r="C23" s="141" t="s">
        <v>457</v>
      </c>
      <c r="D23" s="141" t="s">
        <v>1342</v>
      </c>
      <c r="E23" s="141" t="s">
        <v>552</v>
      </c>
      <c r="F23" s="142">
        <v>1</v>
      </c>
      <c r="G23" s="142"/>
    </row>
    <row r="24" spans="1:7" ht="13.9" thickBot="1" x14ac:dyDescent="0.3">
      <c r="A24" s="244"/>
      <c r="B24" s="358"/>
      <c r="C24" s="359"/>
      <c r="D24" s="359"/>
      <c r="E24" s="359"/>
      <c r="F24" s="246"/>
      <c r="G24" s="246"/>
    </row>
    <row r="25" spans="1:7" ht="13.5" thickBot="1" x14ac:dyDescent="0.25">
      <c r="A25" s="331" t="s">
        <v>381</v>
      </c>
      <c r="B25" s="898" t="s">
        <v>557</v>
      </c>
      <c r="C25" s="898"/>
      <c r="D25" s="898"/>
      <c r="E25" s="898"/>
      <c r="F25" s="898"/>
      <c r="G25" s="898"/>
    </row>
    <row r="26" spans="1:7" x14ac:dyDescent="0.2">
      <c r="A26" s="175" t="s">
        <v>295</v>
      </c>
      <c r="B26" s="181" t="s">
        <v>562</v>
      </c>
      <c r="C26" s="137" t="s">
        <v>453</v>
      </c>
      <c r="D26" s="137" t="s">
        <v>1342</v>
      </c>
      <c r="E26" s="137" t="s">
        <v>569</v>
      </c>
      <c r="F26" s="138">
        <v>1</v>
      </c>
      <c r="G26" s="138"/>
    </row>
    <row r="27" spans="1:7" x14ac:dyDescent="0.2">
      <c r="A27" s="176" t="s">
        <v>296</v>
      </c>
      <c r="B27" s="182" t="s">
        <v>554</v>
      </c>
      <c r="C27" s="141" t="s">
        <v>457</v>
      </c>
      <c r="D27" s="141" t="s">
        <v>1342</v>
      </c>
      <c r="E27" s="141" t="s">
        <v>552</v>
      </c>
      <c r="F27" s="142">
        <v>1</v>
      </c>
      <c r="G27" s="142"/>
    </row>
    <row r="28" spans="1:7" x14ac:dyDescent="0.2">
      <c r="A28" s="176" t="s">
        <v>297</v>
      </c>
      <c r="B28" s="182" t="s">
        <v>561</v>
      </c>
      <c r="C28" s="141" t="s">
        <v>457</v>
      </c>
      <c r="D28" s="141" t="s">
        <v>1342</v>
      </c>
      <c r="E28" s="141" t="s">
        <v>565</v>
      </c>
      <c r="F28" s="142">
        <v>2</v>
      </c>
      <c r="G28" s="142"/>
    </row>
    <row r="29" spans="1:7" x14ac:dyDescent="0.2">
      <c r="A29" s="176" t="s">
        <v>298</v>
      </c>
      <c r="B29" s="182" t="s">
        <v>558</v>
      </c>
      <c r="C29" s="141" t="s">
        <v>531</v>
      </c>
      <c r="D29" s="141" t="s">
        <v>1342</v>
      </c>
      <c r="E29" s="141" t="s">
        <v>552</v>
      </c>
      <c r="F29" s="142">
        <v>1</v>
      </c>
      <c r="G29" s="142"/>
    </row>
    <row r="30" spans="1:7" x14ac:dyDescent="0.2">
      <c r="A30" s="176" t="s">
        <v>299</v>
      </c>
      <c r="B30" s="182" t="s">
        <v>559</v>
      </c>
      <c r="C30" s="141" t="s">
        <v>434</v>
      </c>
      <c r="D30" s="141" t="s">
        <v>1342</v>
      </c>
      <c r="E30" s="141" t="s">
        <v>552</v>
      </c>
      <c r="F30" s="142">
        <v>1</v>
      </c>
      <c r="G30" s="142"/>
    </row>
    <row r="31" spans="1:7" x14ac:dyDescent="0.2">
      <c r="A31" s="176" t="s">
        <v>300</v>
      </c>
      <c r="B31" s="182" t="s">
        <v>563</v>
      </c>
      <c r="C31" s="141" t="s">
        <v>457</v>
      </c>
      <c r="D31" s="141" t="s">
        <v>1347</v>
      </c>
      <c r="E31" s="141" t="s">
        <v>569</v>
      </c>
      <c r="F31" s="142">
        <v>1</v>
      </c>
      <c r="G31" s="142"/>
    </row>
    <row r="32" spans="1:7" x14ac:dyDescent="0.2">
      <c r="A32" s="176" t="s">
        <v>301</v>
      </c>
      <c r="B32" s="182" t="s">
        <v>561</v>
      </c>
      <c r="C32" s="141" t="s">
        <v>457</v>
      </c>
      <c r="D32" s="141" t="s">
        <v>1347</v>
      </c>
      <c r="E32" s="141" t="s">
        <v>1458</v>
      </c>
      <c r="F32" s="142">
        <v>1</v>
      </c>
      <c r="G32" s="142"/>
    </row>
    <row r="33" spans="1:7" x14ac:dyDescent="0.2">
      <c r="A33" s="176" t="s">
        <v>302</v>
      </c>
      <c r="B33" s="182" t="s">
        <v>564</v>
      </c>
      <c r="C33" s="141" t="s">
        <v>459</v>
      </c>
      <c r="D33" s="141" t="s">
        <v>1347</v>
      </c>
      <c r="E33" s="141" t="s">
        <v>565</v>
      </c>
      <c r="F33" s="142">
        <v>4</v>
      </c>
      <c r="G33" s="142" t="s">
        <v>1473</v>
      </c>
    </row>
    <row r="34" spans="1:7" x14ac:dyDescent="0.2">
      <c r="A34" s="176" t="s">
        <v>303</v>
      </c>
      <c r="B34" s="182" t="s">
        <v>563</v>
      </c>
      <c r="C34" s="141" t="s">
        <v>457</v>
      </c>
      <c r="D34" s="141" t="s">
        <v>887</v>
      </c>
      <c r="E34" s="141" t="s">
        <v>569</v>
      </c>
      <c r="F34" s="142">
        <v>1</v>
      </c>
      <c r="G34" s="142"/>
    </row>
    <row r="35" spans="1:7" x14ac:dyDescent="0.2">
      <c r="A35" s="176" t="s">
        <v>304</v>
      </c>
      <c r="B35" s="182" t="s">
        <v>561</v>
      </c>
      <c r="C35" s="141" t="s">
        <v>457</v>
      </c>
      <c r="D35" s="141" t="s">
        <v>887</v>
      </c>
      <c r="E35" s="141" t="s">
        <v>565</v>
      </c>
      <c r="F35" s="142">
        <v>1</v>
      </c>
      <c r="G35" s="142"/>
    </row>
    <row r="36" spans="1:7" x14ac:dyDescent="0.2">
      <c r="A36" s="176" t="s">
        <v>305</v>
      </c>
      <c r="B36" s="182" t="s">
        <v>564</v>
      </c>
      <c r="C36" s="141" t="s">
        <v>459</v>
      </c>
      <c r="D36" s="141" t="s">
        <v>887</v>
      </c>
      <c r="E36" s="141" t="s">
        <v>565</v>
      </c>
      <c r="F36" s="142">
        <v>4</v>
      </c>
      <c r="G36" s="142" t="s">
        <v>1473</v>
      </c>
    </row>
    <row r="37" spans="1:7" x14ac:dyDescent="0.2">
      <c r="A37" s="176" t="s">
        <v>306</v>
      </c>
      <c r="B37" s="182" t="s">
        <v>563</v>
      </c>
      <c r="C37" s="141" t="s">
        <v>457</v>
      </c>
      <c r="D37" s="141" t="s">
        <v>603</v>
      </c>
      <c r="E37" s="141" t="s">
        <v>569</v>
      </c>
      <c r="F37" s="142">
        <v>1</v>
      </c>
      <c r="G37" s="142"/>
    </row>
    <row r="38" spans="1:7" x14ac:dyDescent="0.2">
      <c r="A38" s="176" t="s">
        <v>307</v>
      </c>
      <c r="B38" s="182" t="s">
        <v>561</v>
      </c>
      <c r="C38" s="141" t="s">
        <v>457</v>
      </c>
      <c r="D38" s="141" t="s">
        <v>603</v>
      </c>
      <c r="E38" s="141" t="s">
        <v>565</v>
      </c>
      <c r="F38" s="142">
        <v>1</v>
      </c>
      <c r="G38" s="142"/>
    </row>
    <row r="39" spans="1:7" ht="13.5" thickBot="1" x14ac:dyDescent="0.25">
      <c r="A39" s="176" t="s">
        <v>308</v>
      </c>
      <c r="B39" s="182" t="s">
        <v>564</v>
      </c>
      <c r="C39" s="141" t="s">
        <v>459</v>
      </c>
      <c r="D39" s="141" t="s">
        <v>603</v>
      </c>
      <c r="E39" s="141" t="s">
        <v>565</v>
      </c>
      <c r="F39" s="142">
        <v>4</v>
      </c>
      <c r="G39" s="142" t="s">
        <v>1473</v>
      </c>
    </row>
    <row r="40" spans="1:7" ht="13.9" thickBot="1" x14ac:dyDescent="0.3">
      <c r="A40" s="244"/>
      <c r="B40" s="358"/>
      <c r="C40" s="359"/>
      <c r="D40" s="359"/>
      <c r="E40" s="359"/>
      <c r="F40" s="246"/>
      <c r="G40" s="246"/>
    </row>
    <row r="41" spans="1:7" ht="13.5" thickBot="1" x14ac:dyDescent="0.25">
      <c r="A41" s="331" t="s">
        <v>382</v>
      </c>
      <c r="B41" s="898" t="s">
        <v>566</v>
      </c>
      <c r="C41" s="898"/>
      <c r="D41" s="898"/>
      <c r="E41" s="898"/>
      <c r="F41" s="898"/>
      <c r="G41" s="898"/>
    </row>
    <row r="42" spans="1:7" x14ac:dyDescent="0.2">
      <c r="A42" s="175" t="s">
        <v>383</v>
      </c>
      <c r="B42" s="181" t="s">
        <v>567</v>
      </c>
      <c r="C42" s="137" t="s">
        <v>430</v>
      </c>
      <c r="D42" s="137" t="s">
        <v>1342</v>
      </c>
      <c r="E42" s="137" t="s">
        <v>552</v>
      </c>
      <c r="F42" s="138">
        <v>1</v>
      </c>
      <c r="G42" s="138"/>
    </row>
    <row r="43" spans="1:7" x14ac:dyDescent="0.2">
      <c r="A43" s="176" t="s">
        <v>384</v>
      </c>
      <c r="B43" s="182" t="s">
        <v>570</v>
      </c>
      <c r="C43" s="141" t="s">
        <v>430</v>
      </c>
      <c r="D43" s="141" t="s">
        <v>1342</v>
      </c>
      <c r="E43" s="141" t="s">
        <v>552</v>
      </c>
      <c r="F43" s="142">
        <v>1</v>
      </c>
      <c r="G43" s="142"/>
    </row>
    <row r="44" spans="1:7" ht="13.5" thickBot="1" x14ac:dyDescent="0.25">
      <c r="A44" s="176" t="s">
        <v>385</v>
      </c>
      <c r="B44" s="182" t="s">
        <v>568</v>
      </c>
      <c r="C44" s="141" t="s">
        <v>526</v>
      </c>
      <c r="D44" s="141" t="s">
        <v>1342</v>
      </c>
      <c r="E44" s="141" t="s">
        <v>569</v>
      </c>
      <c r="F44" s="142">
        <v>2</v>
      </c>
      <c r="G44" s="142"/>
    </row>
    <row r="45" spans="1:7" ht="13.9" thickBot="1" x14ac:dyDescent="0.3">
      <c r="A45" s="244"/>
      <c r="B45" s="358"/>
      <c r="C45" s="359"/>
      <c r="D45" s="359"/>
      <c r="E45" s="359"/>
      <c r="F45" s="246"/>
      <c r="G45" s="246"/>
    </row>
    <row r="46" spans="1:7" ht="13.5" thickBot="1" x14ac:dyDescent="0.25">
      <c r="A46" s="331" t="s">
        <v>389</v>
      </c>
      <c r="B46" s="898" t="s">
        <v>571</v>
      </c>
      <c r="C46" s="898"/>
      <c r="D46" s="898"/>
      <c r="E46" s="898"/>
      <c r="F46" s="898"/>
      <c r="G46" s="898"/>
    </row>
    <row r="47" spans="1:7" x14ac:dyDescent="0.2">
      <c r="A47" s="175" t="s">
        <v>386</v>
      </c>
      <c r="B47" s="181" t="s">
        <v>572</v>
      </c>
      <c r="C47" s="137" t="s">
        <v>430</v>
      </c>
      <c r="D47" s="137" t="s">
        <v>1342</v>
      </c>
      <c r="E47" s="137" t="s">
        <v>573</v>
      </c>
      <c r="F47" s="138">
        <v>1</v>
      </c>
      <c r="G47" s="138"/>
    </row>
    <row r="48" spans="1:7" x14ac:dyDescent="0.2">
      <c r="A48" s="176" t="s">
        <v>387</v>
      </c>
      <c r="B48" s="182" t="s">
        <v>574</v>
      </c>
      <c r="C48" s="141" t="s">
        <v>430</v>
      </c>
      <c r="D48" s="141" t="s">
        <v>1342</v>
      </c>
      <c r="E48" s="141" t="s">
        <v>573</v>
      </c>
      <c r="F48" s="142">
        <v>1</v>
      </c>
      <c r="G48" s="142"/>
    </row>
    <row r="49" spans="1:7" x14ac:dyDescent="0.2">
      <c r="A49" s="176" t="s">
        <v>388</v>
      </c>
      <c r="B49" s="182" t="s">
        <v>576</v>
      </c>
      <c r="C49" s="141" t="s">
        <v>430</v>
      </c>
      <c r="D49" s="141" t="s">
        <v>1342</v>
      </c>
      <c r="E49" s="141" t="s">
        <v>573</v>
      </c>
      <c r="F49" s="142">
        <v>1</v>
      </c>
      <c r="G49" s="142"/>
    </row>
    <row r="50" spans="1:7" ht="13.5" thickBot="1" x14ac:dyDescent="0.25">
      <c r="A50" s="176" t="s">
        <v>390</v>
      </c>
      <c r="B50" s="182" t="s">
        <v>575</v>
      </c>
      <c r="C50" s="141" t="s">
        <v>435</v>
      </c>
      <c r="D50" s="141" t="s">
        <v>1342</v>
      </c>
      <c r="E50" s="141" t="s">
        <v>573</v>
      </c>
      <c r="F50" s="142">
        <v>1</v>
      </c>
      <c r="G50" s="142"/>
    </row>
    <row r="51" spans="1:7" ht="13.5" thickBot="1" x14ac:dyDescent="0.25">
      <c r="A51" s="244"/>
      <c r="B51" s="358"/>
      <c r="C51" s="359"/>
      <c r="D51" s="359"/>
      <c r="E51" s="359"/>
      <c r="F51" s="246"/>
      <c r="G51" s="246"/>
    </row>
    <row r="52" spans="1:7" ht="13.5" thickBot="1" x14ac:dyDescent="0.25">
      <c r="A52" s="331" t="s">
        <v>392</v>
      </c>
      <c r="B52" s="898" t="s">
        <v>578</v>
      </c>
      <c r="C52" s="898"/>
      <c r="D52" s="898"/>
      <c r="E52" s="898"/>
      <c r="F52" s="898"/>
      <c r="G52" s="898"/>
    </row>
    <row r="53" spans="1:7" ht="25.5" x14ac:dyDescent="0.2">
      <c r="A53" s="175" t="s">
        <v>393</v>
      </c>
      <c r="B53" s="181" t="s">
        <v>579</v>
      </c>
      <c r="C53" s="137" t="s">
        <v>430</v>
      </c>
      <c r="D53" s="137" t="s">
        <v>1342</v>
      </c>
      <c r="E53" s="137" t="s">
        <v>573</v>
      </c>
      <c r="F53" s="138">
        <v>1</v>
      </c>
      <c r="G53" s="138"/>
    </row>
    <row r="54" spans="1:7" ht="25.5" x14ac:dyDescent="0.2">
      <c r="A54" s="176" t="s">
        <v>394</v>
      </c>
      <c r="B54" s="182" t="s">
        <v>580</v>
      </c>
      <c r="C54" s="141" t="s">
        <v>430</v>
      </c>
      <c r="D54" s="141" t="s">
        <v>1342</v>
      </c>
      <c r="E54" s="141" t="s">
        <v>573</v>
      </c>
      <c r="F54" s="142">
        <v>1</v>
      </c>
      <c r="G54" s="142"/>
    </row>
    <row r="55" spans="1:7" ht="25.5" x14ac:dyDescent="0.2">
      <c r="A55" s="176" t="s">
        <v>395</v>
      </c>
      <c r="B55" s="182" t="s">
        <v>581</v>
      </c>
      <c r="C55" s="141" t="s">
        <v>430</v>
      </c>
      <c r="D55" s="141" t="s">
        <v>1342</v>
      </c>
      <c r="E55" s="141" t="s">
        <v>573</v>
      </c>
      <c r="F55" s="142">
        <v>1</v>
      </c>
      <c r="G55" s="142"/>
    </row>
    <row r="56" spans="1:7" x14ac:dyDescent="0.2">
      <c r="A56" s="176" t="s">
        <v>396</v>
      </c>
      <c r="B56" s="182" t="s">
        <v>582</v>
      </c>
      <c r="C56" s="141" t="s">
        <v>430</v>
      </c>
      <c r="D56" s="141" t="s">
        <v>1342</v>
      </c>
      <c r="E56" s="141" t="s">
        <v>573</v>
      </c>
      <c r="F56" s="142">
        <v>1</v>
      </c>
      <c r="G56" s="142"/>
    </row>
    <row r="57" spans="1:7" x14ac:dyDescent="0.2">
      <c r="A57" s="176" t="s">
        <v>397</v>
      </c>
      <c r="B57" s="182" t="s">
        <v>584</v>
      </c>
      <c r="C57" s="141" t="s">
        <v>430</v>
      </c>
      <c r="D57" s="141" t="s">
        <v>1342</v>
      </c>
      <c r="E57" s="141" t="s">
        <v>573</v>
      </c>
      <c r="F57" s="142">
        <v>1</v>
      </c>
      <c r="G57" s="142"/>
    </row>
    <row r="58" spans="1:7" x14ac:dyDescent="0.2">
      <c r="A58" s="176" t="s">
        <v>398</v>
      </c>
      <c r="B58" s="182" t="s">
        <v>585</v>
      </c>
      <c r="C58" s="141" t="s">
        <v>430</v>
      </c>
      <c r="D58" s="141" t="s">
        <v>1342</v>
      </c>
      <c r="E58" s="141" t="s">
        <v>573</v>
      </c>
      <c r="F58" s="142">
        <v>1</v>
      </c>
      <c r="G58" s="142"/>
    </row>
    <row r="59" spans="1:7" x14ac:dyDescent="0.2">
      <c r="A59" s="176" t="s">
        <v>399</v>
      </c>
      <c r="B59" s="182" t="s">
        <v>587</v>
      </c>
      <c r="C59" s="141" t="s">
        <v>430</v>
      </c>
      <c r="D59" s="141" t="s">
        <v>1342</v>
      </c>
      <c r="E59" s="141" t="s">
        <v>573</v>
      </c>
      <c r="F59" s="142">
        <v>1</v>
      </c>
      <c r="G59" s="142"/>
    </row>
    <row r="60" spans="1:7" ht="38.25" x14ac:dyDescent="0.2">
      <c r="A60" s="176" t="s">
        <v>400</v>
      </c>
      <c r="B60" s="182" t="s">
        <v>593</v>
      </c>
      <c r="C60" s="141" t="s">
        <v>430</v>
      </c>
      <c r="D60" s="141" t="s">
        <v>1342</v>
      </c>
      <c r="E60" s="141" t="s">
        <v>573</v>
      </c>
      <c r="F60" s="142">
        <v>1</v>
      </c>
      <c r="G60" s="142" t="s">
        <v>594</v>
      </c>
    </row>
    <row r="61" spans="1:7" ht="25.5" x14ac:dyDescent="0.2">
      <c r="A61" s="176" t="s">
        <v>401</v>
      </c>
      <c r="B61" s="182" t="s">
        <v>588</v>
      </c>
      <c r="C61" s="141" t="s">
        <v>432</v>
      </c>
      <c r="D61" s="141" t="s">
        <v>1342</v>
      </c>
      <c r="E61" s="141" t="s">
        <v>569</v>
      </c>
      <c r="F61" s="142">
        <v>1</v>
      </c>
      <c r="G61" s="142"/>
    </row>
    <row r="62" spans="1:7" ht="25.5" x14ac:dyDescent="0.2">
      <c r="A62" s="176" t="s">
        <v>402</v>
      </c>
      <c r="B62" s="182" t="s">
        <v>589</v>
      </c>
      <c r="C62" s="141" t="s">
        <v>432</v>
      </c>
      <c r="D62" s="141" t="s">
        <v>1342</v>
      </c>
      <c r="E62" s="141" t="s">
        <v>569</v>
      </c>
      <c r="F62" s="142">
        <v>1</v>
      </c>
      <c r="G62" s="142"/>
    </row>
    <row r="63" spans="1:7" ht="25.5" x14ac:dyDescent="0.2">
      <c r="A63" s="176" t="s">
        <v>403</v>
      </c>
      <c r="B63" s="182" t="s">
        <v>590</v>
      </c>
      <c r="C63" s="141" t="s">
        <v>432</v>
      </c>
      <c r="D63" s="141" t="s">
        <v>1342</v>
      </c>
      <c r="E63" s="141" t="s">
        <v>569</v>
      </c>
      <c r="F63" s="142">
        <v>1</v>
      </c>
      <c r="G63" s="142"/>
    </row>
    <row r="64" spans="1:7" x14ac:dyDescent="0.2">
      <c r="A64" s="176" t="s">
        <v>404</v>
      </c>
      <c r="B64" s="182" t="s">
        <v>591</v>
      </c>
      <c r="C64" s="141" t="s">
        <v>432</v>
      </c>
      <c r="D64" s="141" t="s">
        <v>1342</v>
      </c>
      <c r="E64" s="141" t="s">
        <v>569</v>
      </c>
      <c r="F64" s="142">
        <v>1</v>
      </c>
      <c r="G64" s="142"/>
    </row>
    <row r="65" spans="1:7" ht="13.5" thickBot="1" x14ac:dyDescent="0.25">
      <c r="A65" s="176" t="s">
        <v>405</v>
      </c>
      <c r="B65" s="182" t="s">
        <v>592</v>
      </c>
      <c r="C65" s="141" t="s">
        <v>432</v>
      </c>
      <c r="D65" s="141" t="s">
        <v>1342</v>
      </c>
      <c r="E65" s="141" t="s">
        <v>569</v>
      </c>
      <c r="F65" s="142">
        <v>1</v>
      </c>
      <c r="G65" s="142"/>
    </row>
    <row r="66" spans="1:7" ht="13.5" thickBot="1" x14ac:dyDescent="0.25">
      <c r="A66" s="244"/>
      <c r="B66" s="358"/>
      <c r="C66" s="359"/>
      <c r="D66" s="359"/>
      <c r="E66" s="359"/>
      <c r="F66" s="246"/>
      <c r="G66" s="246"/>
    </row>
    <row r="67" spans="1:7" ht="13.5" thickBot="1" x14ac:dyDescent="0.25">
      <c r="A67" s="331" t="s">
        <v>441</v>
      </c>
      <c r="B67" s="898" t="s">
        <v>595</v>
      </c>
      <c r="C67" s="898"/>
      <c r="D67" s="898"/>
      <c r="E67" s="898"/>
      <c r="F67" s="898"/>
      <c r="G67" s="898"/>
    </row>
    <row r="68" spans="1:7" x14ac:dyDescent="0.2">
      <c r="A68" s="175" t="s">
        <v>365</v>
      </c>
      <c r="B68" s="181" t="s">
        <v>600</v>
      </c>
      <c r="C68" s="329" t="s">
        <v>439</v>
      </c>
      <c r="D68" s="137" t="s">
        <v>1342</v>
      </c>
      <c r="E68" s="137" t="s">
        <v>565</v>
      </c>
      <c r="F68" s="138">
        <f>1*(4+4+5)</f>
        <v>13</v>
      </c>
      <c r="G68" s="138" t="s">
        <v>1474</v>
      </c>
    </row>
    <row r="69" spans="1:7" x14ac:dyDescent="0.2">
      <c r="A69" s="176" t="s">
        <v>987</v>
      </c>
      <c r="B69" s="182" t="s">
        <v>602</v>
      </c>
      <c r="C69" s="330" t="s">
        <v>439</v>
      </c>
      <c r="D69" s="141" t="s">
        <v>1342</v>
      </c>
      <c r="E69" s="141" t="s">
        <v>565</v>
      </c>
      <c r="F69" s="142">
        <v>4</v>
      </c>
      <c r="G69" s="142"/>
    </row>
    <row r="70" spans="1:7" x14ac:dyDescent="0.2">
      <c r="A70" s="176" t="s">
        <v>988</v>
      </c>
      <c r="B70" s="182" t="s">
        <v>596</v>
      </c>
      <c r="C70" s="330" t="s">
        <v>434</v>
      </c>
      <c r="D70" s="141" t="s">
        <v>1347</v>
      </c>
      <c r="E70" s="141" t="s">
        <v>565</v>
      </c>
      <c r="F70" s="142">
        <f>6+6</f>
        <v>12</v>
      </c>
      <c r="G70" s="142"/>
    </row>
    <row r="71" spans="1:7" x14ac:dyDescent="0.2">
      <c r="A71" s="176" t="s">
        <v>989</v>
      </c>
      <c r="B71" s="182" t="s">
        <v>598</v>
      </c>
      <c r="C71" s="330" t="s">
        <v>434</v>
      </c>
      <c r="D71" s="141" t="s">
        <v>1347</v>
      </c>
      <c r="E71" s="141" t="s">
        <v>565</v>
      </c>
      <c r="F71" s="142">
        <f>6+6</f>
        <v>12</v>
      </c>
      <c r="G71" s="142"/>
    </row>
    <row r="72" spans="1:7" x14ac:dyDescent="0.2">
      <c r="A72" s="176" t="s">
        <v>990</v>
      </c>
      <c r="B72" s="182" t="s">
        <v>597</v>
      </c>
      <c r="C72" s="330" t="s">
        <v>526</v>
      </c>
      <c r="D72" s="141" t="s">
        <v>1347</v>
      </c>
      <c r="E72" s="141" t="s">
        <v>565</v>
      </c>
      <c r="F72" s="142">
        <f>6+6</f>
        <v>12</v>
      </c>
      <c r="G72" s="142"/>
    </row>
    <row r="73" spans="1:7" x14ac:dyDescent="0.2">
      <c r="A73" s="176" t="s">
        <v>991</v>
      </c>
      <c r="B73" s="182" t="s">
        <v>599</v>
      </c>
      <c r="C73" s="330" t="s">
        <v>526</v>
      </c>
      <c r="D73" s="141" t="s">
        <v>1347</v>
      </c>
      <c r="E73" s="141" t="s">
        <v>565</v>
      </c>
      <c r="F73" s="142">
        <f>6+6</f>
        <v>12</v>
      </c>
      <c r="G73" s="142"/>
    </row>
    <row r="74" spans="1:7" x14ac:dyDescent="0.2">
      <c r="A74" s="176" t="s">
        <v>992</v>
      </c>
      <c r="B74" s="182" t="s">
        <v>596</v>
      </c>
      <c r="C74" s="330" t="s">
        <v>434</v>
      </c>
      <c r="D74" s="141" t="s">
        <v>887</v>
      </c>
      <c r="E74" s="141" t="s">
        <v>565</v>
      </c>
      <c r="F74" s="142">
        <v>4</v>
      </c>
      <c r="G74" s="142"/>
    </row>
    <row r="75" spans="1:7" x14ac:dyDescent="0.2">
      <c r="A75" s="176" t="s">
        <v>993</v>
      </c>
      <c r="B75" s="182" t="s">
        <v>598</v>
      </c>
      <c r="C75" s="330" t="s">
        <v>434</v>
      </c>
      <c r="D75" s="141" t="s">
        <v>887</v>
      </c>
      <c r="E75" s="141" t="s">
        <v>565</v>
      </c>
      <c r="F75" s="142">
        <v>4</v>
      </c>
      <c r="G75" s="142"/>
    </row>
    <row r="76" spans="1:7" x14ac:dyDescent="0.2">
      <c r="A76" s="176" t="s">
        <v>994</v>
      </c>
      <c r="B76" s="182" t="s">
        <v>597</v>
      </c>
      <c r="C76" s="330" t="s">
        <v>526</v>
      </c>
      <c r="D76" s="141" t="s">
        <v>887</v>
      </c>
      <c r="E76" s="141" t="s">
        <v>565</v>
      </c>
      <c r="F76" s="142">
        <v>4</v>
      </c>
      <c r="G76" s="142"/>
    </row>
    <row r="77" spans="1:7" x14ac:dyDescent="0.2">
      <c r="A77" s="176" t="s">
        <v>995</v>
      </c>
      <c r="B77" s="182" t="s">
        <v>601</v>
      </c>
      <c r="C77" s="330" t="s">
        <v>526</v>
      </c>
      <c r="D77" s="141" t="s">
        <v>887</v>
      </c>
      <c r="E77" s="141" t="s">
        <v>565</v>
      </c>
      <c r="F77" s="142">
        <v>4</v>
      </c>
      <c r="G77" s="142"/>
    </row>
    <row r="78" spans="1:7" x14ac:dyDescent="0.2">
      <c r="A78" s="176" t="s">
        <v>1343</v>
      </c>
      <c r="B78" s="182" t="s">
        <v>596</v>
      </c>
      <c r="C78" s="330" t="s">
        <v>434</v>
      </c>
      <c r="D78" s="141" t="s">
        <v>603</v>
      </c>
      <c r="E78" s="141" t="s">
        <v>565</v>
      </c>
      <c r="F78" s="142">
        <v>8</v>
      </c>
      <c r="G78" s="142"/>
    </row>
    <row r="79" spans="1:7" x14ac:dyDescent="0.2">
      <c r="A79" s="176" t="s">
        <v>1344</v>
      </c>
      <c r="B79" s="182" t="s">
        <v>598</v>
      </c>
      <c r="C79" s="330" t="s">
        <v>434</v>
      </c>
      <c r="D79" s="141" t="s">
        <v>603</v>
      </c>
      <c r="E79" s="141" t="s">
        <v>565</v>
      </c>
      <c r="F79" s="142">
        <v>8</v>
      </c>
      <c r="G79" s="142"/>
    </row>
    <row r="80" spans="1:7" x14ac:dyDescent="0.2">
      <c r="A80" s="176" t="s">
        <v>1345</v>
      </c>
      <c r="B80" s="182" t="s">
        <v>604</v>
      </c>
      <c r="C80" s="330" t="s">
        <v>526</v>
      </c>
      <c r="D80" s="141" t="s">
        <v>603</v>
      </c>
      <c r="E80" s="141" t="s">
        <v>565</v>
      </c>
      <c r="F80" s="142">
        <v>8</v>
      </c>
      <c r="G80" s="142"/>
    </row>
    <row r="81" spans="1:7" ht="13.5" thickBot="1" x14ac:dyDescent="0.25">
      <c r="A81" s="176" t="s">
        <v>1346</v>
      </c>
      <c r="B81" s="182" t="s">
        <v>599</v>
      </c>
      <c r="C81" s="141" t="s">
        <v>526</v>
      </c>
      <c r="D81" s="141" t="s">
        <v>603</v>
      </c>
      <c r="E81" s="141" t="s">
        <v>565</v>
      </c>
      <c r="F81" s="142">
        <v>8</v>
      </c>
      <c r="G81" s="142"/>
    </row>
    <row r="82" spans="1:7" ht="13.5" thickBot="1" x14ac:dyDescent="0.25">
      <c r="A82" s="244"/>
      <c r="B82" s="358"/>
      <c r="C82" s="359"/>
      <c r="D82" s="359"/>
      <c r="E82" s="359"/>
      <c r="F82" s="246"/>
      <c r="G82" s="246"/>
    </row>
    <row r="83" spans="1:7" ht="13.5" thickBot="1" x14ac:dyDescent="0.25">
      <c r="A83" s="331" t="s">
        <v>442</v>
      </c>
      <c r="B83" s="898" t="s">
        <v>605</v>
      </c>
      <c r="C83" s="898"/>
      <c r="D83" s="898"/>
      <c r="E83" s="898"/>
      <c r="F83" s="898"/>
      <c r="G83" s="898"/>
    </row>
    <row r="84" spans="1:7" x14ac:dyDescent="0.2">
      <c r="A84" s="175" t="s">
        <v>996</v>
      </c>
      <c r="B84" s="181" t="s">
        <v>606</v>
      </c>
      <c r="C84" s="329" t="s">
        <v>434</v>
      </c>
      <c r="D84" s="137" t="s">
        <v>1347</v>
      </c>
      <c r="E84" s="137" t="s">
        <v>569</v>
      </c>
      <c r="F84" s="138">
        <v>1</v>
      </c>
      <c r="G84" s="138"/>
    </row>
    <row r="85" spans="1:7" x14ac:dyDescent="0.2">
      <c r="A85" s="176" t="s">
        <v>997</v>
      </c>
      <c r="B85" s="182" t="s">
        <v>607</v>
      </c>
      <c r="C85" s="330" t="s">
        <v>439</v>
      </c>
      <c r="D85" s="141" t="s">
        <v>1347</v>
      </c>
      <c r="E85" s="141" t="s">
        <v>565</v>
      </c>
      <c r="F85" s="142">
        <v>2</v>
      </c>
      <c r="G85" s="142"/>
    </row>
    <row r="86" spans="1:7" x14ac:dyDescent="0.2">
      <c r="A86" s="176" t="s">
        <v>998</v>
      </c>
      <c r="B86" s="182" t="s">
        <v>606</v>
      </c>
      <c r="C86" s="330" t="s">
        <v>434</v>
      </c>
      <c r="D86" s="141" t="s">
        <v>887</v>
      </c>
      <c r="E86" s="141" t="s">
        <v>569</v>
      </c>
      <c r="F86" s="142">
        <v>1</v>
      </c>
      <c r="G86" s="142"/>
    </row>
    <row r="87" spans="1:7" x14ac:dyDescent="0.2">
      <c r="A87" s="176" t="s">
        <v>999</v>
      </c>
      <c r="B87" s="182" t="s">
        <v>607</v>
      </c>
      <c r="C87" s="330" t="s">
        <v>439</v>
      </c>
      <c r="D87" s="141" t="s">
        <v>887</v>
      </c>
      <c r="E87" s="141" t="s">
        <v>565</v>
      </c>
      <c r="F87" s="142">
        <v>1</v>
      </c>
      <c r="G87" s="142"/>
    </row>
    <row r="88" spans="1:7" x14ac:dyDescent="0.2">
      <c r="A88" s="176" t="s">
        <v>1000</v>
      </c>
      <c r="B88" s="182" t="s">
        <v>606</v>
      </c>
      <c r="C88" s="330" t="s">
        <v>434</v>
      </c>
      <c r="D88" s="141" t="s">
        <v>603</v>
      </c>
      <c r="E88" s="141" t="s">
        <v>569</v>
      </c>
      <c r="F88" s="142">
        <v>1</v>
      </c>
      <c r="G88" s="142"/>
    </row>
    <row r="89" spans="1:7" ht="13.5" thickBot="1" x14ac:dyDescent="0.25">
      <c r="A89" s="176" t="s">
        <v>1001</v>
      </c>
      <c r="B89" s="182" t="s">
        <v>607</v>
      </c>
      <c r="C89" s="141" t="s">
        <v>439</v>
      </c>
      <c r="D89" s="141" t="s">
        <v>603</v>
      </c>
      <c r="E89" s="141" t="s">
        <v>565</v>
      </c>
      <c r="F89" s="142">
        <v>1</v>
      </c>
      <c r="G89" s="142"/>
    </row>
    <row r="90" spans="1:7" ht="13.5" thickBot="1" x14ac:dyDescent="0.25">
      <c r="A90" s="244"/>
      <c r="B90" s="358"/>
      <c r="C90" s="359"/>
      <c r="D90" s="359"/>
      <c r="E90" s="359"/>
      <c r="F90" s="246"/>
      <c r="G90" s="246"/>
    </row>
    <row r="91" spans="1:7" ht="13.5" thickBot="1" x14ac:dyDescent="0.25">
      <c r="A91" s="331" t="s">
        <v>608</v>
      </c>
      <c r="B91" s="898" t="s">
        <v>609</v>
      </c>
      <c r="C91" s="898"/>
      <c r="D91" s="898"/>
      <c r="E91" s="898"/>
      <c r="F91" s="898"/>
      <c r="G91" s="898"/>
    </row>
    <row r="92" spans="1:7" x14ac:dyDescent="0.2">
      <c r="A92" s="175" t="s">
        <v>1002</v>
      </c>
      <c r="B92" s="181" t="s">
        <v>610</v>
      </c>
      <c r="C92" s="329" t="s">
        <v>434</v>
      </c>
      <c r="D92" s="137" t="s">
        <v>1347</v>
      </c>
      <c r="E92" s="137" t="s">
        <v>569</v>
      </c>
      <c r="F92" s="138">
        <v>1</v>
      </c>
      <c r="G92" s="138"/>
    </row>
    <row r="93" spans="1:7" x14ac:dyDescent="0.2">
      <c r="A93" s="176" t="s">
        <v>1003</v>
      </c>
      <c r="B93" s="182" t="s">
        <v>600</v>
      </c>
      <c r="C93" s="330" t="s">
        <v>439</v>
      </c>
      <c r="D93" s="141" t="s">
        <v>1347</v>
      </c>
      <c r="E93" s="141" t="s">
        <v>565</v>
      </c>
      <c r="F93" s="142">
        <v>2</v>
      </c>
      <c r="G93" s="142"/>
    </row>
    <row r="94" spans="1:7" x14ac:dyDescent="0.2">
      <c r="A94" s="176" t="s">
        <v>1004</v>
      </c>
      <c r="B94" s="182" t="s">
        <v>610</v>
      </c>
      <c r="C94" s="330" t="s">
        <v>434</v>
      </c>
      <c r="D94" s="141" t="s">
        <v>887</v>
      </c>
      <c r="E94" s="141" t="s">
        <v>569</v>
      </c>
      <c r="F94" s="142">
        <v>1</v>
      </c>
      <c r="G94" s="142"/>
    </row>
    <row r="95" spans="1:7" x14ac:dyDescent="0.2">
      <c r="A95" s="176" t="s">
        <v>1005</v>
      </c>
      <c r="B95" s="182" t="s">
        <v>610</v>
      </c>
      <c r="C95" s="330" t="s">
        <v>434</v>
      </c>
      <c r="D95" s="141" t="s">
        <v>603</v>
      </c>
      <c r="E95" s="141" t="s">
        <v>569</v>
      </c>
      <c r="F95" s="142">
        <v>1</v>
      </c>
      <c r="G95" s="142"/>
    </row>
    <row r="96" spans="1:7" ht="13.5" thickBot="1" x14ac:dyDescent="0.25">
      <c r="A96" s="354" t="s">
        <v>1006</v>
      </c>
      <c r="B96" s="355" t="s">
        <v>600</v>
      </c>
      <c r="C96" s="356" t="s">
        <v>439</v>
      </c>
      <c r="D96" s="356" t="s">
        <v>603</v>
      </c>
      <c r="E96" s="356" t="s">
        <v>565</v>
      </c>
      <c r="F96" s="357">
        <v>2</v>
      </c>
      <c r="G96" s="357"/>
    </row>
    <row r="97" spans="1:7" ht="13.5" thickBot="1" x14ac:dyDescent="0.25">
      <c r="A97" s="244"/>
      <c r="B97" s="358"/>
      <c r="C97" s="359"/>
      <c r="D97" s="359"/>
      <c r="E97" s="359"/>
      <c r="F97" s="246"/>
      <c r="G97" s="246"/>
    </row>
    <row r="98" spans="1:7" ht="13.5" thickBot="1" x14ac:dyDescent="0.25">
      <c r="A98" s="609" t="s">
        <v>611</v>
      </c>
      <c r="B98" s="898" t="s">
        <v>2336</v>
      </c>
      <c r="C98" s="898"/>
      <c r="D98" s="898"/>
      <c r="E98" s="898"/>
      <c r="F98" s="898"/>
      <c r="G98" s="898"/>
    </row>
    <row r="99" spans="1:7" ht="25.5" x14ac:dyDescent="0.2">
      <c r="A99" s="175" t="s">
        <v>1007</v>
      </c>
      <c r="B99" s="181" t="s">
        <v>2217</v>
      </c>
      <c r="C99" s="137" t="s">
        <v>434</v>
      </c>
      <c r="D99" s="137" t="s">
        <v>1347</v>
      </c>
      <c r="E99" s="137" t="s">
        <v>565</v>
      </c>
      <c r="F99" s="138">
        <v>1</v>
      </c>
      <c r="G99" s="138"/>
    </row>
    <row r="100" spans="1:7" ht="13.5" thickBot="1" x14ac:dyDescent="0.25">
      <c r="A100" s="177" t="s">
        <v>1008</v>
      </c>
      <c r="B100" s="183" t="s">
        <v>2184</v>
      </c>
      <c r="C100" s="147" t="s">
        <v>439</v>
      </c>
      <c r="D100" s="147" t="s">
        <v>1347</v>
      </c>
      <c r="E100" s="147" t="s">
        <v>565</v>
      </c>
      <c r="F100" s="148">
        <v>1</v>
      </c>
      <c r="G100" s="148"/>
    </row>
    <row r="101" spans="1:7" ht="13.5" thickBot="1" x14ac:dyDescent="0.25">
      <c r="A101" s="244"/>
      <c r="B101" s="358"/>
      <c r="C101" s="359"/>
      <c r="D101" s="359"/>
      <c r="E101" s="359"/>
      <c r="F101" s="246"/>
      <c r="G101" s="246"/>
    </row>
    <row r="102" spans="1:7" ht="13.5" thickBot="1" x14ac:dyDescent="0.25">
      <c r="A102" s="609" t="s">
        <v>620</v>
      </c>
      <c r="B102" s="898" t="s">
        <v>2337</v>
      </c>
      <c r="C102" s="898"/>
      <c r="D102" s="898"/>
      <c r="E102" s="898"/>
      <c r="F102" s="898"/>
      <c r="G102" s="898"/>
    </row>
    <row r="103" spans="1:7" ht="25.5" x14ac:dyDescent="0.2">
      <c r="A103" s="175" t="s">
        <v>1415</v>
      </c>
      <c r="B103" s="181" t="s">
        <v>2190</v>
      </c>
      <c r="C103" s="137" t="s">
        <v>434</v>
      </c>
      <c r="D103" s="137" t="s">
        <v>887</v>
      </c>
      <c r="E103" s="137" t="s">
        <v>565</v>
      </c>
      <c r="F103" s="138">
        <v>1</v>
      </c>
      <c r="G103" s="138"/>
    </row>
    <row r="104" spans="1:7" ht="13.5" thickBot="1" x14ac:dyDescent="0.25">
      <c r="A104" s="177" t="s">
        <v>1416</v>
      </c>
      <c r="B104" s="183" t="s">
        <v>2191</v>
      </c>
      <c r="C104" s="147" t="s">
        <v>529</v>
      </c>
      <c r="D104" s="147" t="s">
        <v>887</v>
      </c>
      <c r="E104" s="147" t="s">
        <v>565</v>
      </c>
      <c r="F104" s="148">
        <v>1</v>
      </c>
      <c r="G104" s="148"/>
    </row>
    <row r="105" spans="1:7" ht="13.5" thickBot="1" x14ac:dyDescent="0.25">
      <c r="A105" s="244"/>
      <c r="B105" s="358"/>
      <c r="C105" s="359"/>
      <c r="D105" s="359"/>
      <c r="E105" s="359"/>
      <c r="F105" s="246"/>
      <c r="G105" s="246"/>
    </row>
    <row r="106" spans="1:7" ht="13.5" thickBot="1" x14ac:dyDescent="0.25">
      <c r="A106" s="609" t="s">
        <v>621</v>
      </c>
      <c r="B106" s="898" t="s">
        <v>2338</v>
      </c>
      <c r="C106" s="898"/>
      <c r="D106" s="898"/>
      <c r="E106" s="898"/>
      <c r="F106" s="898"/>
      <c r="G106" s="898"/>
    </row>
    <row r="107" spans="1:7" ht="25.5" x14ac:dyDescent="0.2">
      <c r="A107" s="175" t="s">
        <v>1013</v>
      </c>
      <c r="B107" s="181" t="s">
        <v>2192</v>
      </c>
      <c r="C107" s="137" t="s">
        <v>434</v>
      </c>
      <c r="D107" s="137" t="s">
        <v>603</v>
      </c>
      <c r="E107" s="137" t="s">
        <v>565</v>
      </c>
      <c r="F107" s="138">
        <v>1</v>
      </c>
      <c r="G107" s="138"/>
    </row>
    <row r="108" spans="1:7" ht="13.5" thickBot="1" x14ac:dyDescent="0.25">
      <c r="A108" s="177" t="s">
        <v>1014</v>
      </c>
      <c r="B108" s="183" t="s">
        <v>2184</v>
      </c>
      <c r="C108" s="147" t="s">
        <v>439</v>
      </c>
      <c r="D108" s="147" t="s">
        <v>603</v>
      </c>
      <c r="E108" s="147" t="s">
        <v>565</v>
      </c>
      <c r="F108" s="148">
        <v>1</v>
      </c>
      <c r="G108" s="148"/>
    </row>
    <row r="109" spans="1:7" ht="13.5" thickBot="1" x14ac:dyDescent="0.25">
      <c r="A109" s="244"/>
      <c r="B109" s="358"/>
      <c r="C109" s="359"/>
      <c r="D109" s="359"/>
      <c r="E109" s="359"/>
      <c r="F109" s="246"/>
      <c r="G109" s="246"/>
    </row>
    <row r="110" spans="1:7" ht="13.5" thickBot="1" x14ac:dyDescent="0.25">
      <c r="A110" s="609" t="s">
        <v>623</v>
      </c>
      <c r="B110" s="898" t="s">
        <v>626</v>
      </c>
      <c r="C110" s="898"/>
      <c r="D110" s="898"/>
      <c r="E110" s="898"/>
      <c r="F110" s="898"/>
      <c r="G110" s="898"/>
    </row>
    <row r="111" spans="1:7" ht="25.5" x14ac:dyDescent="0.2">
      <c r="A111" s="175" t="s">
        <v>1010</v>
      </c>
      <c r="B111" s="181" t="s">
        <v>2193</v>
      </c>
      <c r="C111" s="137" t="s">
        <v>434</v>
      </c>
      <c r="D111" s="137" t="s">
        <v>1347</v>
      </c>
      <c r="E111" s="137" t="s">
        <v>565</v>
      </c>
      <c r="F111" s="138">
        <v>1</v>
      </c>
      <c r="G111" s="138"/>
    </row>
    <row r="112" spans="1:7" ht="25.5" x14ac:dyDescent="0.2">
      <c r="A112" s="639" t="s">
        <v>1011</v>
      </c>
      <c r="B112" s="640" t="s">
        <v>2193</v>
      </c>
      <c r="C112" s="502" t="s">
        <v>434</v>
      </c>
      <c r="D112" s="502" t="s">
        <v>887</v>
      </c>
      <c r="E112" s="502" t="s">
        <v>565</v>
      </c>
      <c r="F112" s="641">
        <v>1</v>
      </c>
      <c r="G112" s="641"/>
    </row>
    <row r="113" spans="1:7" ht="26.25" thickBot="1" x14ac:dyDescent="0.25">
      <c r="A113" s="177" t="s">
        <v>1012</v>
      </c>
      <c r="B113" s="183" t="s">
        <v>2193</v>
      </c>
      <c r="C113" s="147" t="s">
        <v>434</v>
      </c>
      <c r="D113" s="147" t="s">
        <v>603</v>
      </c>
      <c r="E113" s="147" t="s">
        <v>565</v>
      </c>
      <c r="F113" s="148">
        <v>1</v>
      </c>
      <c r="G113" s="148"/>
    </row>
    <row r="114" spans="1:7" ht="13.5" thickBot="1" x14ac:dyDescent="0.25">
      <c r="A114" s="244"/>
      <c r="B114" s="358"/>
      <c r="C114" s="359"/>
      <c r="D114" s="359"/>
      <c r="E114" s="359"/>
      <c r="F114" s="246"/>
      <c r="G114" s="246"/>
    </row>
    <row r="115" spans="1:7" ht="13.5" thickBot="1" x14ac:dyDescent="0.25">
      <c r="A115" s="331" t="s">
        <v>625</v>
      </c>
      <c r="B115" s="898" t="s">
        <v>612</v>
      </c>
      <c r="C115" s="898"/>
      <c r="D115" s="898"/>
      <c r="E115" s="898"/>
      <c r="F115" s="898"/>
      <c r="G115" s="898"/>
    </row>
    <row r="116" spans="1:7" x14ac:dyDescent="0.2">
      <c r="A116" s="175" t="s">
        <v>1015</v>
      </c>
      <c r="B116" s="181" t="s">
        <v>436</v>
      </c>
      <c r="C116" s="329" t="s">
        <v>434</v>
      </c>
      <c r="D116" s="137" t="s">
        <v>1342</v>
      </c>
      <c r="E116" s="137" t="s">
        <v>569</v>
      </c>
      <c r="F116" s="138">
        <v>1</v>
      </c>
      <c r="G116" s="138"/>
    </row>
    <row r="117" spans="1:7" x14ac:dyDescent="0.2">
      <c r="A117" s="176" t="s">
        <v>1016</v>
      </c>
      <c r="B117" s="182" t="s">
        <v>438</v>
      </c>
      <c r="C117" s="330" t="s">
        <v>529</v>
      </c>
      <c r="D117" s="141" t="s">
        <v>1342</v>
      </c>
      <c r="E117" s="141" t="s">
        <v>565</v>
      </c>
      <c r="F117" s="142">
        <v>2</v>
      </c>
      <c r="G117" s="142"/>
    </row>
    <row r="118" spans="1:7" ht="25.5" x14ac:dyDescent="0.2">
      <c r="A118" s="176" t="s">
        <v>2350</v>
      </c>
      <c r="B118" s="182" t="s">
        <v>1418</v>
      </c>
      <c r="C118" s="330" t="s">
        <v>459</v>
      </c>
      <c r="D118" s="141" t="s">
        <v>1347</v>
      </c>
      <c r="E118" s="141" t="s">
        <v>565</v>
      </c>
      <c r="F118" s="142">
        <f>2*(3+3)+3*4</f>
        <v>24</v>
      </c>
      <c r="G118" s="142" t="s">
        <v>1475</v>
      </c>
    </row>
    <row r="119" spans="1:7" x14ac:dyDescent="0.2">
      <c r="A119" s="176" t="s">
        <v>2351</v>
      </c>
      <c r="B119" s="182" t="s">
        <v>613</v>
      </c>
      <c r="C119" s="330" t="s">
        <v>432</v>
      </c>
      <c r="D119" s="141" t="s">
        <v>1347</v>
      </c>
      <c r="E119" s="141" t="s">
        <v>569</v>
      </c>
      <c r="F119" s="142">
        <v>1</v>
      </c>
      <c r="G119" s="142"/>
    </row>
    <row r="120" spans="1:7" x14ac:dyDescent="0.2">
      <c r="A120" s="176" t="s">
        <v>2352</v>
      </c>
      <c r="B120" s="182" t="s">
        <v>619</v>
      </c>
      <c r="C120" s="330" t="s">
        <v>526</v>
      </c>
      <c r="D120" s="141" t="s">
        <v>1347</v>
      </c>
      <c r="E120" s="141" t="s">
        <v>569</v>
      </c>
      <c r="F120" s="142">
        <v>1</v>
      </c>
      <c r="G120" s="142"/>
    </row>
    <row r="121" spans="1:7" x14ac:dyDescent="0.2">
      <c r="A121" s="176" t="s">
        <v>2353</v>
      </c>
      <c r="B121" s="182" t="s">
        <v>614</v>
      </c>
      <c r="C121" s="330" t="s">
        <v>526</v>
      </c>
      <c r="D121" s="141" t="s">
        <v>1347</v>
      </c>
      <c r="E121" s="141" t="s">
        <v>569</v>
      </c>
      <c r="F121" s="142">
        <v>1</v>
      </c>
      <c r="G121" s="142"/>
    </row>
    <row r="122" spans="1:7" x14ac:dyDescent="0.2">
      <c r="A122" s="176" t="s">
        <v>2354</v>
      </c>
      <c r="B122" s="182" t="s">
        <v>615</v>
      </c>
      <c r="C122" s="330" t="s">
        <v>439</v>
      </c>
      <c r="D122" s="141" t="s">
        <v>1347</v>
      </c>
      <c r="E122" s="141" t="s">
        <v>565</v>
      </c>
      <c r="F122" s="142">
        <v>3</v>
      </c>
      <c r="G122" s="142"/>
    </row>
    <row r="123" spans="1:7" x14ac:dyDescent="0.2">
      <c r="A123" s="176" t="s">
        <v>2355</v>
      </c>
      <c r="B123" s="182" t="s">
        <v>616</v>
      </c>
      <c r="C123" s="330" t="s">
        <v>439</v>
      </c>
      <c r="D123" s="141" t="s">
        <v>1347</v>
      </c>
      <c r="E123" s="141" t="s">
        <v>565</v>
      </c>
      <c r="F123" s="142">
        <v>1</v>
      </c>
      <c r="G123" s="142"/>
    </row>
    <row r="124" spans="1:7" x14ac:dyDescent="0.2">
      <c r="A124" s="176" t="s">
        <v>2356</v>
      </c>
      <c r="B124" s="182" t="s">
        <v>617</v>
      </c>
      <c r="C124" s="330" t="s">
        <v>439</v>
      </c>
      <c r="D124" s="141" t="s">
        <v>1347</v>
      </c>
      <c r="E124" s="141" t="s">
        <v>565</v>
      </c>
      <c r="F124" s="142">
        <v>1</v>
      </c>
      <c r="G124" s="142"/>
    </row>
    <row r="125" spans="1:7" x14ac:dyDescent="0.2">
      <c r="A125" s="176" t="s">
        <v>2357</v>
      </c>
      <c r="B125" s="182" t="s">
        <v>618</v>
      </c>
      <c r="C125" s="330" t="s">
        <v>439</v>
      </c>
      <c r="D125" s="141" t="s">
        <v>1347</v>
      </c>
      <c r="E125" s="141" t="s">
        <v>565</v>
      </c>
      <c r="F125" s="142">
        <v>1</v>
      </c>
      <c r="G125" s="142"/>
    </row>
    <row r="126" spans="1:7" ht="25.5" x14ac:dyDescent="0.2">
      <c r="A126" s="176" t="s">
        <v>2358</v>
      </c>
      <c r="B126" s="182" t="s">
        <v>1418</v>
      </c>
      <c r="C126" s="330" t="s">
        <v>459</v>
      </c>
      <c r="D126" s="141" t="s">
        <v>887</v>
      </c>
      <c r="E126" s="141" t="s">
        <v>565</v>
      </c>
      <c r="F126" s="142">
        <f>2*(1+1)+3*4</f>
        <v>16</v>
      </c>
      <c r="G126" s="142" t="s">
        <v>1475</v>
      </c>
    </row>
    <row r="127" spans="1:7" x14ac:dyDescent="0.2">
      <c r="A127" s="176" t="s">
        <v>2359</v>
      </c>
      <c r="B127" s="182" t="s">
        <v>613</v>
      </c>
      <c r="C127" s="330" t="s">
        <v>432</v>
      </c>
      <c r="D127" s="141" t="s">
        <v>887</v>
      </c>
      <c r="E127" s="141" t="s">
        <v>569</v>
      </c>
      <c r="F127" s="142">
        <v>1</v>
      </c>
      <c r="G127" s="142"/>
    </row>
    <row r="128" spans="1:7" x14ac:dyDescent="0.2">
      <c r="A128" s="176" t="s">
        <v>2360</v>
      </c>
      <c r="B128" s="182" t="s">
        <v>619</v>
      </c>
      <c r="C128" s="330" t="s">
        <v>526</v>
      </c>
      <c r="D128" s="141" t="s">
        <v>887</v>
      </c>
      <c r="E128" s="141" t="s">
        <v>569</v>
      </c>
      <c r="F128" s="142">
        <v>1</v>
      </c>
      <c r="G128" s="142"/>
    </row>
    <row r="129" spans="1:11" x14ac:dyDescent="0.2">
      <c r="A129" s="176" t="s">
        <v>2361</v>
      </c>
      <c r="B129" s="182" t="s">
        <v>614</v>
      </c>
      <c r="C129" s="330" t="s">
        <v>526</v>
      </c>
      <c r="D129" s="141" t="s">
        <v>887</v>
      </c>
      <c r="E129" s="141" t="s">
        <v>569</v>
      </c>
      <c r="F129" s="142">
        <v>1</v>
      </c>
      <c r="G129" s="142"/>
    </row>
    <row r="130" spans="1:11" x14ac:dyDescent="0.2">
      <c r="A130" s="176" t="s">
        <v>2362</v>
      </c>
      <c r="B130" s="182" t="s">
        <v>615</v>
      </c>
      <c r="C130" s="330" t="s">
        <v>439</v>
      </c>
      <c r="D130" s="141" t="s">
        <v>887</v>
      </c>
      <c r="E130" s="141" t="s">
        <v>565</v>
      </c>
      <c r="F130" s="142">
        <v>1</v>
      </c>
      <c r="G130" s="142"/>
    </row>
    <row r="131" spans="1:11" x14ac:dyDescent="0.2">
      <c r="A131" s="176" t="s">
        <v>2363</v>
      </c>
      <c r="B131" s="182" t="s">
        <v>616</v>
      </c>
      <c r="C131" s="330" t="s">
        <v>439</v>
      </c>
      <c r="D131" s="141" t="s">
        <v>887</v>
      </c>
      <c r="E131" s="141" t="s">
        <v>565</v>
      </c>
      <c r="F131" s="142">
        <v>1</v>
      </c>
      <c r="G131" s="142"/>
    </row>
    <row r="132" spans="1:11" x14ac:dyDescent="0.2">
      <c r="A132" s="176" t="s">
        <v>2364</v>
      </c>
      <c r="B132" s="182" t="s">
        <v>617</v>
      </c>
      <c r="C132" s="330" t="s">
        <v>439</v>
      </c>
      <c r="D132" s="141" t="s">
        <v>887</v>
      </c>
      <c r="E132" s="141" t="s">
        <v>565</v>
      </c>
      <c r="F132" s="142">
        <v>1</v>
      </c>
      <c r="G132" s="142"/>
    </row>
    <row r="133" spans="1:11" x14ac:dyDescent="0.2">
      <c r="A133" s="176" t="s">
        <v>2365</v>
      </c>
      <c r="B133" s="182" t="s">
        <v>618</v>
      </c>
      <c r="C133" s="330" t="s">
        <v>439</v>
      </c>
      <c r="D133" s="141" t="s">
        <v>887</v>
      </c>
      <c r="E133" s="141" t="s">
        <v>565</v>
      </c>
      <c r="F133" s="142">
        <v>2</v>
      </c>
      <c r="G133" s="142"/>
    </row>
    <row r="134" spans="1:11" ht="25.5" x14ac:dyDescent="0.2">
      <c r="A134" s="176" t="s">
        <v>2366</v>
      </c>
      <c r="B134" s="182" t="s">
        <v>1418</v>
      </c>
      <c r="C134" s="330" t="s">
        <v>459</v>
      </c>
      <c r="D134" s="141" t="s">
        <v>603</v>
      </c>
      <c r="E134" s="141" t="s">
        <v>565</v>
      </c>
      <c r="F134" s="142">
        <f>2*(2+2)+3*5</f>
        <v>23</v>
      </c>
      <c r="G134" s="142" t="s">
        <v>1475</v>
      </c>
    </row>
    <row r="135" spans="1:11" x14ac:dyDescent="0.2">
      <c r="A135" s="176" t="s">
        <v>2367</v>
      </c>
      <c r="B135" s="182" t="s">
        <v>613</v>
      </c>
      <c r="C135" s="330" t="s">
        <v>432</v>
      </c>
      <c r="D135" s="141" t="s">
        <v>603</v>
      </c>
      <c r="E135" s="141" t="s">
        <v>569</v>
      </c>
      <c r="F135" s="142">
        <v>1</v>
      </c>
      <c r="G135" s="142"/>
    </row>
    <row r="136" spans="1:11" x14ac:dyDescent="0.2">
      <c r="A136" s="176" t="s">
        <v>2368</v>
      </c>
      <c r="B136" s="182" t="s">
        <v>614</v>
      </c>
      <c r="C136" s="330" t="s">
        <v>526</v>
      </c>
      <c r="D136" s="141" t="s">
        <v>603</v>
      </c>
      <c r="E136" s="141" t="s">
        <v>569</v>
      </c>
      <c r="F136" s="142">
        <v>1</v>
      </c>
      <c r="G136" s="142"/>
    </row>
    <row r="137" spans="1:11" x14ac:dyDescent="0.2">
      <c r="A137" s="176" t="s">
        <v>2369</v>
      </c>
      <c r="B137" s="182" t="s">
        <v>619</v>
      </c>
      <c r="C137" s="330" t="s">
        <v>526</v>
      </c>
      <c r="D137" s="141" t="s">
        <v>603</v>
      </c>
      <c r="E137" s="141" t="s">
        <v>569</v>
      </c>
      <c r="F137" s="142">
        <v>1</v>
      </c>
      <c r="G137" s="142"/>
    </row>
    <row r="138" spans="1:11" x14ac:dyDescent="0.2">
      <c r="A138" s="176" t="s">
        <v>2370</v>
      </c>
      <c r="B138" s="182" t="s">
        <v>615</v>
      </c>
      <c r="C138" s="330" t="s">
        <v>439</v>
      </c>
      <c r="D138" s="141" t="s">
        <v>603</v>
      </c>
      <c r="E138" s="141" t="s">
        <v>565</v>
      </c>
      <c r="F138" s="142">
        <v>2</v>
      </c>
      <c r="G138" s="142"/>
    </row>
    <row r="139" spans="1:11" x14ac:dyDescent="0.2">
      <c r="A139" s="176" t="s">
        <v>2371</v>
      </c>
      <c r="B139" s="182" t="s">
        <v>616</v>
      </c>
      <c r="C139" s="330" t="s">
        <v>439</v>
      </c>
      <c r="D139" s="141" t="s">
        <v>603</v>
      </c>
      <c r="E139" s="141" t="s">
        <v>565</v>
      </c>
      <c r="F139" s="142">
        <v>1</v>
      </c>
      <c r="G139" s="142"/>
    </row>
    <row r="140" spans="1:11" x14ac:dyDescent="0.2">
      <c r="A140" s="176" t="s">
        <v>2372</v>
      </c>
      <c r="B140" s="182" t="s">
        <v>617</v>
      </c>
      <c r="C140" s="330" t="s">
        <v>439</v>
      </c>
      <c r="D140" s="141" t="s">
        <v>603</v>
      </c>
      <c r="E140" s="141" t="s">
        <v>565</v>
      </c>
      <c r="F140" s="142">
        <v>1</v>
      </c>
      <c r="G140" s="142"/>
    </row>
    <row r="141" spans="1:11" x14ac:dyDescent="0.2">
      <c r="A141" s="176" t="s">
        <v>2373</v>
      </c>
      <c r="B141" s="182" t="s">
        <v>618</v>
      </c>
      <c r="C141" s="141" t="s">
        <v>439</v>
      </c>
      <c r="D141" s="141" t="s">
        <v>603</v>
      </c>
      <c r="E141" s="141" t="s">
        <v>565</v>
      </c>
      <c r="F141" s="142">
        <v>1</v>
      </c>
      <c r="G141" s="142"/>
    </row>
    <row r="142" spans="1:11" s="2" customFormat="1" ht="13.5" thickBot="1" x14ac:dyDescent="0.3">
      <c r="A142" s="177"/>
      <c r="B142" s="183"/>
      <c r="C142" s="147"/>
      <c r="D142" s="147"/>
      <c r="E142" s="147"/>
      <c r="F142" s="148"/>
      <c r="G142" s="148"/>
      <c r="K142" s="78"/>
    </row>
    <row r="143" spans="1:11" s="78" customFormat="1" x14ac:dyDescent="0.25">
      <c r="F143" s="72"/>
    </row>
    <row r="144" spans="1:11" s="78" customFormat="1" ht="13.5" thickBot="1" x14ac:dyDescent="0.3">
      <c r="F144" s="72"/>
    </row>
    <row r="145" spans="1:11" s="345" customFormat="1" x14ac:dyDescent="0.2">
      <c r="A145" s="899" t="s">
        <v>422</v>
      </c>
      <c r="B145" s="900"/>
      <c r="C145" s="900"/>
      <c r="D145" s="900"/>
      <c r="E145" s="900"/>
      <c r="F145" s="901"/>
      <c r="G145" s="593" t="s">
        <v>423</v>
      </c>
      <c r="K145" s="78"/>
    </row>
    <row r="146" spans="1:11" s="345" customFormat="1" ht="13.5" thickBot="1" x14ac:dyDescent="0.25">
      <c r="A146" s="905"/>
      <c r="B146" s="906"/>
      <c r="C146" s="906"/>
      <c r="D146" s="906"/>
      <c r="E146" s="906"/>
      <c r="F146" s="907"/>
      <c r="G146" s="594"/>
    </row>
    <row r="147" spans="1:11" s="345" customFormat="1" x14ac:dyDescent="0.2">
      <c r="A147" s="899" t="s">
        <v>424</v>
      </c>
      <c r="B147" s="900"/>
      <c r="C147" s="900"/>
      <c r="D147" s="900"/>
      <c r="E147" s="900"/>
      <c r="F147" s="901"/>
      <c r="G147" s="593" t="s">
        <v>425</v>
      </c>
    </row>
    <row r="148" spans="1:11" s="345" customFormat="1" ht="13.5" thickBot="1" x14ac:dyDescent="0.25">
      <c r="A148" s="905"/>
      <c r="B148" s="906"/>
      <c r="C148" s="906"/>
      <c r="D148" s="906"/>
      <c r="E148" s="906"/>
      <c r="F148" s="907"/>
      <c r="G148" s="595"/>
    </row>
    <row r="149" spans="1:11" s="345" customFormat="1" x14ac:dyDescent="0.2">
      <c r="A149" s="899" t="s">
        <v>448</v>
      </c>
      <c r="B149" s="900"/>
      <c r="C149" s="900"/>
      <c r="D149" s="900"/>
      <c r="E149" s="900"/>
      <c r="F149" s="900"/>
      <c r="G149" s="901"/>
    </row>
    <row r="150" spans="1:11" s="345" customFormat="1" x14ac:dyDescent="0.2">
      <c r="A150" s="902"/>
      <c r="B150" s="903"/>
      <c r="C150" s="903"/>
      <c r="D150" s="903"/>
      <c r="E150" s="903"/>
      <c r="F150" s="903"/>
      <c r="G150" s="904"/>
    </row>
    <row r="151" spans="1:11" s="345" customFormat="1" x14ac:dyDescent="0.2">
      <c r="A151" s="902"/>
      <c r="B151" s="903"/>
      <c r="C151" s="903"/>
      <c r="D151" s="903"/>
      <c r="E151" s="903"/>
      <c r="F151" s="903"/>
      <c r="G151" s="904"/>
    </row>
    <row r="152" spans="1:11" s="345" customFormat="1" ht="13.5" thickBot="1" x14ac:dyDescent="0.25">
      <c r="A152" s="905"/>
      <c r="B152" s="906"/>
      <c r="C152" s="906"/>
      <c r="D152" s="906"/>
      <c r="E152" s="906"/>
      <c r="F152" s="906"/>
      <c r="G152" s="907"/>
    </row>
    <row r="153" spans="1:11" s="345" customFormat="1" x14ac:dyDescent="0.2"/>
    <row r="154" spans="1:11" s="345" customFormat="1" x14ac:dyDescent="0.2"/>
    <row r="155" spans="1:11" s="345" customFormat="1" x14ac:dyDescent="0.2"/>
    <row r="156" spans="1:11" s="345" customFormat="1" x14ac:dyDescent="0.2"/>
    <row r="157" spans="1:11" s="345" customFormat="1" x14ac:dyDescent="0.2"/>
    <row r="158" spans="1:11" s="345" customFormat="1" x14ac:dyDescent="0.2"/>
    <row r="159" spans="1:11" s="345" customFormat="1" x14ac:dyDescent="0.2"/>
    <row r="160" spans="1:11" s="345" customFormat="1" x14ac:dyDescent="0.2"/>
    <row r="161" s="345" customFormat="1" x14ac:dyDescent="0.2"/>
  </sheetData>
  <autoFilter ref="A11:G141"/>
  <sortState ref="B122:G147">
    <sortCondition ref="D122:D147"/>
    <sortCondition ref="C122:C147"/>
  </sortState>
  <mergeCells count="28">
    <mergeCell ref="A151:G151"/>
    <mergeCell ref="A152:G152"/>
    <mergeCell ref="A147:F147"/>
    <mergeCell ref="A148:F148"/>
    <mergeCell ref="A145:F145"/>
    <mergeCell ref="A146:F146"/>
    <mergeCell ref="B83:G83"/>
    <mergeCell ref="B91:G91"/>
    <mergeCell ref="B115:G115"/>
    <mergeCell ref="A149:G149"/>
    <mergeCell ref="A150:G150"/>
    <mergeCell ref="B110:G110"/>
    <mergeCell ref="B98:G98"/>
    <mergeCell ref="B102:G102"/>
    <mergeCell ref="B106:G106"/>
    <mergeCell ref="B1:G1"/>
    <mergeCell ref="B2:G2"/>
    <mergeCell ref="B3:G3"/>
    <mergeCell ref="A5:G6"/>
    <mergeCell ref="A8:G8"/>
    <mergeCell ref="B52:G52"/>
    <mergeCell ref="B67:G67"/>
    <mergeCell ref="B46:G46"/>
    <mergeCell ref="B12:G12"/>
    <mergeCell ref="B17:G17"/>
    <mergeCell ref="B21:G21"/>
    <mergeCell ref="B25:G25"/>
    <mergeCell ref="B41:G41"/>
  </mergeCells>
  <phoneticPr fontId="25" type="noConversion"/>
  <printOptions horizontalCentered="1"/>
  <pageMargins left="0.59055118110236227" right="0.59055118110236227" top="0.78740157480314965" bottom="0.59055118110236227" header="0.19685039370078741" footer="0.19685039370078741"/>
  <pageSetup paperSize="9" scale="48" fitToHeight="100" orientation="landscape" horizontalDpi="4294967294" verticalDpi="4294967294" r:id="rId1"/>
  <headerFooter>
    <oddFooter>&amp;R&amp;"Arial,Normal"&amp;8&amp;F
Página &amp;P de &amp;N</oddFooter>
  </headerFooter>
  <rowBreaks count="2" manualBreakCount="2">
    <brk id="50" max="6" man="1"/>
    <brk id="90" max="6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A40" sqref="A40:E40"/>
    </sheetView>
  </sheetViews>
  <sheetFormatPr defaultColWidth="9.140625" defaultRowHeight="12.75" x14ac:dyDescent="0.25"/>
  <cols>
    <col min="1" max="1" width="8.7109375" style="196" customWidth="1"/>
    <col min="2" max="2" width="14.7109375" style="196" customWidth="1"/>
    <col min="3" max="3" width="60.7109375" style="196" customWidth="1"/>
    <col min="4" max="5" width="14.7109375" style="196" customWidth="1"/>
    <col min="6" max="16384" width="9.140625" style="196"/>
  </cols>
  <sheetData>
    <row r="1" spans="1:5" s="89" customFormat="1" x14ac:dyDescent="0.25">
      <c r="A1" s="117"/>
      <c r="B1" s="709" t="s">
        <v>1117</v>
      </c>
      <c r="C1" s="709"/>
      <c r="D1" s="709"/>
      <c r="E1" s="709"/>
    </row>
    <row r="2" spans="1:5" s="89" customFormat="1" x14ac:dyDescent="0.25">
      <c r="A2" s="90"/>
      <c r="B2" s="710" t="s">
        <v>1118</v>
      </c>
      <c r="C2" s="710"/>
      <c r="D2" s="710"/>
      <c r="E2" s="710"/>
    </row>
    <row r="3" spans="1:5" s="89" customFormat="1" ht="13.5" thickBot="1" x14ac:dyDescent="0.3">
      <c r="A3" s="118"/>
      <c r="B3" s="711" t="s">
        <v>1116</v>
      </c>
      <c r="C3" s="711"/>
      <c r="D3" s="711"/>
      <c r="E3" s="711"/>
    </row>
    <row r="4" spans="1:5" s="78" customFormat="1" ht="13.9" thickBot="1" x14ac:dyDescent="0.35">
      <c r="A4" s="287"/>
    </row>
    <row r="5" spans="1:5" s="78" customFormat="1" x14ac:dyDescent="0.25">
      <c r="A5" s="690" t="s">
        <v>1119</v>
      </c>
      <c r="B5" s="690"/>
      <c r="C5" s="690"/>
      <c r="D5" s="690"/>
      <c r="E5" s="690"/>
    </row>
    <row r="6" spans="1:5" s="78" customFormat="1" ht="13.5" thickBot="1" x14ac:dyDescent="0.3">
      <c r="A6" s="691"/>
      <c r="B6" s="691"/>
      <c r="C6" s="691"/>
      <c r="D6" s="691"/>
      <c r="E6" s="691"/>
    </row>
    <row r="7" spans="1:5" s="78" customFormat="1" ht="13.9" thickBot="1" x14ac:dyDescent="0.35">
      <c r="B7" s="70"/>
      <c r="C7" s="72"/>
      <c r="D7" s="72"/>
    </row>
    <row r="8" spans="1:5" s="21" customFormat="1" ht="13.5" thickBot="1" x14ac:dyDescent="0.3">
      <c r="A8" s="686" t="s">
        <v>1348</v>
      </c>
      <c r="B8" s="687"/>
      <c r="C8" s="687"/>
      <c r="D8" s="687"/>
      <c r="E8" s="688"/>
    </row>
    <row r="9" spans="1:5" ht="13.15" x14ac:dyDescent="0.3">
      <c r="D9" s="197"/>
      <c r="E9" s="197"/>
    </row>
    <row r="10" spans="1:5" s="209" customFormat="1" ht="13.9" thickBot="1" x14ac:dyDescent="0.35">
      <c r="A10" s="193"/>
      <c r="B10" s="193"/>
      <c r="C10" s="194"/>
      <c r="D10" s="194"/>
      <c r="E10" s="197"/>
    </row>
    <row r="11" spans="1:5" s="2" customFormat="1" ht="13.5" thickBot="1" x14ac:dyDescent="0.3">
      <c r="A11" s="730" t="s">
        <v>363</v>
      </c>
      <c r="B11" s="730" t="s">
        <v>543</v>
      </c>
      <c r="C11" s="730" t="s">
        <v>1349</v>
      </c>
      <c r="D11" s="730" t="s">
        <v>1350</v>
      </c>
      <c r="E11" s="730"/>
    </row>
    <row r="12" spans="1:5" s="2" customFormat="1" ht="13.5" thickBot="1" x14ac:dyDescent="0.3">
      <c r="A12" s="730"/>
      <c r="B12" s="730"/>
      <c r="C12" s="730"/>
      <c r="D12" s="294" t="s">
        <v>1351</v>
      </c>
      <c r="E12" s="294" t="s">
        <v>1352</v>
      </c>
    </row>
    <row r="13" spans="1:5" s="2" customFormat="1" ht="26.45" x14ac:dyDescent="0.3">
      <c r="A13" s="335">
        <v>1</v>
      </c>
      <c r="B13" s="9" t="s">
        <v>429</v>
      </c>
      <c r="C13" s="7" t="s">
        <v>517</v>
      </c>
      <c r="D13" s="259">
        <v>129.52000000000001</v>
      </c>
      <c r="E13" s="259">
        <v>22795.52</v>
      </c>
    </row>
    <row r="14" spans="1:5" s="2" customFormat="1" ht="25.5" x14ac:dyDescent="0.25">
      <c r="A14" s="336">
        <v>2</v>
      </c>
      <c r="B14" s="220" t="s">
        <v>428</v>
      </c>
      <c r="C14" s="265" t="s">
        <v>518</v>
      </c>
      <c r="D14" s="227">
        <v>107.24</v>
      </c>
      <c r="E14" s="227">
        <v>18874.240000000002</v>
      </c>
    </row>
    <row r="15" spans="1:5" s="2" customFormat="1" ht="25.5" x14ac:dyDescent="0.25">
      <c r="A15" s="336">
        <v>3</v>
      </c>
      <c r="B15" s="220" t="s">
        <v>430</v>
      </c>
      <c r="C15" s="265" t="s">
        <v>519</v>
      </c>
      <c r="D15" s="227">
        <v>82.97</v>
      </c>
      <c r="E15" s="227">
        <v>14602.72</v>
      </c>
    </row>
    <row r="16" spans="1:5" s="2" customFormat="1" ht="25.5" x14ac:dyDescent="0.25">
      <c r="A16" s="336">
        <v>4</v>
      </c>
      <c r="B16" s="220" t="s">
        <v>431</v>
      </c>
      <c r="C16" s="265" t="s">
        <v>520</v>
      </c>
      <c r="D16" s="227">
        <v>63.52</v>
      </c>
      <c r="E16" s="227">
        <v>11179.52</v>
      </c>
    </row>
    <row r="17" spans="1:5" s="2" customFormat="1" ht="25.5" x14ac:dyDescent="0.25">
      <c r="A17" s="336">
        <v>5</v>
      </c>
      <c r="B17" s="220" t="s">
        <v>435</v>
      </c>
      <c r="C17" s="265" t="s">
        <v>521</v>
      </c>
      <c r="D17" s="227">
        <v>52.76</v>
      </c>
      <c r="E17" s="227">
        <v>9285.76</v>
      </c>
    </row>
    <row r="18" spans="1:5" s="2" customFormat="1" ht="25.5" x14ac:dyDescent="0.25">
      <c r="A18" s="336">
        <v>6</v>
      </c>
      <c r="B18" s="220" t="s">
        <v>433</v>
      </c>
      <c r="C18" s="265" t="s">
        <v>522</v>
      </c>
      <c r="D18" s="227">
        <v>48.2</v>
      </c>
      <c r="E18" s="227">
        <v>8483.2000000000007</v>
      </c>
    </row>
    <row r="19" spans="1:5" s="2" customFormat="1" ht="25.5" x14ac:dyDescent="0.25">
      <c r="A19" s="336">
        <v>7</v>
      </c>
      <c r="B19" s="220" t="s">
        <v>437</v>
      </c>
      <c r="C19" s="265" t="s">
        <v>523</v>
      </c>
      <c r="D19" s="227">
        <v>48.19</v>
      </c>
      <c r="E19" s="227">
        <v>8481.44</v>
      </c>
    </row>
    <row r="20" spans="1:5" s="2" customFormat="1" ht="25.5" x14ac:dyDescent="0.25">
      <c r="A20" s="336">
        <v>8</v>
      </c>
      <c r="B20" s="220" t="s">
        <v>432</v>
      </c>
      <c r="C20" s="265" t="s">
        <v>524</v>
      </c>
      <c r="D20" s="227">
        <v>35.119999999999997</v>
      </c>
      <c r="E20" s="227">
        <v>6181.12</v>
      </c>
    </row>
    <row r="21" spans="1:5" s="2" customFormat="1" ht="25.5" x14ac:dyDescent="0.25">
      <c r="A21" s="336">
        <v>9</v>
      </c>
      <c r="B21" s="220" t="s">
        <v>434</v>
      </c>
      <c r="C21" s="265" t="s">
        <v>525</v>
      </c>
      <c r="D21" s="227">
        <v>23.27</v>
      </c>
      <c r="E21" s="227">
        <v>4095.52</v>
      </c>
    </row>
    <row r="22" spans="1:5" s="2" customFormat="1" ht="25.5" x14ac:dyDescent="0.25">
      <c r="A22" s="336">
        <v>10</v>
      </c>
      <c r="B22" s="220" t="s">
        <v>526</v>
      </c>
      <c r="C22" s="265" t="s">
        <v>527</v>
      </c>
      <c r="D22" s="227">
        <v>19.29</v>
      </c>
      <c r="E22" s="227">
        <v>3395.04</v>
      </c>
    </row>
    <row r="23" spans="1:5" s="2" customFormat="1" x14ac:dyDescent="0.25">
      <c r="A23" s="336">
        <v>11</v>
      </c>
      <c r="B23" s="220" t="s">
        <v>439</v>
      </c>
      <c r="C23" s="265" t="s">
        <v>528</v>
      </c>
      <c r="D23" s="227">
        <v>8.4</v>
      </c>
      <c r="E23" s="227">
        <v>1478.4</v>
      </c>
    </row>
    <row r="24" spans="1:5" s="2" customFormat="1" x14ac:dyDescent="0.25">
      <c r="A24" s="336">
        <v>12</v>
      </c>
      <c r="B24" s="220" t="s">
        <v>529</v>
      </c>
      <c r="C24" s="265" t="s">
        <v>530</v>
      </c>
      <c r="D24" s="227">
        <v>5.9</v>
      </c>
      <c r="E24" s="227">
        <v>1038.4000000000001</v>
      </c>
    </row>
    <row r="25" spans="1:5" s="2" customFormat="1" x14ac:dyDescent="0.25">
      <c r="A25" s="336">
        <v>13</v>
      </c>
      <c r="B25" s="220" t="s">
        <v>531</v>
      </c>
      <c r="C25" s="265" t="s">
        <v>532</v>
      </c>
      <c r="D25" s="227">
        <v>31.88</v>
      </c>
      <c r="E25" s="227">
        <v>5610.88</v>
      </c>
    </row>
    <row r="26" spans="1:5" s="2" customFormat="1" x14ac:dyDescent="0.25">
      <c r="A26" s="336">
        <v>14</v>
      </c>
      <c r="B26" s="220" t="s">
        <v>533</v>
      </c>
      <c r="C26" s="265" t="s">
        <v>534</v>
      </c>
      <c r="D26" s="227">
        <v>29.32</v>
      </c>
      <c r="E26" s="227">
        <v>5160.32</v>
      </c>
    </row>
    <row r="27" spans="1:5" s="2" customFormat="1" x14ac:dyDescent="0.25">
      <c r="A27" s="336">
        <v>15</v>
      </c>
      <c r="B27" s="220" t="s">
        <v>453</v>
      </c>
      <c r="C27" s="265" t="s">
        <v>535</v>
      </c>
      <c r="D27" s="227">
        <v>27.44</v>
      </c>
      <c r="E27" s="227">
        <v>4829.4399999999996</v>
      </c>
    </row>
    <row r="28" spans="1:5" s="2" customFormat="1" x14ac:dyDescent="0.25">
      <c r="A28" s="336">
        <v>16</v>
      </c>
      <c r="B28" s="220" t="s">
        <v>455</v>
      </c>
      <c r="C28" s="265" t="s">
        <v>536</v>
      </c>
      <c r="D28" s="227">
        <v>19.38</v>
      </c>
      <c r="E28" s="227">
        <v>3410.88</v>
      </c>
    </row>
    <row r="29" spans="1:5" s="2" customFormat="1" ht="13.15" x14ac:dyDescent="0.3">
      <c r="A29" s="336">
        <v>17</v>
      </c>
      <c r="B29" s="220" t="s">
        <v>457</v>
      </c>
      <c r="C29" s="265" t="s">
        <v>537</v>
      </c>
      <c r="D29" s="227">
        <v>14.01</v>
      </c>
      <c r="E29" s="227">
        <v>2465.7600000000002</v>
      </c>
    </row>
    <row r="30" spans="1:5" s="2" customFormat="1" ht="13.5" thickBot="1" x14ac:dyDescent="0.3">
      <c r="A30" s="337">
        <v>18</v>
      </c>
      <c r="B30" s="231" t="s">
        <v>459</v>
      </c>
      <c r="C30" s="332" t="s">
        <v>538</v>
      </c>
      <c r="D30" s="234">
        <v>8.1999999999999993</v>
      </c>
      <c r="E30" s="234">
        <v>1443.2</v>
      </c>
    </row>
    <row r="31" spans="1:5" s="78" customFormat="1" ht="13.15" x14ac:dyDescent="0.3"/>
    <row r="32" spans="1:5" s="78" customFormat="1" ht="13.9" thickBot="1" x14ac:dyDescent="0.35"/>
    <row r="33" spans="1:5" s="345" customFormat="1" x14ac:dyDescent="0.2">
      <c r="A33" s="899" t="s">
        <v>422</v>
      </c>
      <c r="B33" s="911"/>
      <c r="C33" s="901"/>
      <c r="D33" s="912" t="s">
        <v>423</v>
      </c>
      <c r="E33" s="913"/>
    </row>
    <row r="34" spans="1:5" s="345" customFormat="1" ht="13.9" thickBot="1" x14ac:dyDescent="0.3">
      <c r="A34" s="905"/>
      <c r="B34" s="906"/>
      <c r="C34" s="907"/>
      <c r="D34" s="914"/>
      <c r="E34" s="915"/>
    </row>
    <row r="35" spans="1:5" s="345" customFormat="1" ht="13.15" x14ac:dyDescent="0.25">
      <c r="A35" s="899" t="s">
        <v>424</v>
      </c>
      <c r="B35" s="911"/>
      <c r="C35" s="901"/>
      <c r="D35" s="912" t="s">
        <v>425</v>
      </c>
      <c r="E35" s="913"/>
    </row>
    <row r="36" spans="1:5" s="345" customFormat="1" ht="13.9" thickBot="1" x14ac:dyDescent="0.3">
      <c r="A36" s="905"/>
      <c r="B36" s="906"/>
      <c r="C36" s="907"/>
      <c r="D36" s="914"/>
      <c r="E36" s="915"/>
    </row>
    <row r="37" spans="1:5" s="345" customFormat="1" ht="12.75" customHeight="1" x14ac:dyDescent="0.2">
      <c r="A37" s="908" t="s">
        <v>448</v>
      </c>
      <c r="B37" s="909"/>
      <c r="C37" s="909"/>
      <c r="D37" s="909"/>
      <c r="E37" s="910"/>
    </row>
    <row r="38" spans="1:5" s="345" customFormat="1" x14ac:dyDescent="0.2">
      <c r="A38" s="902" t="s">
        <v>2171</v>
      </c>
      <c r="B38" s="903"/>
      <c r="C38" s="903"/>
      <c r="D38" s="903"/>
      <c r="E38" s="904"/>
    </row>
    <row r="39" spans="1:5" s="345" customFormat="1" ht="13.15" x14ac:dyDescent="0.25">
      <c r="A39" s="902"/>
      <c r="B39" s="903"/>
      <c r="C39" s="903"/>
      <c r="D39" s="903"/>
      <c r="E39" s="904"/>
    </row>
    <row r="40" spans="1:5" s="345" customFormat="1" ht="13.15" x14ac:dyDescent="0.25">
      <c r="A40" s="902"/>
      <c r="B40" s="903"/>
      <c r="C40" s="903"/>
      <c r="D40" s="903"/>
      <c r="E40" s="904"/>
    </row>
    <row r="41" spans="1:5" s="345" customFormat="1" ht="15.75" customHeight="1" thickBot="1" x14ac:dyDescent="0.3">
      <c r="A41" s="905"/>
      <c r="B41" s="906"/>
      <c r="C41" s="906"/>
      <c r="D41" s="906"/>
      <c r="E41" s="907"/>
    </row>
  </sheetData>
  <autoFilter ref="A12:E30"/>
  <mergeCells count="22">
    <mergeCell ref="B1:E1"/>
    <mergeCell ref="B2:E2"/>
    <mergeCell ref="B3:E3"/>
    <mergeCell ref="A5:E6"/>
    <mergeCell ref="A8:E8"/>
    <mergeCell ref="A34:C34"/>
    <mergeCell ref="A35:C35"/>
    <mergeCell ref="A36:C36"/>
    <mergeCell ref="D33:E33"/>
    <mergeCell ref="D34:E34"/>
    <mergeCell ref="D35:E35"/>
    <mergeCell ref="D36:E36"/>
    <mergeCell ref="A11:A12"/>
    <mergeCell ref="B11:B12"/>
    <mergeCell ref="C11:C12"/>
    <mergeCell ref="D11:E11"/>
    <mergeCell ref="A33:C33"/>
    <mergeCell ref="A38:E38"/>
    <mergeCell ref="A37:E37"/>
    <mergeCell ref="A39:E39"/>
    <mergeCell ref="A40:E40"/>
    <mergeCell ref="A41:E41"/>
  </mergeCells>
  <printOptions horizontalCentered="1"/>
  <pageMargins left="0.78740157480314965" right="0.59055118110236227" top="0.59055118110236227" bottom="0.59055118110236227" header="0.19685039370078741" footer="0.19685039370078741"/>
  <pageSetup paperSize="9" scale="77" fitToHeight="100" orientation="portrait" horizontalDpi="4294967294" verticalDpi="4294967294" r:id="rId1"/>
  <headerFooter>
    <oddFooter>&amp;R&amp;"Arial,Normal"&amp;8&amp;F
Página &amp;P de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77"/>
  <sheetViews>
    <sheetView view="pageBreakPreview" zoomScale="85" zoomScaleNormal="100" zoomScaleSheetLayoutView="85" workbookViewId="0">
      <pane ySplit="11" topLeftCell="A12" activePane="bottomLeft" state="frozen"/>
      <selection activeCell="C90" sqref="C90"/>
      <selection pane="bottomLeft" activeCell="C79" sqref="C79"/>
    </sheetView>
  </sheetViews>
  <sheetFormatPr defaultColWidth="9.140625" defaultRowHeight="12.75" x14ac:dyDescent="0.2"/>
  <cols>
    <col min="1" max="1" width="16.7109375" style="596" customWidth="1"/>
    <col min="2" max="2" width="70.7109375" style="596" customWidth="1"/>
    <col min="3" max="3" width="16.7109375" style="596" customWidth="1"/>
    <col min="4" max="16384" width="9.140625" style="596"/>
  </cols>
  <sheetData>
    <row r="1" spans="1:3" s="89" customFormat="1" x14ac:dyDescent="0.25">
      <c r="A1" s="87"/>
      <c r="B1" s="916" t="s">
        <v>1117</v>
      </c>
      <c r="C1" s="916"/>
    </row>
    <row r="2" spans="1:3" s="89" customFormat="1" x14ac:dyDescent="0.25">
      <c r="A2" s="90"/>
      <c r="B2" s="917" t="s">
        <v>1118</v>
      </c>
      <c r="C2" s="917"/>
    </row>
    <row r="3" spans="1:3" s="89" customFormat="1" ht="13.5" thickBot="1" x14ac:dyDescent="0.3">
      <c r="A3" s="93"/>
      <c r="B3" s="918" t="s">
        <v>1116</v>
      </c>
      <c r="C3" s="918"/>
    </row>
    <row r="4" spans="1:3" s="78" customFormat="1" ht="13.9" thickBot="1" x14ac:dyDescent="0.35">
      <c r="A4" s="95"/>
    </row>
    <row r="5" spans="1:3" s="78" customFormat="1" x14ac:dyDescent="0.25">
      <c r="A5" s="689" t="s">
        <v>1119</v>
      </c>
      <c r="B5" s="689"/>
      <c r="C5" s="689"/>
    </row>
    <row r="6" spans="1:3" s="78" customFormat="1" ht="13.5" thickBot="1" x14ac:dyDescent="0.3">
      <c r="A6" s="691"/>
      <c r="B6" s="691"/>
      <c r="C6" s="691"/>
    </row>
    <row r="7" spans="1:3" s="78" customFormat="1" ht="13.9" thickBot="1" x14ac:dyDescent="0.35">
      <c r="B7" s="70"/>
      <c r="C7" s="72"/>
    </row>
    <row r="8" spans="1:3" s="21" customFormat="1" ht="13.5" thickBot="1" x14ac:dyDescent="0.3">
      <c r="A8" s="686" t="s">
        <v>1071</v>
      </c>
      <c r="B8" s="687"/>
      <c r="C8" s="687"/>
    </row>
    <row r="9" spans="1:3" s="78" customFormat="1" ht="13.15" x14ac:dyDescent="0.3">
      <c r="B9" s="70"/>
      <c r="C9" s="72"/>
    </row>
    <row r="10" spans="1:3" s="78" customFormat="1" ht="13.9" thickBot="1" x14ac:dyDescent="0.35">
      <c r="A10" s="69"/>
      <c r="B10" s="70"/>
      <c r="C10" s="72"/>
    </row>
    <row r="11" spans="1:3" s="38" customFormat="1" ht="26.25" thickBot="1" x14ac:dyDescent="0.25">
      <c r="A11" s="33" t="s">
        <v>363</v>
      </c>
      <c r="B11" s="39" t="s">
        <v>366</v>
      </c>
      <c r="C11" s="40" t="s">
        <v>1031</v>
      </c>
    </row>
    <row r="12" spans="1:3" s="38" customFormat="1" ht="14.45" thickBot="1" x14ac:dyDescent="0.35">
      <c r="A12" s="41"/>
      <c r="B12" s="41"/>
      <c r="C12" s="2"/>
    </row>
    <row r="13" spans="1:3" s="38" customFormat="1" ht="14.45" thickBot="1" x14ac:dyDescent="0.35">
      <c r="A13" s="922" t="s">
        <v>452</v>
      </c>
      <c r="B13" s="923"/>
      <c r="C13" s="113" t="s">
        <v>446</v>
      </c>
    </row>
    <row r="14" spans="1:3" s="38" customFormat="1" ht="13.9" x14ac:dyDescent="0.3">
      <c r="A14" s="42" t="s">
        <v>453</v>
      </c>
      <c r="B14" s="43" t="s">
        <v>454</v>
      </c>
      <c r="C14" s="44">
        <v>0.2</v>
      </c>
    </row>
    <row r="15" spans="1:3" s="38" customFormat="1" x14ac:dyDescent="0.2">
      <c r="A15" s="42" t="s">
        <v>455</v>
      </c>
      <c r="B15" s="45" t="s">
        <v>456</v>
      </c>
      <c r="C15" s="46">
        <v>1.4999999999999999E-2</v>
      </c>
    </row>
    <row r="16" spans="1:3" s="38" customFormat="1" ht="13.9" x14ac:dyDescent="0.3">
      <c r="A16" s="42" t="s">
        <v>457</v>
      </c>
      <c r="B16" s="45" t="s">
        <v>458</v>
      </c>
      <c r="C16" s="46">
        <v>0.01</v>
      </c>
    </row>
    <row r="17" spans="1:3" s="38" customFormat="1" ht="13.9" x14ac:dyDescent="0.3">
      <c r="A17" s="42" t="s">
        <v>459</v>
      </c>
      <c r="B17" s="47" t="s">
        <v>460</v>
      </c>
      <c r="C17" s="48">
        <v>2E-3</v>
      </c>
    </row>
    <row r="18" spans="1:3" s="38" customFormat="1" x14ac:dyDescent="0.2">
      <c r="A18" s="42" t="s">
        <v>461</v>
      </c>
      <c r="B18" s="45" t="s">
        <v>462</v>
      </c>
      <c r="C18" s="46">
        <v>6.0000000000000001E-3</v>
      </c>
    </row>
    <row r="19" spans="1:3" s="38" customFormat="1" x14ac:dyDescent="0.2">
      <c r="A19" s="42" t="s">
        <v>463</v>
      </c>
      <c r="B19" s="45" t="s">
        <v>464</v>
      </c>
      <c r="C19" s="46">
        <v>2.5000000000000001E-2</v>
      </c>
    </row>
    <row r="20" spans="1:3" s="38" customFormat="1" ht="26.45" x14ac:dyDescent="0.3">
      <c r="A20" s="42" t="s">
        <v>465</v>
      </c>
      <c r="B20" s="45" t="s">
        <v>466</v>
      </c>
      <c r="C20" s="46">
        <v>0.03</v>
      </c>
    </row>
    <row r="21" spans="1:3" s="38" customFormat="1" x14ac:dyDescent="0.2">
      <c r="A21" s="42" t="s">
        <v>467</v>
      </c>
      <c r="B21" s="45" t="s">
        <v>468</v>
      </c>
      <c r="C21" s="46">
        <v>0.08</v>
      </c>
    </row>
    <row r="22" spans="1:3" s="38" customFormat="1" ht="14.45" thickBot="1" x14ac:dyDescent="0.35">
      <c r="A22" s="42" t="s">
        <v>467</v>
      </c>
      <c r="B22" s="45" t="s">
        <v>469</v>
      </c>
      <c r="C22" s="49" t="s">
        <v>355</v>
      </c>
    </row>
    <row r="23" spans="1:3" s="38" customFormat="1" ht="14.45" thickBot="1" x14ac:dyDescent="0.35">
      <c r="A23" s="924" t="str">
        <f>"TOTAL - "&amp;A13&amp;" - (%):"</f>
        <v>TOTAL - GRUPO "A" - (%):</v>
      </c>
      <c r="B23" s="925"/>
      <c r="C23" s="50">
        <f>SUM(C14:C21)</f>
        <v>0.36800000000000005</v>
      </c>
    </row>
    <row r="24" spans="1:3" s="38" customFormat="1" ht="14.45" thickBot="1" x14ac:dyDescent="0.35">
      <c r="A24" s="927"/>
      <c r="B24" s="927"/>
      <c r="C24" s="51"/>
    </row>
    <row r="25" spans="1:3" s="38" customFormat="1" ht="14.45" thickBot="1" x14ac:dyDescent="0.35">
      <c r="A25" s="922" t="s">
        <v>470</v>
      </c>
      <c r="B25" s="928"/>
      <c r="C25" s="115" t="s">
        <v>446</v>
      </c>
    </row>
    <row r="26" spans="1:3" s="38" customFormat="1" ht="13.9" x14ac:dyDescent="0.3">
      <c r="A26" s="114" t="s">
        <v>471</v>
      </c>
      <c r="B26" s="52" t="s">
        <v>472</v>
      </c>
      <c r="C26" s="49" t="s">
        <v>355</v>
      </c>
    </row>
    <row r="27" spans="1:3" s="38" customFormat="1" ht="13.9" x14ac:dyDescent="0.3">
      <c r="A27" s="53" t="s">
        <v>473</v>
      </c>
      <c r="B27" s="17" t="s">
        <v>474</v>
      </c>
      <c r="C27" s="46" t="s">
        <v>355</v>
      </c>
    </row>
    <row r="28" spans="1:3" s="38" customFormat="1" x14ac:dyDescent="0.2">
      <c r="A28" s="53" t="s">
        <v>475</v>
      </c>
      <c r="B28" s="17" t="s">
        <v>476</v>
      </c>
      <c r="C28" s="67">
        <v>7.1000000000000004E-3</v>
      </c>
    </row>
    <row r="29" spans="1:3" s="38" customFormat="1" x14ac:dyDescent="0.2">
      <c r="A29" s="53" t="s">
        <v>477</v>
      </c>
      <c r="B29" s="17" t="s">
        <v>478</v>
      </c>
      <c r="C29" s="46">
        <v>8.3299999999999999E-2</v>
      </c>
    </row>
    <row r="30" spans="1:3" s="38" customFormat="1" x14ac:dyDescent="0.2">
      <c r="A30" s="53" t="s">
        <v>479</v>
      </c>
      <c r="B30" s="17" t="s">
        <v>480</v>
      </c>
      <c r="C30" s="67">
        <v>5.9999999999999995E-4</v>
      </c>
    </row>
    <row r="31" spans="1:3" s="38" customFormat="1" ht="13.9" x14ac:dyDescent="0.3">
      <c r="A31" s="53" t="s">
        <v>481</v>
      </c>
      <c r="B31" s="17" t="s">
        <v>482</v>
      </c>
      <c r="C31" s="46">
        <v>5.5999999999999999E-3</v>
      </c>
    </row>
    <row r="32" spans="1:3" s="38" customFormat="1" ht="13.9" x14ac:dyDescent="0.3">
      <c r="A32" s="53" t="s">
        <v>483</v>
      </c>
      <c r="B32" s="17" t="s">
        <v>484</v>
      </c>
      <c r="C32" s="46" t="s">
        <v>355</v>
      </c>
    </row>
    <row r="33" spans="1:3" s="38" customFormat="1" x14ac:dyDescent="0.2">
      <c r="A33" s="53" t="s">
        <v>485</v>
      </c>
      <c r="B33" s="17" t="s">
        <v>486</v>
      </c>
      <c r="C33" s="67">
        <v>8.9999999999999998E-4</v>
      </c>
    </row>
    <row r="34" spans="1:3" s="38" customFormat="1" x14ac:dyDescent="0.2">
      <c r="A34" s="53" t="s">
        <v>487</v>
      </c>
      <c r="B34" s="17" t="s">
        <v>488</v>
      </c>
      <c r="C34" s="67">
        <v>5.8999999999999997E-2</v>
      </c>
    </row>
    <row r="35" spans="1:3" s="38" customFormat="1" ht="13.5" thickBot="1" x14ac:dyDescent="0.25">
      <c r="A35" s="54" t="s">
        <v>489</v>
      </c>
      <c r="B35" s="52" t="s">
        <v>490</v>
      </c>
      <c r="C35" s="49">
        <v>2.0000000000000001E-4</v>
      </c>
    </row>
    <row r="36" spans="1:3" s="38" customFormat="1" ht="14.45" thickBot="1" x14ac:dyDescent="0.35">
      <c r="A36" s="924" t="str">
        <f>"TOTAL - "&amp;A25&amp;" - (%):"</f>
        <v>TOTAL - GRUPO "B" - (%):</v>
      </c>
      <c r="B36" s="925"/>
      <c r="C36" s="50">
        <f>SUM(C26:C35)</f>
        <v>0.15669999999999998</v>
      </c>
    </row>
    <row r="37" spans="1:3" s="38" customFormat="1" ht="14.45" thickBot="1" x14ac:dyDescent="0.35">
      <c r="A37" s="926"/>
      <c r="B37" s="926"/>
      <c r="C37" s="55"/>
    </row>
    <row r="38" spans="1:3" s="38" customFormat="1" ht="14.45" thickBot="1" x14ac:dyDescent="0.35">
      <c r="A38" s="922" t="s">
        <v>491</v>
      </c>
      <c r="B38" s="923"/>
      <c r="C38" s="115" t="s">
        <v>446</v>
      </c>
    </row>
    <row r="39" spans="1:3" s="38" customFormat="1" x14ac:dyDescent="0.2">
      <c r="A39" s="114" t="s">
        <v>492</v>
      </c>
      <c r="B39" s="52" t="s">
        <v>493</v>
      </c>
      <c r="C39" s="116">
        <v>3.7100000000000001E-2</v>
      </c>
    </row>
    <row r="40" spans="1:3" s="38" customFormat="1" x14ac:dyDescent="0.2">
      <c r="A40" s="53" t="s">
        <v>494</v>
      </c>
      <c r="B40" s="17" t="s">
        <v>495</v>
      </c>
      <c r="C40" s="67">
        <v>8.9999999999999998E-4</v>
      </c>
    </row>
    <row r="41" spans="1:3" s="38" customFormat="1" x14ac:dyDescent="0.2">
      <c r="A41" s="53" t="s">
        <v>496</v>
      </c>
      <c r="B41" s="17" t="s">
        <v>497</v>
      </c>
      <c r="C41" s="67">
        <v>4.58E-2</v>
      </c>
    </row>
    <row r="42" spans="1:3" s="38" customFormat="1" x14ac:dyDescent="0.2">
      <c r="A42" s="53" t="s">
        <v>498</v>
      </c>
      <c r="B42" s="17" t="s">
        <v>499</v>
      </c>
      <c r="C42" s="67">
        <v>3.8100000000000002E-2</v>
      </c>
    </row>
    <row r="43" spans="1:3" s="38" customFormat="1" ht="13.5" thickBot="1" x14ac:dyDescent="0.25">
      <c r="A43" s="53" t="s">
        <v>500</v>
      </c>
      <c r="B43" s="17" t="s">
        <v>501</v>
      </c>
      <c r="C43" s="67">
        <v>3.0999999999999999E-3</v>
      </c>
    </row>
    <row r="44" spans="1:3" s="38" customFormat="1" ht="14.45" thickBot="1" x14ac:dyDescent="0.35">
      <c r="A44" s="924" t="str">
        <f>"TOTAL - "&amp;A38&amp;" - (%):"</f>
        <v>TOTAL - GRUPO "C" - (%):</v>
      </c>
      <c r="B44" s="925"/>
      <c r="C44" s="50">
        <f>SUM(C39:C43)</f>
        <v>0.125</v>
      </c>
    </row>
    <row r="45" spans="1:3" s="38" customFormat="1" ht="14.45" thickBot="1" x14ac:dyDescent="0.35">
      <c r="A45" s="927"/>
      <c r="B45" s="927"/>
      <c r="C45" s="56"/>
    </row>
    <row r="46" spans="1:3" s="38" customFormat="1" ht="14.45" thickBot="1" x14ac:dyDescent="0.35">
      <c r="A46" s="922" t="s">
        <v>502</v>
      </c>
      <c r="B46" s="923"/>
      <c r="C46" s="115" t="s">
        <v>446</v>
      </c>
    </row>
    <row r="47" spans="1:3" s="38" customFormat="1" x14ac:dyDescent="0.2">
      <c r="A47" s="114" t="s">
        <v>503</v>
      </c>
      <c r="B47" s="52" t="s">
        <v>504</v>
      </c>
      <c r="C47" s="49">
        <f>C23*C36</f>
        <v>5.7665599999999997E-2</v>
      </c>
    </row>
    <row r="48" spans="1:3" s="38" customFormat="1" ht="13.5" thickBot="1" x14ac:dyDescent="0.25">
      <c r="A48" s="53" t="s">
        <v>505</v>
      </c>
      <c r="B48" s="17" t="s">
        <v>506</v>
      </c>
      <c r="C48" s="46">
        <f>(C23*C40)+(C21*C39)</f>
        <v>3.2992000000000004E-3</v>
      </c>
    </row>
    <row r="49" spans="1:3" s="38" customFormat="1" ht="14.45" thickBot="1" x14ac:dyDescent="0.35">
      <c r="A49" s="924" t="str">
        <f>"TOTAL - "&amp;A46&amp;" - (%):"</f>
        <v>TOTAL - GRUPO "D" - (%):</v>
      </c>
      <c r="B49" s="925"/>
      <c r="C49" s="50">
        <f>SUM(C47:C48)</f>
        <v>6.09648E-2</v>
      </c>
    </row>
    <row r="50" spans="1:3" s="38" customFormat="1" ht="13.5" thickBot="1" x14ac:dyDescent="0.25">
      <c r="A50" s="926"/>
      <c r="B50" s="926"/>
      <c r="C50" s="55"/>
    </row>
    <row r="51" spans="1:3" s="38" customFormat="1" ht="13.5" thickBot="1" x14ac:dyDescent="0.25">
      <c r="A51" s="922" t="s">
        <v>935</v>
      </c>
      <c r="B51" s="923"/>
      <c r="C51" s="115" t="s">
        <v>446</v>
      </c>
    </row>
    <row r="52" spans="1:3" s="38" customFormat="1" x14ac:dyDescent="0.2">
      <c r="A52" s="114" t="s">
        <v>936</v>
      </c>
      <c r="B52" s="52" t="s">
        <v>940</v>
      </c>
      <c r="C52" s="68">
        <v>0.04</v>
      </c>
    </row>
    <row r="53" spans="1:3" s="38" customFormat="1" x14ac:dyDescent="0.2">
      <c r="A53" s="53" t="s">
        <v>937</v>
      </c>
      <c r="B53" s="17" t="s">
        <v>941</v>
      </c>
      <c r="C53" s="67">
        <v>1.2999999999999999E-2</v>
      </c>
    </row>
    <row r="54" spans="1:3" s="38" customFormat="1" x14ac:dyDescent="0.2">
      <c r="A54" s="53" t="s">
        <v>938</v>
      </c>
      <c r="B54" s="17" t="s">
        <v>942</v>
      </c>
      <c r="C54" s="67">
        <v>5.0000000000000001E-3</v>
      </c>
    </row>
    <row r="55" spans="1:3" s="38" customFormat="1" ht="13.5" thickBot="1" x14ac:dyDescent="0.25">
      <c r="A55" s="53" t="s">
        <v>939</v>
      </c>
      <c r="B55" s="17" t="s">
        <v>943</v>
      </c>
      <c r="C55" s="67">
        <v>3.0000000000000001E-3</v>
      </c>
    </row>
    <row r="56" spans="1:3" s="38" customFormat="1" ht="13.5" thickBot="1" x14ac:dyDescent="0.25">
      <c r="A56" s="924" t="str">
        <f>"TOTAL - "&amp;A51&amp;" - (%):"</f>
        <v>TOTAL - GRUPO "E" - (%):</v>
      </c>
      <c r="B56" s="925"/>
      <c r="C56" s="50">
        <f>SUM(C52:C55)</f>
        <v>6.0999999999999999E-2</v>
      </c>
    </row>
    <row r="57" spans="1:3" s="38" customFormat="1" x14ac:dyDescent="0.2">
      <c r="A57" s="57"/>
      <c r="B57" s="57"/>
      <c r="C57" s="57"/>
    </row>
    <row r="58" spans="1:3" s="38" customFormat="1" ht="13.5" thickBot="1" x14ac:dyDescent="0.25">
      <c r="A58" s="57"/>
      <c r="B58" s="57"/>
      <c r="C58" s="57"/>
    </row>
    <row r="59" spans="1:3" s="38" customFormat="1" ht="13.5" thickBot="1" x14ac:dyDescent="0.25">
      <c r="A59" s="733" t="str">
        <f>"RESUMO - "&amp;A$8</f>
        <v>RESUMO -  ENCARGOS SOCIAIS E TRABALHISTAS E BENEFÍCIOS</v>
      </c>
      <c r="B59" s="734"/>
      <c r="C59" s="735"/>
    </row>
    <row r="60" spans="1:3" s="38" customFormat="1" ht="13.5" thickBot="1" x14ac:dyDescent="0.25">
      <c r="A60" s="306" t="s">
        <v>363</v>
      </c>
      <c r="B60" s="25" t="s">
        <v>366</v>
      </c>
      <c r="C60" s="309" t="s">
        <v>446</v>
      </c>
    </row>
    <row r="61" spans="1:3" s="38" customFormat="1" x14ac:dyDescent="0.2">
      <c r="A61" s="382">
        <v>1</v>
      </c>
      <c r="B61" s="383" t="str">
        <f>A13</f>
        <v>GRUPO "A"</v>
      </c>
      <c r="C61" s="384">
        <f>C23</f>
        <v>0.36800000000000005</v>
      </c>
    </row>
    <row r="62" spans="1:3" s="38" customFormat="1" x14ac:dyDescent="0.2">
      <c r="A62" s="385">
        <v>2</v>
      </c>
      <c r="B62" s="386" t="str">
        <f>A25</f>
        <v>GRUPO "B"</v>
      </c>
      <c r="C62" s="387">
        <f>C36</f>
        <v>0.15669999999999998</v>
      </c>
    </row>
    <row r="63" spans="1:3" s="38" customFormat="1" x14ac:dyDescent="0.2">
      <c r="A63" s="385">
        <v>3</v>
      </c>
      <c r="B63" s="386" t="str">
        <f>A38</f>
        <v>GRUPO "C"</v>
      </c>
      <c r="C63" s="387">
        <f>C44</f>
        <v>0.125</v>
      </c>
    </row>
    <row r="64" spans="1:3" s="38" customFormat="1" x14ac:dyDescent="0.2">
      <c r="A64" s="385">
        <v>4</v>
      </c>
      <c r="B64" s="386" t="str">
        <f>A46</f>
        <v>GRUPO "D"</v>
      </c>
      <c r="C64" s="387">
        <f>C49</f>
        <v>6.09648E-2</v>
      </c>
    </row>
    <row r="65" spans="1:3" s="38" customFormat="1" ht="13.5" thickBot="1" x14ac:dyDescent="0.25">
      <c r="A65" s="388">
        <v>5</v>
      </c>
      <c r="B65" s="389" t="str">
        <f>A51</f>
        <v>GRUPO "E"</v>
      </c>
      <c r="C65" s="390">
        <f>C56</f>
        <v>6.0999999999999999E-2</v>
      </c>
    </row>
    <row r="66" spans="1:3" s="38" customFormat="1" ht="13.5" thickBot="1" x14ac:dyDescent="0.25">
      <c r="A66" s="924" t="str">
        <f>"TOTAL - "&amp;A59&amp;" - (%):"</f>
        <v>TOTAL - RESUMO -  ENCARGOS SOCIAIS E TRABALHISTAS E BENEFÍCIOS - (%):</v>
      </c>
      <c r="B66" s="942"/>
      <c r="C66" s="50">
        <f>SUM(C61:C65)</f>
        <v>0.77166480000000015</v>
      </c>
    </row>
    <row r="67" spans="1:3" x14ac:dyDescent="0.2">
      <c r="A67" s="196"/>
      <c r="B67" s="196"/>
      <c r="C67" s="196"/>
    </row>
    <row r="68" spans="1:3" ht="13.5" thickBot="1" x14ac:dyDescent="0.25">
      <c r="A68" s="196"/>
      <c r="B68" s="196"/>
      <c r="C68" s="196"/>
    </row>
    <row r="69" spans="1:3" x14ac:dyDescent="0.2">
      <c r="A69" s="935" t="s">
        <v>422</v>
      </c>
      <c r="B69" s="936"/>
      <c r="C69" s="597" t="s">
        <v>423</v>
      </c>
    </row>
    <row r="70" spans="1:3" ht="13.5" thickBot="1" x14ac:dyDescent="0.25">
      <c r="A70" s="937"/>
      <c r="B70" s="938"/>
      <c r="C70" s="598"/>
    </row>
    <row r="71" spans="1:3" x14ac:dyDescent="0.2">
      <c r="A71" s="939" t="s">
        <v>424</v>
      </c>
      <c r="B71" s="940"/>
      <c r="C71" s="599" t="s">
        <v>425</v>
      </c>
    </row>
    <row r="72" spans="1:3" ht="13.5" thickBot="1" x14ac:dyDescent="0.25">
      <c r="A72" s="939"/>
      <c r="B72" s="941"/>
      <c r="C72" s="599"/>
    </row>
    <row r="73" spans="1:3" x14ac:dyDescent="0.2">
      <c r="A73" s="704" t="s">
        <v>426</v>
      </c>
      <c r="B73" s="736"/>
      <c r="C73" s="706"/>
    </row>
    <row r="74" spans="1:3" x14ac:dyDescent="0.2">
      <c r="A74" s="919" t="s">
        <v>2172</v>
      </c>
      <c r="B74" s="920"/>
      <c r="C74" s="921"/>
    </row>
    <row r="75" spans="1:3" x14ac:dyDescent="0.2">
      <c r="A75" s="932" t="s">
        <v>1431</v>
      </c>
      <c r="B75" s="933"/>
      <c r="C75" s="934"/>
    </row>
    <row r="76" spans="1:3" x14ac:dyDescent="0.2">
      <c r="A76" s="932"/>
      <c r="B76" s="933"/>
      <c r="C76" s="934"/>
    </row>
    <row r="77" spans="1:3" s="345" customFormat="1" ht="13.5" thickBot="1" x14ac:dyDescent="0.25">
      <c r="A77" s="929"/>
      <c r="B77" s="930"/>
      <c r="C77" s="931"/>
    </row>
  </sheetData>
  <autoFilter ref="A11:C66"/>
  <mergeCells count="29">
    <mergeCell ref="A77:C77"/>
    <mergeCell ref="A75:C76"/>
    <mergeCell ref="A5:C6"/>
    <mergeCell ref="A8:C8"/>
    <mergeCell ref="A69:B69"/>
    <mergeCell ref="A70:B70"/>
    <mergeCell ref="A71:B71"/>
    <mergeCell ref="A72:B72"/>
    <mergeCell ref="A73:C73"/>
    <mergeCell ref="A66:B66"/>
    <mergeCell ref="A38:B38"/>
    <mergeCell ref="A44:B44"/>
    <mergeCell ref="A45:B45"/>
    <mergeCell ref="A46:B46"/>
    <mergeCell ref="A49:B49"/>
    <mergeCell ref="A50:B50"/>
    <mergeCell ref="A59:C59"/>
    <mergeCell ref="B1:C1"/>
    <mergeCell ref="B2:C2"/>
    <mergeCell ref="B3:C3"/>
    <mergeCell ref="A74:C74"/>
    <mergeCell ref="A51:B51"/>
    <mergeCell ref="A56:B56"/>
    <mergeCell ref="A37:B37"/>
    <mergeCell ref="A13:B13"/>
    <mergeCell ref="A23:B23"/>
    <mergeCell ref="A24:B24"/>
    <mergeCell ref="A25:B25"/>
    <mergeCell ref="A36:B36"/>
  </mergeCells>
  <printOptions horizontalCentered="1"/>
  <pageMargins left="0.78740157480314965" right="0.59055118110236227" top="0.59055118110236227" bottom="0.59055118110236227" header="0.19685039370078741" footer="0.19685039370078741"/>
  <pageSetup paperSize="9" scale="74" fitToHeight="100" orientation="portrait" horizontalDpi="4294967294" verticalDpi="4294967294" r:id="rId1"/>
  <headerFooter>
    <oddFooter>&amp;R&amp;"Arial,Normal"&amp;8&amp;F
Página &amp;P de &amp;N</oddFooter>
  </headerFooter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F30" sqref="F30:G30"/>
    </sheetView>
  </sheetViews>
  <sheetFormatPr defaultColWidth="5.5703125" defaultRowHeight="12.75" x14ac:dyDescent="0.2"/>
  <cols>
    <col min="1" max="1" width="8.7109375" style="1" customWidth="1"/>
    <col min="2" max="2" width="14.7109375" style="1" hidden="1" customWidth="1"/>
    <col min="3" max="3" width="60.7109375" style="1" customWidth="1"/>
    <col min="4" max="7" width="14.7109375" style="1" customWidth="1"/>
    <col min="8" max="16384" width="5.5703125" style="1"/>
  </cols>
  <sheetData>
    <row r="1" spans="1:7" s="89" customFormat="1" x14ac:dyDescent="0.25">
      <c r="A1" s="117"/>
      <c r="B1" s="117"/>
      <c r="C1" s="726" t="s">
        <v>1117</v>
      </c>
      <c r="D1" s="726"/>
      <c r="E1" s="726"/>
      <c r="F1" s="726"/>
      <c r="G1" s="726"/>
    </row>
    <row r="2" spans="1:7" s="89" customFormat="1" x14ac:dyDescent="0.25">
      <c r="A2" s="90"/>
      <c r="B2" s="90"/>
      <c r="C2" s="728" t="s">
        <v>1118</v>
      </c>
      <c r="D2" s="728"/>
      <c r="E2" s="728"/>
      <c r="F2" s="728"/>
      <c r="G2" s="728"/>
    </row>
    <row r="3" spans="1:7" s="89" customFormat="1" ht="13.5" thickBot="1" x14ac:dyDescent="0.3">
      <c r="A3" s="118"/>
      <c r="B3" s="118"/>
      <c r="C3" s="729" t="s">
        <v>1116</v>
      </c>
      <c r="D3" s="729"/>
      <c r="E3" s="729"/>
      <c r="F3" s="729"/>
      <c r="G3" s="729"/>
    </row>
    <row r="4" spans="1:7" s="78" customFormat="1" ht="13.9" thickBot="1" x14ac:dyDescent="0.35">
      <c r="A4" s="287"/>
      <c r="B4" s="486"/>
    </row>
    <row r="5" spans="1:7" s="78" customFormat="1" x14ac:dyDescent="0.25">
      <c r="A5" s="690" t="s">
        <v>1119</v>
      </c>
      <c r="B5" s="690"/>
      <c r="C5" s="690"/>
      <c r="D5" s="690"/>
      <c r="E5" s="690"/>
      <c r="F5" s="690"/>
      <c r="G5" s="690"/>
    </row>
    <row r="6" spans="1:7" s="78" customFormat="1" ht="13.5" thickBot="1" x14ac:dyDescent="0.3">
      <c r="A6" s="691"/>
      <c r="B6" s="691"/>
      <c r="C6" s="691"/>
      <c r="D6" s="691"/>
      <c r="E6" s="691"/>
      <c r="F6" s="691"/>
      <c r="G6" s="691"/>
    </row>
    <row r="7" spans="1:7" s="78" customFormat="1" ht="13.9" thickBot="1" x14ac:dyDescent="0.35">
      <c r="C7" s="70"/>
      <c r="D7" s="72"/>
      <c r="E7" s="72"/>
    </row>
    <row r="8" spans="1:7" s="21" customFormat="1" ht="13.5" thickBot="1" x14ac:dyDescent="0.3">
      <c r="A8" s="686" t="s">
        <v>440</v>
      </c>
      <c r="B8" s="687"/>
      <c r="C8" s="687"/>
      <c r="D8" s="687"/>
      <c r="E8" s="687"/>
      <c r="F8" s="687"/>
      <c r="G8" s="688"/>
    </row>
    <row r="9" spans="1:7" s="196" customFormat="1" ht="13.15" x14ac:dyDescent="0.3">
      <c r="E9" s="197"/>
      <c r="F9" s="197"/>
      <c r="G9" s="197"/>
    </row>
    <row r="10" spans="1:7" s="209" customFormat="1" ht="13.9" thickBot="1" x14ac:dyDescent="0.35">
      <c r="A10" s="193"/>
      <c r="B10" s="193"/>
      <c r="C10" s="193"/>
      <c r="D10" s="194"/>
      <c r="E10" s="194"/>
      <c r="F10" s="197"/>
    </row>
    <row r="11" spans="1:7" s="2" customFormat="1" x14ac:dyDescent="0.25">
      <c r="A11" s="962" t="s">
        <v>363</v>
      </c>
      <c r="B11" s="962" t="s">
        <v>1466</v>
      </c>
      <c r="C11" s="962" t="s">
        <v>366</v>
      </c>
      <c r="D11" s="962" t="s">
        <v>410</v>
      </c>
      <c r="E11" s="968" t="s">
        <v>364</v>
      </c>
      <c r="F11" s="970" t="s">
        <v>413</v>
      </c>
      <c r="G11" s="971"/>
    </row>
    <row r="12" spans="1:7" s="2" customFormat="1" ht="13.5" thickBot="1" x14ac:dyDescent="0.3">
      <c r="A12" s="963"/>
      <c r="B12" s="963"/>
      <c r="C12" s="967"/>
      <c r="D12" s="967"/>
      <c r="E12" s="969"/>
      <c r="F12" s="14" t="s">
        <v>412</v>
      </c>
      <c r="G12" s="23" t="s">
        <v>411</v>
      </c>
    </row>
    <row r="13" spans="1:7" s="196" customFormat="1" ht="13.9" thickBot="1" x14ac:dyDescent="0.35">
      <c r="A13" s="365"/>
      <c r="B13" s="365"/>
      <c r="C13" s="964" t="str">
        <f>A8</f>
        <v>VIAGENS / DIÁRIAS</v>
      </c>
      <c r="D13" s="964"/>
      <c r="E13" s="964"/>
      <c r="F13" s="964"/>
      <c r="G13" s="964"/>
    </row>
    <row r="14" spans="1:7" s="2" customFormat="1" ht="13.9" thickBot="1" x14ac:dyDescent="0.35">
      <c r="C14" s="15"/>
      <c r="E14" s="10"/>
      <c r="F14" s="10"/>
      <c r="G14" s="10"/>
    </row>
    <row r="15" spans="1:7" s="2" customFormat="1" ht="13.9" thickBot="1" x14ac:dyDescent="0.35">
      <c r="A15" s="365" t="s">
        <v>360</v>
      </c>
      <c r="B15" s="365"/>
      <c r="C15" s="964" t="s">
        <v>1414</v>
      </c>
      <c r="D15" s="964"/>
      <c r="E15" s="964"/>
      <c r="F15" s="964"/>
      <c r="G15" s="964"/>
    </row>
    <row r="16" spans="1:7" s="21" customFormat="1" ht="13.15" x14ac:dyDescent="0.3">
      <c r="A16" s="63" t="s">
        <v>124</v>
      </c>
      <c r="B16" s="63"/>
      <c r="C16" s="184" t="s">
        <v>1410</v>
      </c>
      <c r="D16" s="314" t="s">
        <v>1125</v>
      </c>
      <c r="E16" s="32">
        <f>6*2</f>
        <v>12</v>
      </c>
      <c r="F16" s="32">
        <f>CPU_Viagens!F82</f>
        <v>557.03</v>
      </c>
      <c r="G16" s="61">
        <f>ROUND(E16*F16,2)</f>
        <v>6684.36</v>
      </c>
    </row>
    <row r="17" spans="1:7" s="21" customFormat="1" ht="13.9" thickBot="1" x14ac:dyDescent="0.35">
      <c r="A17" s="178" t="s">
        <v>125</v>
      </c>
      <c r="B17" s="518"/>
      <c r="C17" s="185" t="s">
        <v>1411</v>
      </c>
      <c r="D17" s="315" t="s">
        <v>1125</v>
      </c>
      <c r="E17" s="158">
        <f>12*2</f>
        <v>24</v>
      </c>
      <c r="F17" s="158">
        <f>CPU_Viagens!F83</f>
        <v>242.85</v>
      </c>
      <c r="G17" s="159">
        <f>ROUND(E17*F17,2)</f>
        <v>5828.4</v>
      </c>
    </row>
    <row r="18" spans="1:7" s="21" customFormat="1" ht="13.9" thickBot="1" x14ac:dyDescent="0.35">
      <c r="A18" s="864" t="str">
        <f>"TOTAL - "&amp;C15&amp;" - (R$):"</f>
        <v>TOTAL - DESPESAS COM VIAGENS COMERCIAIS - (R$):</v>
      </c>
      <c r="B18" s="865"/>
      <c r="C18" s="865"/>
      <c r="D18" s="865"/>
      <c r="E18" s="865"/>
      <c r="F18" s="866"/>
      <c r="G18" s="212">
        <f>SUBTOTAL(9,G15:G17)</f>
        <v>12512.759999999998</v>
      </c>
    </row>
    <row r="19" spans="1:7" s="2" customFormat="1" ht="13.9" thickBot="1" x14ac:dyDescent="0.35">
      <c r="C19" s="15"/>
      <c r="E19" s="10"/>
      <c r="F19" s="10"/>
      <c r="G19" s="10"/>
    </row>
    <row r="20" spans="1:7" s="2" customFormat="1" ht="13.5" thickBot="1" x14ac:dyDescent="0.3">
      <c r="A20" s="365" t="s">
        <v>361</v>
      </c>
      <c r="B20" s="493"/>
      <c r="C20" s="972" t="s">
        <v>1412</v>
      </c>
      <c r="D20" s="973"/>
      <c r="E20" s="973"/>
      <c r="F20" s="973"/>
      <c r="G20" s="974"/>
    </row>
    <row r="21" spans="1:7" s="21" customFormat="1" ht="13.5" thickBot="1" x14ac:dyDescent="0.3">
      <c r="A21" s="63" t="s">
        <v>173</v>
      </c>
      <c r="B21" s="63"/>
      <c r="C21" s="184" t="s">
        <v>1413</v>
      </c>
      <c r="D21" s="314" t="s">
        <v>1125</v>
      </c>
      <c r="E21" s="32">
        <f>SUM(E16:E17)/2*3</f>
        <v>54</v>
      </c>
      <c r="F21" s="32">
        <v>239</v>
      </c>
      <c r="G21" s="61">
        <f>ROUND(E21*F21,2)</f>
        <v>12906</v>
      </c>
    </row>
    <row r="22" spans="1:7" s="21" customFormat="1" ht="13.9" thickBot="1" x14ac:dyDescent="0.35">
      <c r="A22" s="864" t="str">
        <f>"TOTAL - "&amp;C20&amp;" - (R$):"</f>
        <v>TOTAL - DESPESAS COM DIÁRIAS - (R$):</v>
      </c>
      <c r="B22" s="865"/>
      <c r="C22" s="865"/>
      <c r="D22" s="865"/>
      <c r="E22" s="865"/>
      <c r="F22" s="866"/>
      <c r="G22" s="212">
        <f>SUBTOTAL(9,G20:G21)</f>
        <v>12906</v>
      </c>
    </row>
    <row r="23" spans="1:7" s="209" customFormat="1" ht="13.9" thickBot="1" x14ac:dyDescent="0.35">
      <c r="A23" s="214"/>
      <c r="B23" s="240"/>
      <c r="C23" s="214"/>
      <c r="D23" s="240"/>
      <c r="E23" s="215"/>
      <c r="F23" s="216"/>
      <c r="G23" s="216"/>
    </row>
    <row r="24" spans="1:7" s="4" customFormat="1" ht="13.5" thickBot="1" x14ac:dyDescent="0.3">
      <c r="A24" s="837" t="str">
        <f>"TOTAL - "&amp;C13&amp;" - (R$):"</f>
        <v>TOTAL - VIAGENS / DIÁRIAS - (R$):</v>
      </c>
      <c r="B24" s="838"/>
      <c r="C24" s="838"/>
      <c r="D24" s="838"/>
      <c r="E24" s="838"/>
      <c r="F24" s="839"/>
      <c r="G24" s="16">
        <f>SUBTOTAL(9,G13:G23)</f>
        <v>25418.76</v>
      </c>
    </row>
    <row r="25" spans="1:7" s="2" customFormat="1" ht="13.15" x14ac:dyDescent="0.3">
      <c r="C25" s="15"/>
      <c r="E25" s="10"/>
      <c r="F25" s="10"/>
      <c r="G25" s="10"/>
    </row>
    <row r="26" spans="1:7" s="2" customFormat="1" ht="13.9" thickBot="1" x14ac:dyDescent="0.35">
      <c r="C26" s="15"/>
      <c r="E26" s="10"/>
      <c r="F26" s="10"/>
      <c r="G26" s="10"/>
    </row>
    <row r="27" spans="1:7" s="2" customFormat="1" ht="13.9" thickBot="1" x14ac:dyDescent="0.35">
      <c r="A27" s="943" t="str">
        <f>"RESUMO - "&amp;A$8</f>
        <v>RESUMO - VIAGENS / DIÁRIAS</v>
      </c>
      <c r="B27" s="944"/>
      <c r="C27" s="944"/>
      <c r="D27" s="944"/>
      <c r="E27" s="944"/>
      <c r="F27" s="944"/>
      <c r="G27" s="945"/>
    </row>
    <row r="28" spans="1:7" s="2" customFormat="1" ht="13.5" thickBot="1" x14ac:dyDescent="0.3">
      <c r="A28" s="294" t="s">
        <v>363</v>
      </c>
      <c r="B28" s="485"/>
      <c r="C28" s="946" t="s">
        <v>366</v>
      </c>
      <c r="D28" s="947"/>
      <c r="E28" s="948"/>
      <c r="F28" s="949" t="s">
        <v>414</v>
      </c>
      <c r="G28" s="950"/>
    </row>
    <row r="29" spans="1:7" s="2" customFormat="1" ht="13.15" x14ac:dyDescent="0.3">
      <c r="A29" s="286">
        <v>1</v>
      </c>
      <c r="B29" s="286"/>
      <c r="C29" s="951" t="str">
        <f>C15</f>
        <v>DESPESAS COM VIAGENS COMERCIAIS</v>
      </c>
      <c r="D29" s="952"/>
      <c r="E29" s="953"/>
      <c r="F29" s="954">
        <f>G18</f>
        <v>12512.759999999998</v>
      </c>
      <c r="G29" s="955"/>
    </row>
    <row r="30" spans="1:7" s="2" customFormat="1" ht="13.9" thickBot="1" x14ac:dyDescent="0.35">
      <c r="A30" s="286">
        <v>2</v>
      </c>
      <c r="B30" s="286"/>
      <c r="C30" s="951" t="str">
        <f>C20</f>
        <v>DESPESAS COM DIÁRIAS</v>
      </c>
      <c r="D30" s="952"/>
      <c r="E30" s="953"/>
      <c r="F30" s="954">
        <f>G22</f>
        <v>12906</v>
      </c>
      <c r="G30" s="955"/>
    </row>
    <row r="31" spans="1:7" s="2" customFormat="1" ht="13.9" thickBot="1" x14ac:dyDescent="0.35">
      <c r="A31" s="740" t="str">
        <f>"TOTAL GERAL - "&amp;A$8&amp;" - (R$):"</f>
        <v>TOTAL GERAL - VIAGENS / DIÁRIAS - (R$):</v>
      </c>
      <c r="B31" s="741"/>
      <c r="C31" s="741"/>
      <c r="D31" s="741"/>
      <c r="E31" s="741"/>
      <c r="F31" s="965">
        <f>SUM(F29:G30)</f>
        <v>25418.76</v>
      </c>
      <c r="G31" s="966"/>
    </row>
    <row r="32" spans="1:7" s="78" customFormat="1" ht="13.15" x14ac:dyDescent="0.3">
      <c r="A32" s="72"/>
      <c r="B32" s="72"/>
    </row>
    <row r="33" spans="1:7" s="78" customFormat="1" ht="13.9" thickBot="1" x14ac:dyDescent="0.35">
      <c r="A33" s="72"/>
      <c r="B33" s="72"/>
    </row>
    <row r="34" spans="1:7" s="78" customFormat="1" x14ac:dyDescent="0.25">
      <c r="A34" s="704" t="s">
        <v>422</v>
      </c>
      <c r="B34" s="736"/>
      <c r="C34" s="705"/>
      <c r="D34" s="705"/>
      <c r="E34" s="706"/>
      <c r="F34" s="704" t="s">
        <v>423</v>
      </c>
      <c r="G34" s="706"/>
    </row>
    <row r="35" spans="1:7" s="78" customFormat="1" ht="13.9" thickBot="1" x14ac:dyDescent="0.35">
      <c r="A35" s="701"/>
      <c r="B35" s="702"/>
      <c r="C35" s="702"/>
      <c r="D35" s="702"/>
      <c r="E35" s="703"/>
      <c r="F35" s="701"/>
      <c r="G35" s="703"/>
    </row>
    <row r="36" spans="1:7" s="78" customFormat="1" ht="13.15" x14ac:dyDescent="0.3">
      <c r="A36" s="704" t="s">
        <v>424</v>
      </c>
      <c r="B36" s="736"/>
      <c r="C36" s="705"/>
      <c r="D36" s="705"/>
      <c r="E36" s="706"/>
      <c r="F36" s="704" t="s">
        <v>425</v>
      </c>
      <c r="G36" s="706"/>
    </row>
    <row r="37" spans="1:7" s="78" customFormat="1" ht="13.9" thickBot="1" x14ac:dyDescent="0.35">
      <c r="A37" s="701"/>
      <c r="B37" s="702"/>
      <c r="C37" s="702"/>
      <c r="D37" s="702"/>
      <c r="E37" s="703"/>
      <c r="F37" s="701"/>
      <c r="G37" s="703"/>
    </row>
    <row r="38" spans="1:7" s="78" customFormat="1" ht="15" customHeight="1" x14ac:dyDescent="0.25">
      <c r="A38" s="831" t="s">
        <v>426</v>
      </c>
      <c r="B38" s="832"/>
      <c r="C38" s="832"/>
      <c r="D38" s="832"/>
      <c r="E38" s="832"/>
      <c r="F38" s="832"/>
      <c r="G38" s="833"/>
    </row>
    <row r="39" spans="1:7" s="78" customFormat="1" ht="12.75" customHeight="1" x14ac:dyDescent="0.25">
      <c r="A39" s="876" t="s">
        <v>1484</v>
      </c>
      <c r="B39" s="877"/>
      <c r="C39" s="877"/>
      <c r="D39" s="877"/>
      <c r="E39" s="877"/>
      <c r="F39" s="877"/>
      <c r="G39" s="878"/>
    </row>
    <row r="40" spans="1:7" s="78" customFormat="1" ht="12.75" customHeight="1" x14ac:dyDescent="0.25">
      <c r="A40" s="876" t="s">
        <v>2173</v>
      </c>
      <c r="B40" s="877"/>
      <c r="C40" s="877"/>
      <c r="D40" s="877"/>
      <c r="E40" s="877"/>
      <c r="F40" s="877"/>
      <c r="G40" s="878"/>
    </row>
    <row r="41" spans="1:7" s="78" customFormat="1" ht="12.75" customHeight="1" x14ac:dyDescent="0.25">
      <c r="A41" s="876" t="s">
        <v>2174</v>
      </c>
      <c r="B41" s="877"/>
      <c r="C41" s="877"/>
      <c r="D41" s="877"/>
      <c r="E41" s="877"/>
      <c r="F41" s="877"/>
      <c r="G41" s="878"/>
    </row>
    <row r="42" spans="1:7" s="78" customFormat="1" x14ac:dyDescent="0.25">
      <c r="A42" s="876"/>
      <c r="B42" s="877"/>
      <c r="C42" s="877"/>
      <c r="D42" s="877"/>
      <c r="E42" s="877"/>
      <c r="F42" s="877"/>
      <c r="G42" s="878"/>
    </row>
    <row r="43" spans="1:7" s="78" customFormat="1" ht="12.75" customHeight="1" x14ac:dyDescent="0.3">
      <c r="A43" s="959" t="s">
        <v>443</v>
      </c>
      <c r="B43" s="960"/>
      <c r="C43" s="960"/>
      <c r="D43" s="960"/>
      <c r="E43" s="960"/>
      <c r="F43" s="960"/>
      <c r="G43" s="961"/>
    </row>
    <row r="44" spans="1:7" s="78" customFormat="1" ht="12.75" customHeight="1" x14ac:dyDescent="0.25">
      <c r="A44" s="876" t="s">
        <v>444</v>
      </c>
      <c r="B44" s="877"/>
      <c r="C44" s="877"/>
      <c r="D44" s="877"/>
      <c r="E44" s="877"/>
      <c r="F44" s="877"/>
      <c r="G44" s="878"/>
    </row>
    <row r="45" spans="1:7" s="78" customFormat="1" ht="15.75" customHeight="1" thickBot="1" x14ac:dyDescent="0.35">
      <c r="A45" s="956"/>
      <c r="B45" s="957"/>
      <c r="C45" s="957"/>
      <c r="D45" s="957"/>
      <c r="E45" s="957"/>
      <c r="F45" s="957"/>
      <c r="G45" s="958"/>
    </row>
  </sheetData>
  <autoFilter ref="A12:G21"/>
  <mergeCells count="41">
    <mergeCell ref="B11:B12"/>
    <mergeCell ref="C13:G13"/>
    <mergeCell ref="A24:F24"/>
    <mergeCell ref="A31:E31"/>
    <mergeCell ref="F31:G31"/>
    <mergeCell ref="A11:A12"/>
    <mergeCell ref="C11:C12"/>
    <mergeCell ref="D11:D12"/>
    <mergeCell ref="E11:E12"/>
    <mergeCell ref="F11:G11"/>
    <mergeCell ref="C15:G15"/>
    <mergeCell ref="A18:F18"/>
    <mergeCell ref="C20:G20"/>
    <mergeCell ref="A22:F22"/>
    <mergeCell ref="A39:G39"/>
    <mergeCell ref="A44:G44"/>
    <mergeCell ref="A45:G45"/>
    <mergeCell ref="A40:G40"/>
    <mergeCell ref="A36:E36"/>
    <mergeCell ref="F36:G36"/>
    <mergeCell ref="A37:E37"/>
    <mergeCell ref="F37:G37"/>
    <mergeCell ref="A38:G38"/>
    <mergeCell ref="A41:G42"/>
    <mergeCell ref="A43:G43"/>
    <mergeCell ref="A34:E34"/>
    <mergeCell ref="F34:G34"/>
    <mergeCell ref="A35:E35"/>
    <mergeCell ref="F35:G35"/>
    <mergeCell ref="A27:G27"/>
    <mergeCell ref="C28:E28"/>
    <mergeCell ref="F28:G28"/>
    <mergeCell ref="C30:E30"/>
    <mergeCell ref="F30:G30"/>
    <mergeCell ref="C29:E29"/>
    <mergeCell ref="F29:G29"/>
    <mergeCell ref="C1:G1"/>
    <mergeCell ref="C2:G2"/>
    <mergeCell ref="C3:G3"/>
    <mergeCell ref="A5:G6"/>
    <mergeCell ref="A8:G8"/>
  </mergeCells>
  <printOptions horizontalCentered="1"/>
  <pageMargins left="0.78740157480314965" right="0.59055118110236227" top="0.59055118110236227" bottom="0.59055118110236227" header="0.19685039370078741" footer="0.19685039370078741"/>
  <pageSetup paperSize="9" scale="68" fitToHeight="100" orientation="portrait" horizontalDpi="4294967294" verticalDpi="4294967294" r:id="rId1"/>
  <headerFooter>
    <oddFooter>&amp;R&amp;"Arial,Normal"&amp;8&amp;F
Página &amp;P de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G50" sqref="G50"/>
    </sheetView>
  </sheetViews>
  <sheetFormatPr defaultColWidth="9.140625" defaultRowHeight="12.75" x14ac:dyDescent="0.25"/>
  <cols>
    <col min="1" max="1" width="8.7109375" style="2" customWidth="1"/>
    <col min="2" max="4" width="24.7109375" style="2" customWidth="1"/>
    <col min="5" max="7" width="14.7109375" style="2" customWidth="1"/>
    <col min="8" max="16384" width="9.140625" style="2"/>
  </cols>
  <sheetData>
    <row r="1" spans="1:7" s="89" customFormat="1" x14ac:dyDescent="0.25">
      <c r="A1" s="117"/>
      <c r="B1" s="726" t="s">
        <v>1117</v>
      </c>
      <c r="C1" s="726"/>
      <c r="D1" s="727"/>
      <c r="E1" s="726"/>
      <c r="F1" s="726"/>
      <c r="G1" s="726"/>
    </row>
    <row r="2" spans="1:7" s="89" customFormat="1" x14ac:dyDescent="0.25">
      <c r="A2" s="90"/>
      <c r="B2" s="728" t="s">
        <v>1118</v>
      </c>
      <c r="C2" s="728"/>
      <c r="D2" s="728"/>
      <c r="E2" s="728"/>
      <c r="F2" s="728"/>
      <c r="G2" s="728"/>
    </row>
    <row r="3" spans="1:7" s="89" customFormat="1" ht="13.5" thickBot="1" x14ac:dyDescent="0.3">
      <c r="A3" s="118"/>
      <c r="B3" s="729" t="s">
        <v>1116</v>
      </c>
      <c r="C3" s="729"/>
      <c r="D3" s="729"/>
      <c r="E3" s="729"/>
      <c r="F3" s="729"/>
      <c r="G3" s="729"/>
    </row>
    <row r="4" spans="1:7" s="78" customFormat="1" ht="13.9" thickBot="1" x14ac:dyDescent="0.35">
      <c r="A4" s="287"/>
    </row>
    <row r="5" spans="1:7" s="78" customFormat="1" x14ac:dyDescent="0.25">
      <c r="A5" s="690" t="s">
        <v>1119</v>
      </c>
      <c r="B5" s="690"/>
      <c r="C5" s="690"/>
      <c r="D5" s="689"/>
      <c r="E5" s="690"/>
      <c r="F5" s="690"/>
      <c r="G5" s="690"/>
    </row>
    <row r="6" spans="1:7" s="78" customFormat="1" ht="13.5" thickBot="1" x14ac:dyDescent="0.3">
      <c r="A6" s="691"/>
      <c r="B6" s="691"/>
      <c r="C6" s="691"/>
      <c r="D6" s="691"/>
      <c r="E6" s="691"/>
      <c r="F6" s="691"/>
      <c r="G6" s="691"/>
    </row>
    <row r="7" spans="1:7" s="78" customFormat="1" ht="13.9" thickBot="1" x14ac:dyDescent="0.35">
      <c r="B7" s="70"/>
      <c r="C7" s="72"/>
      <c r="D7" s="72"/>
      <c r="E7" s="72"/>
    </row>
    <row r="8" spans="1:7" s="21" customFormat="1" ht="13.5" thickBot="1" x14ac:dyDescent="0.3">
      <c r="A8" s="686" t="s">
        <v>1483</v>
      </c>
      <c r="B8" s="687"/>
      <c r="C8" s="687"/>
      <c r="D8" s="687"/>
      <c r="E8" s="687"/>
      <c r="F8" s="687"/>
      <c r="G8" s="688"/>
    </row>
    <row r="9" spans="1:7" s="196" customFormat="1" ht="13.15" x14ac:dyDescent="0.3">
      <c r="E9" s="197"/>
      <c r="F9" s="197"/>
      <c r="G9" s="197"/>
    </row>
    <row r="10" spans="1:7" s="209" customFormat="1" ht="13.9" thickBot="1" x14ac:dyDescent="0.35">
      <c r="A10" s="193"/>
      <c r="B10" s="193"/>
      <c r="C10" s="194"/>
      <c r="D10" s="194"/>
      <c r="E10" s="194"/>
      <c r="F10" s="197"/>
    </row>
    <row r="11" spans="1:7" x14ac:dyDescent="0.25">
      <c r="A11" s="962" t="s">
        <v>363</v>
      </c>
      <c r="B11" s="962" t="s">
        <v>1388</v>
      </c>
      <c r="C11" s="962" t="s">
        <v>1389</v>
      </c>
      <c r="D11" s="962" t="s">
        <v>1392</v>
      </c>
      <c r="E11" s="975" t="s">
        <v>413</v>
      </c>
      <c r="F11" s="976"/>
      <c r="G11" s="977"/>
    </row>
    <row r="12" spans="1:7" ht="13.5" thickBot="1" x14ac:dyDescent="0.3">
      <c r="A12" s="963"/>
      <c r="B12" s="967"/>
      <c r="C12" s="967"/>
      <c r="D12" s="967"/>
      <c r="E12" s="302" t="s">
        <v>1390</v>
      </c>
      <c r="F12" s="14" t="s">
        <v>516</v>
      </c>
      <c r="G12" s="23" t="s">
        <v>411</v>
      </c>
    </row>
    <row r="13" spans="1:7" ht="13.5" thickBot="1" x14ac:dyDescent="0.3">
      <c r="A13" s="365" t="s">
        <v>360</v>
      </c>
      <c r="B13" s="972" t="s">
        <v>1387</v>
      </c>
      <c r="C13" s="973"/>
      <c r="D13" s="973"/>
      <c r="E13" s="973"/>
      <c r="F13" s="973"/>
      <c r="G13" s="974"/>
    </row>
    <row r="14" spans="1:7" s="196" customFormat="1" x14ac:dyDescent="0.25">
      <c r="A14" s="327" t="s">
        <v>124</v>
      </c>
      <c r="B14" s="371" t="s">
        <v>507</v>
      </c>
      <c r="C14" s="373" t="s">
        <v>510</v>
      </c>
      <c r="D14" s="325" t="s">
        <v>1393</v>
      </c>
      <c r="E14" s="366">
        <v>71</v>
      </c>
      <c r="F14" s="366">
        <v>387</v>
      </c>
      <c r="G14" s="366">
        <f t="shared" ref="G14:G49" si="0">F14+E14</f>
        <v>458</v>
      </c>
    </row>
    <row r="15" spans="1:7" s="196" customFormat="1" x14ac:dyDescent="0.25">
      <c r="A15" s="328" t="s">
        <v>125</v>
      </c>
      <c r="B15" s="372" t="s">
        <v>507</v>
      </c>
      <c r="C15" s="374" t="s">
        <v>509</v>
      </c>
      <c r="D15" s="326" t="s">
        <v>1393</v>
      </c>
      <c r="E15" s="367">
        <v>71</v>
      </c>
      <c r="F15" s="367">
        <v>333</v>
      </c>
      <c r="G15" s="367">
        <f t="shared" si="0"/>
        <v>404</v>
      </c>
    </row>
    <row r="16" spans="1:7" s="196" customFormat="1" x14ac:dyDescent="0.25">
      <c r="A16" s="328" t="s">
        <v>126</v>
      </c>
      <c r="B16" s="372" t="s">
        <v>507</v>
      </c>
      <c r="C16" s="374" t="s">
        <v>508</v>
      </c>
      <c r="D16" s="326" t="s">
        <v>1393</v>
      </c>
      <c r="E16" s="367">
        <v>71</v>
      </c>
      <c r="F16" s="367">
        <v>164</v>
      </c>
      <c r="G16" s="367">
        <f t="shared" si="0"/>
        <v>235</v>
      </c>
    </row>
    <row r="17" spans="1:7" s="196" customFormat="1" x14ac:dyDescent="0.25">
      <c r="A17" s="328" t="s">
        <v>127</v>
      </c>
      <c r="B17" s="372" t="s">
        <v>507</v>
      </c>
      <c r="C17" s="374" t="s">
        <v>515</v>
      </c>
      <c r="D17" s="326" t="s">
        <v>1393</v>
      </c>
      <c r="E17" s="367">
        <v>91</v>
      </c>
      <c r="F17" s="367">
        <v>604</v>
      </c>
      <c r="G17" s="367">
        <f t="shared" si="0"/>
        <v>695</v>
      </c>
    </row>
    <row r="18" spans="1:7" s="196" customFormat="1" x14ac:dyDescent="0.25">
      <c r="A18" s="328" t="s">
        <v>128</v>
      </c>
      <c r="B18" s="372" t="s">
        <v>507</v>
      </c>
      <c r="C18" s="374" t="s">
        <v>514</v>
      </c>
      <c r="D18" s="326" t="s">
        <v>1393</v>
      </c>
      <c r="E18" s="367">
        <v>85</v>
      </c>
      <c r="F18" s="367">
        <v>544</v>
      </c>
      <c r="G18" s="367">
        <f t="shared" si="0"/>
        <v>629</v>
      </c>
    </row>
    <row r="19" spans="1:7" s="196" customFormat="1" x14ac:dyDescent="0.25">
      <c r="A19" s="328" t="s">
        <v>129</v>
      </c>
      <c r="B19" s="372" t="s">
        <v>507</v>
      </c>
      <c r="C19" s="374" t="s">
        <v>512</v>
      </c>
      <c r="D19" s="326" t="s">
        <v>1393</v>
      </c>
      <c r="E19" s="367">
        <v>77</v>
      </c>
      <c r="F19" s="367">
        <v>467</v>
      </c>
      <c r="G19" s="367">
        <f t="shared" si="0"/>
        <v>544</v>
      </c>
    </row>
    <row r="20" spans="1:7" s="196" customFormat="1" x14ac:dyDescent="0.25">
      <c r="A20" s="328" t="s">
        <v>130</v>
      </c>
      <c r="B20" s="372" t="s">
        <v>507</v>
      </c>
      <c r="C20" s="374" t="s">
        <v>513</v>
      </c>
      <c r="D20" s="326" t="s">
        <v>1393</v>
      </c>
      <c r="E20" s="367">
        <v>71</v>
      </c>
      <c r="F20" s="367">
        <v>292</v>
      </c>
      <c r="G20" s="367">
        <f t="shared" si="0"/>
        <v>363</v>
      </c>
    </row>
    <row r="21" spans="1:7" s="196" customFormat="1" x14ac:dyDescent="0.25">
      <c r="A21" s="328" t="s">
        <v>131</v>
      </c>
      <c r="B21" s="372" t="s">
        <v>507</v>
      </c>
      <c r="C21" s="374" t="s">
        <v>511</v>
      </c>
      <c r="D21" s="326" t="s">
        <v>1395</v>
      </c>
      <c r="E21" s="367">
        <v>73</v>
      </c>
      <c r="F21" s="367">
        <v>418</v>
      </c>
      <c r="G21" s="367">
        <f t="shared" si="0"/>
        <v>491</v>
      </c>
    </row>
    <row r="22" spans="1:7" s="196" customFormat="1" ht="13.15" x14ac:dyDescent="0.3">
      <c r="A22" s="328" t="s">
        <v>132</v>
      </c>
      <c r="B22" s="372" t="s">
        <v>510</v>
      </c>
      <c r="C22" s="374" t="s">
        <v>509</v>
      </c>
      <c r="D22" s="326" t="s">
        <v>1394</v>
      </c>
      <c r="E22" s="367">
        <v>73</v>
      </c>
      <c r="F22" s="367">
        <v>200</v>
      </c>
      <c r="G22" s="367">
        <f t="shared" si="0"/>
        <v>273</v>
      </c>
    </row>
    <row r="23" spans="1:7" s="196" customFormat="1" x14ac:dyDescent="0.25">
      <c r="A23" s="328" t="s">
        <v>133</v>
      </c>
      <c r="B23" s="372" t="s">
        <v>510</v>
      </c>
      <c r="C23" s="374" t="s">
        <v>508</v>
      </c>
      <c r="D23" s="326" t="s">
        <v>1395</v>
      </c>
      <c r="E23" s="367">
        <v>73</v>
      </c>
      <c r="F23" s="367">
        <v>117</v>
      </c>
      <c r="G23" s="367">
        <f t="shared" si="0"/>
        <v>190</v>
      </c>
    </row>
    <row r="24" spans="1:7" s="196" customFormat="1" ht="13.15" x14ac:dyDescent="0.3">
      <c r="A24" s="328" t="s">
        <v>134</v>
      </c>
      <c r="B24" s="372" t="s">
        <v>510</v>
      </c>
      <c r="C24" s="374" t="s">
        <v>515</v>
      </c>
      <c r="D24" s="326" t="s">
        <v>1393</v>
      </c>
      <c r="E24" s="367">
        <v>84</v>
      </c>
      <c r="F24" s="367">
        <v>510</v>
      </c>
      <c r="G24" s="367">
        <f t="shared" si="0"/>
        <v>594</v>
      </c>
    </row>
    <row r="25" spans="1:7" s="196" customFormat="1" ht="13.15" x14ac:dyDescent="0.3">
      <c r="A25" s="328" t="s">
        <v>135</v>
      </c>
      <c r="B25" s="372" t="s">
        <v>510</v>
      </c>
      <c r="C25" s="374" t="s">
        <v>514</v>
      </c>
      <c r="D25" s="326" t="s">
        <v>1394</v>
      </c>
      <c r="E25" s="367">
        <v>109</v>
      </c>
      <c r="F25" s="367">
        <v>755</v>
      </c>
      <c r="G25" s="367">
        <f t="shared" si="0"/>
        <v>864</v>
      </c>
    </row>
    <row r="26" spans="1:7" s="196" customFormat="1" ht="13.15" x14ac:dyDescent="0.3">
      <c r="A26" s="328" t="s">
        <v>136</v>
      </c>
      <c r="B26" s="372" t="s">
        <v>510</v>
      </c>
      <c r="C26" s="374" t="s">
        <v>512</v>
      </c>
      <c r="D26" s="326" t="s">
        <v>1393</v>
      </c>
      <c r="E26" s="367">
        <v>73</v>
      </c>
      <c r="F26" s="367">
        <v>287</v>
      </c>
      <c r="G26" s="367">
        <f t="shared" si="0"/>
        <v>360</v>
      </c>
    </row>
    <row r="27" spans="1:7" s="196" customFormat="1" ht="13.15" x14ac:dyDescent="0.3">
      <c r="A27" s="328" t="s">
        <v>137</v>
      </c>
      <c r="B27" s="372" t="s">
        <v>510</v>
      </c>
      <c r="C27" s="374" t="s">
        <v>513</v>
      </c>
      <c r="D27" s="326" t="s">
        <v>1393</v>
      </c>
      <c r="E27" s="367">
        <v>108</v>
      </c>
      <c r="F27" s="367">
        <v>746</v>
      </c>
      <c r="G27" s="367">
        <f t="shared" si="0"/>
        <v>854</v>
      </c>
    </row>
    <row r="28" spans="1:7" s="196" customFormat="1" ht="13.15" x14ac:dyDescent="0.3">
      <c r="A28" s="328" t="s">
        <v>138</v>
      </c>
      <c r="B28" s="372" t="s">
        <v>510</v>
      </c>
      <c r="C28" s="374" t="s">
        <v>511</v>
      </c>
      <c r="D28" s="326" t="s">
        <v>1393</v>
      </c>
      <c r="E28" s="367">
        <v>82</v>
      </c>
      <c r="F28" s="367">
        <v>486</v>
      </c>
      <c r="G28" s="367">
        <f t="shared" si="0"/>
        <v>568</v>
      </c>
    </row>
    <row r="29" spans="1:7" s="196" customFormat="1" x14ac:dyDescent="0.25">
      <c r="A29" s="328" t="s">
        <v>139</v>
      </c>
      <c r="B29" s="372" t="s">
        <v>509</v>
      </c>
      <c r="C29" s="374" t="s">
        <v>508</v>
      </c>
      <c r="D29" s="326" t="s">
        <v>1394</v>
      </c>
      <c r="E29" s="367">
        <v>72</v>
      </c>
      <c r="F29" s="367">
        <v>204</v>
      </c>
      <c r="G29" s="367">
        <f t="shared" si="0"/>
        <v>276</v>
      </c>
    </row>
    <row r="30" spans="1:7" s="196" customFormat="1" ht="13.15" x14ac:dyDescent="0.3">
      <c r="A30" s="328" t="s">
        <v>140</v>
      </c>
      <c r="B30" s="372" t="s">
        <v>509</v>
      </c>
      <c r="C30" s="374" t="s">
        <v>515</v>
      </c>
      <c r="D30" s="326" t="s">
        <v>1393</v>
      </c>
      <c r="E30" s="367">
        <v>80</v>
      </c>
      <c r="F30" s="367">
        <v>497</v>
      </c>
      <c r="G30" s="367">
        <f t="shared" si="0"/>
        <v>577</v>
      </c>
    </row>
    <row r="31" spans="1:7" s="196" customFormat="1" ht="13.15" x14ac:dyDescent="0.3">
      <c r="A31" s="328" t="s">
        <v>141</v>
      </c>
      <c r="B31" s="372" t="s">
        <v>509</v>
      </c>
      <c r="C31" s="374" t="s">
        <v>514</v>
      </c>
      <c r="D31" s="326" t="s">
        <v>1393</v>
      </c>
      <c r="E31" s="367">
        <v>104</v>
      </c>
      <c r="F31" s="367">
        <v>740</v>
      </c>
      <c r="G31" s="367">
        <f t="shared" si="0"/>
        <v>844</v>
      </c>
    </row>
    <row r="32" spans="1:7" s="196" customFormat="1" ht="13.15" x14ac:dyDescent="0.3">
      <c r="A32" s="328" t="s">
        <v>142</v>
      </c>
      <c r="B32" s="372" t="s">
        <v>509</v>
      </c>
      <c r="C32" s="374" t="s">
        <v>512</v>
      </c>
      <c r="D32" s="326" t="s">
        <v>1393</v>
      </c>
      <c r="E32" s="367">
        <v>81</v>
      </c>
      <c r="F32" s="367">
        <v>505</v>
      </c>
      <c r="G32" s="367">
        <f t="shared" si="0"/>
        <v>586</v>
      </c>
    </row>
    <row r="33" spans="1:7" s="196" customFormat="1" ht="13.15" x14ac:dyDescent="0.3">
      <c r="A33" s="328" t="s">
        <v>143</v>
      </c>
      <c r="B33" s="372" t="s">
        <v>509</v>
      </c>
      <c r="C33" s="374" t="s">
        <v>513</v>
      </c>
      <c r="D33" s="326" t="s">
        <v>1393</v>
      </c>
      <c r="E33" s="367">
        <v>77</v>
      </c>
      <c r="F33" s="367">
        <v>459</v>
      </c>
      <c r="G33" s="367">
        <f t="shared" si="0"/>
        <v>536</v>
      </c>
    </row>
    <row r="34" spans="1:7" s="196" customFormat="1" ht="13.15" x14ac:dyDescent="0.3">
      <c r="A34" s="328" t="s">
        <v>144</v>
      </c>
      <c r="B34" s="372" t="s">
        <v>509</v>
      </c>
      <c r="C34" s="374" t="s">
        <v>511</v>
      </c>
      <c r="D34" s="326" t="s">
        <v>1395</v>
      </c>
      <c r="E34" s="367">
        <v>87</v>
      </c>
      <c r="F34" s="367">
        <v>550</v>
      </c>
      <c r="G34" s="367">
        <f t="shared" si="0"/>
        <v>637</v>
      </c>
    </row>
    <row r="35" spans="1:7" s="196" customFormat="1" x14ac:dyDescent="0.25">
      <c r="A35" s="328" t="s">
        <v>184</v>
      </c>
      <c r="B35" s="372" t="s">
        <v>508</v>
      </c>
      <c r="C35" s="374" t="s">
        <v>515</v>
      </c>
      <c r="D35" s="326" t="s">
        <v>1394</v>
      </c>
      <c r="E35" s="367">
        <v>72</v>
      </c>
      <c r="F35" s="367">
        <v>396</v>
      </c>
      <c r="G35" s="367">
        <f t="shared" si="0"/>
        <v>468</v>
      </c>
    </row>
    <row r="36" spans="1:7" s="196" customFormat="1" x14ac:dyDescent="0.25">
      <c r="A36" s="328" t="s">
        <v>145</v>
      </c>
      <c r="B36" s="372" t="s">
        <v>508</v>
      </c>
      <c r="C36" s="374" t="s">
        <v>514</v>
      </c>
      <c r="D36" s="326" t="s">
        <v>1394</v>
      </c>
      <c r="E36" s="367">
        <v>98</v>
      </c>
      <c r="F36" s="367">
        <v>654</v>
      </c>
      <c r="G36" s="367">
        <f t="shared" si="0"/>
        <v>752</v>
      </c>
    </row>
    <row r="37" spans="1:7" s="196" customFormat="1" x14ac:dyDescent="0.25">
      <c r="A37" s="328" t="s">
        <v>146</v>
      </c>
      <c r="B37" s="372" t="s">
        <v>508</v>
      </c>
      <c r="C37" s="374" t="s">
        <v>512</v>
      </c>
      <c r="D37" s="326" t="s">
        <v>1395</v>
      </c>
      <c r="E37" s="367">
        <v>72</v>
      </c>
      <c r="F37" s="367">
        <v>262</v>
      </c>
      <c r="G37" s="367">
        <f t="shared" si="0"/>
        <v>334</v>
      </c>
    </row>
    <row r="38" spans="1:7" s="196" customFormat="1" x14ac:dyDescent="0.25">
      <c r="A38" s="328" t="s">
        <v>147</v>
      </c>
      <c r="B38" s="372" t="s">
        <v>508</v>
      </c>
      <c r="C38" s="374" t="s">
        <v>513</v>
      </c>
      <c r="D38" s="326" t="s">
        <v>1393</v>
      </c>
      <c r="E38" s="367">
        <v>80</v>
      </c>
      <c r="F38" s="367">
        <v>478</v>
      </c>
      <c r="G38" s="367">
        <f t="shared" si="0"/>
        <v>558</v>
      </c>
    </row>
    <row r="39" spans="1:7" s="196" customFormat="1" x14ac:dyDescent="0.25">
      <c r="A39" s="328" t="s">
        <v>148</v>
      </c>
      <c r="B39" s="372" t="s">
        <v>508</v>
      </c>
      <c r="C39" s="374" t="s">
        <v>511</v>
      </c>
      <c r="D39" s="326" t="s">
        <v>1393</v>
      </c>
      <c r="E39" s="367">
        <v>72</v>
      </c>
      <c r="F39" s="367">
        <v>192</v>
      </c>
      <c r="G39" s="367">
        <f t="shared" si="0"/>
        <v>264</v>
      </c>
    </row>
    <row r="40" spans="1:7" s="196" customFormat="1" ht="13.15" x14ac:dyDescent="0.3">
      <c r="A40" s="328" t="s">
        <v>149</v>
      </c>
      <c r="B40" s="372" t="s">
        <v>515</v>
      </c>
      <c r="C40" s="374" t="s">
        <v>514</v>
      </c>
      <c r="D40" s="326" t="s">
        <v>1393</v>
      </c>
      <c r="E40" s="367">
        <v>256</v>
      </c>
      <c r="F40" s="367">
        <v>2294</v>
      </c>
      <c r="G40" s="367">
        <f t="shared" si="0"/>
        <v>2550</v>
      </c>
    </row>
    <row r="41" spans="1:7" s="196" customFormat="1" ht="13.15" x14ac:dyDescent="0.3">
      <c r="A41" s="328" t="s">
        <v>150</v>
      </c>
      <c r="B41" s="372" t="s">
        <v>515</v>
      </c>
      <c r="C41" s="374" t="s">
        <v>512</v>
      </c>
      <c r="D41" s="326" t="s">
        <v>1393</v>
      </c>
      <c r="E41" s="367">
        <v>88</v>
      </c>
      <c r="F41" s="367">
        <v>614</v>
      </c>
      <c r="G41" s="367">
        <f t="shared" si="0"/>
        <v>702</v>
      </c>
    </row>
    <row r="42" spans="1:7" s="196" customFormat="1" ht="13.15" x14ac:dyDescent="0.3">
      <c r="A42" s="328" t="s">
        <v>151</v>
      </c>
      <c r="B42" s="372" t="s">
        <v>515</v>
      </c>
      <c r="C42" s="374" t="s">
        <v>513</v>
      </c>
      <c r="D42" s="326" t="s">
        <v>1393</v>
      </c>
      <c r="E42" s="367">
        <v>66</v>
      </c>
      <c r="F42" s="367">
        <v>130</v>
      </c>
      <c r="G42" s="367">
        <f t="shared" si="0"/>
        <v>196</v>
      </c>
    </row>
    <row r="43" spans="1:7" s="196" customFormat="1" ht="13.15" x14ac:dyDescent="0.3">
      <c r="A43" s="328" t="s">
        <v>152</v>
      </c>
      <c r="B43" s="372" t="s">
        <v>515</v>
      </c>
      <c r="C43" s="374" t="s">
        <v>511</v>
      </c>
      <c r="D43" s="326" t="s">
        <v>1393</v>
      </c>
      <c r="E43" s="367">
        <v>66</v>
      </c>
      <c r="F43" s="367">
        <v>333</v>
      </c>
      <c r="G43" s="367">
        <f t="shared" si="0"/>
        <v>399</v>
      </c>
    </row>
    <row r="44" spans="1:7" s="196" customFormat="1" ht="13.15" x14ac:dyDescent="0.3">
      <c r="A44" s="328" t="s">
        <v>153</v>
      </c>
      <c r="B44" s="372" t="s">
        <v>514</v>
      </c>
      <c r="C44" s="374" t="s">
        <v>512</v>
      </c>
      <c r="D44" s="326" t="s">
        <v>1393</v>
      </c>
      <c r="E44" s="367">
        <v>96</v>
      </c>
      <c r="F44" s="367">
        <v>695</v>
      </c>
      <c r="G44" s="367">
        <f t="shared" si="0"/>
        <v>791</v>
      </c>
    </row>
    <row r="45" spans="1:7" s="196" customFormat="1" ht="13.15" x14ac:dyDescent="0.3">
      <c r="A45" s="328" t="s">
        <v>154</v>
      </c>
      <c r="B45" s="372" t="s">
        <v>514</v>
      </c>
      <c r="C45" s="374" t="s">
        <v>513</v>
      </c>
      <c r="D45" s="326" t="s">
        <v>1393</v>
      </c>
      <c r="E45" s="367">
        <v>66</v>
      </c>
      <c r="F45" s="367">
        <v>218</v>
      </c>
      <c r="G45" s="367">
        <f t="shared" si="0"/>
        <v>284</v>
      </c>
    </row>
    <row r="46" spans="1:7" s="196" customFormat="1" ht="13.15" x14ac:dyDescent="0.3">
      <c r="A46" s="328" t="s">
        <v>155</v>
      </c>
      <c r="B46" s="372" t="s">
        <v>514</v>
      </c>
      <c r="C46" s="374" t="s">
        <v>511</v>
      </c>
      <c r="D46" s="326" t="s">
        <v>1396</v>
      </c>
      <c r="E46" s="367">
        <v>65</v>
      </c>
      <c r="F46" s="367">
        <v>235</v>
      </c>
      <c r="G46" s="367">
        <f t="shared" si="0"/>
        <v>300</v>
      </c>
    </row>
    <row r="47" spans="1:7" s="196" customFormat="1" ht="13.15" x14ac:dyDescent="0.3">
      <c r="A47" s="328" t="s">
        <v>156</v>
      </c>
      <c r="B47" s="372" t="s">
        <v>512</v>
      </c>
      <c r="C47" s="374" t="s">
        <v>513</v>
      </c>
      <c r="D47" s="326" t="s">
        <v>1395</v>
      </c>
      <c r="E47" s="367">
        <v>89</v>
      </c>
      <c r="F47" s="367">
        <v>568</v>
      </c>
      <c r="G47" s="367">
        <f t="shared" si="0"/>
        <v>657</v>
      </c>
    </row>
    <row r="48" spans="1:7" s="196" customFormat="1" ht="13.15" x14ac:dyDescent="0.3">
      <c r="A48" s="328" t="s">
        <v>157</v>
      </c>
      <c r="B48" s="372" t="s">
        <v>512</v>
      </c>
      <c r="C48" s="374" t="s">
        <v>511</v>
      </c>
      <c r="D48" s="326" t="s">
        <v>1395</v>
      </c>
      <c r="E48" s="367">
        <v>80</v>
      </c>
      <c r="F48" s="367">
        <v>474</v>
      </c>
      <c r="G48" s="367">
        <f t="shared" si="0"/>
        <v>554</v>
      </c>
    </row>
    <row r="49" spans="1:7" s="196" customFormat="1" ht="13.9" thickBot="1" x14ac:dyDescent="0.35">
      <c r="A49" s="328" t="s">
        <v>158</v>
      </c>
      <c r="B49" s="372" t="s">
        <v>513</v>
      </c>
      <c r="C49" s="374" t="s">
        <v>511</v>
      </c>
      <c r="D49" s="326" t="s">
        <v>1393</v>
      </c>
      <c r="E49" s="367">
        <v>73</v>
      </c>
      <c r="F49" s="367">
        <v>193</v>
      </c>
      <c r="G49" s="367">
        <f t="shared" si="0"/>
        <v>266</v>
      </c>
    </row>
    <row r="50" spans="1:7" s="196" customFormat="1" ht="13.9" thickBot="1" x14ac:dyDescent="0.35">
      <c r="A50" s="978" t="str">
        <f>"VALOR MÉDIO - "&amp;B13&amp;" - (R$):"</f>
        <v>VALOR MÉDIO - PASSAGENS AÉREAS - (R$):</v>
      </c>
      <c r="B50" s="978"/>
      <c r="C50" s="978"/>
      <c r="D50" s="978"/>
      <c r="E50" s="978"/>
      <c r="F50" s="978"/>
      <c r="G50" s="368">
        <f>ROUND(AVERAGE(G13:G49),2)</f>
        <v>557.03</v>
      </c>
    </row>
    <row r="51" spans="1:7" s="196" customFormat="1" ht="13.9" thickBot="1" x14ac:dyDescent="0.35">
      <c r="B51" s="363"/>
      <c r="C51" s="209"/>
      <c r="D51" s="209"/>
      <c r="E51" s="209"/>
      <c r="F51" s="209"/>
      <c r="G51" s="209"/>
    </row>
    <row r="52" spans="1:7" ht="13.9" thickBot="1" x14ac:dyDescent="0.35">
      <c r="A52" s="365" t="s">
        <v>361</v>
      </c>
      <c r="B52" s="964" t="s">
        <v>1391</v>
      </c>
      <c r="C52" s="964"/>
      <c r="D52" s="964"/>
      <c r="E52" s="964"/>
      <c r="F52" s="964"/>
      <c r="G52" s="964"/>
    </row>
    <row r="53" spans="1:7" x14ac:dyDescent="0.25">
      <c r="A53" s="370" t="s">
        <v>173</v>
      </c>
      <c r="B53" s="371" t="s">
        <v>507</v>
      </c>
      <c r="C53" s="373" t="s">
        <v>510</v>
      </c>
      <c r="D53" s="492" t="s">
        <v>1397</v>
      </c>
      <c r="E53" s="377">
        <v>0</v>
      </c>
      <c r="F53" s="66">
        <v>275.89999999999998</v>
      </c>
      <c r="G53" s="369">
        <f>F53+E53</f>
        <v>275.89999999999998</v>
      </c>
    </row>
    <row r="54" spans="1:7" x14ac:dyDescent="0.25">
      <c r="A54" s="375" t="s">
        <v>174</v>
      </c>
      <c r="B54" s="372" t="s">
        <v>507</v>
      </c>
      <c r="C54" s="374" t="s">
        <v>509</v>
      </c>
      <c r="D54" s="239" t="s">
        <v>1398</v>
      </c>
      <c r="E54" s="210">
        <v>0</v>
      </c>
      <c r="F54" s="204">
        <v>196.67</v>
      </c>
      <c r="G54" s="376">
        <f t="shared" ref="G54:G62" si="1">F54+E54</f>
        <v>196.67</v>
      </c>
    </row>
    <row r="55" spans="1:7" x14ac:dyDescent="0.25">
      <c r="A55" s="375" t="s">
        <v>175</v>
      </c>
      <c r="B55" s="372" t="s">
        <v>507</v>
      </c>
      <c r="C55" s="374" t="s">
        <v>508</v>
      </c>
      <c r="D55" s="239" t="s">
        <v>1397</v>
      </c>
      <c r="E55" s="210">
        <v>0</v>
      </c>
      <c r="F55" s="204">
        <v>289</v>
      </c>
      <c r="G55" s="376">
        <f t="shared" si="1"/>
        <v>289</v>
      </c>
    </row>
    <row r="56" spans="1:7" x14ac:dyDescent="0.25">
      <c r="A56" s="375" t="s">
        <v>176</v>
      </c>
      <c r="B56" s="372" t="s">
        <v>507</v>
      </c>
      <c r="C56" s="374" t="s">
        <v>515</v>
      </c>
      <c r="D56" s="239" t="s">
        <v>1399</v>
      </c>
      <c r="E56" s="210">
        <v>0</v>
      </c>
      <c r="F56" s="204">
        <v>311.47000000000003</v>
      </c>
      <c r="G56" s="376">
        <f t="shared" si="1"/>
        <v>311.47000000000003</v>
      </c>
    </row>
    <row r="57" spans="1:7" x14ac:dyDescent="0.25">
      <c r="A57" s="375" t="s">
        <v>177</v>
      </c>
      <c r="B57" s="372" t="s">
        <v>507</v>
      </c>
      <c r="C57" s="374" t="s">
        <v>514</v>
      </c>
      <c r="D57" s="239" t="s">
        <v>1399</v>
      </c>
      <c r="E57" s="210">
        <v>0</v>
      </c>
      <c r="F57" s="204">
        <v>288.47000000000003</v>
      </c>
      <c r="G57" s="376">
        <f t="shared" si="1"/>
        <v>288.47000000000003</v>
      </c>
    </row>
    <row r="58" spans="1:7" x14ac:dyDescent="0.25">
      <c r="A58" s="375" t="s">
        <v>178</v>
      </c>
      <c r="B58" s="372" t="s">
        <v>507</v>
      </c>
      <c r="C58" s="374" t="s">
        <v>512</v>
      </c>
      <c r="D58" s="239" t="s">
        <v>1397</v>
      </c>
      <c r="E58" s="210">
        <v>0</v>
      </c>
      <c r="F58" s="204">
        <v>416.42</v>
      </c>
      <c r="G58" s="376">
        <f t="shared" si="1"/>
        <v>416.42</v>
      </c>
    </row>
    <row r="59" spans="1:7" x14ac:dyDescent="0.25">
      <c r="A59" s="375" t="s">
        <v>179</v>
      </c>
      <c r="B59" s="372" t="s">
        <v>507</v>
      </c>
      <c r="C59" s="374" t="s">
        <v>513</v>
      </c>
      <c r="D59" s="239" t="s">
        <v>1400</v>
      </c>
      <c r="E59" s="210">
        <v>0</v>
      </c>
      <c r="F59" s="204">
        <v>407.91</v>
      </c>
      <c r="G59" s="376">
        <f t="shared" si="1"/>
        <v>407.91</v>
      </c>
    </row>
    <row r="60" spans="1:7" x14ac:dyDescent="0.25">
      <c r="A60" s="375" t="s">
        <v>200</v>
      </c>
      <c r="B60" s="372" t="s">
        <v>507</v>
      </c>
      <c r="C60" s="374" t="s">
        <v>511</v>
      </c>
      <c r="D60" s="239" t="s">
        <v>1401</v>
      </c>
      <c r="E60" s="210">
        <v>0</v>
      </c>
      <c r="F60" s="204">
        <v>309.01</v>
      </c>
      <c r="G60" s="376">
        <f t="shared" si="1"/>
        <v>309.01</v>
      </c>
    </row>
    <row r="61" spans="1:7" x14ac:dyDescent="0.25">
      <c r="A61" s="375" t="s">
        <v>201</v>
      </c>
      <c r="B61" s="372" t="s">
        <v>510</v>
      </c>
      <c r="C61" s="374" t="s">
        <v>509</v>
      </c>
      <c r="D61" s="239" t="s">
        <v>1402</v>
      </c>
      <c r="E61" s="210">
        <v>0</v>
      </c>
      <c r="F61" s="204">
        <v>202.64</v>
      </c>
      <c r="G61" s="376">
        <f t="shared" si="1"/>
        <v>202.64</v>
      </c>
    </row>
    <row r="62" spans="1:7" x14ac:dyDescent="0.25">
      <c r="A62" s="375" t="s">
        <v>202</v>
      </c>
      <c r="B62" s="372" t="s">
        <v>510</v>
      </c>
      <c r="C62" s="374" t="s">
        <v>508</v>
      </c>
      <c r="D62" s="239" t="s">
        <v>1403</v>
      </c>
      <c r="E62" s="210">
        <v>0</v>
      </c>
      <c r="F62" s="204">
        <v>54.02</v>
      </c>
      <c r="G62" s="376">
        <f t="shared" si="1"/>
        <v>54.02</v>
      </c>
    </row>
    <row r="63" spans="1:7" x14ac:dyDescent="0.25">
      <c r="A63" s="375" t="s">
        <v>203</v>
      </c>
      <c r="B63" s="372" t="s">
        <v>510</v>
      </c>
      <c r="C63" s="374" t="s">
        <v>512</v>
      </c>
      <c r="D63" s="239" t="s">
        <v>1404</v>
      </c>
      <c r="E63" s="210">
        <v>0</v>
      </c>
      <c r="F63" s="204">
        <v>159.99</v>
      </c>
      <c r="G63" s="376">
        <f t="shared" ref="G63:G73" si="2">F63+E63</f>
        <v>159.99</v>
      </c>
    </row>
    <row r="64" spans="1:7" x14ac:dyDescent="0.25">
      <c r="A64" s="375" t="s">
        <v>204</v>
      </c>
      <c r="B64" s="372" t="s">
        <v>509</v>
      </c>
      <c r="C64" s="374" t="s">
        <v>508</v>
      </c>
      <c r="D64" s="239" t="s">
        <v>1405</v>
      </c>
      <c r="E64" s="210">
        <v>0</v>
      </c>
      <c r="F64" s="204">
        <v>109.99</v>
      </c>
      <c r="G64" s="376">
        <f t="shared" si="2"/>
        <v>109.99</v>
      </c>
    </row>
    <row r="65" spans="1:7" x14ac:dyDescent="0.25">
      <c r="A65" s="375" t="s">
        <v>205</v>
      </c>
      <c r="B65" s="372" t="s">
        <v>509</v>
      </c>
      <c r="C65" s="374" t="s">
        <v>512</v>
      </c>
      <c r="D65" s="239" t="s">
        <v>1402</v>
      </c>
      <c r="E65" s="210">
        <v>0</v>
      </c>
      <c r="F65" s="204">
        <v>405.97</v>
      </c>
      <c r="G65" s="376">
        <f t="shared" si="2"/>
        <v>405.97</v>
      </c>
    </row>
    <row r="66" spans="1:7" x14ac:dyDescent="0.25">
      <c r="A66" s="375" t="s">
        <v>206</v>
      </c>
      <c r="B66" s="372" t="s">
        <v>509</v>
      </c>
      <c r="C66" s="374" t="s">
        <v>513</v>
      </c>
      <c r="D66" s="239" t="s">
        <v>1406</v>
      </c>
      <c r="E66" s="210">
        <v>0</v>
      </c>
      <c r="F66" s="204">
        <v>419.99</v>
      </c>
      <c r="G66" s="376">
        <f t="shared" si="2"/>
        <v>419.99</v>
      </c>
    </row>
    <row r="67" spans="1:7" x14ac:dyDescent="0.25">
      <c r="A67" s="375" t="s">
        <v>207</v>
      </c>
      <c r="B67" s="372" t="s">
        <v>509</v>
      </c>
      <c r="C67" s="374" t="s">
        <v>511</v>
      </c>
      <c r="D67" s="239" t="s">
        <v>1405</v>
      </c>
      <c r="E67" s="210">
        <v>0</v>
      </c>
      <c r="F67" s="204">
        <v>359.98</v>
      </c>
      <c r="G67" s="376">
        <f t="shared" si="2"/>
        <v>359.98</v>
      </c>
    </row>
    <row r="68" spans="1:7" x14ac:dyDescent="0.25">
      <c r="A68" s="375" t="s">
        <v>208</v>
      </c>
      <c r="B68" s="372" t="s">
        <v>508</v>
      </c>
      <c r="C68" s="374" t="s">
        <v>512</v>
      </c>
      <c r="D68" s="239" t="s">
        <v>1402</v>
      </c>
      <c r="E68" s="210">
        <v>0</v>
      </c>
      <c r="F68" s="204">
        <v>239.79</v>
      </c>
      <c r="G68" s="376">
        <f t="shared" si="2"/>
        <v>239.79</v>
      </c>
    </row>
    <row r="69" spans="1:7" x14ac:dyDescent="0.25">
      <c r="A69" s="375" t="s">
        <v>209</v>
      </c>
      <c r="B69" s="372" t="s">
        <v>508</v>
      </c>
      <c r="C69" s="374" t="s">
        <v>513</v>
      </c>
      <c r="D69" s="239" t="s">
        <v>1406</v>
      </c>
      <c r="E69" s="210">
        <v>0</v>
      </c>
      <c r="F69" s="204">
        <v>400.19</v>
      </c>
      <c r="G69" s="376">
        <f t="shared" si="2"/>
        <v>400.19</v>
      </c>
    </row>
    <row r="70" spans="1:7" x14ac:dyDescent="0.25">
      <c r="A70" s="375" t="s">
        <v>210</v>
      </c>
      <c r="B70" s="372" t="s">
        <v>515</v>
      </c>
      <c r="C70" s="374" t="s">
        <v>513</v>
      </c>
      <c r="D70" s="239" t="s">
        <v>1407</v>
      </c>
      <c r="E70" s="210">
        <v>0</v>
      </c>
      <c r="F70" s="204">
        <v>137.5</v>
      </c>
      <c r="G70" s="376">
        <f t="shared" si="2"/>
        <v>137.5</v>
      </c>
    </row>
    <row r="71" spans="1:7" x14ac:dyDescent="0.25">
      <c r="A71" s="375" t="s">
        <v>211</v>
      </c>
      <c r="B71" s="372" t="s">
        <v>514</v>
      </c>
      <c r="C71" s="374" t="s">
        <v>513</v>
      </c>
      <c r="D71" s="239" t="s">
        <v>1407</v>
      </c>
      <c r="E71" s="210">
        <v>0</v>
      </c>
      <c r="F71" s="204">
        <v>150.30000000000001</v>
      </c>
      <c r="G71" s="376">
        <f t="shared" si="2"/>
        <v>150.30000000000001</v>
      </c>
    </row>
    <row r="72" spans="1:7" x14ac:dyDescent="0.25">
      <c r="A72" s="375" t="s">
        <v>212</v>
      </c>
      <c r="B72" s="372" t="s">
        <v>514</v>
      </c>
      <c r="C72" s="374" t="s">
        <v>511</v>
      </c>
      <c r="D72" s="239" t="s">
        <v>1408</v>
      </c>
      <c r="E72" s="210">
        <v>0</v>
      </c>
      <c r="F72" s="204">
        <v>89.99</v>
      </c>
      <c r="G72" s="376">
        <f t="shared" si="2"/>
        <v>89.99</v>
      </c>
    </row>
    <row r="73" spans="1:7" x14ac:dyDescent="0.25">
      <c r="A73" s="375" t="s">
        <v>213</v>
      </c>
      <c r="B73" s="372" t="s">
        <v>513</v>
      </c>
      <c r="C73" s="374" t="s">
        <v>511</v>
      </c>
      <c r="D73" s="239" t="s">
        <v>1399</v>
      </c>
      <c r="E73" s="210">
        <v>0</v>
      </c>
      <c r="F73" s="204">
        <v>99.9</v>
      </c>
      <c r="G73" s="376">
        <f t="shared" si="2"/>
        <v>99.9</v>
      </c>
    </row>
    <row r="74" spans="1:7" x14ac:dyDescent="0.25">
      <c r="A74" s="375" t="s">
        <v>214</v>
      </c>
      <c r="B74" s="372" t="s">
        <v>507</v>
      </c>
      <c r="C74" s="374" t="s">
        <v>1409</v>
      </c>
      <c r="D74" s="239" t="s">
        <v>1399</v>
      </c>
      <c r="E74" s="210">
        <v>0</v>
      </c>
      <c r="F74" s="204">
        <v>344.77</v>
      </c>
      <c r="G74" s="376">
        <f t="shared" ref="G74:G76" si="3">F74+E74</f>
        <v>344.77</v>
      </c>
    </row>
    <row r="75" spans="1:7" x14ac:dyDescent="0.25">
      <c r="A75" s="375" t="s">
        <v>215</v>
      </c>
      <c r="B75" s="372" t="s">
        <v>514</v>
      </c>
      <c r="C75" s="374" t="s">
        <v>1409</v>
      </c>
      <c r="D75" s="239" t="s">
        <v>1407</v>
      </c>
      <c r="E75" s="210">
        <v>0</v>
      </c>
      <c r="F75" s="204">
        <v>56.2</v>
      </c>
      <c r="G75" s="376">
        <f t="shared" si="3"/>
        <v>56.2</v>
      </c>
    </row>
    <row r="76" spans="1:7" ht="13.5" thickBot="1" x14ac:dyDescent="0.3">
      <c r="A76" s="375" t="s">
        <v>216</v>
      </c>
      <c r="B76" s="372" t="s">
        <v>513</v>
      </c>
      <c r="C76" s="374" t="s">
        <v>1409</v>
      </c>
      <c r="D76" s="239" t="s">
        <v>1407</v>
      </c>
      <c r="E76" s="210">
        <v>0</v>
      </c>
      <c r="F76" s="204">
        <v>102.3</v>
      </c>
      <c r="G76" s="376">
        <f t="shared" si="3"/>
        <v>102.3</v>
      </c>
    </row>
    <row r="77" spans="1:7" ht="13.5" thickBot="1" x14ac:dyDescent="0.3">
      <c r="A77" s="978" t="str">
        <f>"VALOR MÉDIO - "&amp;B52&amp;" - (R$):"</f>
        <v>VALOR MÉDIO - PASSAGENS TERRESTRES - (R$):</v>
      </c>
      <c r="B77" s="978"/>
      <c r="C77" s="978"/>
      <c r="D77" s="978"/>
      <c r="E77" s="978"/>
      <c r="F77" s="978"/>
      <c r="G77" s="368">
        <f>ROUND(AVERAGE(G52:G76),2)</f>
        <v>242.85</v>
      </c>
    </row>
    <row r="78" spans="1:7" x14ac:dyDescent="0.25">
      <c r="B78" s="15"/>
      <c r="E78" s="10"/>
      <c r="F78" s="10"/>
      <c r="G78" s="10"/>
    </row>
    <row r="79" spans="1:7" ht="13.5" thickBot="1" x14ac:dyDescent="0.3">
      <c r="B79" s="15"/>
      <c r="E79" s="10"/>
      <c r="F79" s="10"/>
      <c r="G79" s="10"/>
    </row>
    <row r="80" spans="1:7" ht="13.5" thickBot="1" x14ac:dyDescent="0.3">
      <c r="A80" s="943" t="str">
        <f>"RESUMO - "&amp;A$8</f>
        <v>RESUMO - MEMORIAL DE CÁLCULO - VIAGENS</v>
      </c>
      <c r="B80" s="944"/>
      <c r="C80" s="944"/>
      <c r="D80" s="944"/>
      <c r="E80" s="944"/>
      <c r="F80" s="944"/>
      <c r="G80" s="945"/>
    </row>
    <row r="81" spans="1:7" ht="13.5" thickBot="1" x14ac:dyDescent="0.3">
      <c r="A81" s="294" t="s">
        <v>363</v>
      </c>
      <c r="B81" s="946" t="s">
        <v>366</v>
      </c>
      <c r="C81" s="947"/>
      <c r="D81" s="948"/>
      <c r="E81" s="948"/>
      <c r="F81" s="949" t="s">
        <v>414</v>
      </c>
      <c r="G81" s="950"/>
    </row>
    <row r="82" spans="1:7" x14ac:dyDescent="0.25">
      <c r="A82" s="286">
        <v>1</v>
      </c>
      <c r="B82" s="951" t="str">
        <f>B13</f>
        <v>PASSAGENS AÉREAS</v>
      </c>
      <c r="C82" s="952"/>
      <c r="D82" s="953"/>
      <c r="E82" s="953"/>
      <c r="F82" s="954">
        <f>G50</f>
        <v>557.03</v>
      </c>
      <c r="G82" s="955"/>
    </row>
    <row r="83" spans="1:7" ht="13.5" thickBot="1" x14ac:dyDescent="0.3">
      <c r="A83" s="286">
        <v>2</v>
      </c>
      <c r="B83" s="951" t="str">
        <f>B52</f>
        <v>PASSAGENS TERRESTRES</v>
      </c>
      <c r="C83" s="952"/>
      <c r="D83" s="953"/>
      <c r="E83" s="953"/>
      <c r="F83" s="954">
        <f>G77</f>
        <v>242.85</v>
      </c>
      <c r="G83" s="955"/>
    </row>
    <row r="84" spans="1:7" ht="13.5" thickBot="1" x14ac:dyDescent="0.3">
      <c r="A84" s="740" t="str">
        <f>"MÉDIA GERAL - "&amp;A$8&amp;" - (R$):"</f>
        <v>MÉDIA GERAL - MEMORIAL DE CÁLCULO - VIAGENS - (R$):</v>
      </c>
      <c r="B84" s="741"/>
      <c r="C84" s="741"/>
      <c r="D84" s="741"/>
      <c r="E84" s="741"/>
      <c r="F84" s="965">
        <f>ROUND(AVERAGE(F82:G83),2)</f>
        <v>399.94</v>
      </c>
      <c r="G84" s="966"/>
    </row>
    <row r="85" spans="1:7" s="78" customFormat="1" x14ac:dyDescent="0.25">
      <c r="A85" s="72"/>
    </row>
    <row r="86" spans="1:7" s="78" customFormat="1" ht="13.5" thickBot="1" x14ac:dyDescent="0.3">
      <c r="A86" s="72"/>
    </row>
    <row r="87" spans="1:7" s="78" customFormat="1" x14ac:dyDescent="0.25">
      <c r="A87" s="781" t="s">
        <v>422</v>
      </c>
      <c r="B87" s="783"/>
      <c r="C87" s="783"/>
      <c r="D87" s="783"/>
      <c r="E87" s="784"/>
      <c r="F87" s="781" t="s">
        <v>423</v>
      </c>
      <c r="G87" s="784"/>
    </row>
    <row r="88" spans="1:7" s="78" customFormat="1" ht="13.5" thickBot="1" x14ac:dyDescent="0.3">
      <c r="A88" s="778"/>
      <c r="B88" s="779"/>
      <c r="C88" s="779"/>
      <c r="D88" s="779"/>
      <c r="E88" s="780"/>
      <c r="F88" s="778"/>
      <c r="G88" s="780"/>
    </row>
    <row r="89" spans="1:7" s="78" customFormat="1" x14ac:dyDescent="0.25">
      <c r="A89" s="781" t="s">
        <v>424</v>
      </c>
      <c r="B89" s="783"/>
      <c r="C89" s="783"/>
      <c r="D89" s="783"/>
      <c r="E89" s="784"/>
      <c r="F89" s="781" t="s">
        <v>425</v>
      </c>
      <c r="G89" s="784"/>
    </row>
    <row r="90" spans="1:7" s="78" customFormat="1" ht="13.5" thickBot="1" x14ac:dyDescent="0.3">
      <c r="A90" s="778"/>
      <c r="B90" s="779"/>
      <c r="C90" s="779"/>
      <c r="D90" s="779"/>
      <c r="E90" s="780"/>
      <c r="F90" s="778"/>
      <c r="G90" s="780"/>
    </row>
    <row r="91" spans="1:7" s="78" customFormat="1" x14ac:dyDescent="0.25">
      <c r="A91" s="831" t="s">
        <v>426</v>
      </c>
      <c r="B91" s="985"/>
      <c r="C91" s="985"/>
      <c r="D91" s="985"/>
      <c r="E91" s="985"/>
      <c r="F91" s="985"/>
      <c r="G91" s="833"/>
    </row>
    <row r="92" spans="1:7" s="78" customFormat="1" x14ac:dyDescent="0.25">
      <c r="A92" s="870" t="s">
        <v>2175</v>
      </c>
      <c r="B92" s="871"/>
      <c r="C92" s="871"/>
      <c r="D92" s="871"/>
      <c r="E92" s="871"/>
      <c r="F92" s="871"/>
      <c r="G92" s="872"/>
    </row>
    <row r="93" spans="1:7" s="78" customFormat="1" x14ac:dyDescent="0.25">
      <c r="A93" s="982" t="s">
        <v>2176</v>
      </c>
      <c r="B93" s="983"/>
      <c r="C93" s="983"/>
      <c r="D93" s="983"/>
      <c r="E93" s="983"/>
      <c r="F93" s="983"/>
      <c r="G93" s="984"/>
    </row>
    <row r="94" spans="1:7" s="78" customFormat="1" ht="13.5" thickBot="1" x14ac:dyDescent="0.3">
      <c r="A94" s="979"/>
      <c r="B94" s="980"/>
      <c r="C94" s="980"/>
      <c r="D94" s="980"/>
      <c r="E94" s="980"/>
      <c r="F94" s="980"/>
      <c r="G94" s="981"/>
    </row>
  </sheetData>
  <autoFilter ref="A12:G77"/>
  <mergeCells count="35">
    <mergeCell ref="A94:G94"/>
    <mergeCell ref="B83:E83"/>
    <mergeCell ref="F83:G83"/>
    <mergeCell ref="A92:G92"/>
    <mergeCell ref="A93:G93"/>
    <mergeCell ref="A88:E88"/>
    <mergeCell ref="F88:G88"/>
    <mergeCell ref="A89:E89"/>
    <mergeCell ref="F89:G89"/>
    <mergeCell ref="A90:E90"/>
    <mergeCell ref="F90:G90"/>
    <mergeCell ref="A91:G91"/>
    <mergeCell ref="F82:G82"/>
    <mergeCell ref="A84:E84"/>
    <mergeCell ref="F84:G84"/>
    <mergeCell ref="A87:E87"/>
    <mergeCell ref="F87:G87"/>
    <mergeCell ref="B82:E82"/>
    <mergeCell ref="A77:F77"/>
    <mergeCell ref="A80:G80"/>
    <mergeCell ref="B81:E81"/>
    <mergeCell ref="F81:G81"/>
    <mergeCell ref="B13:G13"/>
    <mergeCell ref="E11:G11"/>
    <mergeCell ref="A50:F50"/>
    <mergeCell ref="B52:G52"/>
    <mergeCell ref="D11:D12"/>
    <mergeCell ref="A11:A12"/>
    <mergeCell ref="B11:B12"/>
    <mergeCell ref="C11:C12"/>
    <mergeCell ref="B1:G1"/>
    <mergeCell ref="B2:G2"/>
    <mergeCell ref="B3:G3"/>
    <mergeCell ref="A5:G6"/>
    <mergeCell ref="A8:G8"/>
  </mergeCells>
  <phoneticPr fontId="25" type="noConversion"/>
  <printOptions horizontalCentered="1"/>
  <pageMargins left="0.59055118110236227" right="0.59055118110236227" top="0.78740157480314965" bottom="0.59055118110236227" header="0.19685039370078741" footer="0.19685039370078741"/>
  <pageSetup paperSize="9" scale="62" fitToHeight="100" orientation="portrait" horizontalDpi="4294967294" verticalDpi="4294967294" r:id="rId1"/>
  <headerFooter>
    <oddFooter>&amp;R&amp;"Arial,Normal"&amp;8&amp;F
Página &amp;P de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E14" sqref="E14"/>
    </sheetView>
  </sheetViews>
  <sheetFormatPr defaultColWidth="9.140625" defaultRowHeight="12.75" x14ac:dyDescent="0.25"/>
  <cols>
    <col min="1" max="1" width="8.7109375" style="29" customWidth="1"/>
    <col min="2" max="2" width="14.7109375" style="29" hidden="1" customWidth="1"/>
    <col min="3" max="3" width="60.7109375" style="21" customWidth="1"/>
    <col min="4" max="7" width="14.7109375" style="21" customWidth="1"/>
    <col min="8" max="9" width="9.140625" style="21"/>
    <col min="10" max="10" width="13.140625" style="21" bestFit="1" customWidth="1"/>
    <col min="11" max="16384" width="9.140625" style="21"/>
  </cols>
  <sheetData>
    <row r="1" spans="1:7" s="89" customFormat="1" x14ac:dyDescent="0.25">
      <c r="A1" s="117"/>
      <c r="B1" s="427"/>
      <c r="C1" s="726" t="s">
        <v>1117</v>
      </c>
      <c r="D1" s="726"/>
      <c r="E1" s="726"/>
      <c r="F1" s="726"/>
      <c r="G1" s="726"/>
    </row>
    <row r="2" spans="1:7" s="89" customFormat="1" x14ac:dyDescent="0.25">
      <c r="A2" s="90"/>
      <c r="B2" s="428"/>
      <c r="C2" s="728" t="s">
        <v>1118</v>
      </c>
      <c r="D2" s="728"/>
      <c r="E2" s="728"/>
      <c r="F2" s="728"/>
      <c r="G2" s="728"/>
    </row>
    <row r="3" spans="1:7" s="89" customFormat="1" ht="13.5" thickBot="1" x14ac:dyDescent="0.3">
      <c r="A3" s="118"/>
      <c r="B3" s="429"/>
      <c r="C3" s="729" t="s">
        <v>1116</v>
      </c>
      <c r="D3" s="729"/>
      <c r="E3" s="729"/>
      <c r="F3" s="729"/>
      <c r="G3" s="729"/>
    </row>
    <row r="4" spans="1:7" s="78" customFormat="1" ht="13.9" thickBot="1" x14ac:dyDescent="0.35">
      <c r="A4" s="287"/>
      <c r="B4" s="217"/>
    </row>
    <row r="5" spans="1:7" s="78" customFormat="1" x14ac:dyDescent="0.25">
      <c r="A5" s="690" t="s">
        <v>1119</v>
      </c>
      <c r="B5" s="689"/>
      <c r="C5" s="690"/>
      <c r="D5" s="690"/>
      <c r="E5" s="690"/>
      <c r="F5" s="690"/>
      <c r="G5" s="690"/>
    </row>
    <row r="6" spans="1:7" s="78" customFormat="1" ht="13.5" thickBot="1" x14ac:dyDescent="0.3">
      <c r="A6" s="691"/>
      <c r="B6" s="691"/>
      <c r="C6" s="691"/>
      <c r="D6" s="691"/>
      <c r="E6" s="691"/>
      <c r="F6" s="691"/>
      <c r="G6" s="691"/>
    </row>
    <row r="7" spans="1:7" s="78" customFormat="1" ht="13.9" thickBot="1" x14ac:dyDescent="0.35">
      <c r="B7" s="72"/>
      <c r="C7" s="70"/>
      <c r="D7" s="72"/>
      <c r="E7" s="72"/>
    </row>
    <row r="8" spans="1:7" ht="13.5" thickBot="1" x14ac:dyDescent="0.3">
      <c r="A8" s="686" t="s">
        <v>1073</v>
      </c>
      <c r="B8" s="687"/>
      <c r="C8" s="687"/>
      <c r="D8" s="687"/>
      <c r="E8" s="687"/>
      <c r="F8" s="687"/>
      <c r="G8" s="688"/>
    </row>
    <row r="9" spans="1:7" s="196" customFormat="1" ht="13.15" x14ac:dyDescent="0.3">
      <c r="B9" s="209"/>
      <c r="E9" s="197"/>
      <c r="F9" s="197"/>
      <c r="G9" s="197"/>
    </row>
    <row r="10" spans="1:7" s="209" customFormat="1" ht="13.9" thickBot="1" x14ac:dyDescent="0.35">
      <c r="A10" s="193"/>
      <c r="B10" s="193"/>
      <c r="C10" s="193"/>
      <c r="D10" s="194"/>
      <c r="E10" s="194"/>
      <c r="F10" s="197"/>
    </row>
    <row r="11" spans="1:7" s="2" customFormat="1" x14ac:dyDescent="0.25">
      <c r="A11" s="962" t="s">
        <v>363</v>
      </c>
      <c r="B11" s="962" t="s">
        <v>1466</v>
      </c>
      <c r="C11" s="962" t="s">
        <v>366</v>
      </c>
      <c r="D11" s="962" t="s">
        <v>410</v>
      </c>
      <c r="E11" s="968" t="s">
        <v>364</v>
      </c>
      <c r="F11" s="970" t="s">
        <v>413</v>
      </c>
      <c r="G11" s="971"/>
    </row>
    <row r="12" spans="1:7" s="2" customFormat="1" ht="13.5" thickBot="1" x14ac:dyDescent="0.3">
      <c r="A12" s="963"/>
      <c r="B12" s="963"/>
      <c r="C12" s="967"/>
      <c r="D12" s="967"/>
      <c r="E12" s="969"/>
      <c r="F12" s="14" t="s">
        <v>412</v>
      </c>
      <c r="G12" s="23" t="s">
        <v>411</v>
      </c>
    </row>
    <row r="13" spans="1:7" s="2" customFormat="1" ht="13.5" thickBot="1" x14ac:dyDescent="0.3">
      <c r="A13" s="59" t="s">
        <v>360</v>
      </c>
      <c r="B13" s="430"/>
      <c r="C13" s="972" t="s">
        <v>1073</v>
      </c>
      <c r="D13" s="973"/>
      <c r="E13" s="973"/>
      <c r="F13" s="973"/>
      <c r="G13" s="974"/>
    </row>
    <row r="14" spans="1:7" x14ac:dyDescent="0.25">
      <c r="A14" s="63" t="s">
        <v>124</v>
      </c>
      <c r="B14" s="27" t="s">
        <v>475</v>
      </c>
      <c r="C14" s="184" t="s">
        <v>1452</v>
      </c>
      <c r="D14" s="314" t="s">
        <v>1127</v>
      </c>
      <c r="E14" s="32">
        <f>SUMIF(Mem_Calculo_VEICULOS!C$39:C$125,Veiculos!C14,Mem_Calculo_VEICULOS!F$39:F$125)</f>
        <v>204</v>
      </c>
      <c r="F14" s="32">
        <f>VLOOKUP(B14,Mem_Calculo_VEICULOS!B$13:F$31,3,FALSE)</f>
        <v>3258.28</v>
      </c>
      <c r="G14" s="61">
        <f t="shared" ref="G14:G19" si="0">ROUND(E14*F14,2)</f>
        <v>664689.12</v>
      </c>
    </row>
    <row r="15" spans="1:7" x14ac:dyDescent="0.25">
      <c r="A15" s="178" t="s">
        <v>125</v>
      </c>
      <c r="B15" s="155" t="s">
        <v>477</v>
      </c>
      <c r="C15" s="185" t="s">
        <v>1453</v>
      </c>
      <c r="D15" s="315" t="s">
        <v>1127</v>
      </c>
      <c r="E15" s="158">
        <f>SUMIF(Mem_Calculo_VEICULOS!C$39:C$125,Veiculos!C15,Mem_Calculo_VEICULOS!F$39:F$125)</f>
        <v>24</v>
      </c>
      <c r="F15" s="158">
        <f>VLOOKUP(B15,Mem_Calculo_VEICULOS!B$13:F$31,3,FALSE)</f>
        <v>3386.92</v>
      </c>
      <c r="G15" s="159">
        <f t="shared" si="0"/>
        <v>81286.080000000002</v>
      </c>
    </row>
    <row r="16" spans="1:7" x14ac:dyDescent="0.25">
      <c r="A16" s="178" t="s">
        <v>126</v>
      </c>
      <c r="B16" s="155" t="s">
        <v>1442</v>
      </c>
      <c r="C16" s="185" t="s">
        <v>1454</v>
      </c>
      <c r="D16" s="315" t="s">
        <v>1127</v>
      </c>
      <c r="E16" s="158">
        <f>SUMIF(Mem_Calculo_VEICULOS!C$39:C$125,Veiculos!C16,Mem_Calculo_VEICULOS!F$39:F$125)</f>
        <v>360</v>
      </c>
      <c r="F16" s="158">
        <f>VLOOKUP(B16,Mem_Calculo_VEICULOS!B$13:F$31,3,FALSE)</f>
        <v>5906.18</v>
      </c>
      <c r="G16" s="159">
        <f t="shared" si="0"/>
        <v>2126224.7999999998</v>
      </c>
    </row>
    <row r="17" spans="1:10" ht="25.5" x14ac:dyDescent="0.25">
      <c r="A17" s="178" t="s">
        <v>127</v>
      </c>
      <c r="B17" s="155" t="s">
        <v>483</v>
      </c>
      <c r="C17" s="313" t="s">
        <v>1456</v>
      </c>
      <c r="D17" s="315" t="s">
        <v>1127</v>
      </c>
      <c r="E17" s="158">
        <f>SUMIF(Mem_Calculo_VEICULOS!C$39:C$125,Veiculos!C17,Mem_Calculo_VEICULOS!F$39:F$125)</f>
        <v>24</v>
      </c>
      <c r="F17" s="158">
        <f>VLOOKUP(B17,Mem_Calculo_VEICULOS!B$13:F$31,4,FALSE)</f>
        <v>12740.42</v>
      </c>
      <c r="G17" s="159">
        <f t="shared" si="0"/>
        <v>305770.08</v>
      </c>
    </row>
    <row r="18" spans="1:10" x14ac:dyDescent="0.25">
      <c r="A18" s="178" t="s">
        <v>128</v>
      </c>
      <c r="B18" s="155" t="s">
        <v>485</v>
      </c>
      <c r="C18" s="185" t="s">
        <v>1455</v>
      </c>
      <c r="D18" s="315" t="s">
        <v>1127</v>
      </c>
      <c r="E18" s="158">
        <f>SUMIF(Mem_Calculo_VEICULOS!C$39:C$125,Veiculos!C18,Mem_Calculo_VEICULOS!F$39:F$125)</f>
        <v>48</v>
      </c>
      <c r="F18" s="158">
        <f>VLOOKUP(B18,Mem_Calculo_VEICULOS!B$13:F$31,4,FALSE)</f>
        <v>14328.99</v>
      </c>
      <c r="G18" s="159">
        <f t="shared" si="0"/>
        <v>687791.52</v>
      </c>
    </row>
    <row r="19" spans="1:10" ht="26.25" thickBot="1" x14ac:dyDescent="0.3">
      <c r="A19" s="178" t="s">
        <v>129</v>
      </c>
      <c r="B19" s="213" t="s">
        <v>481</v>
      </c>
      <c r="C19" s="186" t="s">
        <v>1457</v>
      </c>
      <c r="D19" s="316" t="s">
        <v>1127</v>
      </c>
      <c r="E19" s="165">
        <f>SUMIF(Mem_Calculo_VEICULOS!C$39:C$125,Veiculos!C19,Mem_Calculo_VEICULOS!F$39:F$125)</f>
        <v>36</v>
      </c>
      <c r="F19" s="165">
        <f>VLOOKUP(B19,Mem_Calculo_VEICULOS!B$13:F$31,4,FALSE)</f>
        <v>11159.92</v>
      </c>
      <c r="G19" s="166">
        <f t="shared" si="0"/>
        <v>401757.12</v>
      </c>
    </row>
    <row r="20" spans="1:10" ht="13.9" thickBot="1" x14ac:dyDescent="0.35">
      <c r="A20" s="864" t="str">
        <f>"TOTAL - "&amp;C13&amp;" - (R$):"</f>
        <v>TOTAL - VEÍCULOS AUTOMOTORES - (R$):</v>
      </c>
      <c r="B20" s="865"/>
      <c r="C20" s="865"/>
      <c r="D20" s="865"/>
      <c r="E20" s="865"/>
      <c r="F20" s="866"/>
      <c r="G20" s="212">
        <f>SUBTOTAL(9,G13:G19)</f>
        <v>4267518.72</v>
      </c>
      <c r="I20" s="237"/>
    </row>
    <row r="21" spans="1:10" s="2" customFormat="1" ht="13.15" x14ac:dyDescent="0.3">
      <c r="B21" s="4"/>
      <c r="C21" s="15"/>
      <c r="E21" s="10"/>
      <c r="F21" s="10"/>
      <c r="G21" s="10"/>
    </row>
    <row r="22" spans="1:10" s="2" customFormat="1" ht="13.9" thickBot="1" x14ac:dyDescent="0.35">
      <c r="B22" s="4"/>
      <c r="C22" s="15"/>
      <c r="E22" s="10"/>
      <c r="F22" s="10"/>
      <c r="G22" s="10"/>
    </row>
    <row r="23" spans="1:10" s="2" customFormat="1" ht="13.9" thickBot="1" x14ac:dyDescent="0.35">
      <c r="A23" s="943" t="str">
        <f>"RESUMO - "&amp;A$8</f>
        <v>RESUMO - VEÍCULOS AUTOMOTORES</v>
      </c>
      <c r="B23" s="944"/>
      <c r="C23" s="944"/>
      <c r="D23" s="944"/>
      <c r="E23" s="944"/>
      <c r="F23" s="944"/>
      <c r="G23" s="945"/>
    </row>
    <row r="24" spans="1:10" s="2" customFormat="1" ht="13.5" thickBot="1" x14ac:dyDescent="0.3">
      <c r="A24" s="294" t="s">
        <v>363</v>
      </c>
      <c r="B24" s="304"/>
      <c r="C24" s="946" t="s">
        <v>366</v>
      </c>
      <c r="D24" s="947"/>
      <c r="E24" s="948"/>
      <c r="F24" s="949" t="s">
        <v>414</v>
      </c>
      <c r="G24" s="950"/>
    </row>
    <row r="25" spans="1:10" s="2" customFormat="1" ht="13.9" thickBot="1" x14ac:dyDescent="0.35">
      <c r="A25" s="286">
        <v>1</v>
      </c>
      <c r="B25" s="286"/>
      <c r="C25" s="951" t="str">
        <f>C13</f>
        <v>VEÍCULOS AUTOMOTORES</v>
      </c>
      <c r="D25" s="952"/>
      <c r="E25" s="953"/>
      <c r="F25" s="954">
        <f>G20</f>
        <v>4267518.72</v>
      </c>
      <c r="G25" s="955"/>
    </row>
    <row r="26" spans="1:10" s="2" customFormat="1" ht="13.9" thickBot="1" x14ac:dyDescent="0.35">
      <c r="A26" s="740" t="str">
        <f>"TOTAL GERAL - "&amp;A23&amp;" - (R$):"</f>
        <v>TOTAL GERAL - RESUMO - VEÍCULOS AUTOMOTORES - (R$):</v>
      </c>
      <c r="B26" s="741"/>
      <c r="C26" s="741"/>
      <c r="D26" s="741"/>
      <c r="E26" s="741"/>
      <c r="F26" s="965">
        <f>SUM(F25:G25)</f>
        <v>4267518.72</v>
      </c>
      <c r="G26" s="966"/>
    </row>
    <row r="27" spans="1:10" s="78" customFormat="1" ht="13.15" x14ac:dyDescent="0.3">
      <c r="A27" s="72"/>
      <c r="B27" s="72"/>
      <c r="J27" s="312"/>
    </row>
    <row r="28" spans="1:10" s="78" customFormat="1" ht="13.9" thickBot="1" x14ac:dyDescent="0.35">
      <c r="A28" s="72"/>
      <c r="B28" s="72"/>
    </row>
    <row r="29" spans="1:10" s="78" customFormat="1" x14ac:dyDescent="0.25">
      <c r="A29" s="704" t="s">
        <v>422</v>
      </c>
      <c r="B29" s="705"/>
      <c r="C29" s="705"/>
      <c r="D29" s="705"/>
      <c r="E29" s="706"/>
      <c r="F29" s="704" t="s">
        <v>423</v>
      </c>
      <c r="G29" s="706"/>
    </row>
    <row r="30" spans="1:10" s="78" customFormat="1" ht="13.9" thickBot="1" x14ac:dyDescent="0.35">
      <c r="A30" s="701"/>
      <c r="B30" s="702"/>
      <c r="C30" s="702"/>
      <c r="D30" s="702"/>
      <c r="E30" s="703"/>
      <c r="F30" s="701"/>
      <c r="G30" s="703"/>
    </row>
    <row r="31" spans="1:10" s="78" customFormat="1" ht="13.15" x14ac:dyDescent="0.3">
      <c r="A31" s="704" t="s">
        <v>424</v>
      </c>
      <c r="B31" s="705"/>
      <c r="C31" s="705"/>
      <c r="D31" s="705"/>
      <c r="E31" s="706"/>
      <c r="F31" s="704" t="s">
        <v>425</v>
      </c>
      <c r="G31" s="706"/>
    </row>
    <row r="32" spans="1:10" s="78" customFormat="1" ht="13.9" thickBot="1" x14ac:dyDescent="0.35">
      <c r="A32" s="701"/>
      <c r="B32" s="702"/>
      <c r="C32" s="702"/>
      <c r="D32" s="702"/>
      <c r="E32" s="703"/>
      <c r="F32" s="701"/>
      <c r="G32" s="703"/>
    </row>
    <row r="33" spans="1:7" s="78" customFormat="1" x14ac:dyDescent="0.25">
      <c r="A33" s="831" t="s">
        <v>426</v>
      </c>
      <c r="B33" s="985"/>
      <c r="C33" s="985"/>
      <c r="D33" s="985"/>
      <c r="E33" s="985"/>
      <c r="F33" s="985"/>
      <c r="G33" s="833"/>
    </row>
    <row r="34" spans="1:7" s="78" customFormat="1" ht="13.15" x14ac:dyDescent="0.3">
      <c r="A34" s="982" t="str">
        <f>Mem_Calculo_VEICULOS!A133</f>
        <v>1. Fonte de Preços Tabela Engenharia Consultiva 2019 - Codevasf, para o Município de Petrolina/PE. Data base: Fevereiro/2019.</v>
      </c>
      <c r="B34" s="983"/>
      <c r="C34" s="983"/>
      <c r="D34" s="983"/>
      <c r="E34" s="983"/>
      <c r="F34" s="983"/>
      <c r="G34" s="984"/>
    </row>
    <row r="35" spans="1:7" s="78" customFormat="1" ht="13.15" x14ac:dyDescent="0.3">
      <c r="A35" s="982" t="str">
        <f>Mem_Calculo_VEICULOS!A134</f>
        <v>2. Despesas incluem manutenção, combustível, óleos, lubrificantes, pneus, etc.</v>
      </c>
      <c r="B35" s="983"/>
      <c r="C35" s="983"/>
      <c r="D35" s="983"/>
      <c r="E35" s="983"/>
      <c r="F35" s="983"/>
      <c r="G35" s="984"/>
    </row>
    <row r="36" spans="1:7" s="78" customFormat="1" ht="13.15" x14ac:dyDescent="0.3">
      <c r="A36" s="982" t="str">
        <f>Mem_Calculo_VEICULOS!A135</f>
        <v>3. Quilometragem adotada: 3.000 km/mês</v>
      </c>
      <c r="B36" s="983"/>
      <c r="C36" s="983"/>
      <c r="D36" s="983"/>
      <c r="E36" s="983"/>
      <c r="F36" s="983"/>
      <c r="G36" s="984"/>
    </row>
    <row r="37" spans="1:7" s="78" customFormat="1" ht="13.9" thickBot="1" x14ac:dyDescent="0.35">
      <c r="A37" s="979"/>
      <c r="B37" s="980"/>
      <c r="C37" s="980"/>
      <c r="D37" s="980"/>
      <c r="E37" s="980"/>
      <c r="F37" s="980"/>
      <c r="G37" s="981"/>
    </row>
    <row r="38" spans="1:7" s="78" customFormat="1" ht="13.15" x14ac:dyDescent="0.3">
      <c r="A38" s="72"/>
      <c r="B38" s="72"/>
    </row>
    <row r="44" spans="1:7" ht="13.15" x14ac:dyDescent="0.3">
      <c r="A44" s="21"/>
    </row>
    <row r="45" spans="1:7" ht="13.15" x14ac:dyDescent="0.3">
      <c r="A45" s="21"/>
    </row>
    <row r="46" spans="1:7" ht="13.15" x14ac:dyDescent="0.3">
      <c r="A46" s="21"/>
    </row>
    <row r="47" spans="1:7" ht="13.15" x14ac:dyDescent="0.3">
      <c r="A47" s="21"/>
    </row>
    <row r="48" spans="1:7" ht="13.15" x14ac:dyDescent="0.3">
      <c r="A48" s="21"/>
    </row>
    <row r="49" spans="1:1" ht="13.15" x14ac:dyDescent="0.3">
      <c r="A49" s="21"/>
    </row>
    <row r="50" spans="1:1" ht="13.15" x14ac:dyDescent="0.3">
      <c r="A50" s="21"/>
    </row>
    <row r="51" spans="1:1" ht="13.15" x14ac:dyDescent="0.3">
      <c r="A51" s="21"/>
    </row>
  </sheetData>
  <autoFilter ref="A12:J19"/>
  <mergeCells count="33">
    <mergeCell ref="C1:G1"/>
    <mergeCell ref="C2:G2"/>
    <mergeCell ref="C3:G3"/>
    <mergeCell ref="A5:G6"/>
    <mergeCell ref="A8:G8"/>
    <mergeCell ref="A37:G37"/>
    <mergeCell ref="A20:F20"/>
    <mergeCell ref="A23:G23"/>
    <mergeCell ref="C24:E24"/>
    <mergeCell ref="F24:G24"/>
    <mergeCell ref="C25:E25"/>
    <mergeCell ref="A33:G33"/>
    <mergeCell ref="A34:G34"/>
    <mergeCell ref="F25:G25"/>
    <mergeCell ref="A26:E26"/>
    <mergeCell ref="F26:G26"/>
    <mergeCell ref="A31:E31"/>
    <mergeCell ref="A32:E32"/>
    <mergeCell ref="F29:G29"/>
    <mergeCell ref="F30:G30"/>
    <mergeCell ref="F31:G31"/>
    <mergeCell ref="C13:G13"/>
    <mergeCell ref="A29:E29"/>
    <mergeCell ref="A30:E30"/>
    <mergeCell ref="A36:G36"/>
    <mergeCell ref="B11:B12"/>
    <mergeCell ref="A35:G35"/>
    <mergeCell ref="A11:A12"/>
    <mergeCell ref="C11:C12"/>
    <mergeCell ref="D11:D12"/>
    <mergeCell ref="E11:E12"/>
    <mergeCell ref="F11:G11"/>
    <mergeCell ref="F32:G32"/>
  </mergeCells>
  <printOptions horizontalCentered="1"/>
  <pageMargins left="0.78740157480314965" right="0.59055118110236227" top="0.59055118110236227" bottom="0.59055118110236227" header="0.19685039370078741" footer="0.19685039370078741"/>
  <pageSetup paperSize="9" scale="68" fitToHeight="100" orientation="portrait" horizontalDpi="4294967294" verticalDpi="4294967294" r:id="rId1"/>
  <headerFooter>
    <oddFooter>&amp;R&amp;"Arial,Normal"&amp;8&amp;F
Página &amp;P de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view="pageBreakPreview" zoomScale="85" zoomScaleNormal="100" zoomScaleSheetLayoutView="85" workbookViewId="0">
      <pane ySplit="8" topLeftCell="A9" activePane="bottomLeft" state="frozen"/>
      <selection activeCell="C90" sqref="C90"/>
      <selection pane="bottomLeft" activeCell="E85" sqref="E85"/>
    </sheetView>
  </sheetViews>
  <sheetFormatPr defaultColWidth="9.140625" defaultRowHeight="12.75" x14ac:dyDescent="0.25"/>
  <cols>
    <col min="1" max="1" width="8.7109375" style="21" customWidth="1"/>
    <col min="2" max="2" width="14.7109375" style="21" customWidth="1"/>
    <col min="3" max="3" width="60.7109375" style="21" customWidth="1"/>
    <col min="4" max="6" width="14.7109375" style="21" customWidth="1"/>
    <col min="7" max="7" width="8.85546875" style="21" bestFit="1" customWidth="1"/>
    <col min="8" max="16384" width="9.140625" style="21"/>
  </cols>
  <sheetData>
    <row r="1" spans="1:6" s="89" customFormat="1" x14ac:dyDescent="0.25">
      <c r="A1" s="426"/>
      <c r="B1" s="117"/>
      <c r="C1" s="727" t="s">
        <v>1117</v>
      </c>
      <c r="D1" s="727"/>
      <c r="E1" s="727"/>
      <c r="F1" s="727"/>
    </row>
    <row r="2" spans="1:6" s="89" customFormat="1" x14ac:dyDescent="0.25">
      <c r="A2" s="90"/>
      <c r="B2" s="90"/>
      <c r="C2" s="728" t="s">
        <v>1118</v>
      </c>
      <c r="D2" s="728"/>
      <c r="E2" s="728"/>
      <c r="F2" s="728"/>
    </row>
    <row r="3" spans="1:6" s="89" customFormat="1" ht="13.5" thickBot="1" x14ac:dyDescent="0.3">
      <c r="A3" s="118"/>
      <c r="B3" s="118"/>
      <c r="C3" s="729" t="s">
        <v>1116</v>
      </c>
      <c r="D3" s="729"/>
      <c r="E3" s="729"/>
      <c r="F3" s="729"/>
    </row>
    <row r="4" spans="1:6" s="78" customFormat="1" ht="13.9" thickBot="1" x14ac:dyDescent="0.35">
      <c r="A4" s="305"/>
      <c r="C4" s="305"/>
    </row>
    <row r="5" spans="1:6" s="78" customFormat="1" x14ac:dyDescent="0.25">
      <c r="A5" s="689" t="s">
        <v>1119</v>
      </c>
      <c r="B5" s="690"/>
      <c r="C5" s="689"/>
      <c r="D5" s="689"/>
      <c r="E5" s="689"/>
      <c r="F5" s="689"/>
    </row>
    <row r="6" spans="1:6" s="78" customFormat="1" ht="13.5" thickBot="1" x14ac:dyDescent="0.3">
      <c r="A6" s="691"/>
      <c r="B6" s="691"/>
      <c r="C6" s="691"/>
      <c r="D6" s="691"/>
      <c r="E6" s="691"/>
      <c r="F6" s="691"/>
    </row>
    <row r="7" spans="1:6" s="78" customFormat="1" ht="13.9" thickBot="1" x14ac:dyDescent="0.35">
      <c r="B7" s="70"/>
    </row>
    <row r="8" spans="1:6" ht="13.5" thickBot="1" x14ac:dyDescent="0.3">
      <c r="A8" s="686" t="s">
        <v>688</v>
      </c>
      <c r="B8" s="687"/>
      <c r="C8" s="687"/>
      <c r="D8" s="687"/>
      <c r="E8" s="687"/>
      <c r="F8" s="688"/>
    </row>
    <row r="9" spans="1:6" s="196" customFormat="1" ht="13.15" x14ac:dyDescent="0.3"/>
    <row r="10" spans="1:6" s="209" customFormat="1" ht="13.9" thickBot="1" x14ac:dyDescent="0.35">
      <c r="A10" s="193"/>
      <c r="B10" s="194"/>
      <c r="C10" s="193"/>
    </row>
    <row r="11" spans="1:6" ht="13.5" thickBot="1" x14ac:dyDescent="0.3">
      <c r="A11" s="730" t="s">
        <v>363</v>
      </c>
      <c r="B11" s="730" t="s">
        <v>543</v>
      </c>
      <c r="C11" s="989" t="s">
        <v>366</v>
      </c>
      <c r="D11" s="730" t="s">
        <v>645</v>
      </c>
      <c r="E11" s="730"/>
      <c r="F11" s="791" t="s">
        <v>1052</v>
      </c>
    </row>
    <row r="12" spans="1:6" s="1" customFormat="1" ht="13.5" thickBot="1" x14ac:dyDescent="0.25">
      <c r="A12" s="730"/>
      <c r="B12" s="730"/>
      <c r="C12" s="989"/>
      <c r="D12" s="308" t="s">
        <v>646</v>
      </c>
      <c r="E12" s="308" t="s">
        <v>647</v>
      </c>
      <c r="F12" s="791"/>
    </row>
    <row r="13" spans="1:6" s="2" customFormat="1" ht="13.5" thickBot="1" x14ac:dyDescent="0.3">
      <c r="A13" s="365" t="s">
        <v>360</v>
      </c>
      <c r="B13" s="493"/>
      <c r="C13" s="972" t="s">
        <v>649</v>
      </c>
      <c r="D13" s="973"/>
      <c r="E13" s="973"/>
      <c r="F13" s="974"/>
    </row>
    <row r="14" spans="1:6" s="78" customFormat="1" ht="13.15" x14ac:dyDescent="0.3">
      <c r="A14" s="420" t="s">
        <v>124</v>
      </c>
      <c r="B14" s="137" t="s">
        <v>471</v>
      </c>
      <c r="C14" s="420" t="s">
        <v>648</v>
      </c>
      <c r="D14" s="421">
        <v>1118.9100000000001</v>
      </c>
      <c r="E14" s="421">
        <v>5337.09</v>
      </c>
      <c r="F14" s="420"/>
    </row>
    <row r="15" spans="1:6" s="78" customFormat="1" ht="13.9" thickBot="1" x14ac:dyDescent="0.35">
      <c r="A15" s="424"/>
      <c r="B15" s="147"/>
      <c r="C15" s="424"/>
      <c r="D15" s="425"/>
      <c r="E15" s="425"/>
      <c r="F15" s="424"/>
    </row>
    <row r="16" spans="1:6" ht="13.5" thickBot="1" x14ac:dyDescent="0.3">
      <c r="A16" s="365" t="s">
        <v>361</v>
      </c>
      <c r="B16" s="493"/>
      <c r="C16" s="972" t="s">
        <v>649</v>
      </c>
      <c r="D16" s="973"/>
      <c r="E16" s="973"/>
      <c r="F16" s="974"/>
    </row>
    <row r="17" spans="1:6" s="78" customFormat="1" ht="13.15" x14ac:dyDescent="0.3">
      <c r="A17" s="420" t="s">
        <v>173</v>
      </c>
      <c r="B17" s="137" t="s">
        <v>473</v>
      </c>
      <c r="C17" s="420" t="s">
        <v>650</v>
      </c>
      <c r="D17" s="421">
        <v>3086.6</v>
      </c>
      <c r="E17" s="421">
        <v>7304.78</v>
      </c>
      <c r="F17" s="420"/>
    </row>
    <row r="18" spans="1:6" s="78" customFormat="1" ht="13.15" x14ac:dyDescent="0.3">
      <c r="A18" s="422" t="s">
        <v>174</v>
      </c>
      <c r="B18" s="141" t="s">
        <v>475</v>
      </c>
      <c r="C18" s="422" t="s">
        <v>651</v>
      </c>
      <c r="D18" s="423">
        <v>3258.28</v>
      </c>
      <c r="E18" s="423">
        <v>7476.46</v>
      </c>
      <c r="F18" s="422"/>
    </row>
    <row r="19" spans="1:6" s="78" customFormat="1" ht="13.15" x14ac:dyDescent="0.3">
      <c r="A19" s="422" t="s">
        <v>175</v>
      </c>
      <c r="B19" s="141" t="s">
        <v>477</v>
      </c>
      <c r="C19" s="422" t="s">
        <v>652</v>
      </c>
      <c r="D19" s="423">
        <v>3386.92</v>
      </c>
      <c r="E19" s="423">
        <v>7605.1</v>
      </c>
      <c r="F19" s="422"/>
    </row>
    <row r="20" spans="1:6" s="78" customFormat="1" ht="13.9" thickBot="1" x14ac:dyDescent="0.35">
      <c r="A20" s="424"/>
      <c r="B20" s="147"/>
      <c r="C20" s="424"/>
      <c r="D20" s="425"/>
      <c r="E20" s="425"/>
      <c r="F20" s="424"/>
    </row>
    <row r="21" spans="1:6" ht="13.5" thickBot="1" x14ac:dyDescent="0.3">
      <c r="A21" s="365" t="s">
        <v>362</v>
      </c>
      <c r="B21" s="493"/>
      <c r="C21" s="972" t="s">
        <v>649</v>
      </c>
      <c r="D21" s="973"/>
      <c r="E21" s="973"/>
      <c r="F21" s="974"/>
    </row>
    <row r="22" spans="1:6" s="78" customFormat="1" x14ac:dyDescent="0.25">
      <c r="A22" s="420" t="s">
        <v>238</v>
      </c>
      <c r="B22" s="137" t="s">
        <v>479</v>
      </c>
      <c r="C22" s="420" t="s">
        <v>653</v>
      </c>
      <c r="D22" s="421">
        <v>4607.66</v>
      </c>
      <c r="E22" s="421">
        <v>8825.84</v>
      </c>
      <c r="F22" s="420"/>
    </row>
    <row r="23" spans="1:6" s="78" customFormat="1" x14ac:dyDescent="0.25">
      <c r="A23" s="422" t="s">
        <v>239</v>
      </c>
      <c r="B23" s="141" t="s">
        <v>481</v>
      </c>
      <c r="C23" s="422" t="s">
        <v>654</v>
      </c>
      <c r="D23" s="423">
        <v>6941.74</v>
      </c>
      <c r="E23" s="423">
        <v>11159.92</v>
      </c>
      <c r="F23" s="422"/>
    </row>
    <row r="24" spans="1:6" s="78" customFormat="1" x14ac:dyDescent="0.25">
      <c r="A24" s="422" t="s">
        <v>240</v>
      </c>
      <c r="B24" s="141" t="s">
        <v>483</v>
      </c>
      <c r="C24" s="422" t="s">
        <v>655</v>
      </c>
      <c r="D24" s="423">
        <v>8522.24</v>
      </c>
      <c r="E24" s="423">
        <v>12740.42</v>
      </c>
      <c r="F24" s="422"/>
    </row>
    <row r="25" spans="1:6" s="78" customFormat="1" x14ac:dyDescent="0.25">
      <c r="A25" s="422" t="s">
        <v>241</v>
      </c>
      <c r="B25" s="141" t="s">
        <v>485</v>
      </c>
      <c r="C25" s="422" t="s">
        <v>656</v>
      </c>
      <c r="D25" s="423">
        <v>10110.81</v>
      </c>
      <c r="E25" s="423">
        <v>14328.99</v>
      </c>
      <c r="F25" s="422"/>
    </row>
    <row r="26" spans="1:6" s="78" customFormat="1" ht="13.9" thickBot="1" x14ac:dyDescent="0.35">
      <c r="A26" s="424"/>
      <c r="B26" s="147"/>
      <c r="C26" s="424"/>
      <c r="D26" s="425"/>
      <c r="E26" s="425"/>
      <c r="F26" s="424"/>
    </row>
    <row r="27" spans="1:6" ht="13.5" thickBot="1" x14ac:dyDescent="0.3">
      <c r="A27" s="365" t="s">
        <v>381</v>
      </c>
      <c r="B27" s="493"/>
      <c r="C27" s="972" t="s">
        <v>649</v>
      </c>
      <c r="D27" s="973"/>
      <c r="E27" s="973"/>
      <c r="F27" s="974"/>
    </row>
    <row r="28" spans="1:6" s="78" customFormat="1" ht="13.15" x14ac:dyDescent="0.3">
      <c r="A28" s="420" t="s">
        <v>295</v>
      </c>
      <c r="B28" s="137" t="s">
        <v>487</v>
      </c>
      <c r="C28" s="420" t="s">
        <v>657</v>
      </c>
      <c r="D28" s="421">
        <v>3255.61</v>
      </c>
      <c r="E28" s="421">
        <v>7473.79</v>
      </c>
      <c r="F28" s="420"/>
    </row>
    <row r="29" spans="1:6" s="78" customFormat="1" ht="13.15" x14ac:dyDescent="0.3">
      <c r="A29" s="422" t="s">
        <v>296</v>
      </c>
      <c r="B29" s="141" t="s">
        <v>489</v>
      </c>
      <c r="C29" s="422" t="s">
        <v>658</v>
      </c>
      <c r="D29" s="423">
        <v>5462.25</v>
      </c>
      <c r="E29" s="423">
        <v>9680.43</v>
      </c>
      <c r="F29" s="422"/>
    </row>
    <row r="30" spans="1:6" s="78" customFormat="1" x14ac:dyDescent="0.25">
      <c r="A30" s="422" t="s">
        <v>297</v>
      </c>
      <c r="B30" s="141" t="s">
        <v>1442</v>
      </c>
      <c r="C30" s="422" t="s">
        <v>659</v>
      </c>
      <c r="D30" s="423">
        <v>5906.18</v>
      </c>
      <c r="E30" s="423">
        <v>10124.36</v>
      </c>
      <c r="F30" s="422"/>
    </row>
    <row r="31" spans="1:6" s="78" customFormat="1" ht="13.9" thickBot="1" x14ac:dyDescent="0.35">
      <c r="A31" s="424"/>
      <c r="B31" s="147"/>
      <c r="C31" s="424"/>
      <c r="D31" s="425"/>
      <c r="E31" s="425"/>
      <c r="F31" s="424"/>
    </row>
    <row r="32" spans="1:6" s="78" customFormat="1" ht="13.15" x14ac:dyDescent="0.3">
      <c r="B32" s="72"/>
      <c r="C32" s="305"/>
      <c r="E32" s="419"/>
      <c r="F32" s="419"/>
    </row>
    <row r="33" spans="1:6" s="78" customFormat="1" ht="13.9" thickBot="1" x14ac:dyDescent="0.35"/>
    <row r="34" spans="1:6" ht="13.5" thickBot="1" x14ac:dyDescent="0.3">
      <c r="A34" s="686" t="s">
        <v>687</v>
      </c>
      <c r="B34" s="687"/>
      <c r="C34" s="687"/>
      <c r="D34" s="687"/>
      <c r="E34" s="687"/>
      <c r="F34" s="688"/>
    </row>
    <row r="35" spans="1:6" s="196" customFormat="1" ht="13.15" x14ac:dyDescent="0.3"/>
    <row r="36" spans="1:6" ht="13.9" thickBot="1" x14ac:dyDescent="0.35">
      <c r="A36" s="417"/>
      <c r="B36" s="418"/>
      <c r="C36" s="417"/>
      <c r="D36" s="418"/>
      <c r="E36" s="418"/>
      <c r="F36" s="418"/>
    </row>
    <row r="37" spans="1:6" ht="13.5" thickBot="1" x14ac:dyDescent="0.3">
      <c r="A37" s="730" t="s">
        <v>363</v>
      </c>
      <c r="B37" s="730" t="s">
        <v>543</v>
      </c>
      <c r="C37" s="989" t="s">
        <v>366</v>
      </c>
      <c r="D37" s="791" t="s">
        <v>1441</v>
      </c>
      <c r="E37" s="730" t="s">
        <v>364</v>
      </c>
      <c r="F37" s="730"/>
    </row>
    <row r="38" spans="1:6" s="1" customFormat="1" ht="26.25" thickBot="1" x14ac:dyDescent="0.25">
      <c r="A38" s="730"/>
      <c r="B38" s="730"/>
      <c r="C38" s="989"/>
      <c r="D38" s="730"/>
      <c r="E38" s="308" t="s">
        <v>1450</v>
      </c>
      <c r="F38" s="308" t="s">
        <v>1451</v>
      </c>
    </row>
    <row r="39" spans="1:6" s="1" customFormat="1" ht="13.5" thickBot="1" x14ac:dyDescent="0.25">
      <c r="A39" s="331" t="s">
        <v>360</v>
      </c>
      <c r="B39" s="484"/>
      <c r="C39" s="986" t="s">
        <v>1482</v>
      </c>
      <c r="D39" s="987"/>
      <c r="E39" s="987"/>
      <c r="F39" s="988"/>
    </row>
    <row r="40" spans="1:6" s="1" customFormat="1" x14ac:dyDescent="0.2">
      <c r="A40" s="175" t="s">
        <v>124</v>
      </c>
      <c r="B40" s="137" t="s">
        <v>1442</v>
      </c>
      <c r="C40" s="181" t="s">
        <v>1454</v>
      </c>
      <c r="D40" s="137">
        <v>12</v>
      </c>
      <c r="E40" s="137">
        <v>3</v>
      </c>
      <c r="F40" s="138">
        <f>ROUND(E40*D40,0)</f>
        <v>36</v>
      </c>
    </row>
    <row r="41" spans="1:6" s="1" customFormat="1" ht="13.9" thickBot="1" x14ac:dyDescent="0.3">
      <c r="A41" s="176"/>
      <c r="B41" s="141"/>
      <c r="C41" s="182"/>
      <c r="D41" s="141"/>
      <c r="E41" s="141"/>
      <c r="F41" s="142"/>
    </row>
    <row r="42" spans="1:6" ht="13.9" thickBot="1" x14ac:dyDescent="0.35">
      <c r="A42" s="864" t="str">
        <f>"TOTAL DE VEÍCULOS - "&amp;C39&amp;":"</f>
        <v>TOTAL DE VEÍCULOS - PLANEJAMENTO E CONTROLE DA OPERAÇÃO (FISCALIZAÇÃO):</v>
      </c>
      <c r="B42" s="865"/>
      <c r="C42" s="865"/>
      <c r="D42" s="865"/>
      <c r="E42" s="212">
        <f>SUBTOTAL(9,E39:E41)</f>
        <v>3</v>
      </c>
      <c r="F42" s="212">
        <f>SUBTOTAL(9,F39:F41)</f>
        <v>36</v>
      </c>
    </row>
    <row r="43" spans="1:6" s="1" customFormat="1" ht="13.9" thickBot="1" x14ac:dyDescent="0.3">
      <c r="A43" s="244"/>
      <c r="B43" s="359"/>
      <c r="C43" s="358"/>
      <c r="D43" s="359"/>
      <c r="E43" s="359"/>
      <c r="F43" s="246"/>
    </row>
    <row r="44" spans="1:6" s="1" customFormat="1" ht="13.5" thickBot="1" x14ac:dyDescent="0.25">
      <c r="A44" s="331" t="s">
        <v>361</v>
      </c>
      <c r="B44" s="484"/>
      <c r="C44" s="986" t="s">
        <v>550</v>
      </c>
      <c r="D44" s="987"/>
      <c r="E44" s="987"/>
      <c r="F44" s="988"/>
    </row>
    <row r="45" spans="1:6" s="1" customFormat="1" x14ac:dyDescent="0.2">
      <c r="A45" s="175" t="s">
        <v>173</v>
      </c>
      <c r="B45" s="137" t="s">
        <v>1442</v>
      </c>
      <c r="C45" s="181" t="s">
        <v>1454</v>
      </c>
      <c r="D45" s="137">
        <v>12</v>
      </c>
      <c r="E45" s="137">
        <v>1</v>
      </c>
      <c r="F45" s="138">
        <f>ROUND(E45*D45,0)</f>
        <v>12</v>
      </c>
    </row>
    <row r="46" spans="1:6" s="1" customFormat="1" ht="13.9" thickBot="1" x14ac:dyDescent="0.3">
      <c r="A46" s="409"/>
      <c r="B46" s="411"/>
      <c r="C46" s="410"/>
      <c r="D46" s="411"/>
      <c r="E46" s="411"/>
      <c r="F46" s="412"/>
    </row>
    <row r="47" spans="1:6" ht="13.9" thickBot="1" x14ac:dyDescent="0.35">
      <c r="A47" s="864" t="str">
        <f>"TOTAL DE VEÍCULOS - "&amp;C44&amp;":"</f>
        <v>TOTAL DE VEÍCULOS - COORDENAÇÃO GERAL:</v>
      </c>
      <c r="B47" s="865"/>
      <c r="C47" s="865"/>
      <c r="D47" s="865"/>
      <c r="E47" s="212">
        <f>SUBTOTAL(9,E44:E46)</f>
        <v>1</v>
      </c>
      <c r="F47" s="212">
        <f>SUBTOTAL(9,F44:F46)</f>
        <v>12</v>
      </c>
    </row>
    <row r="48" spans="1:6" s="1" customFormat="1" ht="13.5" thickBot="1" x14ac:dyDescent="0.25">
      <c r="A48" s="244"/>
      <c r="B48" s="359"/>
      <c r="C48" s="358"/>
      <c r="D48" s="359"/>
      <c r="E48" s="359"/>
      <c r="F48" s="246"/>
    </row>
    <row r="49" spans="1:6" s="1" customFormat="1" ht="13.5" thickBot="1" x14ac:dyDescent="0.25">
      <c r="A49" s="331" t="s">
        <v>362</v>
      </c>
      <c r="B49" s="484"/>
      <c r="C49" s="986" t="s">
        <v>1434</v>
      </c>
      <c r="D49" s="987"/>
      <c r="E49" s="987"/>
      <c r="F49" s="988"/>
    </row>
    <row r="50" spans="1:6" s="1" customFormat="1" x14ac:dyDescent="0.2">
      <c r="A50" s="175" t="s">
        <v>238</v>
      </c>
      <c r="B50" s="137" t="s">
        <v>1442</v>
      </c>
      <c r="C50" s="181" t="s">
        <v>1454</v>
      </c>
      <c r="D50" s="137">
        <v>12</v>
      </c>
      <c r="E50" s="137">
        <v>1</v>
      </c>
      <c r="F50" s="138">
        <f>ROUND(E50*D50,0)</f>
        <v>12</v>
      </c>
    </row>
    <row r="51" spans="1:6" s="1" customFormat="1" ht="13.5" thickBot="1" x14ac:dyDescent="0.25">
      <c r="A51" s="409"/>
      <c r="B51" s="411"/>
      <c r="C51" s="410"/>
      <c r="D51" s="411"/>
      <c r="E51" s="411"/>
      <c r="F51" s="412"/>
    </row>
    <row r="52" spans="1:6" ht="13.5" thickBot="1" x14ac:dyDescent="0.3">
      <c r="A52" s="864" t="str">
        <f>"TOTAL DE VEÍCULOS - "&amp;C49&amp;":"</f>
        <v>TOTAL DE VEÍCULOS - COORDENAÇÃO OPERAÇÃO:</v>
      </c>
      <c r="B52" s="865"/>
      <c r="C52" s="865"/>
      <c r="D52" s="865"/>
      <c r="E52" s="212">
        <f>SUBTOTAL(9,E49:E51)</f>
        <v>1</v>
      </c>
      <c r="F52" s="212">
        <f>SUBTOTAL(9,F49:F51)</f>
        <v>12</v>
      </c>
    </row>
    <row r="53" spans="1:6" s="1" customFormat="1" ht="13.5" thickBot="1" x14ac:dyDescent="0.25">
      <c r="A53" s="244"/>
      <c r="B53" s="359"/>
      <c r="C53" s="358"/>
      <c r="D53" s="359"/>
      <c r="E53" s="359"/>
      <c r="F53" s="246"/>
    </row>
    <row r="54" spans="1:6" s="1" customFormat="1" ht="13.5" thickBot="1" x14ac:dyDescent="0.25">
      <c r="A54" s="331" t="s">
        <v>381</v>
      </c>
      <c r="B54" s="484"/>
      <c r="C54" s="986" t="s">
        <v>1435</v>
      </c>
      <c r="D54" s="987"/>
      <c r="E54" s="987"/>
      <c r="F54" s="988"/>
    </row>
    <row r="55" spans="1:6" s="1" customFormat="1" x14ac:dyDescent="0.2">
      <c r="A55" s="175" t="s">
        <v>295</v>
      </c>
      <c r="B55" s="137" t="s">
        <v>1442</v>
      </c>
      <c r="C55" s="181" t="s">
        <v>1454</v>
      </c>
      <c r="D55" s="137">
        <v>12</v>
      </c>
      <c r="E55" s="137">
        <v>1</v>
      </c>
      <c r="F55" s="138">
        <f>ROUND(E55*D55,0)</f>
        <v>12</v>
      </c>
    </row>
    <row r="56" spans="1:6" s="1" customFormat="1" ht="13.5" thickBot="1" x14ac:dyDescent="0.25">
      <c r="A56" s="409"/>
      <c r="B56" s="411"/>
      <c r="C56" s="410"/>
      <c r="D56" s="411"/>
      <c r="E56" s="411"/>
      <c r="F56" s="412"/>
    </row>
    <row r="57" spans="1:6" ht="13.5" thickBot="1" x14ac:dyDescent="0.3">
      <c r="A57" s="864" t="str">
        <f>"TOTAL DE VEÍCULOS - "&amp;C54&amp;":"</f>
        <v>TOTAL DE VEÍCULOS - COORDENAÇÃO MANUTENÇÃO:</v>
      </c>
      <c r="B57" s="865"/>
      <c r="C57" s="865"/>
      <c r="D57" s="865"/>
      <c r="E57" s="212">
        <f>SUBTOTAL(9,E54:E56)</f>
        <v>1</v>
      </c>
      <c r="F57" s="212">
        <f>SUBTOTAL(9,F54:F56)</f>
        <v>12</v>
      </c>
    </row>
    <row r="58" spans="1:6" s="1" customFormat="1" ht="13.5" thickBot="1" x14ac:dyDescent="0.25">
      <c r="A58" s="244"/>
      <c r="B58" s="359"/>
      <c r="C58" s="358"/>
      <c r="D58" s="359"/>
      <c r="E58" s="359"/>
      <c r="F58" s="246"/>
    </row>
    <row r="59" spans="1:6" s="1" customFormat="1" ht="13.5" thickBot="1" x14ac:dyDescent="0.25">
      <c r="A59" s="331" t="s">
        <v>382</v>
      </c>
      <c r="B59" s="484"/>
      <c r="C59" s="986" t="s">
        <v>557</v>
      </c>
      <c r="D59" s="987"/>
      <c r="E59" s="987"/>
      <c r="F59" s="988"/>
    </row>
    <row r="60" spans="1:6" s="1" customFormat="1" x14ac:dyDescent="0.2">
      <c r="A60" s="175" t="s">
        <v>383</v>
      </c>
      <c r="B60" s="137" t="s">
        <v>1442</v>
      </c>
      <c r="C60" s="181" t="s">
        <v>1454</v>
      </c>
      <c r="D60" s="137">
        <v>12</v>
      </c>
      <c r="E60" s="137">
        <v>4</v>
      </c>
      <c r="F60" s="138">
        <f>ROUND(E60*D60,0)</f>
        <v>48</v>
      </c>
    </row>
    <row r="61" spans="1:6" s="1" customFormat="1" x14ac:dyDescent="0.2">
      <c r="A61" s="409" t="s">
        <v>384</v>
      </c>
      <c r="B61" s="411" t="s">
        <v>475</v>
      </c>
      <c r="C61" s="410" t="s">
        <v>1452</v>
      </c>
      <c r="D61" s="411">
        <v>12</v>
      </c>
      <c r="E61" s="411">
        <v>1</v>
      </c>
      <c r="F61" s="412">
        <f>ROUND(E61*D61,0)</f>
        <v>12</v>
      </c>
    </row>
    <row r="62" spans="1:6" s="1" customFormat="1" x14ac:dyDescent="0.2">
      <c r="A62" s="409" t="s">
        <v>385</v>
      </c>
      <c r="B62" s="411" t="s">
        <v>477</v>
      </c>
      <c r="C62" s="410" t="s">
        <v>1453</v>
      </c>
      <c r="D62" s="411">
        <v>12</v>
      </c>
      <c r="E62" s="411">
        <v>2</v>
      </c>
      <c r="F62" s="412">
        <f>ROUND(E62*D62,0)</f>
        <v>24</v>
      </c>
    </row>
    <row r="63" spans="1:6" s="1" customFormat="1" x14ac:dyDescent="0.2">
      <c r="A63" s="409" t="s">
        <v>1443</v>
      </c>
      <c r="B63" s="411" t="s">
        <v>485</v>
      </c>
      <c r="C63" s="410" t="s">
        <v>1455</v>
      </c>
      <c r="D63" s="411">
        <v>12</v>
      </c>
      <c r="E63" s="411">
        <v>1</v>
      </c>
      <c r="F63" s="412">
        <f>ROUND(E63*D63,0)</f>
        <v>12</v>
      </c>
    </row>
    <row r="64" spans="1:6" s="1" customFormat="1" ht="13.5" thickBot="1" x14ac:dyDescent="0.25">
      <c r="A64" s="409"/>
      <c r="B64" s="411"/>
      <c r="C64" s="410"/>
      <c r="D64" s="411"/>
      <c r="E64" s="411"/>
      <c r="F64" s="412"/>
    </row>
    <row r="65" spans="1:6" ht="13.5" thickBot="1" x14ac:dyDescent="0.3">
      <c r="A65" s="864" t="str">
        <f>"TOTAL DE VEÍCULOS - "&amp;C59&amp;":"</f>
        <v>TOTAL DE VEÍCULOS - COORDENAÇÃO ADMINISTRAÇÃO E LOGÍSTICA:</v>
      </c>
      <c r="B65" s="865"/>
      <c r="C65" s="865"/>
      <c r="D65" s="865"/>
      <c r="E65" s="212">
        <f>SUBTOTAL(9,E62:E64)</f>
        <v>3</v>
      </c>
      <c r="F65" s="212">
        <f>SUBTOTAL(9,F62:F64)</f>
        <v>36</v>
      </c>
    </row>
    <row r="66" spans="1:6" s="1" customFormat="1" ht="13.5" thickBot="1" x14ac:dyDescent="0.25">
      <c r="A66" s="244"/>
      <c r="B66" s="359"/>
      <c r="C66" s="358"/>
      <c r="D66" s="359"/>
      <c r="E66" s="359"/>
      <c r="F66" s="246"/>
    </row>
    <row r="67" spans="1:6" s="1" customFormat="1" ht="13.5" thickBot="1" x14ac:dyDescent="0.25">
      <c r="A67" s="331" t="s">
        <v>389</v>
      </c>
      <c r="B67" s="484"/>
      <c r="C67" s="986" t="s">
        <v>566</v>
      </c>
      <c r="D67" s="987"/>
      <c r="E67" s="987"/>
      <c r="F67" s="988"/>
    </row>
    <row r="68" spans="1:6" s="1" customFormat="1" x14ac:dyDescent="0.2">
      <c r="A68" s="409" t="s">
        <v>386</v>
      </c>
      <c r="B68" s="411" t="s">
        <v>475</v>
      </c>
      <c r="C68" s="410" t="s">
        <v>1452</v>
      </c>
      <c r="D68" s="411">
        <v>12</v>
      </c>
      <c r="E68" s="411">
        <v>5</v>
      </c>
      <c r="F68" s="412">
        <f>ROUND(E68*D68,0)</f>
        <v>60</v>
      </c>
    </row>
    <row r="69" spans="1:6" s="1" customFormat="1" ht="13.5" thickBot="1" x14ac:dyDescent="0.25">
      <c r="A69" s="409"/>
      <c r="B69" s="411"/>
      <c r="C69" s="410"/>
      <c r="D69" s="411"/>
      <c r="E69" s="411"/>
      <c r="F69" s="412"/>
    </row>
    <row r="70" spans="1:6" ht="13.5" thickBot="1" x14ac:dyDescent="0.3">
      <c r="A70" s="864" t="str">
        <f>"TOTAL DE VEÍCULOS - "&amp;C67&amp;":"</f>
        <v>TOTAL DE VEÍCULOS - COORDENAÇÃO SEGURANÇA E MEDICINA DO TRABALHO:</v>
      </c>
      <c r="B70" s="865"/>
      <c r="C70" s="865"/>
      <c r="D70" s="865"/>
      <c r="E70" s="212">
        <f>SUBTOTAL(9,E67:E69)</f>
        <v>5</v>
      </c>
      <c r="F70" s="212">
        <f>SUBTOTAL(9,F67:F69)</f>
        <v>60</v>
      </c>
    </row>
    <row r="71" spans="1:6" s="1" customFormat="1" ht="13.5" thickBot="1" x14ac:dyDescent="0.25">
      <c r="A71" s="244"/>
      <c r="B71" s="359"/>
      <c r="C71" s="358"/>
      <c r="D71" s="359"/>
      <c r="E71" s="359"/>
      <c r="F71" s="246"/>
    </row>
    <row r="72" spans="1:6" s="1" customFormat="1" ht="13.5" thickBot="1" x14ac:dyDescent="0.25">
      <c r="A72" s="331" t="s">
        <v>392</v>
      </c>
      <c r="B72" s="484"/>
      <c r="C72" s="986" t="s">
        <v>1436</v>
      </c>
      <c r="D72" s="987"/>
      <c r="E72" s="987"/>
      <c r="F72" s="988"/>
    </row>
    <row r="73" spans="1:6" s="1" customFormat="1" x14ac:dyDescent="0.2">
      <c r="A73" s="175" t="s">
        <v>393</v>
      </c>
      <c r="B73" s="137" t="s">
        <v>1442</v>
      </c>
      <c r="C73" s="181" t="s">
        <v>1454</v>
      </c>
      <c r="D73" s="137">
        <v>12</v>
      </c>
      <c r="E73" s="137">
        <v>1</v>
      </c>
      <c r="F73" s="138">
        <f>ROUND(E73*D73,0)</f>
        <v>12</v>
      </c>
    </row>
    <row r="74" spans="1:6" s="1" customFormat="1" ht="13.5" thickBot="1" x14ac:dyDescent="0.25">
      <c r="A74" s="409"/>
      <c r="B74" s="411"/>
      <c r="C74" s="410"/>
      <c r="D74" s="411"/>
      <c r="E74" s="411"/>
      <c r="F74" s="412"/>
    </row>
    <row r="75" spans="1:6" ht="13.5" thickBot="1" x14ac:dyDescent="0.3">
      <c r="A75" s="864" t="str">
        <f>"TOTAL DE VEÍCULOS - "&amp;C72&amp;":"</f>
        <v>TOTAL DE VEÍCULOS - COORDENAÇÃO SEGURANÇA DE BARRAGEM:</v>
      </c>
      <c r="B75" s="865"/>
      <c r="C75" s="865"/>
      <c r="D75" s="865"/>
      <c r="E75" s="212">
        <f>SUBTOTAL(9,E72:E74)</f>
        <v>1</v>
      </c>
      <c r="F75" s="212">
        <f>SUBTOTAL(9,F72:F74)</f>
        <v>12</v>
      </c>
    </row>
    <row r="76" spans="1:6" s="1" customFormat="1" ht="13.5" thickBot="1" x14ac:dyDescent="0.25">
      <c r="A76" s="244"/>
      <c r="B76" s="359"/>
      <c r="C76" s="358"/>
      <c r="D76" s="359"/>
      <c r="E76" s="359"/>
      <c r="F76" s="246"/>
    </row>
    <row r="77" spans="1:6" s="1" customFormat="1" ht="13.5" thickBot="1" x14ac:dyDescent="0.25">
      <c r="A77" s="331" t="s">
        <v>441</v>
      </c>
      <c r="B77" s="484"/>
      <c r="C77" s="986" t="s">
        <v>578</v>
      </c>
      <c r="D77" s="987"/>
      <c r="E77" s="987"/>
      <c r="F77" s="988"/>
    </row>
    <row r="78" spans="1:6" s="1" customFormat="1" x14ac:dyDescent="0.2">
      <c r="A78" s="175" t="s">
        <v>365</v>
      </c>
      <c r="B78" s="137" t="s">
        <v>1442</v>
      </c>
      <c r="C78" s="181" t="s">
        <v>1454</v>
      </c>
      <c r="D78" s="137">
        <v>12</v>
      </c>
      <c r="E78" s="137">
        <v>2</v>
      </c>
      <c r="F78" s="138">
        <f>ROUND(E78*D78,0)</f>
        <v>24</v>
      </c>
    </row>
    <row r="79" spans="1:6" s="1" customFormat="1" x14ac:dyDescent="0.2">
      <c r="A79" s="409" t="s">
        <v>987</v>
      </c>
      <c r="B79" s="411" t="s">
        <v>475</v>
      </c>
      <c r="C79" s="410" t="s">
        <v>1452</v>
      </c>
      <c r="D79" s="411">
        <v>12</v>
      </c>
      <c r="E79" s="411">
        <v>3</v>
      </c>
      <c r="F79" s="412">
        <f>ROUND(E79*D79,0)</f>
        <v>36</v>
      </c>
    </row>
    <row r="80" spans="1:6" s="1" customFormat="1" ht="13.5" thickBot="1" x14ac:dyDescent="0.25">
      <c r="A80" s="409"/>
      <c r="B80" s="411"/>
      <c r="C80" s="410"/>
      <c r="D80" s="411"/>
      <c r="E80" s="411"/>
      <c r="F80" s="412"/>
    </row>
    <row r="81" spans="1:6" ht="13.5" thickBot="1" x14ac:dyDescent="0.3">
      <c r="A81" s="864" t="str">
        <f>"TOTAL DE VEÍCULOS - "&amp;C77&amp;":"</f>
        <v>TOTAL DE VEÍCULOS - PLANEJAMENTO E CONTROLE DA MANUTENÇÃO:</v>
      </c>
      <c r="B81" s="865"/>
      <c r="C81" s="865"/>
      <c r="D81" s="865"/>
      <c r="E81" s="212">
        <f>SUBTOTAL(9,E78:E80)</f>
        <v>5</v>
      </c>
      <c r="F81" s="212">
        <f>SUBTOTAL(9,F78:F80)</f>
        <v>60</v>
      </c>
    </row>
    <row r="82" spans="1:6" s="1" customFormat="1" ht="13.5" thickBot="1" x14ac:dyDescent="0.25">
      <c r="A82" s="244"/>
      <c r="B82" s="359"/>
      <c r="C82" s="358"/>
      <c r="D82" s="359"/>
      <c r="E82" s="359"/>
      <c r="F82" s="246"/>
    </row>
    <row r="83" spans="1:6" s="1" customFormat="1" ht="13.5" thickBot="1" x14ac:dyDescent="0.25">
      <c r="A83" s="331" t="s">
        <v>442</v>
      </c>
      <c r="B83" s="484"/>
      <c r="C83" s="986" t="s">
        <v>595</v>
      </c>
      <c r="D83" s="987"/>
      <c r="E83" s="987"/>
      <c r="F83" s="988"/>
    </row>
    <row r="84" spans="1:6" s="1" customFormat="1" x14ac:dyDescent="0.2">
      <c r="A84" s="409" t="s">
        <v>996</v>
      </c>
      <c r="B84" s="411" t="s">
        <v>475</v>
      </c>
      <c r="C84" s="410" t="s">
        <v>1452</v>
      </c>
      <c r="D84" s="411">
        <v>12</v>
      </c>
      <c r="E84" s="411">
        <v>1</v>
      </c>
      <c r="F84" s="412">
        <f>ROUND(E84*D84,0)</f>
        <v>12</v>
      </c>
    </row>
    <row r="85" spans="1:6" s="1" customFormat="1" ht="25.5" x14ac:dyDescent="0.2">
      <c r="A85" s="409" t="s">
        <v>997</v>
      </c>
      <c r="B85" s="411" t="s">
        <v>481</v>
      </c>
      <c r="C85" s="410" t="s">
        <v>1457</v>
      </c>
      <c r="D85" s="411">
        <v>12</v>
      </c>
      <c r="E85" s="411">
        <v>3</v>
      </c>
      <c r="F85" s="412">
        <f>ROUND(E85*D85,0)</f>
        <v>36</v>
      </c>
    </row>
    <row r="86" spans="1:6" s="1" customFormat="1" ht="25.5" x14ac:dyDescent="0.2">
      <c r="A86" s="409" t="s">
        <v>998</v>
      </c>
      <c r="B86" s="411" t="s">
        <v>483</v>
      </c>
      <c r="C86" s="410" t="s">
        <v>1456</v>
      </c>
      <c r="D86" s="411">
        <v>12</v>
      </c>
      <c r="E86" s="411">
        <v>2</v>
      </c>
      <c r="F86" s="412">
        <f>ROUND(E86*D86,0)</f>
        <v>24</v>
      </c>
    </row>
    <row r="87" spans="1:6" s="1" customFormat="1" ht="13.5" thickBot="1" x14ac:dyDescent="0.25">
      <c r="A87" s="409"/>
      <c r="B87" s="411"/>
      <c r="C87" s="410"/>
      <c r="D87" s="411"/>
      <c r="E87" s="411"/>
      <c r="F87" s="412"/>
    </row>
    <row r="88" spans="1:6" ht="13.5" thickBot="1" x14ac:dyDescent="0.3">
      <c r="A88" s="864" t="str">
        <f>"TOTAL DE VEÍCULOS - "&amp;C83&amp;":"</f>
        <v>TOTAL DE VEÍCULOS - OPERAÇÃO:</v>
      </c>
      <c r="B88" s="865"/>
      <c r="C88" s="865"/>
      <c r="D88" s="865"/>
      <c r="E88" s="212">
        <f>SUBTOTAL(9,E85:E87)</f>
        <v>5</v>
      </c>
      <c r="F88" s="212">
        <f>SUBTOTAL(9,F85:F87)</f>
        <v>60</v>
      </c>
    </row>
    <row r="89" spans="1:6" s="1" customFormat="1" ht="13.5" thickBot="1" x14ac:dyDescent="0.25">
      <c r="A89" s="244"/>
      <c r="B89" s="359"/>
      <c r="C89" s="358"/>
      <c r="D89" s="359"/>
      <c r="E89" s="359"/>
      <c r="F89" s="246"/>
    </row>
    <row r="90" spans="1:6" ht="13.5" thickBot="1" x14ac:dyDescent="0.3">
      <c r="A90" s="331" t="s">
        <v>608</v>
      </c>
      <c r="B90" s="484"/>
      <c r="C90" s="986" t="s">
        <v>1449</v>
      </c>
      <c r="D90" s="987"/>
      <c r="E90" s="987"/>
      <c r="F90" s="988"/>
    </row>
    <row r="91" spans="1:6" s="1" customFormat="1" x14ac:dyDescent="0.2">
      <c r="A91" s="175" t="s">
        <v>1002</v>
      </c>
      <c r="B91" s="137" t="s">
        <v>1442</v>
      </c>
      <c r="C91" s="181" t="s">
        <v>1454</v>
      </c>
      <c r="D91" s="137">
        <v>12</v>
      </c>
      <c r="E91" s="137">
        <v>4</v>
      </c>
      <c r="F91" s="138">
        <f>ROUND(E91*D91,0)</f>
        <v>48</v>
      </c>
    </row>
    <row r="92" spans="1:6" s="1" customFormat="1" ht="13.5" thickBot="1" x14ac:dyDescent="0.25">
      <c r="A92" s="409"/>
      <c r="B92" s="411"/>
      <c r="C92" s="410"/>
      <c r="D92" s="411"/>
      <c r="E92" s="411"/>
      <c r="F92" s="412"/>
    </row>
    <row r="93" spans="1:6" ht="13.5" thickBot="1" x14ac:dyDescent="0.3">
      <c r="A93" s="864" t="str">
        <f>"TOTAL DE VEÍCULOS - "&amp;C90&amp;":"</f>
        <v>TOTAL DE VEÍCULOS - MANUTENÇÃO MECÂNICA:</v>
      </c>
      <c r="B93" s="865"/>
      <c r="C93" s="865"/>
      <c r="D93" s="865"/>
      <c r="E93" s="212">
        <f>SUBTOTAL(9,E90:E92)</f>
        <v>4</v>
      </c>
      <c r="F93" s="212">
        <f>SUBTOTAL(9,F90:F92)</f>
        <v>48</v>
      </c>
    </row>
    <row r="94" spans="1:6" s="2" customFormat="1" ht="13.5" thickBot="1" x14ac:dyDescent="0.3">
      <c r="A94" s="244"/>
      <c r="B94" s="359"/>
      <c r="C94" s="358"/>
      <c r="D94" s="359"/>
      <c r="E94" s="359"/>
      <c r="F94" s="246"/>
    </row>
    <row r="95" spans="1:6" s="2" customFormat="1" ht="13.5" thickBot="1" x14ac:dyDescent="0.3">
      <c r="A95" s="331" t="s">
        <v>611</v>
      </c>
      <c r="B95" s="484"/>
      <c r="C95" s="986" t="s">
        <v>1448</v>
      </c>
      <c r="D95" s="987"/>
      <c r="E95" s="987"/>
      <c r="F95" s="988"/>
    </row>
    <row r="96" spans="1:6" s="1" customFormat="1" x14ac:dyDescent="0.2">
      <c r="A96" s="175" t="s">
        <v>1007</v>
      </c>
      <c r="B96" s="137" t="s">
        <v>1442</v>
      </c>
      <c r="C96" s="181" t="s">
        <v>1454</v>
      </c>
      <c r="D96" s="137">
        <v>12</v>
      </c>
      <c r="E96" s="137">
        <v>5</v>
      </c>
      <c r="F96" s="138">
        <f>ROUND(E96*D96,0)</f>
        <v>60</v>
      </c>
    </row>
    <row r="97" spans="1:6" s="1" customFormat="1" ht="13.5" thickBot="1" x14ac:dyDescent="0.25">
      <c r="A97" s="409"/>
      <c r="B97" s="411"/>
      <c r="C97" s="410"/>
      <c r="D97" s="411"/>
      <c r="E97" s="411"/>
      <c r="F97" s="412"/>
    </row>
    <row r="98" spans="1:6" ht="13.5" thickBot="1" x14ac:dyDescent="0.3">
      <c r="A98" s="864" t="str">
        <f>"TOTAL DE VEÍCULOS - "&amp;C95&amp;":"</f>
        <v>TOTAL DE VEÍCULOS - MANUTENÇÃO EQUIP. SISTEMA ELÉTRICO:</v>
      </c>
      <c r="B98" s="865"/>
      <c r="C98" s="865"/>
      <c r="D98" s="865"/>
      <c r="E98" s="212">
        <f>SUBTOTAL(9,E95:E97)</f>
        <v>5</v>
      </c>
      <c r="F98" s="212">
        <f>SUBTOTAL(9,F95:F97)</f>
        <v>60</v>
      </c>
    </row>
    <row r="99" spans="1:6" ht="13.5" thickBot="1" x14ac:dyDescent="0.3">
      <c r="A99" s="244"/>
      <c r="B99" s="359"/>
      <c r="C99" s="358"/>
      <c r="D99" s="359"/>
      <c r="E99" s="359"/>
      <c r="F99" s="246"/>
    </row>
    <row r="100" spans="1:6" ht="13.5" thickBot="1" x14ac:dyDescent="0.3">
      <c r="A100" s="331" t="s">
        <v>620</v>
      </c>
      <c r="B100" s="484"/>
      <c r="C100" s="986" t="s">
        <v>1437</v>
      </c>
      <c r="D100" s="987"/>
      <c r="E100" s="987"/>
      <c r="F100" s="988"/>
    </row>
    <row r="101" spans="1:6" s="1" customFormat="1" x14ac:dyDescent="0.2">
      <c r="A101" s="175" t="s">
        <v>1415</v>
      </c>
      <c r="B101" s="137" t="s">
        <v>1442</v>
      </c>
      <c r="C101" s="181" t="s">
        <v>1454</v>
      </c>
      <c r="D101" s="137">
        <v>12</v>
      </c>
      <c r="E101" s="137">
        <v>4</v>
      </c>
      <c r="F101" s="138">
        <f>ROUND(E101*D101,0)</f>
        <v>48</v>
      </c>
    </row>
    <row r="102" spans="1:6" s="1" customFormat="1" ht="13.5" thickBot="1" x14ac:dyDescent="0.25">
      <c r="A102" s="409"/>
      <c r="B102" s="411"/>
      <c r="C102" s="410"/>
      <c r="D102" s="411"/>
      <c r="E102" s="411"/>
      <c r="F102" s="412"/>
    </row>
    <row r="103" spans="1:6" ht="13.5" thickBot="1" x14ac:dyDescent="0.3">
      <c r="A103" s="864" t="str">
        <f>"TOTAL DE VEÍCULOS - "&amp;C100&amp;":"</f>
        <v>TOTAL DE VEÍCULOS - MANUTENÇÃO - SE, LT,LD:</v>
      </c>
      <c r="B103" s="865"/>
      <c r="C103" s="865"/>
      <c r="D103" s="865"/>
      <c r="E103" s="212">
        <f>SUBTOTAL(9,E100:E102)</f>
        <v>4</v>
      </c>
      <c r="F103" s="212">
        <f>SUBTOTAL(9,F100:F102)</f>
        <v>48</v>
      </c>
    </row>
    <row r="104" spans="1:6" ht="13.5" thickBot="1" x14ac:dyDescent="0.3">
      <c r="A104" s="244"/>
      <c r="B104" s="359"/>
      <c r="C104" s="358"/>
      <c r="D104" s="359"/>
      <c r="E104" s="359"/>
      <c r="F104" s="246"/>
    </row>
    <row r="105" spans="1:6" ht="13.5" thickBot="1" x14ac:dyDescent="0.3">
      <c r="A105" s="331" t="s">
        <v>621</v>
      </c>
      <c r="B105" s="484"/>
      <c r="C105" s="986" t="s">
        <v>1438</v>
      </c>
      <c r="D105" s="987"/>
      <c r="E105" s="987"/>
      <c r="F105" s="988"/>
    </row>
    <row r="106" spans="1:6" s="1" customFormat="1" x14ac:dyDescent="0.2">
      <c r="A106" s="409" t="s">
        <v>1013</v>
      </c>
      <c r="B106" s="411" t="s">
        <v>475</v>
      </c>
      <c r="C106" s="410" t="s">
        <v>1452</v>
      </c>
      <c r="D106" s="411">
        <v>12</v>
      </c>
      <c r="E106" s="411">
        <v>2</v>
      </c>
      <c r="F106" s="412">
        <f>ROUND(E106*D106,0)</f>
        <v>24</v>
      </c>
    </row>
    <row r="107" spans="1:6" s="1" customFormat="1" ht="13.5" thickBot="1" x14ac:dyDescent="0.25">
      <c r="A107" s="409"/>
      <c r="B107" s="411"/>
      <c r="C107" s="410"/>
      <c r="D107" s="411"/>
      <c r="E107" s="411"/>
      <c r="F107" s="412"/>
    </row>
    <row r="108" spans="1:6" ht="13.5" thickBot="1" x14ac:dyDescent="0.3">
      <c r="A108" s="864" t="str">
        <f>"TOTAL DE VEÍCULOS - "&amp;C105&amp;":"</f>
        <v>TOTAL DE VEÍCULOS - MANUTENÇÃO -  SDSC:</v>
      </c>
      <c r="B108" s="865"/>
      <c r="C108" s="865"/>
      <c r="D108" s="865"/>
      <c r="E108" s="212">
        <f>SUBTOTAL(9,E105:E107)</f>
        <v>2</v>
      </c>
      <c r="F108" s="212">
        <f>SUBTOTAL(9,F105:F107)</f>
        <v>24</v>
      </c>
    </row>
    <row r="109" spans="1:6" ht="13.5" thickBot="1" x14ac:dyDescent="0.3">
      <c r="A109" s="244"/>
      <c r="B109" s="359"/>
      <c r="C109" s="358"/>
      <c r="D109" s="359"/>
      <c r="E109" s="359"/>
      <c r="F109" s="246"/>
    </row>
    <row r="110" spans="1:6" ht="13.5" thickBot="1" x14ac:dyDescent="0.3">
      <c r="A110" s="331" t="s">
        <v>623</v>
      </c>
      <c r="B110" s="484"/>
      <c r="C110" s="986" t="s">
        <v>1439</v>
      </c>
      <c r="D110" s="987"/>
      <c r="E110" s="987"/>
      <c r="F110" s="988"/>
    </row>
    <row r="111" spans="1:6" s="1" customFormat="1" x14ac:dyDescent="0.2">
      <c r="A111" s="409" t="s">
        <v>1010</v>
      </c>
      <c r="B111" s="411" t="s">
        <v>475</v>
      </c>
      <c r="C111" s="410" t="s">
        <v>1452</v>
      </c>
      <c r="D111" s="411">
        <v>12</v>
      </c>
      <c r="E111" s="411">
        <v>1</v>
      </c>
      <c r="F111" s="412">
        <f>ROUND(E111*D111,0)</f>
        <v>12</v>
      </c>
    </row>
    <row r="112" spans="1:6" s="1" customFormat="1" ht="13.5" thickBot="1" x14ac:dyDescent="0.25">
      <c r="A112" s="409"/>
      <c r="B112" s="411"/>
      <c r="C112" s="410"/>
      <c r="D112" s="411"/>
      <c r="E112" s="411"/>
      <c r="F112" s="412"/>
    </row>
    <row r="113" spans="1:6" ht="13.5" thickBot="1" x14ac:dyDescent="0.3">
      <c r="A113" s="864" t="str">
        <f>"TOTAL DE VEÍCULOS - "&amp;C110&amp;":"</f>
        <v>TOTAL DE VEÍCULOS - MANUTENÇÃO - SPCS:</v>
      </c>
      <c r="B113" s="865"/>
      <c r="C113" s="865"/>
      <c r="D113" s="865"/>
      <c r="E113" s="212">
        <f>SUBTOTAL(9,E110:E112)</f>
        <v>1</v>
      </c>
      <c r="F113" s="212">
        <f>SUBTOTAL(9,F110:F112)</f>
        <v>12</v>
      </c>
    </row>
    <row r="114" spans="1:6" ht="13.5" thickBot="1" x14ac:dyDescent="0.3">
      <c r="A114" s="244"/>
      <c r="B114" s="359"/>
      <c r="C114" s="358"/>
      <c r="D114" s="359"/>
      <c r="E114" s="359"/>
      <c r="F114" s="246"/>
    </row>
    <row r="115" spans="1:6" ht="13.5" thickBot="1" x14ac:dyDescent="0.3">
      <c r="A115" s="331" t="s">
        <v>625</v>
      </c>
      <c r="B115" s="484"/>
      <c r="C115" s="986" t="s">
        <v>1440</v>
      </c>
      <c r="D115" s="987"/>
      <c r="E115" s="987"/>
      <c r="F115" s="988"/>
    </row>
    <row r="116" spans="1:6" s="1" customFormat="1" x14ac:dyDescent="0.2">
      <c r="A116" s="175" t="s">
        <v>1015</v>
      </c>
      <c r="B116" s="137" t="s">
        <v>1442</v>
      </c>
      <c r="C116" s="181" t="s">
        <v>1454</v>
      </c>
      <c r="D116" s="137">
        <v>12</v>
      </c>
      <c r="E116" s="137">
        <v>2</v>
      </c>
      <c r="F116" s="138">
        <f>ROUND(E116*D116,0)</f>
        <v>24</v>
      </c>
    </row>
    <row r="117" spans="1:6" s="1" customFormat="1" ht="13.5" thickBot="1" x14ac:dyDescent="0.25">
      <c r="A117" s="409"/>
      <c r="B117" s="411"/>
      <c r="C117" s="410"/>
      <c r="D117" s="411"/>
      <c r="E117" s="411"/>
      <c r="F117" s="412"/>
    </row>
    <row r="118" spans="1:6" ht="13.5" thickBot="1" x14ac:dyDescent="0.3">
      <c r="A118" s="864" t="str">
        <f>"TOTAL DE VEÍCULOS - "&amp;C115&amp;":"</f>
        <v>TOTAL DE VEÍCULOS - MANUTENÇÃO - TELECOM:</v>
      </c>
      <c r="B118" s="865"/>
      <c r="C118" s="865"/>
      <c r="D118" s="865"/>
      <c r="E118" s="212">
        <f>SUBTOTAL(9,E115:E117)</f>
        <v>2</v>
      </c>
      <c r="F118" s="212">
        <f>SUBTOTAL(9,F115:F117)</f>
        <v>24</v>
      </c>
    </row>
    <row r="119" spans="1:6" ht="13.5" thickBot="1" x14ac:dyDescent="0.3">
      <c r="A119" s="244"/>
      <c r="B119" s="359"/>
      <c r="C119" s="358"/>
      <c r="D119" s="359"/>
      <c r="E119" s="359"/>
      <c r="F119" s="246"/>
    </row>
    <row r="120" spans="1:6" ht="13.5" thickBot="1" x14ac:dyDescent="0.3">
      <c r="A120" s="331" t="s">
        <v>627</v>
      </c>
      <c r="B120" s="484"/>
      <c r="C120" s="986" t="s">
        <v>1447</v>
      </c>
      <c r="D120" s="987"/>
      <c r="E120" s="987"/>
      <c r="F120" s="988"/>
    </row>
    <row r="121" spans="1:6" s="1" customFormat="1" x14ac:dyDescent="0.2">
      <c r="A121" s="175" t="s">
        <v>1017</v>
      </c>
      <c r="B121" s="137" t="s">
        <v>1442</v>
      </c>
      <c r="C121" s="181" t="s">
        <v>1454</v>
      </c>
      <c r="D121" s="137">
        <v>12</v>
      </c>
      <c r="E121" s="137">
        <v>2</v>
      </c>
      <c r="F121" s="138">
        <f>ROUND(E121*D121,0)</f>
        <v>24</v>
      </c>
    </row>
    <row r="122" spans="1:6" s="1" customFormat="1" x14ac:dyDescent="0.2">
      <c r="A122" s="409" t="s">
        <v>1444</v>
      </c>
      <c r="B122" s="411" t="s">
        <v>475</v>
      </c>
      <c r="C122" s="410" t="s">
        <v>1452</v>
      </c>
      <c r="D122" s="411">
        <v>12</v>
      </c>
      <c r="E122" s="411">
        <v>4</v>
      </c>
      <c r="F122" s="412">
        <f>ROUND(E122*D122,0)</f>
        <v>48</v>
      </c>
    </row>
    <row r="123" spans="1:6" s="1" customFormat="1" x14ac:dyDescent="0.2">
      <c r="A123" s="409" t="s">
        <v>1445</v>
      </c>
      <c r="B123" s="411" t="s">
        <v>485</v>
      </c>
      <c r="C123" s="410" t="s">
        <v>1455</v>
      </c>
      <c r="D123" s="411">
        <v>12</v>
      </c>
      <c r="E123" s="411">
        <v>3</v>
      </c>
      <c r="F123" s="412">
        <f>ROUND(E123*D123,0)</f>
        <v>36</v>
      </c>
    </row>
    <row r="124" spans="1:6" s="1" customFormat="1" ht="13.5" thickBot="1" x14ac:dyDescent="0.25">
      <c r="A124" s="413"/>
      <c r="B124" s="415"/>
      <c r="C124" s="414"/>
      <c r="D124" s="415"/>
      <c r="E124" s="415"/>
      <c r="F124" s="416"/>
    </row>
    <row r="125" spans="1:6" ht="13.5" thickBot="1" x14ac:dyDescent="0.3">
      <c r="A125" s="864" t="str">
        <f>"TOTAL DE VEÍCULOS - "&amp;C120&amp;":"</f>
        <v>TOTAL DE VEÍCULOS - MANUTENÇÃO CIVIL:</v>
      </c>
      <c r="B125" s="865"/>
      <c r="C125" s="865"/>
      <c r="D125" s="865"/>
      <c r="E125" s="212">
        <f>SUBTOTAL(9,E122:E124)</f>
        <v>7</v>
      </c>
      <c r="F125" s="212">
        <f>SUBTOTAL(9,F122:F124)</f>
        <v>84</v>
      </c>
    </row>
    <row r="126" spans="1:6" s="78" customFormat="1" x14ac:dyDescent="0.25">
      <c r="A126" s="72"/>
    </row>
    <row r="127" spans="1:6" s="78" customFormat="1" ht="13.5" thickBot="1" x14ac:dyDescent="0.3">
      <c r="A127" s="72"/>
    </row>
    <row r="128" spans="1:6" s="78" customFormat="1" x14ac:dyDescent="0.25">
      <c r="A128" s="704" t="s">
        <v>422</v>
      </c>
      <c r="B128" s="736"/>
      <c r="C128" s="705"/>
      <c r="D128" s="706"/>
      <c r="E128" s="704" t="s">
        <v>423</v>
      </c>
      <c r="F128" s="706"/>
    </row>
    <row r="129" spans="1:6" s="78" customFormat="1" ht="13.5" thickBot="1" x14ac:dyDescent="0.3">
      <c r="A129" s="701"/>
      <c r="B129" s="702"/>
      <c r="C129" s="702"/>
      <c r="D129" s="703"/>
      <c r="E129" s="701"/>
      <c r="F129" s="703"/>
    </row>
    <row r="130" spans="1:6" s="78" customFormat="1" x14ac:dyDescent="0.25">
      <c r="A130" s="704" t="s">
        <v>424</v>
      </c>
      <c r="B130" s="736"/>
      <c r="C130" s="705"/>
      <c r="D130" s="706"/>
      <c r="E130" s="704" t="s">
        <v>425</v>
      </c>
      <c r="F130" s="706"/>
    </row>
    <row r="131" spans="1:6" s="78" customFormat="1" ht="13.5" thickBot="1" x14ac:dyDescent="0.3">
      <c r="A131" s="701"/>
      <c r="B131" s="702"/>
      <c r="C131" s="702"/>
      <c r="D131" s="703"/>
      <c r="E131" s="701"/>
      <c r="F131" s="703"/>
    </row>
    <row r="132" spans="1:6" s="78" customFormat="1" x14ac:dyDescent="0.25">
      <c r="A132" s="831" t="s">
        <v>426</v>
      </c>
      <c r="B132" s="832"/>
      <c r="C132" s="985"/>
      <c r="D132" s="985"/>
      <c r="E132" s="985"/>
      <c r="F132" s="833"/>
    </row>
    <row r="133" spans="1:6" s="78" customFormat="1" x14ac:dyDescent="0.25">
      <c r="A133" s="982" t="s">
        <v>1485</v>
      </c>
      <c r="B133" s="983"/>
      <c r="C133" s="983"/>
      <c r="D133" s="983"/>
      <c r="E133" s="983"/>
      <c r="F133" s="984"/>
    </row>
    <row r="134" spans="1:6" s="78" customFormat="1" x14ac:dyDescent="0.25">
      <c r="A134" s="982" t="s">
        <v>1433</v>
      </c>
      <c r="B134" s="983"/>
      <c r="C134" s="983"/>
      <c r="D134" s="983"/>
      <c r="E134" s="983"/>
      <c r="F134" s="984"/>
    </row>
    <row r="135" spans="1:6" s="78" customFormat="1" x14ac:dyDescent="0.25">
      <c r="A135" s="982" t="s">
        <v>1446</v>
      </c>
      <c r="B135" s="983"/>
      <c r="C135" s="983"/>
      <c r="D135" s="983"/>
      <c r="E135" s="983"/>
      <c r="F135" s="984"/>
    </row>
    <row r="136" spans="1:6" ht="13.5" thickBot="1" x14ac:dyDescent="0.3">
      <c r="A136" s="979"/>
      <c r="B136" s="980"/>
      <c r="C136" s="980"/>
      <c r="D136" s="980"/>
      <c r="E136" s="980"/>
      <c r="F136" s="981"/>
    </row>
  </sheetData>
  <autoFilter ref="A38:I128"/>
  <mergeCells count="65">
    <mergeCell ref="A8:F8"/>
    <mergeCell ref="A5:F6"/>
    <mergeCell ref="C1:F1"/>
    <mergeCell ref="C2:F2"/>
    <mergeCell ref="C3:F3"/>
    <mergeCell ref="E130:F130"/>
    <mergeCell ref="A37:A38"/>
    <mergeCell ref="A11:A12"/>
    <mergeCell ref="C11:C12"/>
    <mergeCell ref="D11:E11"/>
    <mergeCell ref="F11:F12"/>
    <mergeCell ref="E37:F37"/>
    <mergeCell ref="D37:D38"/>
    <mergeCell ref="C37:C38"/>
    <mergeCell ref="A93:D93"/>
    <mergeCell ref="A98:D98"/>
    <mergeCell ref="A103:D103"/>
    <mergeCell ref="C100:F100"/>
    <mergeCell ref="C105:F105"/>
    <mergeCell ref="A125:D125"/>
    <mergeCell ref="C39:F39"/>
    <mergeCell ref="A135:F135"/>
    <mergeCell ref="A136:F136"/>
    <mergeCell ref="A42:D42"/>
    <mergeCell ref="A47:D47"/>
    <mergeCell ref="A52:D52"/>
    <mergeCell ref="A57:D57"/>
    <mergeCell ref="A131:D131"/>
    <mergeCell ref="E131:F131"/>
    <mergeCell ref="A132:F132"/>
    <mergeCell ref="A133:F133"/>
    <mergeCell ref="A134:F134"/>
    <mergeCell ref="A128:D128"/>
    <mergeCell ref="E128:F128"/>
    <mergeCell ref="A129:D129"/>
    <mergeCell ref="E129:F129"/>
    <mergeCell ref="A130:D130"/>
    <mergeCell ref="C95:F95"/>
    <mergeCell ref="C44:F44"/>
    <mergeCell ref="C49:F49"/>
    <mergeCell ref="C54:F54"/>
    <mergeCell ref="C59:F59"/>
    <mergeCell ref="C67:F67"/>
    <mergeCell ref="A65:D65"/>
    <mergeCell ref="B11:B12"/>
    <mergeCell ref="B37:B38"/>
    <mergeCell ref="C72:F72"/>
    <mergeCell ref="C77:F77"/>
    <mergeCell ref="C83:F83"/>
    <mergeCell ref="C110:F110"/>
    <mergeCell ref="C115:F115"/>
    <mergeCell ref="C120:F120"/>
    <mergeCell ref="A34:F34"/>
    <mergeCell ref="C13:F13"/>
    <mergeCell ref="C16:F16"/>
    <mergeCell ref="C21:F21"/>
    <mergeCell ref="C27:F27"/>
    <mergeCell ref="A108:D108"/>
    <mergeCell ref="A113:D113"/>
    <mergeCell ref="A118:D118"/>
    <mergeCell ref="A88:D88"/>
    <mergeCell ref="A70:D70"/>
    <mergeCell ref="A75:D75"/>
    <mergeCell ref="A81:D81"/>
    <mergeCell ref="C90:F90"/>
  </mergeCells>
  <printOptions horizontalCentered="1"/>
  <pageMargins left="0.78740157480314965" right="0.59055118110236227" top="0.59055118110236227" bottom="0.59055118110236227" header="0.19685039370078741" footer="0.19685039370078741"/>
  <pageSetup paperSize="9" scale="68" fitToHeight="100" orientation="portrait" horizontalDpi="4294967294" verticalDpi="4294967294" r:id="rId1"/>
  <headerFooter>
    <oddFooter>&amp;R&amp;"Arial,Normal"&amp;8&amp;F
Página &amp;P de &amp;N</oddFooter>
  </headerFooter>
  <rowBreaks count="1" manualBreakCount="1">
    <brk id="32" max="16383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L24" sqref="L24"/>
    </sheetView>
  </sheetViews>
  <sheetFormatPr defaultColWidth="9.140625" defaultRowHeight="12.75" x14ac:dyDescent="0.25"/>
  <cols>
    <col min="1" max="1" width="8.7109375" style="2" customWidth="1"/>
    <col min="2" max="2" width="14.7109375" style="4" customWidth="1"/>
    <col min="3" max="3" width="60.7109375" style="2" customWidth="1"/>
    <col min="4" max="7" width="14.7109375" style="2" customWidth="1"/>
    <col min="8" max="8" width="9.28515625" style="2" bestFit="1" customWidth="1"/>
    <col min="9" max="9" width="10.28515625" style="2" bestFit="1" customWidth="1"/>
    <col min="10" max="16384" width="9.140625" style="2"/>
  </cols>
  <sheetData>
    <row r="1" spans="1:13" s="89" customFormat="1" x14ac:dyDescent="0.25">
      <c r="A1" s="117"/>
      <c r="B1" s="495"/>
      <c r="C1" s="832" t="s">
        <v>1117</v>
      </c>
      <c r="D1" s="832"/>
      <c r="E1" s="832"/>
      <c r="F1" s="832"/>
      <c r="G1" s="832"/>
    </row>
    <row r="2" spans="1:13" s="89" customFormat="1" x14ac:dyDescent="0.25">
      <c r="A2" s="90"/>
      <c r="B2" s="428"/>
      <c r="C2" s="983" t="s">
        <v>1118</v>
      </c>
      <c r="D2" s="983"/>
      <c r="E2" s="983"/>
      <c r="F2" s="983"/>
      <c r="G2" s="983"/>
    </row>
    <row r="3" spans="1:13" s="89" customFormat="1" ht="13.5" thickBot="1" x14ac:dyDescent="0.3">
      <c r="A3" s="118"/>
      <c r="B3" s="429"/>
      <c r="C3" s="980" t="s">
        <v>1116</v>
      </c>
      <c r="D3" s="980"/>
      <c r="E3" s="980"/>
      <c r="F3" s="980"/>
      <c r="G3" s="980"/>
    </row>
    <row r="4" spans="1:13" s="78" customFormat="1" ht="13.9" thickBot="1" x14ac:dyDescent="0.35">
      <c r="A4" s="604"/>
      <c r="B4" s="605"/>
    </row>
    <row r="5" spans="1:13" s="78" customFormat="1" x14ac:dyDescent="0.25">
      <c r="A5" s="690" t="s">
        <v>1119</v>
      </c>
      <c r="B5" s="690"/>
      <c r="C5" s="690"/>
      <c r="D5" s="690"/>
      <c r="E5" s="690"/>
      <c r="F5" s="690"/>
      <c r="G5" s="690"/>
    </row>
    <row r="6" spans="1:13" s="78" customFormat="1" ht="13.5" thickBot="1" x14ac:dyDescent="0.3">
      <c r="A6" s="691"/>
      <c r="B6" s="691"/>
      <c r="C6" s="691"/>
      <c r="D6" s="691"/>
      <c r="E6" s="691"/>
      <c r="F6" s="691"/>
      <c r="G6" s="691"/>
    </row>
    <row r="7" spans="1:13" s="78" customFormat="1" ht="13.9" thickBot="1" x14ac:dyDescent="0.35">
      <c r="B7" s="72"/>
      <c r="C7" s="70"/>
      <c r="D7" s="72"/>
    </row>
    <row r="8" spans="1:13" s="21" customFormat="1" ht="13.5" thickBot="1" x14ac:dyDescent="0.3">
      <c r="A8" s="686" t="s">
        <v>1128</v>
      </c>
      <c r="B8" s="687"/>
      <c r="C8" s="687"/>
      <c r="D8" s="687"/>
      <c r="E8" s="687"/>
      <c r="F8" s="687"/>
      <c r="G8" s="688"/>
    </row>
    <row r="9" spans="1:13" s="78" customFormat="1" ht="13.15" x14ac:dyDescent="0.3">
      <c r="B9" s="72"/>
      <c r="C9" s="70"/>
      <c r="D9" s="72"/>
      <c r="J9" s="72"/>
      <c r="K9" s="72"/>
      <c r="L9" s="72"/>
      <c r="M9" s="72"/>
    </row>
    <row r="10" spans="1:13" s="196" customFormat="1" ht="13.9" thickBot="1" x14ac:dyDescent="0.35">
      <c r="B10" s="209"/>
      <c r="E10" s="197"/>
      <c r="F10" s="197"/>
      <c r="G10" s="195"/>
    </row>
    <row r="11" spans="1:13" ht="13.5" thickBot="1" x14ac:dyDescent="0.3">
      <c r="A11" s="730" t="s">
        <v>363</v>
      </c>
      <c r="B11" s="730" t="s">
        <v>363</v>
      </c>
      <c r="C11" s="730" t="s">
        <v>366</v>
      </c>
      <c r="D11" s="730" t="s">
        <v>410</v>
      </c>
      <c r="E11" s="731" t="s">
        <v>364</v>
      </c>
      <c r="F11" s="731" t="s">
        <v>413</v>
      </c>
      <c r="G11" s="731"/>
    </row>
    <row r="12" spans="1:13" ht="13.5" thickBot="1" x14ac:dyDescent="0.3">
      <c r="A12" s="730"/>
      <c r="B12" s="730"/>
      <c r="C12" s="730"/>
      <c r="D12" s="730"/>
      <c r="E12" s="731"/>
      <c r="F12" s="603" t="s">
        <v>412</v>
      </c>
      <c r="G12" s="603" t="s">
        <v>411</v>
      </c>
    </row>
    <row r="13" spans="1:13" s="196" customFormat="1" ht="13.5" thickBot="1" x14ac:dyDescent="0.3">
      <c r="A13" s="344" t="s">
        <v>360</v>
      </c>
      <c r="B13" s="573"/>
      <c r="C13" s="879" t="s">
        <v>1128</v>
      </c>
      <c r="D13" s="880"/>
      <c r="E13" s="880"/>
      <c r="F13" s="880"/>
      <c r="G13" s="881"/>
    </row>
    <row r="14" spans="1:13" s="196" customFormat="1" x14ac:dyDescent="0.25">
      <c r="A14" s="338" t="s">
        <v>124</v>
      </c>
      <c r="B14" s="512" t="s">
        <v>2323</v>
      </c>
      <c r="C14" s="198" t="s">
        <v>955</v>
      </c>
      <c r="D14" s="199" t="s">
        <v>1127</v>
      </c>
      <c r="E14" s="200">
        <f>8*12</f>
        <v>96</v>
      </c>
      <c r="F14" s="139">
        <f>VLOOKUP(B14,B36:F38,5,FALSE)</f>
        <v>390.15</v>
      </c>
      <c r="G14" s="66">
        <f>ROUND(E14*F14,2)</f>
        <v>37454.400000000001</v>
      </c>
      <c r="H14" s="197"/>
      <c r="I14" s="197"/>
    </row>
    <row r="15" spans="1:13" s="196" customFormat="1" x14ac:dyDescent="0.25">
      <c r="A15" s="339" t="s">
        <v>125</v>
      </c>
      <c r="B15" s="450" t="s">
        <v>2322</v>
      </c>
      <c r="C15" s="201" t="s">
        <v>956</v>
      </c>
      <c r="D15" s="202" t="s">
        <v>1127</v>
      </c>
      <c r="E15" s="203">
        <f>8*12</f>
        <v>96</v>
      </c>
      <c r="F15" s="144">
        <f>VLOOKUP(B15,B37:F39,5,FALSE)</f>
        <v>140.44999999999999</v>
      </c>
      <c r="G15" s="204">
        <f>ROUND(E15*F15,2)</f>
        <v>13483.2</v>
      </c>
      <c r="H15" s="197"/>
      <c r="I15" s="197"/>
    </row>
    <row r="16" spans="1:13" ht="13.5" thickBot="1" x14ac:dyDescent="0.3">
      <c r="A16" s="340" t="s">
        <v>126</v>
      </c>
      <c r="B16" s="459" t="s">
        <v>2392</v>
      </c>
      <c r="C16" s="205" t="s">
        <v>686</v>
      </c>
      <c r="D16" s="206" t="s">
        <v>1127</v>
      </c>
      <c r="E16" s="207">
        <f>7*3*12</f>
        <v>252</v>
      </c>
      <c r="F16" s="150">
        <f>VLOOKUP(B16,B38:F40,5,FALSE)</f>
        <v>535.9</v>
      </c>
      <c r="G16" s="207">
        <f>ROUND(E16*F16,2)</f>
        <v>135046.79999999999</v>
      </c>
      <c r="H16" s="10"/>
      <c r="I16" s="10"/>
    </row>
    <row r="17" spans="1:15" s="196" customFormat="1" ht="13.9" thickBot="1" x14ac:dyDescent="0.35">
      <c r="A17" s="723" t="str">
        <f>"TOTAL - "&amp;C13&amp;" - (R$):"</f>
        <v>TOTAL - FRENTES MÓVEIS DE LIMPEZA E CONSERVAÇÃO - (R$):</v>
      </c>
      <c r="B17" s="724"/>
      <c r="C17" s="724"/>
      <c r="D17" s="724"/>
      <c r="E17" s="724"/>
      <c r="F17" s="724"/>
      <c r="G17" s="22">
        <f>SUBTOTAL(9,G14:G16)</f>
        <v>185984.4</v>
      </c>
      <c r="H17" s="197"/>
      <c r="I17" s="197"/>
    </row>
    <row r="18" spans="1:15" ht="13.15" x14ac:dyDescent="0.3">
      <c r="I18" s="20"/>
      <c r="J18" s="20"/>
      <c r="K18" s="20"/>
      <c r="L18" s="20"/>
      <c r="M18" s="20"/>
      <c r="N18" s="20"/>
      <c r="O18" s="20"/>
    </row>
    <row r="19" spans="1:15" ht="13.9" thickBot="1" x14ac:dyDescent="0.35">
      <c r="I19" s="20"/>
      <c r="J19" s="20"/>
      <c r="K19" s="20"/>
      <c r="L19" s="20"/>
      <c r="M19" s="20"/>
      <c r="N19" s="20"/>
      <c r="O19" s="20"/>
    </row>
    <row r="20" spans="1:15" ht="13.9" thickBot="1" x14ac:dyDescent="0.35">
      <c r="A20" s="733" t="str">
        <f>"RESUMO - "&amp;A$8</f>
        <v>RESUMO - FRENTES MÓVEIS DE LIMPEZA E CONSERVAÇÃO</v>
      </c>
      <c r="B20" s="734"/>
      <c r="C20" s="734"/>
      <c r="D20" s="734"/>
      <c r="E20" s="734"/>
      <c r="F20" s="734"/>
      <c r="G20" s="735"/>
    </row>
    <row r="21" spans="1:15" ht="13.5" thickBot="1" x14ac:dyDescent="0.3">
      <c r="A21" s="602" t="s">
        <v>363</v>
      </c>
      <c r="B21" s="602"/>
      <c r="C21" s="746" t="s">
        <v>366</v>
      </c>
      <c r="D21" s="746"/>
      <c r="E21" s="746"/>
      <c r="F21" s="830" t="s">
        <v>414</v>
      </c>
      <c r="G21" s="830"/>
    </row>
    <row r="22" spans="1:15" ht="13.9" thickBot="1" x14ac:dyDescent="0.35">
      <c r="A22" s="341" t="s">
        <v>415</v>
      </c>
      <c r="B22" s="341"/>
      <c r="C22" s="991" t="str">
        <f>C13</f>
        <v>FRENTES MÓVEIS DE LIMPEZA E CONSERVAÇÃO</v>
      </c>
      <c r="D22" s="991"/>
      <c r="E22" s="991"/>
      <c r="F22" s="990">
        <f>G17</f>
        <v>185984.4</v>
      </c>
      <c r="G22" s="990"/>
    </row>
    <row r="23" spans="1:15" ht="13.9" thickBot="1" x14ac:dyDescent="0.35">
      <c r="A23" s="992" t="str">
        <f>"TOTAL GERAL - "&amp;A$8&amp;" - (R$):"</f>
        <v>TOTAL GERAL - FRENTES MÓVEIS DE LIMPEZA E CONSERVAÇÃO - (R$):</v>
      </c>
      <c r="B23" s="992"/>
      <c r="C23" s="992"/>
      <c r="D23" s="992"/>
      <c r="E23" s="992"/>
      <c r="F23" s="731">
        <f>SUM(F22)</f>
        <v>185984.4</v>
      </c>
      <c r="G23" s="731"/>
    </row>
    <row r="24" spans="1:15" s="196" customFormat="1" ht="13.15" x14ac:dyDescent="0.3">
      <c r="B24" s="209"/>
    </row>
    <row r="25" spans="1:15" s="196" customFormat="1" ht="13.9" thickBot="1" x14ac:dyDescent="0.35">
      <c r="B25" s="209"/>
    </row>
    <row r="26" spans="1:15" s="196" customFormat="1" x14ac:dyDescent="0.25">
      <c r="A26" s="781" t="s">
        <v>422</v>
      </c>
      <c r="B26" s="782"/>
      <c r="C26" s="783"/>
      <c r="D26" s="783"/>
      <c r="E26" s="783"/>
      <c r="F26" s="781" t="s">
        <v>423</v>
      </c>
      <c r="G26" s="784"/>
    </row>
    <row r="27" spans="1:15" s="196" customFormat="1" ht="13.9" thickBot="1" x14ac:dyDescent="0.35">
      <c r="A27" s="778"/>
      <c r="B27" s="779"/>
      <c r="C27" s="779"/>
      <c r="D27" s="779"/>
      <c r="E27" s="779"/>
      <c r="F27" s="778"/>
      <c r="G27" s="780"/>
    </row>
    <row r="28" spans="1:15" s="196" customFormat="1" ht="13.15" x14ac:dyDescent="0.3">
      <c r="A28" s="781" t="s">
        <v>424</v>
      </c>
      <c r="B28" s="782"/>
      <c r="C28" s="783"/>
      <c r="D28" s="783"/>
      <c r="E28" s="783"/>
      <c r="F28" s="781" t="s">
        <v>425</v>
      </c>
      <c r="G28" s="784"/>
    </row>
    <row r="29" spans="1:15" s="196" customFormat="1" ht="13.9" thickBot="1" x14ac:dyDescent="0.35">
      <c r="A29" s="840"/>
      <c r="B29" s="842"/>
      <c r="C29" s="842"/>
      <c r="D29" s="842"/>
      <c r="E29" s="842"/>
      <c r="F29" s="840"/>
      <c r="G29" s="841"/>
    </row>
    <row r="30" spans="1:15" s="196" customFormat="1" x14ac:dyDescent="0.25">
      <c r="A30" s="781" t="s">
        <v>426</v>
      </c>
      <c r="B30" s="782"/>
      <c r="C30" s="783"/>
      <c r="D30" s="783"/>
      <c r="E30" s="783"/>
      <c r="F30" s="783"/>
      <c r="G30" s="784"/>
    </row>
    <row r="31" spans="1:15" s="196" customFormat="1" ht="13.15" x14ac:dyDescent="0.3">
      <c r="A31" s="840"/>
      <c r="B31" s="842"/>
      <c r="C31" s="842"/>
      <c r="D31" s="842"/>
      <c r="E31" s="842"/>
      <c r="F31" s="842"/>
      <c r="G31" s="841"/>
    </row>
    <row r="32" spans="1:15" ht="13.9" thickBot="1" x14ac:dyDescent="0.35">
      <c r="A32" s="778"/>
      <c r="B32" s="779"/>
      <c r="C32" s="779"/>
      <c r="D32" s="779"/>
      <c r="E32" s="779"/>
      <c r="F32" s="779"/>
      <c r="G32" s="780"/>
    </row>
    <row r="35" spans="2:6" x14ac:dyDescent="0.25">
      <c r="B35" s="635" t="s">
        <v>2385</v>
      </c>
      <c r="C35" s="678" t="s">
        <v>2384</v>
      </c>
      <c r="D35" s="635" t="s">
        <v>2319</v>
      </c>
      <c r="E35" s="635" t="s">
        <v>2320</v>
      </c>
      <c r="F35" s="635" t="s">
        <v>2321</v>
      </c>
    </row>
    <row r="36" spans="2:6" x14ac:dyDescent="0.25">
      <c r="B36" s="497" t="s">
        <v>2323</v>
      </c>
      <c r="C36" s="606" t="s">
        <v>955</v>
      </c>
      <c r="D36" s="496">
        <v>187.27</v>
      </c>
      <c r="E36" s="496">
        <f>(5*5)*D36</f>
        <v>4681.75</v>
      </c>
      <c r="F36" s="496">
        <f>ROUND(E36/12,2)</f>
        <v>390.15</v>
      </c>
    </row>
    <row r="37" spans="2:6" ht="13.15" x14ac:dyDescent="0.3">
      <c r="B37" s="497" t="s">
        <v>2322</v>
      </c>
      <c r="C37" s="606" t="s">
        <v>956</v>
      </c>
      <c r="D37" s="496">
        <f>D36</f>
        <v>187.27</v>
      </c>
      <c r="E37" s="496">
        <f>(3*3)*D37</f>
        <v>1685.43</v>
      </c>
      <c r="F37" s="496">
        <f>ROUND(E37/12,2)</f>
        <v>140.44999999999999</v>
      </c>
    </row>
    <row r="38" spans="2:6" x14ac:dyDescent="0.25">
      <c r="B38" s="497" t="s">
        <v>2392</v>
      </c>
      <c r="C38" s="606" t="s">
        <v>2393</v>
      </c>
      <c r="D38" s="496"/>
      <c r="E38" s="496"/>
      <c r="F38" s="496">
        <v>535.9</v>
      </c>
    </row>
  </sheetData>
  <autoFilter ref="A12:O16"/>
  <mergeCells count="31">
    <mergeCell ref="A32:G32"/>
    <mergeCell ref="C13:G13"/>
    <mergeCell ref="A17:F17"/>
    <mergeCell ref="A20:G20"/>
    <mergeCell ref="F21:G21"/>
    <mergeCell ref="F22:G22"/>
    <mergeCell ref="F23:G23"/>
    <mergeCell ref="C21:E21"/>
    <mergeCell ref="C22:E22"/>
    <mergeCell ref="A23:E23"/>
    <mergeCell ref="A30:G30"/>
    <mergeCell ref="A26:E26"/>
    <mergeCell ref="A27:E27"/>
    <mergeCell ref="A28:E28"/>
    <mergeCell ref="A29:E29"/>
    <mergeCell ref="F27:G27"/>
    <mergeCell ref="F28:G28"/>
    <mergeCell ref="F29:G29"/>
    <mergeCell ref="A8:G8"/>
    <mergeCell ref="A31:G31"/>
    <mergeCell ref="A11:A12"/>
    <mergeCell ref="C11:C12"/>
    <mergeCell ref="D11:D12"/>
    <mergeCell ref="E11:E12"/>
    <mergeCell ref="F11:G11"/>
    <mergeCell ref="B11:B12"/>
    <mergeCell ref="A5:G6"/>
    <mergeCell ref="C1:G1"/>
    <mergeCell ref="C2:G2"/>
    <mergeCell ref="C3:G3"/>
    <mergeCell ref="F26:G26"/>
  </mergeCells>
  <printOptions horizontalCentered="1"/>
  <pageMargins left="0.78740157480314965" right="0.59055118110236227" top="0.59055118110236227" bottom="0.59055118110236227" header="0.19685039370078741" footer="0.19685039370078741"/>
  <pageSetup paperSize="9" scale="61" fitToHeight="100" orientation="portrait" horizontalDpi="4294967294" verticalDpi="4294967294" r:id="rId1"/>
  <headerFooter>
    <oddFooter>&amp;R&amp;"Arial,Normal"&amp;8&amp;F
Página &amp;P de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6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J26" sqref="J26"/>
    </sheetView>
  </sheetViews>
  <sheetFormatPr defaultColWidth="9.140625" defaultRowHeight="12.75" x14ac:dyDescent="0.25"/>
  <cols>
    <col min="1" max="1" width="8.7109375" style="235" customWidth="1"/>
    <col min="2" max="2" width="14.7109375" style="481" customWidth="1"/>
    <col min="3" max="3" width="60.7109375" style="236" customWidth="1"/>
    <col min="4" max="4" width="14.7109375" style="21" customWidth="1"/>
    <col min="5" max="6" width="14.7109375" style="237" customWidth="1"/>
    <col min="7" max="7" width="14.7109375" style="238" customWidth="1"/>
    <col min="8" max="16384" width="9.140625" style="21"/>
  </cols>
  <sheetData>
    <row r="1" spans="1:8" s="89" customFormat="1" x14ac:dyDescent="0.25">
      <c r="A1" s="117"/>
      <c r="B1" s="495"/>
      <c r="C1" s="726" t="s">
        <v>1117</v>
      </c>
      <c r="D1" s="726"/>
      <c r="E1" s="726"/>
      <c r="F1" s="726"/>
      <c r="G1" s="726"/>
    </row>
    <row r="2" spans="1:8" s="89" customFormat="1" x14ac:dyDescent="0.25">
      <c r="A2" s="90"/>
      <c r="B2" s="428"/>
      <c r="C2" s="728" t="s">
        <v>1118</v>
      </c>
      <c r="D2" s="728"/>
      <c r="E2" s="728"/>
      <c r="F2" s="728"/>
      <c r="G2" s="728"/>
    </row>
    <row r="3" spans="1:8" s="89" customFormat="1" ht="13.5" thickBot="1" x14ac:dyDescent="0.3">
      <c r="A3" s="118"/>
      <c r="B3" s="429"/>
      <c r="C3" s="729" t="s">
        <v>1116</v>
      </c>
      <c r="D3" s="729"/>
      <c r="E3" s="729"/>
      <c r="F3" s="729"/>
      <c r="G3" s="729"/>
    </row>
    <row r="4" spans="1:8" s="78" customFormat="1" ht="13.9" thickBot="1" x14ac:dyDescent="0.35">
      <c r="A4" s="92"/>
      <c r="B4" s="507"/>
    </row>
    <row r="5" spans="1:8" s="78" customFormat="1" x14ac:dyDescent="0.25">
      <c r="A5" s="690" t="s">
        <v>1119</v>
      </c>
      <c r="B5" s="690"/>
      <c r="C5" s="690"/>
      <c r="D5" s="690"/>
      <c r="E5" s="690"/>
      <c r="F5" s="690"/>
      <c r="G5" s="690"/>
    </row>
    <row r="6" spans="1:8" s="78" customFormat="1" ht="13.5" thickBot="1" x14ac:dyDescent="0.3">
      <c r="A6" s="691"/>
      <c r="B6" s="691"/>
      <c r="C6" s="691"/>
      <c r="D6" s="691"/>
      <c r="E6" s="691"/>
      <c r="F6" s="691"/>
      <c r="G6" s="691"/>
    </row>
    <row r="7" spans="1:8" s="78" customFormat="1" ht="13.9" thickBot="1" x14ac:dyDescent="0.35">
      <c r="B7" s="72"/>
      <c r="C7" s="70"/>
      <c r="D7" s="72"/>
      <c r="E7" s="72"/>
    </row>
    <row r="8" spans="1:8" ht="13.9" thickBot="1" x14ac:dyDescent="0.35">
      <c r="A8" s="686" t="s">
        <v>1135</v>
      </c>
      <c r="B8" s="687"/>
      <c r="C8" s="687"/>
      <c r="D8" s="687"/>
      <c r="E8" s="687"/>
      <c r="F8" s="687"/>
      <c r="G8" s="688"/>
    </row>
    <row r="9" spans="1:8" s="196" customFormat="1" ht="13.15" x14ac:dyDescent="0.3">
      <c r="B9" s="209"/>
      <c r="E9" s="197"/>
      <c r="F9" s="197"/>
      <c r="G9" s="197"/>
      <c r="H9" s="195"/>
    </row>
    <row r="10" spans="1:8" s="209" customFormat="1" ht="13.9" thickBot="1" x14ac:dyDescent="0.35">
      <c r="A10" s="193"/>
      <c r="B10" s="193"/>
      <c r="C10" s="193"/>
      <c r="D10" s="194"/>
      <c r="E10" s="194"/>
      <c r="F10" s="197"/>
    </row>
    <row r="11" spans="1:8" ht="13.5" thickBot="1" x14ac:dyDescent="0.3">
      <c r="A11" s="791" t="s">
        <v>363</v>
      </c>
      <c r="B11" s="791" t="s">
        <v>1466</v>
      </c>
      <c r="C11" s="730" t="s">
        <v>366</v>
      </c>
      <c r="D11" s="791" t="s">
        <v>410</v>
      </c>
      <c r="E11" s="830" t="s">
        <v>364</v>
      </c>
      <c r="F11" s="830" t="s">
        <v>413</v>
      </c>
      <c r="G11" s="830"/>
    </row>
    <row r="12" spans="1:8" ht="13.5" thickBot="1" x14ac:dyDescent="0.3">
      <c r="A12" s="791"/>
      <c r="B12" s="791"/>
      <c r="C12" s="730"/>
      <c r="D12" s="791"/>
      <c r="E12" s="830"/>
      <c r="F12" s="218" t="s">
        <v>412</v>
      </c>
      <c r="G12" s="218" t="s">
        <v>411</v>
      </c>
    </row>
    <row r="13" spans="1:8" s="196" customFormat="1" ht="13.9" thickBot="1" x14ac:dyDescent="0.35">
      <c r="A13" s="344"/>
      <c r="B13" s="573"/>
      <c r="C13" s="879" t="str">
        <f>A8</f>
        <v>MATERIAL DE CONSUMO - ALMOXARIFADOS</v>
      </c>
      <c r="D13" s="880"/>
      <c r="E13" s="880"/>
      <c r="F13" s="880"/>
      <c r="G13" s="881"/>
    </row>
    <row r="14" spans="1:8" s="78" customFormat="1" ht="13.9" thickBot="1" x14ac:dyDescent="0.35">
      <c r="A14" s="244"/>
      <c r="B14" s="359"/>
      <c r="C14" s="245"/>
      <c r="D14" s="246"/>
      <c r="E14" s="241"/>
      <c r="F14" s="247"/>
      <c r="G14" s="248"/>
    </row>
    <row r="15" spans="1:8" ht="13.5" thickBot="1" x14ac:dyDescent="0.3">
      <c r="A15" s="526" t="s">
        <v>360</v>
      </c>
      <c r="B15" s="535"/>
      <c r="C15" s="1007" t="s">
        <v>418</v>
      </c>
      <c r="D15" s="1008"/>
      <c r="E15" s="1008"/>
      <c r="F15" s="1008"/>
      <c r="G15" s="1009"/>
    </row>
    <row r="16" spans="1:8" s="78" customFormat="1" x14ac:dyDescent="0.25">
      <c r="A16" s="175" t="s">
        <v>124</v>
      </c>
      <c r="B16" s="137" t="s">
        <v>2225</v>
      </c>
      <c r="C16" s="610" t="s">
        <v>684</v>
      </c>
      <c r="D16" s="253" t="s">
        <v>1125</v>
      </c>
      <c r="E16" s="139">
        <v>480</v>
      </c>
      <c r="F16" s="139">
        <v>20.12</v>
      </c>
      <c r="G16" s="139">
        <f>ROUND(E16*F16,2)</f>
        <v>9657.6</v>
      </c>
      <c r="H16" s="312"/>
    </row>
    <row r="17" spans="1:8" s="78" customFormat="1" x14ac:dyDescent="0.25">
      <c r="A17" s="176" t="s">
        <v>125</v>
      </c>
      <c r="B17" s="502" t="s">
        <v>2226</v>
      </c>
      <c r="C17" s="607" t="s">
        <v>821</v>
      </c>
      <c r="D17" s="254" t="s">
        <v>1125</v>
      </c>
      <c r="E17" s="144">
        <v>112</v>
      </c>
      <c r="F17" s="144">
        <f>ROUND(13.2*5,2)</f>
        <v>66</v>
      </c>
      <c r="G17" s="144">
        <f t="shared" ref="G17:G69" si="0">ROUND(E17*F17,2)</f>
        <v>7392</v>
      </c>
    </row>
    <row r="18" spans="1:8" s="78" customFormat="1" x14ac:dyDescent="0.25">
      <c r="A18" s="176" t="s">
        <v>126</v>
      </c>
      <c r="B18" s="502" t="s">
        <v>2394</v>
      </c>
      <c r="C18" s="607" t="s">
        <v>822</v>
      </c>
      <c r="D18" s="254" t="s">
        <v>234</v>
      </c>
      <c r="E18" s="144">
        <v>1200</v>
      </c>
      <c r="F18" s="144">
        <v>2.36</v>
      </c>
      <c r="G18" s="144">
        <f t="shared" si="0"/>
        <v>2832</v>
      </c>
      <c r="H18" s="312"/>
    </row>
    <row r="19" spans="1:8" s="78" customFormat="1" x14ac:dyDescent="0.25">
      <c r="A19" s="176" t="s">
        <v>127</v>
      </c>
      <c r="B19" s="502"/>
      <c r="C19" s="607" t="s">
        <v>823</v>
      </c>
      <c r="D19" s="254" t="s">
        <v>1125</v>
      </c>
      <c r="E19" s="144">
        <v>289</v>
      </c>
      <c r="F19" s="144">
        <v>34.619999999999997</v>
      </c>
      <c r="G19" s="144">
        <f t="shared" si="0"/>
        <v>10005.18</v>
      </c>
    </row>
    <row r="20" spans="1:8" s="78" customFormat="1" x14ac:dyDescent="0.25">
      <c r="A20" s="176" t="s">
        <v>128</v>
      </c>
      <c r="B20" s="502"/>
      <c r="C20" s="607" t="s">
        <v>681</v>
      </c>
      <c r="D20" s="254" t="s">
        <v>234</v>
      </c>
      <c r="E20" s="144">
        <v>223</v>
      </c>
      <c r="F20" s="144">
        <v>34.313333333333333</v>
      </c>
      <c r="G20" s="144">
        <f t="shared" si="0"/>
        <v>7651.87</v>
      </c>
    </row>
    <row r="21" spans="1:8" s="78" customFormat="1" x14ac:dyDescent="0.25">
      <c r="A21" s="176" t="s">
        <v>129</v>
      </c>
      <c r="B21" s="502" t="s">
        <v>2229</v>
      </c>
      <c r="C21" s="607" t="s">
        <v>665</v>
      </c>
      <c r="D21" s="254" t="s">
        <v>187</v>
      </c>
      <c r="E21" s="144">
        <v>2400</v>
      </c>
      <c r="F21" s="144">
        <v>9.5</v>
      </c>
      <c r="G21" s="144">
        <f t="shared" si="0"/>
        <v>22800</v>
      </c>
    </row>
    <row r="22" spans="1:8" s="78" customFormat="1" ht="13.15" x14ac:dyDescent="0.3">
      <c r="A22" s="176" t="s">
        <v>130</v>
      </c>
      <c r="B22" s="502" t="s">
        <v>2237</v>
      </c>
      <c r="C22" s="607" t="s">
        <v>181</v>
      </c>
      <c r="D22" s="254" t="s">
        <v>1125</v>
      </c>
      <c r="E22" s="144">
        <v>144</v>
      </c>
      <c r="F22" s="144">
        <v>45.16</v>
      </c>
      <c r="G22" s="144">
        <f t="shared" si="0"/>
        <v>6503.04</v>
      </c>
    </row>
    <row r="23" spans="1:8" s="78" customFormat="1" x14ac:dyDescent="0.25">
      <c r="A23" s="176" t="s">
        <v>131</v>
      </c>
      <c r="B23" s="502"/>
      <c r="C23" s="607" t="s">
        <v>824</v>
      </c>
      <c r="D23" s="254" t="s">
        <v>1125</v>
      </c>
      <c r="E23" s="144">
        <v>144</v>
      </c>
      <c r="F23" s="144">
        <v>40.01</v>
      </c>
      <c r="G23" s="144">
        <f t="shared" si="0"/>
        <v>5761.44</v>
      </c>
    </row>
    <row r="24" spans="1:8" s="78" customFormat="1" x14ac:dyDescent="0.25">
      <c r="A24" s="176" t="s">
        <v>132</v>
      </c>
      <c r="B24" s="502"/>
      <c r="C24" s="607" t="s">
        <v>825</v>
      </c>
      <c r="D24" s="254" t="s">
        <v>1125</v>
      </c>
      <c r="E24" s="144">
        <v>1200</v>
      </c>
      <c r="F24" s="144">
        <v>7.4900000000000011</v>
      </c>
      <c r="G24" s="144">
        <f t="shared" si="0"/>
        <v>8988</v>
      </c>
    </row>
    <row r="25" spans="1:8" s="78" customFormat="1" x14ac:dyDescent="0.25">
      <c r="A25" s="176" t="s">
        <v>133</v>
      </c>
      <c r="B25" s="502"/>
      <c r="C25" s="607" t="s">
        <v>182</v>
      </c>
      <c r="D25" s="254" t="s">
        <v>1125</v>
      </c>
      <c r="E25" s="144">
        <v>445</v>
      </c>
      <c r="F25" s="144">
        <v>30.596666666666664</v>
      </c>
      <c r="G25" s="144">
        <f t="shared" si="0"/>
        <v>13615.52</v>
      </c>
    </row>
    <row r="26" spans="1:8" s="78" customFormat="1" x14ac:dyDescent="0.25">
      <c r="A26" s="176" t="s">
        <v>134</v>
      </c>
      <c r="B26" s="502" t="s">
        <v>2239</v>
      </c>
      <c r="C26" s="607" t="s">
        <v>826</v>
      </c>
      <c r="D26" s="254" t="s">
        <v>191</v>
      </c>
      <c r="E26" s="144">
        <v>3200</v>
      </c>
      <c r="F26" s="144">
        <f>ROUND(469.51/100,2)</f>
        <v>4.7</v>
      </c>
      <c r="G26" s="144">
        <f t="shared" si="0"/>
        <v>15040</v>
      </c>
    </row>
    <row r="27" spans="1:8" s="78" customFormat="1" ht="13.15" x14ac:dyDescent="0.3">
      <c r="A27" s="176" t="s">
        <v>135</v>
      </c>
      <c r="B27" s="502" t="s">
        <v>2241</v>
      </c>
      <c r="C27" s="607" t="s">
        <v>827</v>
      </c>
      <c r="D27" s="254" t="s">
        <v>234</v>
      </c>
      <c r="E27" s="144">
        <v>4800</v>
      </c>
      <c r="F27" s="144">
        <v>3.69</v>
      </c>
      <c r="G27" s="144">
        <f t="shared" si="0"/>
        <v>17712</v>
      </c>
    </row>
    <row r="28" spans="1:8" s="78" customFormat="1" ht="13.15" x14ac:dyDescent="0.3">
      <c r="A28" s="176" t="s">
        <v>136</v>
      </c>
      <c r="B28" s="502" t="s">
        <v>2242</v>
      </c>
      <c r="C28" s="607" t="s">
        <v>828</v>
      </c>
      <c r="D28" s="254" t="s">
        <v>1125</v>
      </c>
      <c r="E28" s="144">
        <v>434</v>
      </c>
      <c r="F28" s="144">
        <v>18.41</v>
      </c>
      <c r="G28" s="144">
        <f t="shared" si="0"/>
        <v>7989.94</v>
      </c>
    </row>
    <row r="29" spans="1:8" s="78" customFormat="1" ht="26.45" x14ac:dyDescent="0.3">
      <c r="A29" s="176" t="s">
        <v>137</v>
      </c>
      <c r="B29" s="502" t="s">
        <v>2243</v>
      </c>
      <c r="C29" s="607" t="s">
        <v>183</v>
      </c>
      <c r="D29" s="254" t="s">
        <v>1125</v>
      </c>
      <c r="E29" s="144">
        <v>434</v>
      </c>
      <c r="F29" s="144">
        <v>76.28</v>
      </c>
      <c r="G29" s="144">
        <f t="shared" si="0"/>
        <v>33105.519999999997</v>
      </c>
    </row>
    <row r="30" spans="1:8" s="78" customFormat="1" x14ac:dyDescent="0.25">
      <c r="A30" s="176" t="s">
        <v>138</v>
      </c>
      <c r="B30" s="502" t="s">
        <v>2244</v>
      </c>
      <c r="C30" s="607" t="s">
        <v>829</v>
      </c>
      <c r="D30" s="254" t="s">
        <v>1125</v>
      </c>
      <c r="E30" s="144">
        <v>434</v>
      </c>
      <c r="F30" s="144">
        <v>19.489999999999998</v>
      </c>
      <c r="G30" s="144">
        <f t="shared" si="0"/>
        <v>8458.66</v>
      </c>
    </row>
    <row r="31" spans="1:8" s="78" customFormat="1" ht="25.5" x14ac:dyDescent="0.25">
      <c r="A31" s="176" t="s">
        <v>139</v>
      </c>
      <c r="B31" s="502" t="s">
        <v>2242</v>
      </c>
      <c r="C31" s="607" t="s">
        <v>830</v>
      </c>
      <c r="D31" s="254" t="s">
        <v>1125</v>
      </c>
      <c r="E31" s="144">
        <v>434</v>
      </c>
      <c r="F31" s="144">
        <v>18.41</v>
      </c>
      <c r="G31" s="144">
        <f t="shared" si="0"/>
        <v>7989.94</v>
      </c>
    </row>
    <row r="32" spans="1:8" s="78" customFormat="1" ht="13.15" x14ac:dyDescent="0.3">
      <c r="A32" s="176" t="s">
        <v>140</v>
      </c>
      <c r="B32" s="502" t="s">
        <v>2245</v>
      </c>
      <c r="C32" s="607" t="s">
        <v>683</v>
      </c>
      <c r="D32" s="254" t="s">
        <v>187</v>
      </c>
      <c r="E32" s="144">
        <v>320</v>
      </c>
      <c r="F32" s="144">
        <v>18.75</v>
      </c>
      <c r="G32" s="144">
        <f t="shared" si="0"/>
        <v>6000</v>
      </c>
    </row>
    <row r="33" spans="1:7" s="78" customFormat="1" ht="13.15" x14ac:dyDescent="0.3">
      <c r="A33" s="176" t="s">
        <v>141</v>
      </c>
      <c r="B33" s="502" t="s">
        <v>2397</v>
      </c>
      <c r="C33" s="607" t="s">
        <v>831</v>
      </c>
      <c r="D33" s="254" t="s">
        <v>187</v>
      </c>
      <c r="E33" s="144">
        <v>320</v>
      </c>
      <c r="F33" s="144">
        <v>26.63</v>
      </c>
      <c r="G33" s="144">
        <f t="shared" si="0"/>
        <v>8521.6</v>
      </c>
    </row>
    <row r="34" spans="1:7" s="78" customFormat="1" x14ac:dyDescent="0.25">
      <c r="A34" s="176" t="s">
        <v>142</v>
      </c>
      <c r="B34" s="502" t="s">
        <v>2246</v>
      </c>
      <c r="C34" s="607" t="s">
        <v>678</v>
      </c>
      <c r="D34" s="254" t="s">
        <v>1125</v>
      </c>
      <c r="E34" s="144">
        <v>160</v>
      </c>
      <c r="F34" s="144">
        <v>10</v>
      </c>
      <c r="G34" s="144">
        <f t="shared" si="0"/>
        <v>1600</v>
      </c>
    </row>
    <row r="35" spans="1:7" s="78" customFormat="1" x14ac:dyDescent="0.25">
      <c r="A35" s="176" t="s">
        <v>143</v>
      </c>
      <c r="B35" s="502" t="s">
        <v>2247</v>
      </c>
      <c r="C35" s="607" t="s">
        <v>832</v>
      </c>
      <c r="D35" s="254" t="s">
        <v>187</v>
      </c>
      <c r="E35" s="144">
        <v>294</v>
      </c>
      <c r="F35" s="144" t="s">
        <v>2248</v>
      </c>
      <c r="G35" s="144">
        <f t="shared" si="0"/>
        <v>4524.66</v>
      </c>
    </row>
    <row r="36" spans="1:7" s="78" customFormat="1" x14ac:dyDescent="0.25">
      <c r="A36" s="176" t="s">
        <v>144</v>
      </c>
      <c r="B36" s="502" t="s">
        <v>2249</v>
      </c>
      <c r="C36" s="607" t="s">
        <v>185</v>
      </c>
      <c r="D36" s="254" t="s">
        <v>1125</v>
      </c>
      <c r="E36" s="144">
        <v>194</v>
      </c>
      <c r="F36" s="144">
        <f>1*10</f>
        <v>10</v>
      </c>
      <c r="G36" s="144">
        <f t="shared" si="0"/>
        <v>1940</v>
      </c>
    </row>
    <row r="37" spans="1:7" s="78" customFormat="1" ht="13.15" x14ac:dyDescent="0.3">
      <c r="A37" s="176" t="s">
        <v>184</v>
      </c>
      <c r="B37" s="502" t="s">
        <v>2250</v>
      </c>
      <c r="C37" s="607" t="s">
        <v>833</v>
      </c>
      <c r="D37" s="254" t="s">
        <v>1125</v>
      </c>
      <c r="E37" s="144">
        <v>194</v>
      </c>
      <c r="F37" s="144">
        <v>8.41</v>
      </c>
      <c r="G37" s="144">
        <f t="shared" si="0"/>
        <v>1631.54</v>
      </c>
    </row>
    <row r="38" spans="1:7" s="78" customFormat="1" ht="13.15" x14ac:dyDescent="0.3">
      <c r="A38" s="176" t="s">
        <v>145</v>
      </c>
      <c r="B38" s="502" t="s">
        <v>2251</v>
      </c>
      <c r="C38" s="607" t="s">
        <v>2252</v>
      </c>
      <c r="D38" s="254" t="s">
        <v>1125</v>
      </c>
      <c r="E38" s="144">
        <v>194</v>
      </c>
      <c r="F38" s="144">
        <v>7.34</v>
      </c>
      <c r="G38" s="144">
        <f t="shared" si="0"/>
        <v>1423.96</v>
      </c>
    </row>
    <row r="39" spans="1:7" s="78" customFormat="1" ht="13.15" x14ac:dyDescent="0.3">
      <c r="A39" s="176" t="s">
        <v>146</v>
      </c>
      <c r="B39" s="502" t="s">
        <v>2253</v>
      </c>
      <c r="C39" s="607" t="s">
        <v>685</v>
      </c>
      <c r="D39" s="254" t="s">
        <v>234</v>
      </c>
      <c r="E39" s="144">
        <v>2400</v>
      </c>
      <c r="F39" s="144">
        <v>4.24</v>
      </c>
      <c r="G39" s="144">
        <f t="shared" si="0"/>
        <v>10176</v>
      </c>
    </row>
    <row r="40" spans="1:7" s="78" customFormat="1" x14ac:dyDescent="0.25">
      <c r="A40" s="176" t="s">
        <v>147</v>
      </c>
      <c r="B40" s="502"/>
      <c r="C40" s="607" t="s">
        <v>186</v>
      </c>
      <c r="D40" s="254" t="s">
        <v>187</v>
      </c>
      <c r="E40" s="144">
        <v>478</v>
      </c>
      <c r="F40" s="144">
        <v>34.083166666666664</v>
      </c>
      <c r="G40" s="144">
        <f t="shared" si="0"/>
        <v>16291.75</v>
      </c>
    </row>
    <row r="41" spans="1:7" s="78" customFormat="1" x14ac:dyDescent="0.25">
      <c r="A41" s="176" t="s">
        <v>148</v>
      </c>
      <c r="B41" s="502"/>
      <c r="C41" s="607" t="s">
        <v>188</v>
      </c>
      <c r="D41" s="254" t="s">
        <v>187</v>
      </c>
      <c r="E41" s="144">
        <v>478</v>
      </c>
      <c r="F41" s="144">
        <v>66.73</v>
      </c>
      <c r="G41" s="144">
        <f t="shared" si="0"/>
        <v>31896.94</v>
      </c>
    </row>
    <row r="42" spans="1:7" s="78" customFormat="1" x14ac:dyDescent="0.25">
      <c r="A42" s="176" t="s">
        <v>149</v>
      </c>
      <c r="B42" s="502"/>
      <c r="C42" s="607" t="s">
        <v>850</v>
      </c>
      <c r="D42" s="254" t="s">
        <v>1125</v>
      </c>
      <c r="E42" s="144">
        <v>478</v>
      </c>
      <c r="F42" s="144">
        <v>51.65</v>
      </c>
      <c r="G42" s="144">
        <f t="shared" si="0"/>
        <v>24688.7</v>
      </c>
    </row>
    <row r="43" spans="1:7" s="78" customFormat="1" x14ac:dyDescent="0.25">
      <c r="A43" s="176" t="s">
        <v>150</v>
      </c>
      <c r="B43" s="502"/>
      <c r="C43" s="607" t="s">
        <v>189</v>
      </c>
      <c r="D43" s="254" t="s">
        <v>187</v>
      </c>
      <c r="E43" s="144">
        <v>478</v>
      </c>
      <c r="F43" s="144">
        <v>13.315</v>
      </c>
      <c r="G43" s="144">
        <f t="shared" si="0"/>
        <v>6364.57</v>
      </c>
    </row>
    <row r="44" spans="1:7" s="78" customFormat="1" ht="25.5" x14ac:dyDescent="0.25">
      <c r="A44" s="176" t="s">
        <v>151</v>
      </c>
      <c r="B44" s="502"/>
      <c r="C44" s="607" t="s">
        <v>1075</v>
      </c>
      <c r="D44" s="254" t="s">
        <v>187</v>
      </c>
      <c r="E44" s="144">
        <v>478</v>
      </c>
      <c r="F44" s="144">
        <v>66.73</v>
      </c>
      <c r="G44" s="144">
        <f t="shared" si="0"/>
        <v>31896.94</v>
      </c>
    </row>
    <row r="45" spans="1:7" s="78" customFormat="1" ht="25.5" x14ac:dyDescent="0.25">
      <c r="A45" s="176" t="s">
        <v>152</v>
      </c>
      <c r="B45" s="502"/>
      <c r="C45" s="607" t="s">
        <v>1076</v>
      </c>
      <c r="D45" s="254" t="s">
        <v>187</v>
      </c>
      <c r="E45" s="144">
        <v>478</v>
      </c>
      <c r="F45" s="144">
        <v>66.73</v>
      </c>
      <c r="G45" s="144">
        <f t="shared" si="0"/>
        <v>31896.94</v>
      </c>
    </row>
    <row r="46" spans="1:7" s="78" customFormat="1" x14ac:dyDescent="0.25">
      <c r="A46" s="176" t="s">
        <v>153</v>
      </c>
      <c r="B46" s="502"/>
      <c r="C46" s="607" t="s">
        <v>834</v>
      </c>
      <c r="D46" s="254" t="s">
        <v>187</v>
      </c>
      <c r="E46" s="144">
        <v>600</v>
      </c>
      <c r="F46" s="144">
        <v>0.8</v>
      </c>
      <c r="G46" s="144">
        <f t="shared" si="0"/>
        <v>480</v>
      </c>
    </row>
    <row r="47" spans="1:7" s="78" customFormat="1" x14ac:dyDescent="0.25">
      <c r="A47" s="176" t="s">
        <v>154</v>
      </c>
      <c r="B47" s="502"/>
      <c r="C47" s="607" t="s">
        <v>679</v>
      </c>
      <c r="D47" s="254" t="s">
        <v>187</v>
      </c>
      <c r="E47" s="144">
        <v>1200</v>
      </c>
      <c r="F47" s="144">
        <v>4.3019999999999996</v>
      </c>
      <c r="G47" s="144">
        <f t="shared" si="0"/>
        <v>5162.3999999999996</v>
      </c>
    </row>
    <row r="48" spans="1:7" s="78" customFormat="1" x14ac:dyDescent="0.25">
      <c r="A48" s="176" t="s">
        <v>155</v>
      </c>
      <c r="B48" s="502" t="s">
        <v>2283</v>
      </c>
      <c r="C48" s="607" t="s">
        <v>190</v>
      </c>
      <c r="D48" s="254" t="s">
        <v>1125</v>
      </c>
      <c r="E48" s="144">
        <v>667</v>
      </c>
      <c r="F48" s="144">
        <v>7</v>
      </c>
      <c r="G48" s="144">
        <f t="shared" si="0"/>
        <v>4669</v>
      </c>
    </row>
    <row r="49" spans="1:7" s="78" customFormat="1" x14ac:dyDescent="0.25">
      <c r="A49" s="176" t="s">
        <v>156</v>
      </c>
      <c r="B49" s="502" t="s">
        <v>2401</v>
      </c>
      <c r="C49" s="607" t="s">
        <v>1077</v>
      </c>
      <c r="D49" s="254" t="s">
        <v>670</v>
      </c>
      <c r="E49" s="144">
        <v>400</v>
      </c>
      <c r="F49" s="144">
        <v>82.45</v>
      </c>
      <c r="G49" s="144">
        <f t="shared" si="0"/>
        <v>32980</v>
      </c>
    </row>
    <row r="50" spans="1:7" s="78" customFormat="1" ht="25.5" x14ac:dyDescent="0.25">
      <c r="A50" s="176" t="s">
        <v>157</v>
      </c>
      <c r="B50" s="502"/>
      <c r="C50" s="607" t="s">
        <v>835</v>
      </c>
      <c r="D50" s="254" t="s">
        <v>1125</v>
      </c>
      <c r="E50" s="144">
        <v>98</v>
      </c>
      <c r="F50" s="144">
        <v>32.096666666666664</v>
      </c>
      <c r="G50" s="144">
        <f t="shared" si="0"/>
        <v>3145.47</v>
      </c>
    </row>
    <row r="51" spans="1:7" s="78" customFormat="1" x14ac:dyDescent="0.25">
      <c r="A51" s="176" t="s">
        <v>158</v>
      </c>
      <c r="B51" s="502" t="s">
        <v>2261</v>
      </c>
      <c r="C51" s="607" t="s">
        <v>861</v>
      </c>
      <c r="D51" s="254" t="s">
        <v>1125</v>
      </c>
      <c r="E51" s="144">
        <v>2400</v>
      </c>
      <c r="F51" s="144">
        <v>0.42</v>
      </c>
      <c r="G51" s="144">
        <f t="shared" si="0"/>
        <v>1008</v>
      </c>
    </row>
    <row r="52" spans="1:7" s="78" customFormat="1" x14ac:dyDescent="0.25">
      <c r="A52" s="176" t="s">
        <v>159</v>
      </c>
      <c r="B52" s="502"/>
      <c r="C52" s="607" t="s">
        <v>836</v>
      </c>
      <c r="D52" s="254" t="s">
        <v>191</v>
      </c>
      <c r="E52" s="144">
        <v>45</v>
      </c>
      <c r="F52" s="144">
        <v>154.995</v>
      </c>
      <c r="G52" s="144">
        <f t="shared" si="0"/>
        <v>6974.78</v>
      </c>
    </row>
    <row r="53" spans="1:7" s="78" customFormat="1" x14ac:dyDescent="0.25">
      <c r="A53" s="176" t="s">
        <v>160</v>
      </c>
      <c r="B53" s="502" t="s">
        <v>2402</v>
      </c>
      <c r="C53" s="607" t="s">
        <v>837</v>
      </c>
      <c r="D53" s="254" t="s">
        <v>670</v>
      </c>
      <c r="E53" s="144">
        <f>800*4</f>
        <v>3200</v>
      </c>
      <c r="F53" s="144">
        <v>1.1299999999999999</v>
      </c>
      <c r="G53" s="144">
        <f t="shared" si="0"/>
        <v>3616</v>
      </c>
    </row>
    <row r="54" spans="1:7" s="78" customFormat="1" x14ac:dyDescent="0.25">
      <c r="A54" s="176" t="s">
        <v>161</v>
      </c>
      <c r="B54" s="502" t="s">
        <v>2263</v>
      </c>
      <c r="C54" s="607" t="s">
        <v>838</v>
      </c>
      <c r="D54" s="254" t="s">
        <v>191</v>
      </c>
      <c r="E54" s="144">
        <v>1600</v>
      </c>
      <c r="F54" s="144">
        <v>3.48</v>
      </c>
      <c r="G54" s="144">
        <f t="shared" si="0"/>
        <v>5568</v>
      </c>
    </row>
    <row r="55" spans="1:7" s="78" customFormat="1" x14ac:dyDescent="0.25">
      <c r="A55" s="176" t="s">
        <v>162</v>
      </c>
      <c r="B55" s="502"/>
      <c r="C55" s="607" t="s">
        <v>839</v>
      </c>
      <c r="D55" s="254" t="s">
        <v>191</v>
      </c>
      <c r="E55" s="144">
        <v>800</v>
      </c>
      <c r="F55" s="144">
        <v>26.55</v>
      </c>
      <c r="G55" s="144">
        <f t="shared" si="0"/>
        <v>21240</v>
      </c>
    </row>
    <row r="56" spans="1:7" s="78" customFormat="1" x14ac:dyDescent="0.25">
      <c r="A56" s="176" t="s">
        <v>163</v>
      </c>
      <c r="B56" s="502" t="s">
        <v>2284</v>
      </c>
      <c r="C56" s="607" t="s">
        <v>192</v>
      </c>
      <c r="D56" s="254" t="s">
        <v>187</v>
      </c>
      <c r="E56" s="144">
        <v>334</v>
      </c>
      <c r="F56" s="144">
        <v>22.86</v>
      </c>
      <c r="G56" s="144">
        <f t="shared" si="0"/>
        <v>7635.24</v>
      </c>
    </row>
    <row r="57" spans="1:7" s="78" customFormat="1" ht="25.5" x14ac:dyDescent="0.25">
      <c r="A57" s="176" t="s">
        <v>164</v>
      </c>
      <c r="B57" s="502"/>
      <c r="C57" s="607" t="s">
        <v>840</v>
      </c>
      <c r="D57" s="254" t="s">
        <v>234</v>
      </c>
      <c r="E57" s="144">
        <v>334</v>
      </c>
      <c r="F57" s="144">
        <v>12.4345</v>
      </c>
      <c r="G57" s="144">
        <f t="shared" si="0"/>
        <v>4153.12</v>
      </c>
    </row>
    <row r="58" spans="1:7" s="78" customFormat="1" ht="25.5" x14ac:dyDescent="0.25">
      <c r="A58" s="176" t="s">
        <v>165</v>
      </c>
      <c r="B58" s="502"/>
      <c r="C58" s="607" t="s">
        <v>841</v>
      </c>
      <c r="D58" s="254" t="s">
        <v>234</v>
      </c>
      <c r="E58" s="144">
        <v>334</v>
      </c>
      <c r="F58" s="144">
        <v>14.943750000000001</v>
      </c>
      <c r="G58" s="144">
        <f t="shared" si="0"/>
        <v>4991.21</v>
      </c>
    </row>
    <row r="59" spans="1:7" s="78" customFormat="1" x14ac:dyDescent="0.25">
      <c r="A59" s="176" t="s">
        <v>166</v>
      </c>
      <c r="B59" s="502"/>
      <c r="C59" s="607" t="s">
        <v>842</v>
      </c>
      <c r="D59" s="254" t="s">
        <v>234</v>
      </c>
      <c r="E59" s="144">
        <v>334</v>
      </c>
      <c r="F59" s="144">
        <v>14.273333333333333</v>
      </c>
      <c r="G59" s="144">
        <f t="shared" si="0"/>
        <v>4767.29</v>
      </c>
    </row>
    <row r="60" spans="1:7" s="78" customFormat="1" ht="25.5" x14ac:dyDescent="0.25">
      <c r="A60" s="176" t="s">
        <v>167</v>
      </c>
      <c r="B60" s="502"/>
      <c r="C60" s="607" t="s">
        <v>843</v>
      </c>
      <c r="D60" s="254" t="s">
        <v>234</v>
      </c>
      <c r="E60" s="144">
        <v>334</v>
      </c>
      <c r="F60" s="144">
        <v>16.175000000000001</v>
      </c>
      <c r="G60" s="144">
        <f t="shared" si="0"/>
        <v>5402.45</v>
      </c>
    </row>
    <row r="61" spans="1:7" s="78" customFormat="1" x14ac:dyDescent="0.25">
      <c r="A61" s="176" t="s">
        <v>168</v>
      </c>
      <c r="B61" s="502"/>
      <c r="C61" s="607" t="s">
        <v>844</v>
      </c>
      <c r="D61" s="254" t="s">
        <v>234</v>
      </c>
      <c r="E61" s="144">
        <v>967</v>
      </c>
      <c r="F61" s="144">
        <v>7</v>
      </c>
      <c r="G61" s="144">
        <f t="shared" si="0"/>
        <v>6769</v>
      </c>
    </row>
    <row r="62" spans="1:7" s="78" customFormat="1" x14ac:dyDescent="0.25">
      <c r="A62" s="176" t="s">
        <v>169</v>
      </c>
      <c r="B62" s="502"/>
      <c r="C62" s="607" t="s">
        <v>845</v>
      </c>
      <c r="D62" s="254" t="s">
        <v>191</v>
      </c>
      <c r="E62" s="144">
        <v>45</v>
      </c>
      <c r="F62" s="144">
        <v>140.125</v>
      </c>
      <c r="G62" s="144">
        <f t="shared" si="0"/>
        <v>6305.63</v>
      </c>
    </row>
    <row r="63" spans="1:7" s="78" customFormat="1" x14ac:dyDescent="0.25">
      <c r="A63" s="176" t="s">
        <v>170</v>
      </c>
      <c r="B63" s="502"/>
      <c r="C63" s="607" t="s">
        <v>682</v>
      </c>
      <c r="D63" s="254" t="s">
        <v>187</v>
      </c>
      <c r="E63" s="144">
        <v>967</v>
      </c>
      <c r="F63" s="144">
        <v>4.42</v>
      </c>
      <c r="G63" s="144">
        <f t="shared" si="0"/>
        <v>4274.1400000000003</v>
      </c>
    </row>
    <row r="64" spans="1:7" s="78" customFormat="1" x14ac:dyDescent="0.25">
      <c r="A64" s="176" t="s">
        <v>171</v>
      </c>
      <c r="B64" s="502"/>
      <c r="C64" s="607" t="s">
        <v>680</v>
      </c>
      <c r="D64" s="254" t="s">
        <v>187</v>
      </c>
      <c r="E64" s="144">
        <v>967</v>
      </c>
      <c r="F64" s="144">
        <v>29.9</v>
      </c>
      <c r="G64" s="144">
        <f t="shared" si="0"/>
        <v>28913.3</v>
      </c>
    </row>
    <row r="65" spans="1:7" s="78" customFormat="1" x14ac:dyDescent="0.25">
      <c r="A65" s="176" t="s">
        <v>359</v>
      </c>
      <c r="B65" s="502" t="s">
        <v>2268</v>
      </c>
      <c r="C65" s="607" t="s">
        <v>846</v>
      </c>
      <c r="D65" s="254" t="s">
        <v>234</v>
      </c>
      <c r="E65" s="144">
        <v>967</v>
      </c>
      <c r="F65" s="144">
        <v>13.88</v>
      </c>
      <c r="G65" s="144">
        <f t="shared" si="0"/>
        <v>13421.96</v>
      </c>
    </row>
    <row r="66" spans="1:7" s="78" customFormat="1" x14ac:dyDescent="0.25">
      <c r="A66" s="176" t="s">
        <v>193</v>
      </c>
      <c r="B66" s="502"/>
      <c r="C66" s="607" t="s">
        <v>847</v>
      </c>
      <c r="D66" s="254" t="s">
        <v>1125</v>
      </c>
      <c r="E66" s="144">
        <v>98</v>
      </c>
      <c r="F66" s="144">
        <v>21.045000000000002</v>
      </c>
      <c r="G66" s="144">
        <f t="shared" si="0"/>
        <v>2062.41</v>
      </c>
    </row>
    <row r="67" spans="1:7" s="78" customFormat="1" x14ac:dyDescent="0.25">
      <c r="A67" s="176" t="s">
        <v>194</v>
      </c>
      <c r="B67" s="502"/>
      <c r="C67" s="607" t="s">
        <v>199</v>
      </c>
      <c r="D67" s="254" t="s">
        <v>187</v>
      </c>
      <c r="E67" s="144">
        <v>98</v>
      </c>
      <c r="F67" s="144">
        <v>31.194444444444443</v>
      </c>
      <c r="G67" s="144">
        <f t="shared" si="0"/>
        <v>3057.06</v>
      </c>
    </row>
    <row r="68" spans="1:7" s="78" customFormat="1" x14ac:dyDescent="0.25">
      <c r="A68" s="176" t="s">
        <v>195</v>
      </c>
      <c r="B68" s="502" t="s">
        <v>2271</v>
      </c>
      <c r="C68" s="607" t="s">
        <v>1068</v>
      </c>
      <c r="D68" s="254" t="s">
        <v>1125</v>
      </c>
      <c r="E68" s="144">
        <v>480</v>
      </c>
      <c r="F68" s="144">
        <v>13.64</v>
      </c>
      <c r="G68" s="144">
        <f t="shared" si="0"/>
        <v>6547.2</v>
      </c>
    </row>
    <row r="69" spans="1:7" s="78" customFormat="1" x14ac:dyDescent="0.25">
      <c r="A69" s="176" t="s">
        <v>196</v>
      </c>
      <c r="B69" s="502"/>
      <c r="C69" s="607" t="s">
        <v>848</v>
      </c>
      <c r="D69" s="254" t="s">
        <v>1125</v>
      </c>
      <c r="E69" s="144">
        <v>192</v>
      </c>
      <c r="F69" s="144">
        <v>48.02</v>
      </c>
      <c r="G69" s="144">
        <f t="shared" si="0"/>
        <v>9219.84</v>
      </c>
    </row>
    <row r="70" spans="1:7" s="78" customFormat="1" x14ac:dyDescent="0.25">
      <c r="A70" s="176" t="s">
        <v>198</v>
      </c>
      <c r="B70" s="356" t="s">
        <v>2403</v>
      </c>
      <c r="C70" s="611" t="s">
        <v>849</v>
      </c>
      <c r="D70" s="536" t="s">
        <v>187</v>
      </c>
      <c r="E70" s="537">
        <v>480</v>
      </c>
      <c r="F70" s="537">
        <v>32</v>
      </c>
      <c r="G70" s="537">
        <f t="shared" ref="G70" si="1">ROUND(E70*F70,2)</f>
        <v>15360</v>
      </c>
    </row>
    <row r="71" spans="1:7" s="78" customFormat="1" ht="13.5" thickBot="1" x14ac:dyDescent="0.3">
      <c r="A71" s="177"/>
      <c r="B71" s="147"/>
      <c r="C71" s="539"/>
      <c r="D71" s="255"/>
      <c r="E71" s="150"/>
      <c r="F71" s="408"/>
      <c r="G71" s="150"/>
    </row>
    <row r="72" spans="1:7" s="4" customFormat="1" ht="13.5" thickBot="1" x14ac:dyDescent="0.3">
      <c r="A72" s="864" t="str">
        <f>"TOTAL - "&amp;C15&amp;" - (R$):"</f>
        <v>TOTAL - MATERIAL DE CONSUMO - MECÂNICA - (R$):</v>
      </c>
      <c r="B72" s="865"/>
      <c r="C72" s="865"/>
      <c r="D72" s="865"/>
      <c r="E72" s="865"/>
      <c r="F72" s="866"/>
      <c r="G72" s="212">
        <f>SUBTOTAL(9,G15:G71)</f>
        <v>572079.81000000006</v>
      </c>
    </row>
    <row r="73" spans="1:7" s="78" customFormat="1" ht="13.5" thickBot="1" x14ac:dyDescent="0.3">
      <c r="A73" s="244"/>
      <c r="B73" s="359"/>
      <c r="C73" s="245"/>
      <c r="D73" s="246"/>
      <c r="E73" s="241"/>
      <c r="F73" s="247"/>
      <c r="G73" s="248"/>
    </row>
    <row r="74" spans="1:7" ht="13.5" thickBot="1" x14ac:dyDescent="0.3">
      <c r="A74" s="252" t="s">
        <v>361</v>
      </c>
      <c r="B74" s="506"/>
      <c r="C74" s="998" t="s">
        <v>420</v>
      </c>
      <c r="D74" s="999"/>
      <c r="E74" s="999"/>
      <c r="F74" s="999"/>
      <c r="G74" s="1000"/>
    </row>
    <row r="75" spans="1:7" s="78" customFormat="1" x14ac:dyDescent="0.25">
      <c r="A75" s="175" t="s">
        <v>173</v>
      </c>
      <c r="B75" s="137" t="s">
        <v>2123</v>
      </c>
      <c r="C75" s="612" t="s">
        <v>1019</v>
      </c>
      <c r="D75" s="138" t="s">
        <v>1125</v>
      </c>
      <c r="E75" s="139">
        <v>10</v>
      </c>
      <c r="F75" s="139">
        <v>0.5</v>
      </c>
      <c r="G75" s="139">
        <f t="shared" ref="G75:G127" si="2">ROUND(E75*F75,2)</f>
        <v>5</v>
      </c>
    </row>
    <row r="76" spans="1:7" s="78" customFormat="1" x14ac:dyDescent="0.25">
      <c r="A76" s="176" t="s">
        <v>174</v>
      </c>
      <c r="B76" s="502" t="s">
        <v>2123</v>
      </c>
      <c r="C76" s="608" t="s">
        <v>1020</v>
      </c>
      <c r="D76" s="142" t="s">
        <v>1125</v>
      </c>
      <c r="E76" s="144">
        <v>10</v>
      </c>
      <c r="F76" s="144">
        <v>0.5</v>
      </c>
      <c r="G76" s="144">
        <f t="shared" si="2"/>
        <v>5</v>
      </c>
    </row>
    <row r="77" spans="1:7" s="78" customFormat="1" x14ac:dyDescent="0.25">
      <c r="A77" s="176" t="s">
        <v>175</v>
      </c>
      <c r="B77" s="502" t="s">
        <v>2124</v>
      </c>
      <c r="C77" s="608" t="s">
        <v>1021</v>
      </c>
      <c r="D77" s="142" t="s">
        <v>1125</v>
      </c>
      <c r="E77" s="144">
        <v>10</v>
      </c>
      <c r="F77" s="144">
        <v>52</v>
      </c>
      <c r="G77" s="144">
        <f t="shared" si="2"/>
        <v>520</v>
      </c>
    </row>
    <row r="78" spans="1:7" s="78" customFormat="1" x14ac:dyDescent="0.25">
      <c r="A78" s="176" t="s">
        <v>176</v>
      </c>
      <c r="B78" s="502" t="s">
        <v>2124</v>
      </c>
      <c r="C78" s="608" t="s">
        <v>1022</v>
      </c>
      <c r="D78" s="142" t="s">
        <v>1125</v>
      </c>
      <c r="E78" s="144">
        <v>10</v>
      </c>
      <c r="F78" s="144">
        <v>52</v>
      </c>
      <c r="G78" s="144">
        <f t="shared" si="2"/>
        <v>520</v>
      </c>
    </row>
    <row r="79" spans="1:7" s="78" customFormat="1" x14ac:dyDescent="0.25">
      <c r="A79" s="176" t="s">
        <v>177</v>
      </c>
      <c r="B79" s="502" t="s">
        <v>2125</v>
      </c>
      <c r="C79" s="608" t="s">
        <v>959</v>
      </c>
      <c r="D79" s="142" t="s">
        <v>1125</v>
      </c>
      <c r="E79" s="144">
        <v>400</v>
      </c>
      <c r="F79" s="144">
        <v>44.97</v>
      </c>
      <c r="G79" s="144">
        <f t="shared" si="2"/>
        <v>17988</v>
      </c>
    </row>
    <row r="80" spans="1:7" s="78" customFormat="1" ht="25.5" x14ac:dyDescent="0.25">
      <c r="A80" s="176" t="s">
        <v>178</v>
      </c>
      <c r="B80" s="502" t="s">
        <v>2126</v>
      </c>
      <c r="C80" s="608" t="s">
        <v>960</v>
      </c>
      <c r="D80" s="142" t="s">
        <v>191</v>
      </c>
      <c r="E80" s="144">
        <v>6000</v>
      </c>
      <c r="F80" s="144">
        <v>1.81</v>
      </c>
      <c r="G80" s="144">
        <f t="shared" si="2"/>
        <v>10860</v>
      </c>
    </row>
    <row r="81" spans="1:7" s="78" customFormat="1" ht="25.5" x14ac:dyDescent="0.25">
      <c r="A81" s="176" t="s">
        <v>179</v>
      </c>
      <c r="B81" s="502" t="s">
        <v>2127</v>
      </c>
      <c r="C81" s="608" t="s">
        <v>961</v>
      </c>
      <c r="D81" s="142" t="s">
        <v>191</v>
      </c>
      <c r="E81" s="144">
        <v>6000</v>
      </c>
      <c r="F81" s="144">
        <v>2.52</v>
      </c>
      <c r="G81" s="144">
        <f t="shared" si="2"/>
        <v>15120</v>
      </c>
    </row>
    <row r="82" spans="1:7" s="78" customFormat="1" ht="25.5" x14ac:dyDescent="0.25">
      <c r="A82" s="176" t="s">
        <v>200</v>
      </c>
      <c r="B82" s="502" t="s">
        <v>2128</v>
      </c>
      <c r="C82" s="608" t="s">
        <v>962</v>
      </c>
      <c r="D82" s="142" t="s">
        <v>191</v>
      </c>
      <c r="E82" s="144">
        <v>2000</v>
      </c>
      <c r="F82" s="144">
        <v>3.88</v>
      </c>
      <c r="G82" s="144">
        <f t="shared" si="2"/>
        <v>7760</v>
      </c>
    </row>
    <row r="83" spans="1:7" s="78" customFormat="1" ht="25.5" x14ac:dyDescent="0.25">
      <c r="A83" s="176" t="s">
        <v>201</v>
      </c>
      <c r="B83" s="502" t="s">
        <v>2129</v>
      </c>
      <c r="C83" s="608" t="s">
        <v>963</v>
      </c>
      <c r="D83" s="142" t="s">
        <v>191</v>
      </c>
      <c r="E83" s="144">
        <v>2000</v>
      </c>
      <c r="F83" s="144">
        <v>4.93</v>
      </c>
      <c r="G83" s="144">
        <f t="shared" si="2"/>
        <v>9860</v>
      </c>
    </row>
    <row r="84" spans="1:7" s="78" customFormat="1" ht="25.5" x14ac:dyDescent="0.25">
      <c r="A84" s="176" t="s">
        <v>202</v>
      </c>
      <c r="B84" s="502" t="s">
        <v>2130</v>
      </c>
      <c r="C84" s="608" t="s">
        <v>964</v>
      </c>
      <c r="D84" s="142" t="s">
        <v>191</v>
      </c>
      <c r="E84" s="144">
        <v>1000</v>
      </c>
      <c r="F84" s="144">
        <v>7.89</v>
      </c>
      <c r="G84" s="144">
        <f t="shared" si="2"/>
        <v>7890</v>
      </c>
    </row>
    <row r="85" spans="1:7" s="78" customFormat="1" ht="25.5" x14ac:dyDescent="0.25">
      <c r="A85" s="176" t="s">
        <v>203</v>
      </c>
      <c r="B85" s="502" t="s">
        <v>2131</v>
      </c>
      <c r="C85" s="608" t="s">
        <v>965</v>
      </c>
      <c r="D85" s="142" t="s">
        <v>191</v>
      </c>
      <c r="E85" s="144">
        <v>1000</v>
      </c>
      <c r="F85" s="144">
        <v>12.11</v>
      </c>
      <c r="G85" s="144">
        <f t="shared" si="2"/>
        <v>12110</v>
      </c>
    </row>
    <row r="86" spans="1:7" s="78" customFormat="1" ht="25.5" x14ac:dyDescent="0.25">
      <c r="A86" s="176" t="s">
        <v>204</v>
      </c>
      <c r="B86" s="502" t="s">
        <v>2132</v>
      </c>
      <c r="C86" s="608" t="s">
        <v>966</v>
      </c>
      <c r="D86" s="142" t="s">
        <v>191</v>
      </c>
      <c r="E86" s="144">
        <v>600</v>
      </c>
      <c r="F86" s="144">
        <v>18.43</v>
      </c>
      <c r="G86" s="144">
        <f t="shared" si="2"/>
        <v>11058</v>
      </c>
    </row>
    <row r="87" spans="1:7" s="78" customFormat="1" ht="25.5" x14ac:dyDescent="0.25">
      <c r="A87" s="176" t="s">
        <v>205</v>
      </c>
      <c r="B87" s="502" t="s">
        <v>2133</v>
      </c>
      <c r="C87" s="608" t="s">
        <v>967</v>
      </c>
      <c r="D87" s="142" t="s">
        <v>191</v>
      </c>
      <c r="E87" s="144">
        <v>500</v>
      </c>
      <c r="F87" s="144">
        <v>25.41</v>
      </c>
      <c r="G87" s="144">
        <f t="shared" si="2"/>
        <v>12705</v>
      </c>
    </row>
    <row r="88" spans="1:7" s="78" customFormat="1" ht="25.5" x14ac:dyDescent="0.25">
      <c r="A88" s="176" t="s">
        <v>206</v>
      </c>
      <c r="B88" s="502" t="s">
        <v>2134</v>
      </c>
      <c r="C88" s="608" t="s">
        <v>968</v>
      </c>
      <c r="D88" s="142" t="s">
        <v>191</v>
      </c>
      <c r="E88" s="144">
        <v>500</v>
      </c>
      <c r="F88" s="144">
        <v>36.22</v>
      </c>
      <c r="G88" s="144">
        <f t="shared" si="2"/>
        <v>18110</v>
      </c>
    </row>
    <row r="89" spans="1:7" s="78" customFormat="1" ht="25.5" x14ac:dyDescent="0.25">
      <c r="A89" s="176" t="s">
        <v>207</v>
      </c>
      <c r="B89" s="502" t="s">
        <v>2135</v>
      </c>
      <c r="C89" s="608" t="s">
        <v>969</v>
      </c>
      <c r="D89" s="142" t="s">
        <v>191</v>
      </c>
      <c r="E89" s="144">
        <v>500</v>
      </c>
      <c r="F89" s="144">
        <v>50.18</v>
      </c>
      <c r="G89" s="144">
        <f t="shared" si="2"/>
        <v>25090</v>
      </c>
    </row>
    <row r="90" spans="1:7" s="78" customFormat="1" ht="25.5" x14ac:dyDescent="0.25">
      <c r="A90" s="176" t="s">
        <v>208</v>
      </c>
      <c r="B90" s="502" t="s">
        <v>2136</v>
      </c>
      <c r="C90" s="608" t="s">
        <v>970</v>
      </c>
      <c r="D90" s="142" t="s">
        <v>191</v>
      </c>
      <c r="E90" s="144">
        <v>200</v>
      </c>
      <c r="F90" s="144">
        <v>66.650000000000006</v>
      </c>
      <c r="G90" s="144">
        <f t="shared" si="2"/>
        <v>13330</v>
      </c>
    </row>
    <row r="91" spans="1:7" s="78" customFormat="1" ht="25.5" x14ac:dyDescent="0.25">
      <c r="A91" s="176" t="s">
        <v>209</v>
      </c>
      <c r="B91" s="502" t="s">
        <v>2137</v>
      </c>
      <c r="C91" s="608" t="s">
        <v>971</v>
      </c>
      <c r="D91" s="142" t="s">
        <v>191</v>
      </c>
      <c r="E91" s="144">
        <v>200</v>
      </c>
      <c r="F91" s="144">
        <v>86.77</v>
      </c>
      <c r="G91" s="144">
        <f t="shared" si="2"/>
        <v>17354</v>
      </c>
    </row>
    <row r="92" spans="1:7" s="78" customFormat="1" x14ac:dyDescent="0.25">
      <c r="A92" s="176" t="s">
        <v>210</v>
      </c>
      <c r="B92" s="502" t="s">
        <v>2232</v>
      </c>
      <c r="C92" s="608" t="s">
        <v>972</v>
      </c>
      <c r="D92" s="142" t="s">
        <v>187</v>
      </c>
      <c r="E92" s="144">
        <v>600</v>
      </c>
      <c r="F92" s="144">
        <v>18.09</v>
      </c>
      <c r="G92" s="144">
        <f t="shared" si="2"/>
        <v>10854</v>
      </c>
    </row>
    <row r="93" spans="1:7" s="78" customFormat="1" x14ac:dyDescent="0.25">
      <c r="A93" s="176" t="s">
        <v>211</v>
      </c>
      <c r="B93" s="502" t="s">
        <v>2233</v>
      </c>
      <c r="C93" s="608" t="s">
        <v>973</v>
      </c>
      <c r="D93" s="141" t="s">
        <v>187</v>
      </c>
      <c r="E93" s="144">
        <v>1200</v>
      </c>
      <c r="F93" s="144">
        <v>20.350000000000001</v>
      </c>
      <c r="G93" s="144">
        <f t="shared" si="2"/>
        <v>24420</v>
      </c>
    </row>
    <row r="94" spans="1:7" s="78" customFormat="1" x14ac:dyDescent="0.25">
      <c r="A94" s="176" t="s">
        <v>212</v>
      </c>
      <c r="B94" s="502" t="s">
        <v>2138</v>
      </c>
      <c r="C94" s="608" t="s">
        <v>974</v>
      </c>
      <c r="D94" s="141" t="s">
        <v>191</v>
      </c>
      <c r="E94" s="144">
        <v>500</v>
      </c>
      <c r="F94" s="144">
        <v>15.08</v>
      </c>
      <c r="G94" s="144">
        <f t="shared" si="2"/>
        <v>7540</v>
      </c>
    </row>
    <row r="95" spans="1:7" s="78" customFormat="1" x14ac:dyDescent="0.25">
      <c r="A95" s="176" t="s">
        <v>213</v>
      </c>
      <c r="B95" s="502" t="s">
        <v>2139</v>
      </c>
      <c r="C95" s="608" t="s">
        <v>975</v>
      </c>
      <c r="D95" s="142" t="s">
        <v>191</v>
      </c>
      <c r="E95" s="144">
        <v>500</v>
      </c>
      <c r="F95" s="144">
        <v>21.01</v>
      </c>
      <c r="G95" s="144">
        <f t="shared" si="2"/>
        <v>10505</v>
      </c>
    </row>
    <row r="96" spans="1:7" s="78" customFormat="1" x14ac:dyDescent="0.25">
      <c r="A96" s="176" t="s">
        <v>214</v>
      </c>
      <c r="B96" s="502" t="s">
        <v>2140</v>
      </c>
      <c r="C96" s="608" t="s">
        <v>976</v>
      </c>
      <c r="D96" s="142" t="s">
        <v>191</v>
      </c>
      <c r="E96" s="144">
        <v>500</v>
      </c>
      <c r="F96" s="144">
        <v>29.6</v>
      </c>
      <c r="G96" s="144">
        <f t="shared" si="2"/>
        <v>14800</v>
      </c>
    </row>
    <row r="97" spans="1:7" s="78" customFormat="1" x14ac:dyDescent="0.25">
      <c r="A97" s="176" t="s">
        <v>215</v>
      </c>
      <c r="B97" s="502" t="s">
        <v>2141</v>
      </c>
      <c r="C97" s="608" t="s">
        <v>2118</v>
      </c>
      <c r="D97" s="142" t="s">
        <v>1125</v>
      </c>
      <c r="E97" s="144">
        <v>50</v>
      </c>
      <c r="F97" s="144">
        <v>29.99</v>
      </c>
      <c r="G97" s="144">
        <f t="shared" si="2"/>
        <v>1499.5</v>
      </c>
    </row>
    <row r="98" spans="1:7" s="78" customFormat="1" x14ac:dyDescent="0.25">
      <c r="A98" s="176" t="s">
        <v>216</v>
      </c>
      <c r="B98" s="502" t="s">
        <v>2141</v>
      </c>
      <c r="C98" s="608" t="s">
        <v>2119</v>
      </c>
      <c r="D98" s="142" t="s">
        <v>1125</v>
      </c>
      <c r="E98" s="144">
        <v>40</v>
      </c>
      <c r="F98" s="144">
        <v>29.99</v>
      </c>
      <c r="G98" s="144">
        <f t="shared" si="2"/>
        <v>1199.5999999999999</v>
      </c>
    </row>
    <row r="99" spans="1:7" s="78" customFormat="1" x14ac:dyDescent="0.25">
      <c r="A99" s="176" t="s">
        <v>217</v>
      </c>
      <c r="B99" s="502" t="s">
        <v>2141</v>
      </c>
      <c r="C99" s="608" t="s">
        <v>2120</v>
      </c>
      <c r="D99" s="142" t="s">
        <v>1125</v>
      </c>
      <c r="E99" s="144">
        <v>40</v>
      </c>
      <c r="F99" s="144">
        <v>29.99</v>
      </c>
      <c r="G99" s="144">
        <f t="shared" si="2"/>
        <v>1199.5999999999999</v>
      </c>
    </row>
    <row r="100" spans="1:7" s="78" customFormat="1" x14ac:dyDescent="0.25">
      <c r="A100" s="176" t="s">
        <v>218</v>
      </c>
      <c r="B100" s="502" t="s">
        <v>2142</v>
      </c>
      <c r="C100" s="608" t="s">
        <v>676</v>
      </c>
      <c r="D100" s="142" t="s">
        <v>1125</v>
      </c>
      <c r="E100" s="144">
        <v>180</v>
      </c>
      <c r="F100" s="144">
        <v>20.100000000000001</v>
      </c>
      <c r="G100" s="144">
        <f t="shared" si="2"/>
        <v>3618</v>
      </c>
    </row>
    <row r="101" spans="1:7" s="78" customFormat="1" ht="25.5" x14ac:dyDescent="0.25">
      <c r="A101" s="176" t="s">
        <v>219</v>
      </c>
      <c r="B101" s="502"/>
      <c r="C101" s="608" t="s">
        <v>977</v>
      </c>
      <c r="D101" s="142" t="s">
        <v>1125</v>
      </c>
      <c r="E101" s="144">
        <v>48</v>
      </c>
      <c r="F101" s="144">
        <v>15</v>
      </c>
      <c r="G101" s="144">
        <f t="shared" si="2"/>
        <v>720</v>
      </c>
    </row>
    <row r="102" spans="1:7" s="78" customFormat="1" ht="25.5" x14ac:dyDescent="0.25">
      <c r="A102" s="176" t="s">
        <v>220</v>
      </c>
      <c r="B102" s="502"/>
      <c r="C102" s="608" t="s">
        <v>978</v>
      </c>
      <c r="D102" s="142" t="s">
        <v>1125</v>
      </c>
      <c r="E102" s="144">
        <v>64</v>
      </c>
      <c r="F102" s="144">
        <v>240</v>
      </c>
      <c r="G102" s="144">
        <f t="shared" si="2"/>
        <v>15360</v>
      </c>
    </row>
    <row r="103" spans="1:7" s="78" customFormat="1" ht="25.5" x14ac:dyDescent="0.25">
      <c r="A103" s="176" t="s">
        <v>221</v>
      </c>
      <c r="B103" s="502" t="s">
        <v>2143</v>
      </c>
      <c r="C103" s="608" t="s">
        <v>2121</v>
      </c>
      <c r="D103" s="142" t="s">
        <v>1125</v>
      </c>
      <c r="E103" s="144">
        <v>756</v>
      </c>
      <c r="F103" s="144">
        <v>12.6</v>
      </c>
      <c r="G103" s="144">
        <f t="shared" si="2"/>
        <v>9525.6</v>
      </c>
    </row>
    <row r="104" spans="1:7" s="78" customFormat="1" x14ac:dyDescent="0.25">
      <c r="A104" s="176" t="s">
        <v>222</v>
      </c>
      <c r="B104" s="502" t="s">
        <v>2251</v>
      </c>
      <c r="C104" s="608" t="s">
        <v>979</v>
      </c>
      <c r="D104" s="142" t="s">
        <v>1125</v>
      </c>
      <c r="E104" s="144">
        <v>1512</v>
      </c>
      <c r="F104" s="144">
        <v>7.34</v>
      </c>
      <c r="G104" s="144">
        <f t="shared" si="2"/>
        <v>11098.08</v>
      </c>
    </row>
    <row r="105" spans="1:7" s="78" customFormat="1" x14ac:dyDescent="0.25">
      <c r="A105" s="176" t="s">
        <v>223</v>
      </c>
      <c r="B105" s="502" t="s">
        <v>2144</v>
      </c>
      <c r="C105" s="608" t="s">
        <v>269</v>
      </c>
      <c r="D105" s="142" t="s">
        <v>1125</v>
      </c>
      <c r="E105" s="144">
        <v>4</v>
      </c>
      <c r="F105" s="144">
        <v>6.7</v>
      </c>
      <c r="G105" s="144">
        <f t="shared" si="2"/>
        <v>26.8</v>
      </c>
    </row>
    <row r="106" spans="1:7" s="78" customFormat="1" x14ac:dyDescent="0.25">
      <c r="A106" s="176" t="s">
        <v>224</v>
      </c>
      <c r="B106" s="502" t="s">
        <v>2145</v>
      </c>
      <c r="C106" s="608" t="s">
        <v>271</v>
      </c>
      <c r="D106" s="142" t="s">
        <v>1125</v>
      </c>
      <c r="E106" s="144">
        <v>4</v>
      </c>
      <c r="F106" s="144">
        <v>6.2</v>
      </c>
      <c r="G106" s="144">
        <f t="shared" si="2"/>
        <v>24.8</v>
      </c>
    </row>
    <row r="107" spans="1:7" s="78" customFormat="1" x14ac:dyDescent="0.25">
      <c r="A107" s="176" t="s">
        <v>225</v>
      </c>
      <c r="B107" s="502" t="s">
        <v>2146</v>
      </c>
      <c r="C107" s="608" t="s">
        <v>980</v>
      </c>
      <c r="D107" s="142" t="s">
        <v>1125</v>
      </c>
      <c r="E107" s="144">
        <v>4</v>
      </c>
      <c r="F107" s="144">
        <v>16.11</v>
      </c>
      <c r="G107" s="144">
        <f t="shared" si="2"/>
        <v>64.44</v>
      </c>
    </row>
    <row r="108" spans="1:7" s="78" customFormat="1" x14ac:dyDescent="0.25">
      <c r="A108" s="176" t="s">
        <v>226</v>
      </c>
      <c r="B108" s="502"/>
      <c r="C108" s="608" t="s">
        <v>981</v>
      </c>
      <c r="D108" s="142" t="s">
        <v>1125</v>
      </c>
      <c r="E108" s="144">
        <v>200</v>
      </c>
      <c r="F108" s="144">
        <v>8.77</v>
      </c>
      <c r="G108" s="144">
        <f t="shared" si="2"/>
        <v>1754</v>
      </c>
    </row>
    <row r="109" spans="1:7" s="78" customFormat="1" x14ac:dyDescent="0.25">
      <c r="A109" s="176" t="s">
        <v>227</v>
      </c>
      <c r="B109" s="502" t="s">
        <v>2241</v>
      </c>
      <c r="C109" s="608" t="s">
        <v>827</v>
      </c>
      <c r="D109" s="142" t="s">
        <v>234</v>
      </c>
      <c r="E109" s="144">
        <v>9720</v>
      </c>
      <c r="F109" s="144">
        <f>$F$27</f>
        <v>3.69</v>
      </c>
      <c r="G109" s="144">
        <f t="shared" si="2"/>
        <v>35866.800000000003</v>
      </c>
    </row>
    <row r="110" spans="1:7" s="78" customFormat="1" x14ac:dyDescent="0.25">
      <c r="A110" s="176" t="s">
        <v>228</v>
      </c>
      <c r="B110" s="502"/>
      <c r="C110" s="608" t="s">
        <v>675</v>
      </c>
      <c r="D110" s="142" t="s">
        <v>197</v>
      </c>
      <c r="E110" s="144">
        <v>50</v>
      </c>
      <c r="F110" s="144">
        <v>8.0500000000000007</v>
      </c>
      <c r="G110" s="144">
        <f t="shared" si="2"/>
        <v>402.5</v>
      </c>
    </row>
    <row r="111" spans="1:7" s="78" customFormat="1" x14ac:dyDescent="0.25">
      <c r="A111" s="176" t="s">
        <v>229</v>
      </c>
      <c r="B111" s="502" t="s">
        <v>2147</v>
      </c>
      <c r="C111" s="608" t="s">
        <v>982</v>
      </c>
      <c r="D111" s="142" t="s">
        <v>1125</v>
      </c>
      <c r="E111" s="144">
        <v>76</v>
      </c>
      <c r="F111" s="144">
        <f>2.06*3</f>
        <v>6.18</v>
      </c>
      <c r="G111" s="144">
        <f t="shared" si="2"/>
        <v>469.68</v>
      </c>
    </row>
    <row r="112" spans="1:7" s="78" customFormat="1" x14ac:dyDescent="0.25">
      <c r="A112" s="176" t="s">
        <v>230</v>
      </c>
      <c r="B112" s="502"/>
      <c r="C112" s="608" t="s">
        <v>677</v>
      </c>
      <c r="D112" s="142" t="s">
        <v>1125</v>
      </c>
      <c r="E112" s="144">
        <v>2</v>
      </c>
      <c r="F112" s="144">
        <v>5182.1000000000004</v>
      </c>
      <c r="G112" s="144">
        <f t="shared" si="2"/>
        <v>10364.200000000001</v>
      </c>
    </row>
    <row r="113" spans="1:7" s="78" customFormat="1" x14ac:dyDescent="0.25">
      <c r="A113" s="176" t="s">
        <v>231</v>
      </c>
      <c r="B113" s="502"/>
      <c r="C113" s="608" t="s">
        <v>983</v>
      </c>
      <c r="D113" s="142" t="s">
        <v>1125</v>
      </c>
      <c r="E113" s="144">
        <v>54</v>
      </c>
      <c r="F113" s="144">
        <v>24.57</v>
      </c>
      <c r="G113" s="144">
        <f t="shared" si="2"/>
        <v>1326.78</v>
      </c>
    </row>
    <row r="114" spans="1:7" s="78" customFormat="1" x14ac:dyDescent="0.25">
      <c r="A114" s="176" t="s">
        <v>232</v>
      </c>
      <c r="B114" s="502" t="s">
        <v>2148</v>
      </c>
      <c r="C114" s="608" t="s">
        <v>2122</v>
      </c>
      <c r="D114" s="142" t="s">
        <v>1125</v>
      </c>
      <c r="E114" s="144">
        <v>36</v>
      </c>
      <c r="F114" s="144">
        <v>20.14</v>
      </c>
      <c r="G114" s="144">
        <f t="shared" si="2"/>
        <v>725.04</v>
      </c>
    </row>
    <row r="115" spans="1:7" s="78" customFormat="1" ht="25.5" x14ac:dyDescent="0.25">
      <c r="A115" s="176" t="s">
        <v>235</v>
      </c>
      <c r="B115" s="502" t="s">
        <v>2274</v>
      </c>
      <c r="C115" s="608" t="s">
        <v>984</v>
      </c>
      <c r="D115" s="142" t="s">
        <v>1125</v>
      </c>
      <c r="E115" s="144">
        <v>300</v>
      </c>
      <c r="F115" s="144">
        <f>0.37*100</f>
        <v>37</v>
      </c>
      <c r="G115" s="144">
        <f t="shared" si="2"/>
        <v>11100</v>
      </c>
    </row>
    <row r="116" spans="1:7" s="78" customFormat="1" ht="25.5" x14ac:dyDescent="0.25">
      <c r="A116" s="176" t="s">
        <v>236</v>
      </c>
      <c r="B116" s="502" t="s">
        <v>2274</v>
      </c>
      <c r="C116" s="608" t="s">
        <v>985</v>
      </c>
      <c r="D116" s="142" t="s">
        <v>1125</v>
      </c>
      <c r="E116" s="144">
        <v>300</v>
      </c>
      <c r="F116" s="144">
        <f>0.37*100</f>
        <v>37</v>
      </c>
      <c r="G116" s="144">
        <f t="shared" si="2"/>
        <v>11100</v>
      </c>
    </row>
    <row r="117" spans="1:7" s="78" customFormat="1" ht="25.5" x14ac:dyDescent="0.25">
      <c r="A117" s="176" t="s">
        <v>237</v>
      </c>
      <c r="B117" s="502" t="s">
        <v>2275</v>
      </c>
      <c r="C117" s="608" t="s">
        <v>986</v>
      </c>
      <c r="D117" s="142" t="s">
        <v>1125</v>
      </c>
      <c r="E117" s="144">
        <v>300</v>
      </c>
      <c r="F117" s="144">
        <f>0.39*100</f>
        <v>39</v>
      </c>
      <c r="G117" s="144">
        <f t="shared" si="2"/>
        <v>11700</v>
      </c>
    </row>
    <row r="118" spans="1:7" s="78" customFormat="1" x14ac:dyDescent="0.25">
      <c r="A118" s="176" t="s">
        <v>1045</v>
      </c>
      <c r="B118" s="502" t="s">
        <v>2149</v>
      </c>
      <c r="C118" s="608" t="s">
        <v>284</v>
      </c>
      <c r="D118" s="142" t="s">
        <v>1125</v>
      </c>
      <c r="E118" s="144">
        <v>400</v>
      </c>
      <c r="F118" s="144">
        <v>1.02</v>
      </c>
      <c r="G118" s="144">
        <f t="shared" si="2"/>
        <v>408</v>
      </c>
    </row>
    <row r="119" spans="1:7" s="78" customFormat="1" x14ac:dyDescent="0.25">
      <c r="A119" s="176" t="s">
        <v>1078</v>
      </c>
      <c r="B119" s="502" t="s">
        <v>2150</v>
      </c>
      <c r="C119" s="608" t="s">
        <v>285</v>
      </c>
      <c r="D119" s="142" t="s">
        <v>1125</v>
      </c>
      <c r="E119" s="144">
        <v>400</v>
      </c>
      <c r="F119" s="144">
        <v>1.21</v>
      </c>
      <c r="G119" s="144">
        <f t="shared" si="2"/>
        <v>484</v>
      </c>
    </row>
    <row r="120" spans="1:7" s="78" customFormat="1" x14ac:dyDescent="0.25">
      <c r="A120" s="176" t="s">
        <v>1079</v>
      </c>
      <c r="B120" s="502" t="s">
        <v>2151</v>
      </c>
      <c r="C120" s="608" t="s">
        <v>286</v>
      </c>
      <c r="D120" s="142" t="s">
        <v>1125</v>
      </c>
      <c r="E120" s="144">
        <v>200</v>
      </c>
      <c r="F120" s="144">
        <v>1.68</v>
      </c>
      <c r="G120" s="144">
        <f t="shared" si="2"/>
        <v>336</v>
      </c>
    </row>
    <row r="121" spans="1:7" s="78" customFormat="1" x14ac:dyDescent="0.25">
      <c r="A121" s="176" t="s">
        <v>1080</v>
      </c>
      <c r="B121" s="502" t="s">
        <v>2152</v>
      </c>
      <c r="C121" s="608" t="s">
        <v>287</v>
      </c>
      <c r="D121" s="142" t="s">
        <v>1125</v>
      </c>
      <c r="E121" s="144">
        <v>200</v>
      </c>
      <c r="F121" s="144">
        <v>1.89</v>
      </c>
      <c r="G121" s="144">
        <f t="shared" si="2"/>
        <v>378</v>
      </c>
    </row>
    <row r="122" spans="1:7" s="78" customFormat="1" x14ac:dyDescent="0.25">
      <c r="A122" s="176" t="s">
        <v>1081</v>
      </c>
      <c r="B122" s="502" t="s">
        <v>2153</v>
      </c>
      <c r="C122" s="608" t="s">
        <v>288</v>
      </c>
      <c r="D122" s="142" t="s">
        <v>1125</v>
      </c>
      <c r="E122" s="144">
        <v>100</v>
      </c>
      <c r="F122" s="144">
        <v>3.29</v>
      </c>
      <c r="G122" s="144">
        <f t="shared" si="2"/>
        <v>329</v>
      </c>
    </row>
    <row r="123" spans="1:7" s="78" customFormat="1" x14ac:dyDescent="0.25">
      <c r="A123" s="176" t="s">
        <v>1082</v>
      </c>
      <c r="B123" s="502" t="s">
        <v>2154</v>
      </c>
      <c r="C123" s="608" t="s">
        <v>289</v>
      </c>
      <c r="D123" s="142" t="s">
        <v>1125</v>
      </c>
      <c r="E123" s="144">
        <v>100</v>
      </c>
      <c r="F123" s="144">
        <v>4.0999999999999996</v>
      </c>
      <c r="G123" s="144">
        <f t="shared" si="2"/>
        <v>410</v>
      </c>
    </row>
    <row r="124" spans="1:7" s="78" customFormat="1" x14ac:dyDescent="0.25">
      <c r="A124" s="176" t="s">
        <v>1083</v>
      </c>
      <c r="B124" s="502" t="s">
        <v>2155</v>
      </c>
      <c r="C124" s="608" t="s">
        <v>290</v>
      </c>
      <c r="D124" s="142" t="s">
        <v>1125</v>
      </c>
      <c r="E124" s="144">
        <v>50</v>
      </c>
      <c r="F124" s="144">
        <v>5.05</v>
      </c>
      <c r="G124" s="144">
        <f t="shared" si="2"/>
        <v>252.5</v>
      </c>
    </row>
    <row r="125" spans="1:7" s="78" customFormat="1" x14ac:dyDescent="0.25">
      <c r="A125" s="176" t="s">
        <v>1084</v>
      </c>
      <c r="B125" s="502" t="s">
        <v>2156</v>
      </c>
      <c r="C125" s="608" t="s">
        <v>291</v>
      </c>
      <c r="D125" s="142" t="s">
        <v>1125</v>
      </c>
      <c r="E125" s="144">
        <v>50</v>
      </c>
      <c r="F125" s="144">
        <v>7.1</v>
      </c>
      <c r="G125" s="144">
        <f t="shared" si="2"/>
        <v>355</v>
      </c>
    </row>
    <row r="126" spans="1:7" s="78" customFormat="1" x14ac:dyDescent="0.25">
      <c r="A126" s="176" t="s">
        <v>1085</v>
      </c>
      <c r="B126" s="502" t="s">
        <v>2157</v>
      </c>
      <c r="C126" s="608" t="s">
        <v>292</v>
      </c>
      <c r="D126" s="142" t="s">
        <v>1125</v>
      </c>
      <c r="E126" s="144">
        <v>50</v>
      </c>
      <c r="F126" s="144">
        <v>5.07</v>
      </c>
      <c r="G126" s="144">
        <f t="shared" si="2"/>
        <v>253.5</v>
      </c>
    </row>
    <row r="127" spans="1:7" s="78" customFormat="1" x14ac:dyDescent="0.25">
      <c r="A127" s="176" t="s">
        <v>1086</v>
      </c>
      <c r="B127" s="502" t="s">
        <v>2158</v>
      </c>
      <c r="C127" s="608" t="s">
        <v>293</v>
      </c>
      <c r="D127" s="142" t="s">
        <v>1125</v>
      </c>
      <c r="E127" s="144">
        <v>40</v>
      </c>
      <c r="F127" s="144">
        <v>6.96</v>
      </c>
      <c r="G127" s="144">
        <f t="shared" si="2"/>
        <v>278.39999999999998</v>
      </c>
    </row>
    <row r="128" spans="1:7" s="78" customFormat="1" x14ac:dyDescent="0.25">
      <c r="A128" s="176" t="s">
        <v>1087</v>
      </c>
      <c r="B128" s="356" t="s">
        <v>2159</v>
      </c>
      <c r="C128" s="613" t="s">
        <v>294</v>
      </c>
      <c r="D128" s="357" t="s">
        <v>1125</v>
      </c>
      <c r="E128" s="537">
        <v>40</v>
      </c>
      <c r="F128" s="537">
        <v>7.18</v>
      </c>
      <c r="G128" s="537">
        <f t="shared" ref="G128" si="3">ROUND(E128*F128,2)</f>
        <v>287.2</v>
      </c>
    </row>
    <row r="129" spans="1:8" s="78" customFormat="1" ht="13.5" thickBot="1" x14ac:dyDescent="0.3">
      <c r="A129" s="177"/>
      <c r="B129" s="147"/>
      <c r="C129" s="183"/>
      <c r="D129" s="148"/>
      <c r="E129" s="150"/>
      <c r="F129" s="408"/>
      <c r="G129" s="150"/>
    </row>
    <row r="130" spans="1:8" s="4" customFormat="1" ht="13.5" thickBot="1" x14ac:dyDescent="0.3">
      <c r="A130" s="864" t="str">
        <f>"TOTAL - "&amp;C74&amp;" - (R$):"</f>
        <v>TOTAL - MATERIAL DE CONSUMO - ELÉTRICA - (R$):</v>
      </c>
      <c r="B130" s="865"/>
      <c r="C130" s="865"/>
      <c r="D130" s="865"/>
      <c r="E130" s="865"/>
      <c r="F130" s="866"/>
      <c r="G130" s="212">
        <f>SUBTOTAL(9,G74:G129)</f>
        <v>381321.02</v>
      </c>
    </row>
    <row r="131" spans="1:8" s="78" customFormat="1" ht="13.5" thickBot="1" x14ac:dyDescent="0.3">
      <c r="A131" s="244"/>
      <c r="B131" s="359"/>
      <c r="C131" s="245"/>
      <c r="D131" s="246"/>
      <c r="E131" s="241"/>
      <c r="F131" s="247"/>
      <c r="G131" s="248"/>
    </row>
    <row r="132" spans="1:8" ht="13.5" thickBot="1" x14ac:dyDescent="0.3">
      <c r="A132" s="252" t="s">
        <v>362</v>
      </c>
      <c r="B132" s="506"/>
      <c r="C132" s="998" t="s">
        <v>419</v>
      </c>
      <c r="D132" s="999"/>
      <c r="E132" s="999"/>
      <c r="F132" s="999"/>
      <c r="G132" s="1000"/>
    </row>
    <row r="133" spans="1:8" s="78" customFormat="1" x14ac:dyDescent="0.25">
      <c r="A133" s="175" t="s">
        <v>238</v>
      </c>
      <c r="B133" s="137" t="s">
        <v>2219</v>
      </c>
      <c r="C133" s="610" t="s">
        <v>664</v>
      </c>
      <c r="D133" s="256" t="s">
        <v>187</v>
      </c>
      <c r="E133" s="139">
        <v>3112</v>
      </c>
      <c r="F133" s="139" t="s">
        <v>2220</v>
      </c>
      <c r="G133" s="139">
        <f t="shared" ref="G133:G175" si="4">ROUND(E133*F133,2)</f>
        <v>14284.08</v>
      </c>
    </row>
    <row r="134" spans="1:8" s="78" customFormat="1" x14ac:dyDescent="0.25">
      <c r="A134" s="176" t="s">
        <v>239</v>
      </c>
      <c r="B134" s="502" t="s">
        <v>2221</v>
      </c>
      <c r="C134" s="607" t="s">
        <v>851</v>
      </c>
      <c r="D134" s="257" t="s">
        <v>187</v>
      </c>
      <c r="E134" s="144">
        <v>3112</v>
      </c>
      <c r="F134" s="144">
        <v>4.37</v>
      </c>
      <c r="G134" s="144">
        <f t="shared" si="4"/>
        <v>13599.44</v>
      </c>
    </row>
    <row r="135" spans="1:8" s="78" customFormat="1" x14ac:dyDescent="0.25">
      <c r="A135" s="176" t="s">
        <v>240</v>
      </c>
      <c r="B135" s="502" t="s">
        <v>2222</v>
      </c>
      <c r="C135" s="607" t="s">
        <v>852</v>
      </c>
      <c r="D135" s="257" t="s">
        <v>187</v>
      </c>
      <c r="E135" s="144">
        <v>3112</v>
      </c>
      <c r="F135" s="144">
        <v>4.55</v>
      </c>
      <c r="G135" s="144">
        <f t="shared" si="4"/>
        <v>14159.6</v>
      </c>
    </row>
    <row r="136" spans="1:8" s="78" customFormat="1" x14ac:dyDescent="0.25">
      <c r="A136" s="176" t="s">
        <v>241</v>
      </c>
      <c r="B136" s="502" t="s">
        <v>2223</v>
      </c>
      <c r="C136" s="607" t="s">
        <v>853</v>
      </c>
      <c r="D136" s="257" t="s">
        <v>187</v>
      </c>
      <c r="E136" s="144">
        <v>3112</v>
      </c>
      <c r="F136" s="144">
        <v>4.8099999999999996</v>
      </c>
      <c r="G136" s="144">
        <f t="shared" si="4"/>
        <v>14968.72</v>
      </c>
    </row>
    <row r="137" spans="1:8" s="78" customFormat="1" x14ac:dyDescent="0.25">
      <c r="A137" s="176" t="s">
        <v>242</v>
      </c>
      <c r="B137" s="502" t="s">
        <v>2224</v>
      </c>
      <c r="C137" s="607" t="s">
        <v>854</v>
      </c>
      <c r="D137" s="257" t="s">
        <v>187</v>
      </c>
      <c r="E137" s="144">
        <v>3112</v>
      </c>
      <c r="F137" s="144">
        <v>5.4</v>
      </c>
      <c r="G137" s="144">
        <f t="shared" si="4"/>
        <v>16804.8</v>
      </c>
    </row>
    <row r="138" spans="1:8" s="78" customFormat="1" x14ac:dyDescent="0.25">
      <c r="A138" s="176" t="s">
        <v>243</v>
      </c>
      <c r="B138" s="502" t="s">
        <v>2227</v>
      </c>
      <c r="C138" s="607" t="s">
        <v>855</v>
      </c>
      <c r="D138" s="257" t="s">
        <v>191</v>
      </c>
      <c r="E138" s="144">
        <v>2223</v>
      </c>
      <c r="F138" s="144">
        <v>0.83</v>
      </c>
      <c r="G138" s="144">
        <f t="shared" si="4"/>
        <v>1845.09</v>
      </c>
    </row>
    <row r="139" spans="1:8" s="78" customFormat="1" x14ac:dyDescent="0.25">
      <c r="A139" s="176" t="s">
        <v>244</v>
      </c>
      <c r="B139" s="502" t="s">
        <v>2228</v>
      </c>
      <c r="C139" s="607" t="s">
        <v>856</v>
      </c>
      <c r="D139" s="257" t="s">
        <v>187</v>
      </c>
      <c r="E139" s="144">
        <v>240</v>
      </c>
      <c r="F139" s="144">
        <v>11.32</v>
      </c>
      <c r="G139" s="144">
        <f t="shared" si="4"/>
        <v>2716.8</v>
      </c>
    </row>
    <row r="140" spans="1:8" s="78" customFormat="1" x14ac:dyDescent="0.25">
      <c r="A140" s="176" t="s">
        <v>245</v>
      </c>
      <c r="B140" s="502" t="s">
        <v>2229</v>
      </c>
      <c r="C140" s="607" t="s">
        <v>665</v>
      </c>
      <c r="D140" s="257" t="s">
        <v>187</v>
      </c>
      <c r="E140" s="144">
        <v>134</v>
      </c>
      <c r="F140" s="144">
        <f>F$21</f>
        <v>9.5</v>
      </c>
      <c r="G140" s="144">
        <f t="shared" si="4"/>
        <v>1273</v>
      </c>
    </row>
    <row r="141" spans="1:8" s="78" customFormat="1" x14ac:dyDescent="0.25">
      <c r="A141" s="176" t="s">
        <v>246</v>
      </c>
      <c r="B141" s="502" t="s">
        <v>2230</v>
      </c>
      <c r="C141" s="607" t="s">
        <v>2395</v>
      </c>
      <c r="D141" s="257" t="s">
        <v>661</v>
      </c>
      <c r="E141" s="144">
        <v>178</v>
      </c>
      <c r="F141" s="144">
        <v>77.5</v>
      </c>
      <c r="G141" s="144">
        <f t="shared" si="4"/>
        <v>13795</v>
      </c>
    </row>
    <row r="142" spans="1:8" s="78" customFormat="1" x14ac:dyDescent="0.25">
      <c r="A142" s="176" t="s">
        <v>247</v>
      </c>
      <c r="B142" s="502" t="s">
        <v>2282</v>
      </c>
      <c r="C142" s="607" t="s">
        <v>857</v>
      </c>
      <c r="D142" s="257" t="s">
        <v>187</v>
      </c>
      <c r="E142" s="144">
        <v>1112</v>
      </c>
      <c r="F142" s="144">
        <v>1.71</v>
      </c>
      <c r="G142" s="144">
        <f t="shared" si="4"/>
        <v>1901.52</v>
      </c>
    </row>
    <row r="143" spans="1:8" s="78" customFormat="1" x14ac:dyDescent="0.25">
      <c r="A143" s="176" t="s">
        <v>248</v>
      </c>
      <c r="B143" s="502" t="s">
        <v>2231</v>
      </c>
      <c r="C143" s="607" t="s">
        <v>2396</v>
      </c>
      <c r="D143" s="257" t="s">
        <v>661</v>
      </c>
      <c r="E143" s="144">
        <v>223</v>
      </c>
      <c r="F143" s="144">
        <v>69.05</v>
      </c>
      <c r="G143" s="144">
        <f t="shared" si="4"/>
        <v>15398.15</v>
      </c>
    </row>
    <row r="144" spans="1:8" s="78" customFormat="1" x14ac:dyDescent="0.25">
      <c r="A144" s="176" t="s">
        <v>249</v>
      </c>
      <c r="B144" s="502" t="s">
        <v>2234</v>
      </c>
      <c r="C144" s="607" t="s">
        <v>858</v>
      </c>
      <c r="D144" s="257" t="s">
        <v>191</v>
      </c>
      <c r="E144" s="144">
        <v>1334</v>
      </c>
      <c r="F144" s="144">
        <v>4.75</v>
      </c>
      <c r="G144" s="144">
        <f t="shared" si="4"/>
        <v>6336.5</v>
      </c>
      <c r="H144" s="312"/>
    </row>
    <row r="145" spans="1:8" s="78" customFormat="1" x14ac:dyDescent="0.25">
      <c r="A145" s="176" t="s">
        <v>250</v>
      </c>
      <c r="B145" s="502" t="s">
        <v>2235</v>
      </c>
      <c r="C145" s="607" t="s">
        <v>668</v>
      </c>
      <c r="D145" s="257" t="s">
        <v>187</v>
      </c>
      <c r="E145" s="144">
        <v>889</v>
      </c>
      <c r="F145" s="144">
        <v>0.65</v>
      </c>
      <c r="G145" s="144">
        <f t="shared" si="4"/>
        <v>577.85</v>
      </c>
      <c r="H145" s="312"/>
    </row>
    <row r="146" spans="1:8" s="78" customFormat="1" x14ac:dyDescent="0.25">
      <c r="A146" s="176" t="s">
        <v>251</v>
      </c>
      <c r="B146" s="502" t="s">
        <v>2236</v>
      </c>
      <c r="C146" s="607" t="s">
        <v>660</v>
      </c>
      <c r="D146" s="257" t="s">
        <v>187</v>
      </c>
      <c r="E146" s="144">
        <v>111112</v>
      </c>
      <c r="F146" s="144">
        <v>0.4</v>
      </c>
      <c r="G146" s="144">
        <f t="shared" si="4"/>
        <v>44444.800000000003</v>
      </c>
      <c r="H146" s="312"/>
    </row>
    <row r="147" spans="1:8" s="78" customFormat="1" x14ac:dyDescent="0.25">
      <c r="A147" s="176" t="s">
        <v>252</v>
      </c>
      <c r="B147" s="502" t="s">
        <v>2238</v>
      </c>
      <c r="C147" s="607" t="s">
        <v>672</v>
      </c>
      <c r="D147" s="257" t="s">
        <v>670</v>
      </c>
      <c r="E147" s="144">
        <v>96</v>
      </c>
      <c r="F147" s="144">
        <v>31.78</v>
      </c>
      <c r="G147" s="144">
        <f t="shared" si="4"/>
        <v>3050.88</v>
      </c>
      <c r="H147" s="312"/>
    </row>
    <row r="148" spans="1:8" s="78" customFormat="1" x14ac:dyDescent="0.25">
      <c r="A148" s="176" t="s">
        <v>253</v>
      </c>
      <c r="B148" s="502" t="s">
        <v>2240</v>
      </c>
      <c r="C148" s="607" t="s">
        <v>667</v>
      </c>
      <c r="D148" s="257" t="s">
        <v>234</v>
      </c>
      <c r="E148" s="144">
        <v>86</v>
      </c>
      <c r="F148" s="144">
        <v>7.49</v>
      </c>
      <c r="G148" s="144">
        <f t="shared" si="4"/>
        <v>644.14</v>
      </c>
      <c r="H148" s="312"/>
    </row>
    <row r="149" spans="1:8" s="78" customFormat="1" x14ac:dyDescent="0.25">
      <c r="A149" s="176" t="s">
        <v>254</v>
      </c>
      <c r="B149" s="502" t="s">
        <v>2241</v>
      </c>
      <c r="C149" s="607" t="s">
        <v>827</v>
      </c>
      <c r="D149" s="257" t="s">
        <v>234</v>
      </c>
      <c r="E149" s="144">
        <v>56000</v>
      </c>
      <c r="F149" s="144">
        <f>$F$27</f>
        <v>3.69</v>
      </c>
      <c r="G149" s="144">
        <f t="shared" si="4"/>
        <v>206640</v>
      </c>
      <c r="H149" s="312"/>
    </row>
    <row r="150" spans="1:8" s="78" customFormat="1" x14ac:dyDescent="0.25">
      <c r="A150" s="176" t="s">
        <v>255</v>
      </c>
      <c r="B150" s="502" t="s">
        <v>2251</v>
      </c>
      <c r="C150" s="608" t="s">
        <v>979</v>
      </c>
      <c r="D150" s="257" t="s">
        <v>1125</v>
      </c>
      <c r="E150" s="144">
        <v>16</v>
      </c>
      <c r="F150" s="144">
        <f>$F$104</f>
        <v>7.34</v>
      </c>
      <c r="G150" s="144">
        <f t="shared" si="4"/>
        <v>117.44</v>
      </c>
      <c r="H150" s="312"/>
    </row>
    <row r="151" spans="1:8" s="78" customFormat="1" x14ac:dyDescent="0.25">
      <c r="A151" s="176" t="s">
        <v>256</v>
      </c>
      <c r="B151" s="502" t="s">
        <v>2398</v>
      </c>
      <c r="C151" s="607" t="s">
        <v>859</v>
      </c>
      <c r="D151" s="257" t="s">
        <v>191</v>
      </c>
      <c r="E151" s="144">
        <v>1334</v>
      </c>
      <c r="F151" s="144">
        <v>3.33</v>
      </c>
      <c r="G151" s="144">
        <f t="shared" si="4"/>
        <v>4442.22</v>
      </c>
      <c r="H151" s="312"/>
    </row>
    <row r="152" spans="1:8" s="78" customFormat="1" x14ac:dyDescent="0.25">
      <c r="A152" s="176" t="s">
        <v>257</v>
      </c>
      <c r="B152" s="502" t="s">
        <v>2254</v>
      </c>
      <c r="C152" s="607" t="s">
        <v>666</v>
      </c>
      <c r="D152" s="257" t="s">
        <v>187</v>
      </c>
      <c r="E152" s="144">
        <v>96</v>
      </c>
      <c r="F152" s="144">
        <v>11.04</v>
      </c>
      <c r="G152" s="144">
        <f t="shared" si="4"/>
        <v>1059.8399999999999</v>
      </c>
      <c r="H152" s="312"/>
    </row>
    <row r="153" spans="1:8" s="78" customFormat="1" x14ac:dyDescent="0.25">
      <c r="A153" s="176" t="s">
        <v>258</v>
      </c>
      <c r="B153" s="502" t="s">
        <v>2257</v>
      </c>
      <c r="C153" s="607" t="s">
        <v>2258</v>
      </c>
      <c r="D153" s="254" t="s">
        <v>191</v>
      </c>
      <c r="E153" s="144">
        <v>134</v>
      </c>
      <c r="F153" s="144">
        <v>87.85</v>
      </c>
      <c r="G153" s="144">
        <f t="shared" si="4"/>
        <v>11771.9</v>
      </c>
      <c r="H153" s="312"/>
    </row>
    <row r="154" spans="1:8" s="78" customFormat="1" ht="38.25" x14ac:dyDescent="0.25">
      <c r="A154" s="176" t="s">
        <v>259</v>
      </c>
      <c r="B154" s="502" t="s">
        <v>2255</v>
      </c>
      <c r="C154" s="607" t="s">
        <v>2256</v>
      </c>
      <c r="D154" s="254" t="s">
        <v>191</v>
      </c>
      <c r="E154" s="144">
        <v>134</v>
      </c>
      <c r="F154" s="144">
        <v>134.69</v>
      </c>
      <c r="G154" s="144">
        <f t="shared" si="4"/>
        <v>18048.46</v>
      </c>
      <c r="H154" s="312"/>
    </row>
    <row r="155" spans="1:8" s="78" customFormat="1" x14ac:dyDescent="0.25">
      <c r="A155" s="176" t="s">
        <v>260</v>
      </c>
      <c r="B155" s="502" t="s">
        <v>2399</v>
      </c>
      <c r="C155" s="607" t="s">
        <v>2400</v>
      </c>
      <c r="D155" s="257" t="s">
        <v>1125</v>
      </c>
      <c r="E155" s="144">
        <v>134</v>
      </c>
      <c r="F155" s="144">
        <v>15.8</v>
      </c>
      <c r="G155" s="144">
        <f t="shared" si="4"/>
        <v>2117.1999999999998</v>
      </c>
      <c r="H155" s="312"/>
    </row>
    <row r="156" spans="1:8" s="78" customFormat="1" x14ac:dyDescent="0.25">
      <c r="A156" s="176" t="s">
        <v>261</v>
      </c>
      <c r="B156" s="502" t="s">
        <v>2259</v>
      </c>
      <c r="C156" s="607" t="s">
        <v>860</v>
      </c>
      <c r="D156" s="257" t="s">
        <v>1125</v>
      </c>
      <c r="E156" s="144">
        <v>134</v>
      </c>
      <c r="F156" s="144">
        <v>15.8</v>
      </c>
      <c r="G156" s="144">
        <f t="shared" si="4"/>
        <v>2117.1999999999998</v>
      </c>
      <c r="H156" s="312"/>
    </row>
    <row r="157" spans="1:8" s="78" customFormat="1" x14ac:dyDescent="0.25">
      <c r="A157" s="176" t="s">
        <v>262</v>
      </c>
      <c r="B157" s="502" t="s">
        <v>2260</v>
      </c>
      <c r="C157" s="607" t="s">
        <v>673</v>
      </c>
      <c r="D157" s="257" t="s">
        <v>1125</v>
      </c>
      <c r="E157" s="144">
        <v>16</v>
      </c>
      <c r="F157" s="144">
        <v>54.19</v>
      </c>
      <c r="G157" s="144">
        <f t="shared" si="4"/>
        <v>867.04</v>
      </c>
      <c r="H157" s="312"/>
    </row>
    <row r="158" spans="1:8" s="78" customFormat="1" x14ac:dyDescent="0.25">
      <c r="A158" s="176" t="s">
        <v>263</v>
      </c>
      <c r="B158" s="502" t="s">
        <v>2261</v>
      </c>
      <c r="C158" s="607" t="s">
        <v>861</v>
      </c>
      <c r="D158" s="257" t="s">
        <v>1125</v>
      </c>
      <c r="E158" s="144">
        <v>40</v>
      </c>
      <c r="F158" s="144">
        <f>$F$51</f>
        <v>0.42</v>
      </c>
      <c r="G158" s="144">
        <f t="shared" si="4"/>
        <v>16.8</v>
      </c>
      <c r="H158" s="312"/>
    </row>
    <row r="159" spans="1:8" s="78" customFormat="1" x14ac:dyDescent="0.25">
      <c r="A159" s="176" t="s">
        <v>264</v>
      </c>
      <c r="B159" s="502" t="s">
        <v>2262</v>
      </c>
      <c r="C159" s="607" t="s">
        <v>862</v>
      </c>
      <c r="D159" s="257" t="s">
        <v>670</v>
      </c>
      <c r="E159" s="144">
        <f>2*4</f>
        <v>8</v>
      </c>
      <c r="F159" s="144">
        <v>1.1299999999999999</v>
      </c>
      <c r="G159" s="144">
        <f t="shared" si="4"/>
        <v>9.0399999999999991</v>
      </c>
      <c r="H159" s="312"/>
    </row>
    <row r="160" spans="1:8" s="78" customFormat="1" x14ac:dyDescent="0.25">
      <c r="A160" s="176" t="s">
        <v>265</v>
      </c>
      <c r="B160" s="502" t="s">
        <v>2264</v>
      </c>
      <c r="C160" s="607" t="s">
        <v>863</v>
      </c>
      <c r="D160" s="257" t="s">
        <v>670</v>
      </c>
      <c r="E160" s="144">
        <v>734</v>
      </c>
      <c r="F160" s="144">
        <v>34.76</v>
      </c>
      <c r="G160" s="144">
        <f t="shared" si="4"/>
        <v>25513.84</v>
      </c>
      <c r="H160" s="312"/>
    </row>
    <row r="161" spans="1:8" s="78" customFormat="1" x14ac:dyDescent="0.25">
      <c r="A161" s="176" t="s">
        <v>266</v>
      </c>
      <c r="B161" s="502" t="s">
        <v>2265</v>
      </c>
      <c r="C161" s="607" t="s">
        <v>864</v>
      </c>
      <c r="D161" s="257" t="s">
        <v>1125</v>
      </c>
      <c r="E161" s="144">
        <v>23</v>
      </c>
      <c r="F161" s="144">
        <v>49</v>
      </c>
      <c r="G161" s="144">
        <f t="shared" si="4"/>
        <v>1127</v>
      </c>
      <c r="H161" s="312"/>
    </row>
    <row r="162" spans="1:8" s="78" customFormat="1" x14ac:dyDescent="0.25">
      <c r="A162" s="176" t="s">
        <v>267</v>
      </c>
      <c r="B162" s="502" t="s">
        <v>2285</v>
      </c>
      <c r="C162" s="607" t="s">
        <v>1066</v>
      </c>
      <c r="D162" s="257" t="s">
        <v>234</v>
      </c>
      <c r="E162" s="144">
        <v>67</v>
      </c>
      <c r="F162" s="144">
        <v>73.599999999999994</v>
      </c>
      <c r="G162" s="144">
        <f t="shared" si="4"/>
        <v>4931.2</v>
      </c>
      <c r="H162" s="312"/>
    </row>
    <row r="163" spans="1:8" s="78" customFormat="1" x14ac:dyDescent="0.25">
      <c r="A163" s="176" t="s">
        <v>268</v>
      </c>
      <c r="B163" s="502" t="s">
        <v>2266</v>
      </c>
      <c r="C163" s="607" t="s">
        <v>865</v>
      </c>
      <c r="D163" s="257" t="s">
        <v>1125</v>
      </c>
      <c r="E163" s="144">
        <v>224</v>
      </c>
      <c r="F163" s="144">
        <v>30.55</v>
      </c>
      <c r="G163" s="144">
        <f t="shared" si="4"/>
        <v>6843.2</v>
      </c>
      <c r="H163" s="312"/>
    </row>
    <row r="164" spans="1:8" s="78" customFormat="1" x14ac:dyDescent="0.25">
      <c r="A164" s="176" t="s">
        <v>270</v>
      </c>
      <c r="B164" s="502"/>
      <c r="C164" s="607" t="s">
        <v>866</v>
      </c>
      <c r="D164" s="254" t="s">
        <v>191</v>
      </c>
      <c r="E164" s="144">
        <v>134</v>
      </c>
      <c r="F164" s="144">
        <v>6.833333333333333</v>
      </c>
      <c r="G164" s="144">
        <f t="shared" si="4"/>
        <v>915.67</v>
      </c>
      <c r="H164" s="312"/>
    </row>
    <row r="165" spans="1:8" s="78" customFormat="1" x14ac:dyDescent="0.25">
      <c r="A165" s="176" t="s">
        <v>272</v>
      </c>
      <c r="B165" s="502" t="s">
        <v>2286</v>
      </c>
      <c r="C165" s="607" t="s">
        <v>867</v>
      </c>
      <c r="D165" s="257" t="s">
        <v>1125</v>
      </c>
      <c r="E165" s="144">
        <v>89</v>
      </c>
      <c r="F165" s="144">
        <v>5.31</v>
      </c>
      <c r="G165" s="144">
        <f t="shared" si="4"/>
        <v>472.59</v>
      </c>
      <c r="H165" s="312"/>
    </row>
    <row r="166" spans="1:8" s="78" customFormat="1" x14ac:dyDescent="0.25">
      <c r="A166" s="176" t="s">
        <v>273</v>
      </c>
      <c r="B166" s="502" t="s">
        <v>2267</v>
      </c>
      <c r="C166" s="607" t="s">
        <v>663</v>
      </c>
      <c r="D166" s="257" t="s">
        <v>187</v>
      </c>
      <c r="E166" s="144">
        <v>214</v>
      </c>
      <c r="F166" s="144">
        <v>10.93</v>
      </c>
      <c r="G166" s="144">
        <f t="shared" si="4"/>
        <v>2339.02</v>
      </c>
      <c r="H166" s="312"/>
    </row>
    <row r="167" spans="1:8" s="78" customFormat="1" x14ac:dyDescent="0.25">
      <c r="A167" s="176" t="s">
        <v>274</v>
      </c>
      <c r="B167" s="502" t="s">
        <v>2270</v>
      </c>
      <c r="C167" s="607" t="s">
        <v>868</v>
      </c>
      <c r="D167" s="257" t="s">
        <v>1125</v>
      </c>
      <c r="E167" s="144">
        <v>89</v>
      </c>
      <c r="F167" s="144">
        <v>33.049999999999997</v>
      </c>
      <c r="G167" s="144">
        <f t="shared" si="4"/>
        <v>2941.45</v>
      </c>
      <c r="H167" s="312"/>
    </row>
    <row r="168" spans="1:8" s="78" customFormat="1" x14ac:dyDescent="0.25">
      <c r="A168" s="176" t="s">
        <v>275</v>
      </c>
      <c r="B168" s="502" t="s">
        <v>2269</v>
      </c>
      <c r="C168" s="607" t="s">
        <v>869</v>
      </c>
      <c r="D168" s="257" t="s">
        <v>1125</v>
      </c>
      <c r="E168" s="144">
        <v>89</v>
      </c>
      <c r="F168" s="144">
        <v>14.9</v>
      </c>
      <c r="G168" s="144">
        <f t="shared" si="4"/>
        <v>1326.1</v>
      </c>
      <c r="H168" s="312"/>
    </row>
    <row r="169" spans="1:8" s="78" customFormat="1" x14ac:dyDescent="0.25">
      <c r="A169" s="176" t="s">
        <v>276</v>
      </c>
      <c r="B169" s="502" t="s">
        <v>2272</v>
      </c>
      <c r="C169" s="607" t="s">
        <v>674</v>
      </c>
      <c r="D169" s="257" t="s">
        <v>1125</v>
      </c>
      <c r="E169" s="144">
        <v>16</v>
      </c>
      <c r="F169" s="144">
        <v>3.87</v>
      </c>
      <c r="G169" s="144">
        <f t="shared" si="4"/>
        <v>61.92</v>
      </c>
      <c r="H169" s="312"/>
    </row>
    <row r="170" spans="1:8" s="78" customFormat="1" x14ac:dyDescent="0.25">
      <c r="A170" s="176" t="s">
        <v>277</v>
      </c>
      <c r="B170" s="502" t="s">
        <v>2273</v>
      </c>
      <c r="C170" s="607" t="s">
        <v>662</v>
      </c>
      <c r="D170" s="257" t="s">
        <v>191</v>
      </c>
      <c r="E170" s="144">
        <v>223</v>
      </c>
      <c r="F170" s="144">
        <v>55.29</v>
      </c>
      <c r="G170" s="144">
        <f t="shared" si="4"/>
        <v>12329.67</v>
      </c>
      <c r="H170" s="312"/>
    </row>
    <row r="171" spans="1:8" s="78" customFormat="1" x14ac:dyDescent="0.25">
      <c r="A171" s="176" t="s">
        <v>278</v>
      </c>
      <c r="B171" s="502" t="s">
        <v>2276</v>
      </c>
      <c r="C171" s="607" t="s">
        <v>870</v>
      </c>
      <c r="D171" s="257" t="s">
        <v>1125</v>
      </c>
      <c r="E171" s="144">
        <v>9</v>
      </c>
      <c r="F171" s="144">
        <f>13.2*5</f>
        <v>66</v>
      </c>
      <c r="G171" s="144">
        <f t="shared" si="4"/>
        <v>594</v>
      </c>
      <c r="H171" s="312"/>
    </row>
    <row r="172" spans="1:8" s="78" customFormat="1" x14ac:dyDescent="0.25">
      <c r="A172" s="176" t="s">
        <v>279</v>
      </c>
      <c r="B172" s="502" t="s">
        <v>2277</v>
      </c>
      <c r="C172" s="607" t="s">
        <v>669</v>
      </c>
      <c r="D172" s="257" t="s">
        <v>1125</v>
      </c>
      <c r="E172" s="144">
        <v>10667</v>
      </c>
      <c r="F172" s="144">
        <v>0.24</v>
      </c>
      <c r="G172" s="144">
        <f t="shared" si="4"/>
        <v>2560.08</v>
      </c>
      <c r="H172" s="312"/>
    </row>
    <row r="173" spans="1:8" s="78" customFormat="1" x14ac:dyDescent="0.25">
      <c r="A173" s="176" t="s">
        <v>280</v>
      </c>
      <c r="B173" s="502" t="s">
        <v>2278</v>
      </c>
      <c r="C173" s="608" t="s">
        <v>233</v>
      </c>
      <c r="D173" s="254" t="s">
        <v>234</v>
      </c>
      <c r="E173" s="144">
        <v>9</v>
      </c>
      <c r="F173" s="144">
        <v>51.32</v>
      </c>
      <c r="G173" s="144">
        <f t="shared" si="4"/>
        <v>461.88</v>
      </c>
      <c r="H173" s="312"/>
    </row>
    <row r="174" spans="1:8" s="78" customFormat="1" x14ac:dyDescent="0.25">
      <c r="A174" s="176" t="s">
        <v>281</v>
      </c>
      <c r="B174" s="502" t="s">
        <v>2279</v>
      </c>
      <c r="C174" s="607" t="s">
        <v>671</v>
      </c>
      <c r="D174" s="257" t="s">
        <v>234</v>
      </c>
      <c r="E174" s="144">
        <v>221</v>
      </c>
      <c r="F174" s="144">
        <v>13.65</v>
      </c>
      <c r="G174" s="144">
        <f t="shared" si="4"/>
        <v>3016.65</v>
      </c>
      <c r="H174" s="312"/>
    </row>
    <row r="175" spans="1:8" s="78" customFormat="1" x14ac:dyDescent="0.25">
      <c r="A175" s="176" t="s">
        <v>282</v>
      </c>
      <c r="B175" s="502" t="s">
        <v>2280</v>
      </c>
      <c r="C175" s="607" t="s">
        <v>871</v>
      </c>
      <c r="D175" s="257" t="s">
        <v>1125</v>
      </c>
      <c r="E175" s="144">
        <v>89</v>
      </c>
      <c r="F175" s="144">
        <v>4.82</v>
      </c>
      <c r="G175" s="144">
        <f t="shared" si="4"/>
        <v>428.98</v>
      </c>
      <c r="H175" s="312"/>
    </row>
    <row r="176" spans="1:8" s="78" customFormat="1" x14ac:dyDescent="0.25">
      <c r="A176" s="176" t="s">
        <v>283</v>
      </c>
      <c r="B176" s="356" t="s">
        <v>2281</v>
      </c>
      <c r="C176" s="611" t="s">
        <v>872</v>
      </c>
      <c r="D176" s="538" t="s">
        <v>1125</v>
      </c>
      <c r="E176" s="537">
        <v>110</v>
      </c>
      <c r="F176" s="537">
        <v>16.12</v>
      </c>
      <c r="G176" s="537">
        <f t="shared" ref="G176" si="5">ROUND(E176*F176,2)</f>
        <v>1773.2</v>
      </c>
      <c r="H176" s="312"/>
    </row>
    <row r="177" spans="1:8" s="78" customFormat="1" ht="13.5" thickBot="1" x14ac:dyDescent="0.3">
      <c r="A177" s="177"/>
      <c r="B177" s="147"/>
      <c r="C177" s="539"/>
      <c r="D177" s="258"/>
      <c r="E177" s="150"/>
      <c r="F177" s="408"/>
      <c r="G177" s="150"/>
      <c r="H177" s="312"/>
    </row>
    <row r="178" spans="1:8" s="4" customFormat="1" ht="13.5" thickBot="1" x14ac:dyDescent="0.3">
      <c r="A178" s="864" t="str">
        <f>"TOTAL - "&amp;C132&amp;" - (R$):"</f>
        <v>TOTAL - MATERIAL DE CONSUMO - CIVIL - (R$):</v>
      </c>
      <c r="B178" s="865"/>
      <c r="C178" s="865"/>
      <c r="D178" s="865"/>
      <c r="E178" s="865"/>
      <c r="F178" s="866"/>
      <c r="G178" s="212">
        <f>SUBTOTAL(9,G132:G177)</f>
        <v>480643.96000000008</v>
      </c>
    </row>
    <row r="179" spans="1:8" s="78" customFormat="1" ht="13.5" thickBot="1" x14ac:dyDescent="0.3">
      <c r="A179" s="244"/>
      <c r="B179" s="359"/>
      <c r="C179" s="245"/>
      <c r="D179" s="246"/>
      <c r="E179" s="241"/>
      <c r="F179" s="247"/>
      <c r="G179" s="248"/>
    </row>
    <row r="180" spans="1:8" ht="13.5" thickBot="1" x14ac:dyDescent="0.3">
      <c r="A180" s="252" t="s">
        <v>381</v>
      </c>
      <c r="B180" s="506"/>
      <c r="C180" s="998" t="str">
        <f>CPU_MANUTENCAO_CANTEIRO!C13</f>
        <v>MANUTENÇÃO DE CANTEIRO - ESCRITÓRIO</v>
      </c>
      <c r="D180" s="999"/>
      <c r="E180" s="999"/>
      <c r="F180" s="999"/>
      <c r="G180" s="1000"/>
    </row>
    <row r="181" spans="1:8" s="78" customFormat="1" ht="38.25" x14ac:dyDescent="0.25">
      <c r="A181" s="175" t="s">
        <v>295</v>
      </c>
      <c r="B181" s="137"/>
      <c r="C181" s="181" t="s">
        <v>1621</v>
      </c>
      <c r="D181" s="138" t="s">
        <v>1127</v>
      </c>
      <c r="E181" s="139">
        <f>3*12</f>
        <v>36</v>
      </c>
      <c r="F181" s="139">
        <f>CPU_MANUTENCAO_CANTEIRO!F92</f>
        <v>3032.6</v>
      </c>
      <c r="G181" s="139">
        <f t="shared" ref="G181" si="6">ROUND(E181*F181,2)</f>
        <v>109173.6</v>
      </c>
      <c r="H181" s="312"/>
    </row>
    <row r="182" spans="1:8" s="78" customFormat="1" ht="13.5" thickBot="1" x14ac:dyDescent="0.3">
      <c r="A182" s="177"/>
      <c r="B182" s="147"/>
      <c r="C182" s="183"/>
      <c r="D182" s="148"/>
      <c r="E182" s="150"/>
      <c r="F182" s="408"/>
      <c r="G182" s="150"/>
      <c r="H182" s="312"/>
    </row>
    <row r="183" spans="1:8" s="4" customFormat="1" ht="13.5" thickBot="1" x14ac:dyDescent="0.3">
      <c r="A183" s="864" t="str">
        <f>"TOTAL - "&amp;C180&amp;" - (R$):"</f>
        <v>TOTAL - MANUTENÇÃO DE CANTEIRO - ESCRITÓRIO - (R$):</v>
      </c>
      <c r="B183" s="865"/>
      <c r="C183" s="865"/>
      <c r="D183" s="865"/>
      <c r="E183" s="865"/>
      <c r="F183" s="866"/>
      <c r="G183" s="212">
        <f>SUBTOTAL(9,G180:G182)</f>
        <v>109173.6</v>
      </c>
    </row>
    <row r="184" spans="1:8" s="78" customFormat="1" ht="13.5" thickBot="1" x14ac:dyDescent="0.3">
      <c r="A184" s="244"/>
      <c r="B184" s="359"/>
      <c r="C184" s="245"/>
      <c r="D184" s="246"/>
      <c r="E184" s="241"/>
      <c r="F184" s="247"/>
      <c r="G184" s="248"/>
    </row>
    <row r="185" spans="1:8" ht="13.5" thickBot="1" x14ac:dyDescent="0.3">
      <c r="A185" s="743" t="str">
        <f>"TOTAL - "&amp;A8&amp;" - (R$):"</f>
        <v>TOTAL - MATERIAL DE CONSUMO - ALMOXARIFADOS - (R$):</v>
      </c>
      <c r="B185" s="744"/>
      <c r="C185" s="744"/>
      <c r="D185" s="744"/>
      <c r="E185" s="744"/>
      <c r="F185" s="745"/>
      <c r="G185" s="30">
        <f>SUBTOTAL(9,G15:G184)</f>
        <v>1543218.3899999994</v>
      </c>
    </row>
    <row r="187" spans="1:8" ht="13.5" thickBot="1" x14ac:dyDescent="0.3"/>
    <row r="188" spans="1:8" ht="13.5" thickBot="1" x14ac:dyDescent="0.3">
      <c r="A188" s="843" t="str">
        <f>"RESUMO - "&amp;A$8</f>
        <v>RESUMO - MATERIAL DE CONSUMO - ALMOXARIFADOS</v>
      </c>
      <c r="B188" s="844"/>
      <c r="C188" s="844"/>
      <c r="D188" s="844"/>
      <c r="E188" s="844"/>
      <c r="F188" s="844"/>
      <c r="G188" s="845"/>
    </row>
    <row r="189" spans="1:8" ht="13.5" thickBot="1" x14ac:dyDescent="0.3">
      <c r="A189" s="31" t="s">
        <v>363</v>
      </c>
      <c r="B189" s="436"/>
      <c r="C189" s="846" t="s">
        <v>366</v>
      </c>
      <c r="D189" s="847"/>
      <c r="E189" s="848"/>
      <c r="F189" s="856" t="s">
        <v>414</v>
      </c>
      <c r="G189" s="857"/>
    </row>
    <row r="190" spans="1:8" s="78" customFormat="1" x14ac:dyDescent="0.25">
      <c r="A190" s="360">
        <v>1</v>
      </c>
      <c r="B190" s="437"/>
      <c r="C190" s="993" t="str">
        <f>C15</f>
        <v>MATERIAL DE CONSUMO - MECÂNICA</v>
      </c>
      <c r="D190" s="994"/>
      <c r="E190" s="995"/>
      <c r="F190" s="996">
        <f>G72</f>
        <v>572079.81000000006</v>
      </c>
      <c r="G190" s="997"/>
    </row>
    <row r="191" spans="1:8" s="78" customFormat="1" x14ac:dyDescent="0.25">
      <c r="A191" s="361">
        <v>2</v>
      </c>
      <c r="B191" s="361"/>
      <c r="C191" s="1004" t="str">
        <f>C74</f>
        <v>MATERIAL DE CONSUMO - ELÉTRICA</v>
      </c>
      <c r="D191" s="1005"/>
      <c r="E191" s="1006"/>
      <c r="F191" s="996">
        <f>G130</f>
        <v>381321.02</v>
      </c>
      <c r="G191" s="997"/>
    </row>
    <row r="192" spans="1:8" s="78" customFormat="1" x14ac:dyDescent="0.25">
      <c r="A192" s="361">
        <v>3</v>
      </c>
      <c r="B192" s="361"/>
      <c r="C192" s="1004" t="str">
        <f>C132</f>
        <v>MATERIAL DE CONSUMO - CIVIL</v>
      </c>
      <c r="D192" s="1005"/>
      <c r="E192" s="1006"/>
      <c r="F192" s="996">
        <f>G178</f>
        <v>480643.96000000008</v>
      </c>
      <c r="G192" s="997"/>
    </row>
    <row r="193" spans="1:7" s="78" customFormat="1" ht="13.5" thickBot="1" x14ac:dyDescent="0.3">
      <c r="A193" s="362">
        <v>4</v>
      </c>
      <c r="B193" s="362"/>
      <c r="C193" s="1001" t="str">
        <f>C180</f>
        <v>MANUTENÇÃO DE CANTEIRO - ESCRITÓRIO</v>
      </c>
      <c r="D193" s="1002"/>
      <c r="E193" s="1003"/>
      <c r="F193" s="996">
        <f>G183</f>
        <v>109173.6</v>
      </c>
      <c r="G193" s="997"/>
    </row>
    <row r="194" spans="1:7" ht="13.5" thickBot="1" x14ac:dyDescent="0.3">
      <c r="A194" s="743" t="str">
        <f>"TOTAL GERAL - "&amp;A188&amp;" -  (R$):"</f>
        <v>TOTAL GERAL - RESUMO - MATERIAL DE CONSUMO - ALMOXARIFADOS -  (R$):</v>
      </c>
      <c r="B194" s="744"/>
      <c r="C194" s="744"/>
      <c r="D194" s="744"/>
      <c r="E194" s="744"/>
      <c r="F194" s="854">
        <f>SUM(F190:G193)</f>
        <v>1543218.3900000001</v>
      </c>
      <c r="G194" s="855"/>
    </row>
    <row r="196" spans="1:7" s="78" customFormat="1" ht="13.5" thickBot="1" x14ac:dyDescent="0.3">
      <c r="A196" s="80"/>
      <c r="B196" s="71"/>
      <c r="C196" s="79"/>
      <c r="E196" s="312"/>
      <c r="F196" s="312"/>
      <c r="G196" s="74"/>
    </row>
    <row r="197" spans="1:7" s="78" customFormat="1" x14ac:dyDescent="0.25">
      <c r="A197" s="704" t="s">
        <v>422</v>
      </c>
      <c r="B197" s="736"/>
      <c r="C197" s="705"/>
      <c r="D197" s="705"/>
      <c r="E197" s="706"/>
      <c r="F197" s="704" t="s">
        <v>423</v>
      </c>
      <c r="G197" s="706"/>
    </row>
    <row r="198" spans="1:7" s="78" customFormat="1" ht="13.5" thickBot="1" x14ac:dyDescent="0.3">
      <c r="A198" s="701"/>
      <c r="B198" s="702"/>
      <c r="C198" s="702"/>
      <c r="D198" s="702"/>
      <c r="E198" s="703"/>
      <c r="F198" s="701"/>
      <c r="G198" s="703"/>
    </row>
    <row r="199" spans="1:7" s="78" customFormat="1" x14ac:dyDescent="0.25">
      <c r="A199" s="695" t="s">
        <v>424</v>
      </c>
      <c r="B199" s="696"/>
      <c r="C199" s="738"/>
      <c r="D199" s="738"/>
      <c r="E199" s="697"/>
      <c r="F199" s="695" t="s">
        <v>425</v>
      </c>
      <c r="G199" s="697"/>
    </row>
    <row r="200" spans="1:7" s="78" customFormat="1" ht="13.5" thickBot="1" x14ac:dyDescent="0.3">
      <c r="A200" s="695"/>
      <c r="B200" s="696"/>
      <c r="C200" s="696"/>
      <c r="D200" s="696"/>
      <c r="E200" s="697"/>
      <c r="F200" s="695"/>
      <c r="G200" s="697"/>
    </row>
    <row r="201" spans="1:7" s="78" customFormat="1" x14ac:dyDescent="0.25">
      <c r="A201" s="831" t="s">
        <v>426</v>
      </c>
      <c r="B201" s="832"/>
      <c r="C201" s="832"/>
      <c r="D201" s="832"/>
      <c r="E201" s="832"/>
      <c r="F201" s="832"/>
      <c r="G201" s="833"/>
    </row>
    <row r="202" spans="1:7" s="78" customFormat="1" x14ac:dyDescent="0.25">
      <c r="A202" s="982"/>
      <c r="B202" s="983"/>
      <c r="C202" s="983"/>
      <c r="D202" s="983"/>
      <c r="E202" s="983"/>
      <c r="F202" s="983"/>
      <c r="G202" s="984"/>
    </row>
    <row r="203" spans="1:7" s="78" customFormat="1" ht="13.5" thickBot="1" x14ac:dyDescent="0.3">
      <c r="A203" s="873"/>
      <c r="B203" s="874"/>
      <c r="C203" s="874"/>
      <c r="D203" s="874"/>
      <c r="E203" s="874"/>
      <c r="F203" s="874"/>
      <c r="G203" s="875"/>
    </row>
    <row r="204" spans="1:7" s="78" customFormat="1" x14ac:dyDescent="0.25">
      <c r="A204" s="80"/>
      <c r="B204" s="71"/>
      <c r="C204" s="79"/>
      <c r="E204" s="312"/>
      <c r="F204" s="312"/>
      <c r="G204" s="74"/>
    </row>
    <row r="205" spans="1:7" s="78" customFormat="1" x14ac:dyDescent="0.25">
      <c r="A205" s="80"/>
      <c r="B205" s="71"/>
      <c r="C205" s="79"/>
      <c r="E205" s="312"/>
      <c r="F205" s="312"/>
      <c r="G205" s="74"/>
    </row>
    <row r="206" spans="1:7" s="78" customFormat="1" x14ac:dyDescent="0.25">
      <c r="A206" s="80"/>
      <c r="B206" s="71"/>
      <c r="C206" s="79"/>
      <c r="E206" s="312"/>
      <c r="F206" s="312"/>
      <c r="G206" s="74"/>
    </row>
  </sheetData>
  <autoFilter ref="A12:H184"/>
  <mergeCells count="43">
    <mergeCell ref="A130:F130"/>
    <mergeCell ref="C132:G132"/>
    <mergeCell ref="B11:B12"/>
    <mergeCell ref="C11:C12"/>
    <mergeCell ref="D11:D12"/>
    <mergeCell ref="C15:G15"/>
    <mergeCell ref="A72:F72"/>
    <mergeCell ref="C74:G74"/>
    <mergeCell ref="E11:E12"/>
    <mergeCell ref="F11:G11"/>
    <mergeCell ref="A11:A12"/>
    <mergeCell ref="C13:G13"/>
    <mergeCell ref="C1:G1"/>
    <mergeCell ref="C2:G2"/>
    <mergeCell ref="C3:G3"/>
    <mergeCell ref="A5:G6"/>
    <mergeCell ref="A8:G8"/>
    <mergeCell ref="A178:F178"/>
    <mergeCell ref="C180:G180"/>
    <mergeCell ref="A183:F183"/>
    <mergeCell ref="A201:G201"/>
    <mergeCell ref="A185:F185"/>
    <mergeCell ref="A194:E194"/>
    <mergeCell ref="F194:G194"/>
    <mergeCell ref="A188:G188"/>
    <mergeCell ref="C189:E189"/>
    <mergeCell ref="C193:E193"/>
    <mergeCell ref="F193:G193"/>
    <mergeCell ref="C192:E192"/>
    <mergeCell ref="F192:G192"/>
    <mergeCell ref="C191:E191"/>
    <mergeCell ref="F191:G191"/>
    <mergeCell ref="F189:G189"/>
    <mergeCell ref="C190:E190"/>
    <mergeCell ref="A203:G203"/>
    <mergeCell ref="A197:E198"/>
    <mergeCell ref="F197:G197"/>
    <mergeCell ref="F198:G198"/>
    <mergeCell ref="A199:E200"/>
    <mergeCell ref="F199:G199"/>
    <mergeCell ref="F200:G200"/>
    <mergeCell ref="F190:G190"/>
    <mergeCell ref="A202:G202"/>
  </mergeCells>
  <phoneticPr fontId="25" type="noConversion"/>
  <printOptions horizontalCentered="1"/>
  <pageMargins left="0.78740157480314965" right="0.59055118110236227" top="0.59055118110236227" bottom="0.59055118110236227" header="0.19685039370078741" footer="0.19685039370078741"/>
  <pageSetup paperSize="9" scale="61" fitToHeight="100" orientation="portrait" horizontalDpi="4294967294" verticalDpi="4294967294" r:id="rId1"/>
  <headerFooter>
    <oddFooter>&amp;R&amp;"Arial,Normal"&amp;8&amp;F
Página &amp;P de &amp;N</oddFooter>
  </headerFooter>
  <rowBreaks count="2" manualBreakCount="2">
    <brk id="73" max="6" man="1"/>
    <brk id="13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0"/>
  <sheetViews>
    <sheetView showOutlineSymbols="0" view="pageBreakPreview" zoomScale="80" zoomScaleNormal="115" zoomScaleSheetLayoutView="80" workbookViewId="0">
      <pane ySplit="11" topLeftCell="A12" activePane="bottomLeft" state="frozen"/>
      <selection activeCell="A45" sqref="A45:G45"/>
      <selection pane="bottomLeft" activeCell="H18" sqref="H18"/>
    </sheetView>
  </sheetViews>
  <sheetFormatPr defaultColWidth="9.140625" defaultRowHeight="12.75" outlineLevelRow="4" x14ac:dyDescent="0.25"/>
  <cols>
    <col min="1" max="1" width="8.7109375" style="108" customWidth="1"/>
    <col min="2" max="2" width="14.7109375" style="516" customWidth="1"/>
    <col min="3" max="3" width="60.7109375" style="108" customWidth="1"/>
    <col min="4" max="8" width="14.7109375" style="108" customWidth="1"/>
    <col min="9" max="10" width="9.140625" style="108"/>
    <col min="11" max="11" width="14.28515625" style="108" bestFit="1" customWidth="1"/>
    <col min="12" max="16384" width="9.140625" style="108"/>
  </cols>
  <sheetData>
    <row r="1" spans="1:8" s="89" customFormat="1" x14ac:dyDescent="0.25">
      <c r="A1" s="117"/>
      <c r="B1" s="495"/>
      <c r="C1" s="709" t="s">
        <v>1117</v>
      </c>
      <c r="D1" s="709"/>
      <c r="E1" s="709"/>
      <c r="F1" s="709"/>
      <c r="G1" s="709"/>
      <c r="H1" s="709"/>
    </row>
    <row r="2" spans="1:8" s="89" customFormat="1" x14ac:dyDescent="0.25">
      <c r="A2" s="90"/>
      <c r="B2" s="428"/>
      <c r="C2" s="710" t="s">
        <v>1118</v>
      </c>
      <c r="D2" s="710"/>
      <c r="E2" s="710"/>
      <c r="F2" s="710"/>
      <c r="G2" s="710"/>
      <c r="H2" s="710"/>
    </row>
    <row r="3" spans="1:8" s="89" customFormat="1" ht="13.5" thickBot="1" x14ac:dyDescent="0.3">
      <c r="A3" s="118"/>
      <c r="B3" s="429"/>
      <c r="C3" s="711" t="s">
        <v>1116</v>
      </c>
      <c r="D3" s="711"/>
      <c r="E3" s="711"/>
      <c r="F3" s="711"/>
      <c r="G3" s="711"/>
      <c r="H3" s="711"/>
    </row>
    <row r="4" spans="1:8" s="78" customFormat="1" ht="13.9" thickBot="1" x14ac:dyDescent="0.35">
      <c r="A4" s="505"/>
      <c r="B4" s="507"/>
    </row>
    <row r="5" spans="1:8" s="78" customFormat="1" x14ac:dyDescent="0.25">
      <c r="A5" s="689" t="s">
        <v>1119</v>
      </c>
      <c r="B5" s="690"/>
      <c r="C5" s="689"/>
      <c r="D5" s="689"/>
      <c r="E5" s="689"/>
      <c r="F5" s="689"/>
      <c r="G5" s="689"/>
      <c r="H5" s="689"/>
    </row>
    <row r="6" spans="1:8" s="78" customFormat="1" ht="13.5" thickBot="1" x14ac:dyDescent="0.3">
      <c r="A6" s="691"/>
      <c r="B6" s="691"/>
      <c r="C6" s="691"/>
      <c r="D6" s="691"/>
      <c r="E6" s="691"/>
      <c r="F6" s="691"/>
      <c r="G6" s="691"/>
      <c r="H6" s="691"/>
    </row>
    <row r="7" spans="1:8" s="78" customFormat="1" ht="13.9" thickBot="1" x14ac:dyDescent="0.35">
      <c r="B7" s="72"/>
      <c r="C7" s="70"/>
      <c r="D7" s="72"/>
    </row>
    <row r="8" spans="1:8" s="21" customFormat="1" ht="13.5" thickBot="1" x14ac:dyDescent="0.3">
      <c r="A8" s="686" t="s">
        <v>1521</v>
      </c>
      <c r="B8" s="687"/>
      <c r="C8" s="687"/>
      <c r="D8" s="687"/>
      <c r="E8" s="688"/>
      <c r="F8" s="506" t="s">
        <v>2113</v>
      </c>
      <c r="G8" s="707">
        <f ca="1">SUBTOTAL(109,G12:G782)</f>
        <v>69389279.810000032</v>
      </c>
      <c r="H8" s="708"/>
    </row>
    <row r="9" spans="1:8" s="78" customFormat="1" ht="13.15" x14ac:dyDescent="0.3">
      <c r="A9" s="69"/>
      <c r="B9" s="72"/>
      <c r="C9" s="70"/>
      <c r="D9" s="72"/>
      <c r="E9" s="72"/>
      <c r="F9" s="77"/>
      <c r="G9" s="72"/>
      <c r="H9" s="72"/>
    </row>
    <row r="10" spans="1:8" s="100" customFormat="1" ht="13.15" x14ac:dyDescent="0.3">
      <c r="A10" s="97"/>
      <c r="B10" s="97"/>
      <c r="C10" s="101"/>
      <c r="D10" s="101"/>
      <c r="E10" s="99"/>
      <c r="F10" s="99"/>
      <c r="G10" s="99"/>
      <c r="H10" s="98"/>
    </row>
    <row r="11" spans="1:8" s="104" customFormat="1" x14ac:dyDescent="0.25">
      <c r="A11" s="102" t="s">
        <v>363</v>
      </c>
      <c r="B11" s="102" t="s">
        <v>1466</v>
      </c>
      <c r="C11" s="540" t="s">
        <v>366</v>
      </c>
      <c r="D11" s="102" t="s">
        <v>1121</v>
      </c>
      <c r="E11" s="103" t="s">
        <v>1122</v>
      </c>
      <c r="F11" s="103" t="s">
        <v>1123</v>
      </c>
      <c r="G11" s="103" t="s">
        <v>1124</v>
      </c>
      <c r="H11" s="103" t="s">
        <v>446</v>
      </c>
    </row>
    <row r="12" spans="1:8" ht="13.15" outlineLevel="4" x14ac:dyDescent="0.3">
      <c r="A12" s="105"/>
      <c r="B12" s="513"/>
      <c r="C12" s="542"/>
      <c r="D12" s="106"/>
      <c r="E12" s="107"/>
      <c r="F12" s="107"/>
      <c r="G12" s="107"/>
      <c r="H12" s="550"/>
    </row>
    <row r="13" spans="1:8" outlineLevel="4" x14ac:dyDescent="0.25">
      <c r="A13" s="109" t="s">
        <v>360</v>
      </c>
      <c r="B13" s="514"/>
      <c r="C13" s="541" t="str">
        <f>Mobilizacao_Desmobilizacao!C13</f>
        <v>MOBILIZAÇÃO E DESMOBILIZAÇAO</v>
      </c>
      <c r="D13" s="110"/>
      <c r="E13" s="111"/>
      <c r="F13" s="111"/>
      <c r="G13" s="111">
        <f>SUBTOTAL(109,G14:G21)</f>
        <v>237283.91999999998</v>
      </c>
      <c r="H13" s="555">
        <f ca="1">ROUND(G13/G$8,4)</f>
        <v>3.3999999999999998E-3</v>
      </c>
    </row>
    <row r="14" spans="1:8" ht="25.5" outlineLevel="4" x14ac:dyDescent="0.25">
      <c r="A14" s="109" t="s">
        <v>1522</v>
      </c>
      <c r="B14" s="514"/>
      <c r="C14" s="541" t="str">
        <f>Mobilizacao_Desmobilizacao!C15</f>
        <v>MOBILIZAÇÃO (Máquinas, Equipamentos, Ferramentas, Instrumentos, Materiais, Mobiliário)</v>
      </c>
      <c r="D14" s="110"/>
      <c r="E14" s="111"/>
      <c r="F14" s="111"/>
      <c r="G14" s="111">
        <f>SUBTOTAL(109,G15:G17)</f>
        <v>118641.95</v>
      </c>
      <c r="H14" s="555">
        <f t="shared" ref="H14:H21" ca="1" si="0">ROUND(G14/G$8,4)</f>
        <v>1.6999999999999999E-3</v>
      </c>
    </row>
    <row r="15" spans="1:8" outlineLevel="4" x14ac:dyDescent="0.25">
      <c r="A15" s="109" t="s">
        <v>1523</v>
      </c>
      <c r="B15" s="514">
        <f>Mobilizacao_Desmobilizacao!B16</f>
        <v>0</v>
      </c>
      <c r="C15" s="541" t="str">
        <f>Mobilizacao_Desmobilizacao!C16</f>
        <v>Mobilização da Equipe - Canteiro Lote 09 (Floresta/PE)</v>
      </c>
      <c r="D15" s="110" t="str">
        <f>Mobilizacao_Desmobilizacao!D16</f>
        <v>un</v>
      </c>
      <c r="E15" s="111">
        <f>Mobilizacao_Desmobilizacao!E16</f>
        <v>1</v>
      </c>
      <c r="F15" s="111">
        <f>Mobilizacao_Desmobilizacao!F16</f>
        <v>62525.57</v>
      </c>
      <c r="G15" s="111">
        <f t="shared" ref="G15:G17" si="1">ROUND(E15*F15,2)</f>
        <v>62525.57</v>
      </c>
      <c r="H15" s="555">
        <f t="shared" ca="1" si="0"/>
        <v>8.9999999999999998E-4</v>
      </c>
    </row>
    <row r="16" spans="1:8" outlineLevel="4" x14ac:dyDescent="0.25">
      <c r="A16" s="109" t="s">
        <v>1524</v>
      </c>
      <c r="B16" s="514">
        <f>Mobilizacao_Desmobilizacao!B17</f>
        <v>0</v>
      </c>
      <c r="C16" s="541" t="str">
        <f>Mobilizacao_Desmobilizacao!C17</f>
        <v>Mobilização da Equipe - Canteiro Lote 10 (Custódia/PE)</v>
      </c>
      <c r="D16" s="110" t="str">
        <f>Mobilizacao_Desmobilizacao!D17</f>
        <v>un</v>
      </c>
      <c r="E16" s="111">
        <f>Mobilizacao_Desmobilizacao!E17</f>
        <v>1</v>
      </c>
      <c r="F16" s="111">
        <f>Mobilizacao_Desmobilizacao!F17</f>
        <v>25855.51</v>
      </c>
      <c r="G16" s="111">
        <f t="shared" si="1"/>
        <v>25855.51</v>
      </c>
      <c r="H16" s="555">
        <f t="shared" ca="1" si="0"/>
        <v>4.0000000000000002E-4</v>
      </c>
    </row>
    <row r="17" spans="1:8" outlineLevel="4" x14ac:dyDescent="0.25">
      <c r="A17" s="109" t="s">
        <v>1525</v>
      </c>
      <c r="B17" s="514">
        <f>Mobilizacao_Desmobilizacao!B18</f>
        <v>0</v>
      </c>
      <c r="C17" s="541" t="str">
        <f>Mobilizacao_Desmobilizacao!C18</f>
        <v>Mobilização da Equipe - Canteiro Lote 12 (Sertânia/PE)</v>
      </c>
      <c r="D17" s="110" t="str">
        <f>Mobilizacao_Desmobilizacao!D18</f>
        <v>un</v>
      </c>
      <c r="E17" s="111">
        <f>Mobilizacao_Desmobilizacao!E18</f>
        <v>1</v>
      </c>
      <c r="F17" s="111">
        <f>Mobilizacao_Desmobilizacao!F18</f>
        <v>30260.87</v>
      </c>
      <c r="G17" s="111">
        <f t="shared" si="1"/>
        <v>30260.87</v>
      </c>
      <c r="H17" s="555">
        <f t="shared" ca="1" si="0"/>
        <v>4.0000000000000002E-4</v>
      </c>
    </row>
    <row r="18" spans="1:8" ht="25.5" outlineLevel="4" x14ac:dyDescent="0.25">
      <c r="A18" s="109" t="s">
        <v>1526</v>
      </c>
      <c r="B18" s="514"/>
      <c r="C18" s="541" t="str">
        <f>Mobilizacao_Desmobilizacao!C21</f>
        <v>DESMOBILIZAÇÃO (Máquinas, Equip., Ferramentas, Instrumentos, Materiais, Mobiliário)</v>
      </c>
      <c r="D18" s="110"/>
      <c r="E18" s="111"/>
      <c r="F18" s="111"/>
      <c r="G18" s="111">
        <f>SUBTOTAL(109,G19:G21)</f>
        <v>118641.97</v>
      </c>
      <c r="H18" s="555">
        <f t="shared" ca="1" si="0"/>
        <v>1.6999999999999999E-3</v>
      </c>
    </row>
    <row r="19" spans="1:8" outlineLevel="4" x14ac:dyDescent="0.25">
      <c r="A19" s="109" t="s">
        <v>1527</v>
      </c>
      <c r="B19" s="514">
        <f>Mobilizacao_Desmobilizacao!B20</f>
        <v>0</v>
      </c>
      <c r="C19" s="541" t="str">
        <f>Mobilizacao_Desmobilizacao!C22</f>
        <v>Desmobilização da Equipe - Canteiro Lote 09 (Floresta/PE)</v>
      </c>
      <c r="D19" s="110" t="str">
        <f>Mobilizacao_Desmobilizacao!D22</f>
        <v>un</v>
      </c>
      <c r="E19" s="111">
        <f>Mobilizacao_Desmobilizacao!E22</f>
        <v>1</v>
      </c>
      <c r="F19" s="111">
        <f>Mobilizacao_Desmobilizacao!F22</f>
        <v>62525.57</v>
      </c>
      <c r="G19" s="111">
        <f t="shared" ref="G19:G21" si="2">ROUND(E19*F19,2)</f>
        <v>62525.57</v>
      </c>
      <c r="H19" s="555">
        <f t="shared" ca="1" si="0"/>
        <v>8.9999999999999998E-4</v>
      </c>
    </row>
    <row r="20" spans="1:8" outlineLevel="4" x14ac:dyDescent="0.25">
      <c r="A20" s="109" t="s">
        <v>1528</v>
      </c>
      <c r="B20" s="514">
        <f>Mobilizacao_Desmobilizacao!B21</f>
        <v>0</v>
      </c>
      <c r="C20" s="541" t="str">
        <f>Mobilizacao_Desmobilizacao!C23</f>
        <v>Desmobilização da Equipe - Canteiro Lote 10 (Custódia/PE)</v>
      </c>
      <c r="D20" s="110" t="str">
        <f>Mobilizacao_Desmobilizacao!D23</f>
        <v>un</v>
      </c>
      <c r="E20" s="111">
        <f>Mobilizacao_Desmobilizacao!E23</f>
        <v>1</v>
      </c>
      <c r="F20" s="111">
        <f>Mobilizacao_Desmobilizacao!F23</f>
        <v>25855.51</v>
      </c>
      <c r="G20" s="111">
        <f t="shared" si="2"/>
        <v>25855.51</v>
      </c>
      <c r="H20" s="555">
        <f t="shared" ca="1" si="0"/>
        <v>4.0000000000000002E-4</v>
      </c>
    </row>
    <row r="21" spans="1:8" outlineLevel="4" x14ac:dyDescent="0.25">
      <c r="A21" s="109" t="s">
        <v>1529</v>
      </c>
      <c r="B21" s="514">
        <f>Mobilizacao_Desmobilizacao!B22</f>
        <v>0</v>
      </c>
      <c r="C21" s="541" t="str">
        <f>Mobilizacao_Desmobilizacao!C24</f>
        <v>Desmobilização da Equipe - Canteiro Lote 12 (Sertânia/PE)</v>
      </c>
      <c r="D21" s="110" t="str">
        <f>Mobilizacao_Desmobilizacao!D24</f>
        <v>un</v>
      </c>
      <c r="E21" s="111">
        <f>Mobilizacao_Desmobilizacao!E24</f>
        <v>1</v>
      </c>
      <c r="F21" s="111">
        <f>Mobilizacao_Desmobilizacao!F24</f>
        <v>30260.89</v>
      </c>
      <c r="G21" s="111">
        <f t="shared" si="2"/>
        <v>30260.89</v>
      </c>
      <c r="H21" s="555">
        <f t="shared" ca="1" si="0"/>
        <v>4.0000000000000002E-4</v>
      </c>
    </row>
    <row r="22" spans="1:8" ht="13.15" x14ac:dyDescent="0.3">
      <c r="A22" s="109"/>
      <c r="B22" s="514"/>
      <c r="C22" s="541"/>
      <c r="D22" s="110"/>
      <c r="E22" s="111"/>
      <c r="F22" s="111"/>
      <c r="G22" s="111"/>
      <c r="H22" s="551"/>
    </row>
    <row r="23" spans="1:8" ht="13.15" x14ac:dyDescent="0.3">
      <c r="A23" s="109" t="s">
        <v>361</v>
      </c>
      <c r="B23" s="514"/>
      <c r="C23" s="541" t="str">
        <f>Reforma_Canteiros!C13</f>
        <v>REFORMA DOS CANTEIROS</v>
      </c>
      <c r="D23" s="110"/>
      <c r="E23" s="111"/>
      <c r="F23" s="111"/>
      <c r="G23" s="111">
        <f>SUBTOTAL(109,G24:G52)</f>
        <v>2089967.8699999999</v>
      </c>
      <c r="H23" s="555">
        <f t="shared" ref="H23:H52" ca="1" si="3">ROUND(G23/G$8,4)</f>
        <v>3.0099999999999998E-2</v>
      </c>
    </row>
    <row r="24" spans="1:8" ht="13.15" x14ac:dyDescent="0.3">
      <c r="A24" s="109" t="s">
        <v>1532</v>
      </c>
      <c r="B24" s="514"/>
      <c r="C24" s="541" t="str">
        <f>Reforma_Canteiros!C15</f>
        <v>REFORMA DO CANTEIRO DO LOTE 09 (FLOPRESTA/PE)</v>
      </c>
      <c r="D24" s="110"/>
      <c r="E24" s="111"/>
      <c r="F24" s="111"/>
      <c r="G24" s="111">
        <f>SUBTOTAL(109,G25:G32)</f>
        <v>265212.87</v>
      </c>
      <c r="H24" s="555">
        <f t="shared" ca="1" si="3"/>
        <v>3.8E-3</v>
      </c>
    </row>
    <row r="25" spans="1:8" x14ac:dyDescent="0.25">
      <c r="A25" s="109" t="s">
        <v>1533</v>
      </c>
      <c r="B25" s="514" t="str">
        <f>Reforma_Canteiros!B16</f>
        <v>93206-SINAPI/PE*</v>
      </c>
      <c r="C25" s="541" t="str">
        <f>Reforma_Canteiros!C16</f>
        <v>Escritório 1</v>
      </c>
      <c r="D25" s="110" t="str">
        <f>Reforma_Canteiros!D16</f>
        <v>m²</v>
      </c>
      <c r="E25" s="111">
        <f>Reforma_Canteiros!E16</f>
        <v>174.06</v>
      </c>
      <c r="F25" s="111">
        <f>Reforma_Canteiros!F16</f>
        <v>198.42</v>
      </c>
      <c r="G25" s="111">
        <f t="shared" ref="G25:G32" si="4">ROUND(E25*F25,2)</f>
        <v>34536.99</v>
      </c>
      <c r="H25" s="555">
        <f t="shared" ca="1" si="3"/>
        <v>5.0000000000000001E-4</v>
      </c>
    </row>
    <row r="26" spans="1:8" x14ac:dyDescent="0.25">
      <c r="A26" s="109" t="s">
        <v>1534</v>
      </c>
      <c r="B26" s="514" t="str">
        <f>Reforma_Canteiros!B17</f>
        <v>93206-SINAPI/PE*</v>
      </c>
      <c r="C26" s="541" t="str">
        <f>Reforma_Canteiros!C17</f>
        <v>Escritório 2</v>
      </c>
      <c r="D26" s="110" t="str">
        <f>Reforma_Canteiros!D17</f>
        <v>m²</v>
      </c>
      <c r="E26" s="111">
        <f>Reforma_Canteiros!E17</f>
        <v>276.75</v>
      </c>
      <c r="F26" s="111">
        <f>Reforma_Canteiros!F17</f>
        <v>198.42</v>
      </c>
      <c r="G26" s="111">
        <f t="shared" si="4"/>
        <v>54912.74</v>
      </c>
      <c r="H26" s="555">
        <f t="shared" ca="1" si="3"/>
        <v>8.0000000000000004E-4</v>
      </c>
    </row>
    <row r="27" spans="1:8" ht="13.15" x14ac:dyDescent="0.3">
      <c r="A27" s="109" t="s">
        <v>1535</v>
      </c>
      <c r="B27" s="514" t="str">
        <f>Reforma_Canteiros!B18</f>
        <v>93585-SINAPI/PE*</v>
      </c>
      <c r="C27" s="541" t="str">
        <f>Reforma_Canteiros!C18</f>
        <v>Guarita</v>
      </c>
      <c r="D27" s="110" t="str">
        <f>Reforma_Canteiros!D18</f>
        <v>m²</v>
      </c>
      <c r="E27" s="111">
        <f>Reforma_Canteiros!E18</f>
        <v>57.29</v>
      </c>
      <c r="F27" s="111">
        <f>Reforma_Canteiros!F18</f>
        <v>171.86</v>
      </c>
      <c r="G27" s="111">
        <f t="shared" si="4"/>
        <v>9845.86</v>
      </c>
      <c r="H27" s="555">
        <f t="shared" ca="1" si="3"/>
        <v>1E-4</v>
      </c>
    </row>
    <row r="28" spans="1:8" x14ac:dyDescent="0.25">
      <c r="A28" s="109" t="s">
        <v>1536</v>
      </c>
      <c r="B28" s="514" t="str">
        <f>Reforma_Canteiros!B19</f>
        <v>93213-SINAPI/PE*</v>
      </c>
      <c r="C28" s="541" t="str">
        <f>Reforma_Canteiros!C19</f>
        <v>Vestiário e sanitário</v>
      </c>
      <c r="D28" s="110" t="str">
        <f>Reforma_Canteiros!D19</f>
        <v>m²</v>
      </c>
      <c r="E28" s="111">
        <f>Reforma_Canteiros!E19</f>
        <v>108.24</v>
      </c>
      <c r="F28" s="111">
        <f>Reforma_Canteiros!F19</f>
        <v>184.53</v>
      </c>
      <c r="G28" s="111">
        <f t="shared" si="4"/>
        <v>19973.53</v>
      </c>
      <c r="H28" s="555">
        <f t="shared" ca="1" si="3"/>
        <v>2.9999999999999997E-4</v>
      </c>
    </row>
    <row r="29" spans="1:8" x14ac:dyDescent="0.25">
      <c r="A29" s="109" t="s">
        <v>1537</v>
      </c>
      <c r="B29" s="514" t="str">
        <f>Reforma_Canteiros!B20</f>
        <v>93211-SINAPI/PE*</v>
      </c>
      <c r="C29" s="541" t="str">
        <f>Reforma_Canteiros!C20</f>
        <v>Cozinha e refeitório/Auditório</v>
      </c>
      <c r="D29" s="110" t="str">
        <f>Reforma_Canteiros!D20</f>
        <v>m²</v>
      </c>
      <c r="E29" s="111">
        <f>Reforma_Canteiros!E20</f>
        <v>427.68</v>
      </c>
      <c r="F29" s="111">
        <f>Reforma_Canteiros!F20</f>
        <v>101.07</v>
      </c>
      <c r="G29" s="111">
        <f t="shared" si="4"/>
        <v>43225.62</v>
      </c>
      <c r="H29" s="555">
        <f t="shared" ca="1" si="3"/>
        <v>5.9999999999999995E-4</v>
      </c>
    </row>
    <row r="30" spans="1:8" x14ac:dyDescent="0.25">
      <c r="A30" s="109" t="s">
        <v>1538</v>
      </c>
      <c r="B30" s="514" t="str">
        <f>Reforma_Canteiros!B21</f>
        <v>93213-SINAPI/PE*</v>
      </c>
      <c r="C30" s="541" t="str">
        <f>Reforma_Canteiros!C21</f>
        <v>Lazer (área de convivência)</v>
      </c>
      <c r="D30" s="110" t="str">
        <f>Reforma_Canteiros!D21</f>
        <v>m²</v>
      </c>
      <c r="E30" s="111">
        <f>Reforma_Canteiros!E21</f>
        <v>142.21</v>
      </c>
      <c r="F30" s="111">
        <f>Reforma_Canteiros!F21</f>
        <v>184.53</v>
      </c>
      <c r="G30" s="111">
        <f t="shared" si="4"/>
        <v>26242.01</v>
      </c>
      <c r="H30" s="555">
        <f t="shared" ca="1" si="3"/>
        <v>4.0000000000000002E-4</v>
      </c>
    </row>
    <row r="31" spans="1:8" ht="13.15" x14ac:dyDescent="0.3">
      <c r="A31" s="109" t="s">
        <v>1539</v>
      </c>
      <c r="B31" s="514" t="str">
        <f>Reforma_Canteiros!B22</f>
        <v>93209-SINAPI/PE*</v>
      </c>
      <c r="C31" s="541" t="str">
        <f>Reforma_Canteiros!C22</f>
        <v>Almoxarifado</v>
      </c>
      <c r="D31" s="110" t="str">
        <f>Reforma_Canteiros!D22</f>
        <v>m²</v>
      </c>
      <c r="E31" s="111">
        <f>Reforma_Canteiros!E22</f>
        <v>264.95999999999998</v>
      </c>
      <c r="F31" s="111">
        <f>Reforma_Canteiros!F22</f>
        <v>164.03</v>
      </c>
      <c r="G31" s="111">
        <f t="shared" si="4"/>
        <v>43461.39</v>
      </c>
      <c r="H31" s="555">
        <f t="shared" ca="1" si="3"/>
        <v>5.9999999999999995E-4</v>
      </c>
    </row>
    <row r="32" spans="1:8" x14ac:dyDescent="0.25">
      <c r="A32" s="109" t="s">
        <v>1540</v>
      </c>
      <c r="B32" s="514" t="str">
        <f>Reforma_Canteiros!B23</f>
        <v>93582-SINAPI/PE*</v>
      </c>
      <c r="C32" s="541" t="str">
        <f>Reforma_Canteiros!C23</f>
        <v>Central de armação</v>
      </c>
      <c r="D32" s="110" t="str">
        <f>Reforma_Canteiros!D23</f>
        <v>m²</v>
      </c>
      <c r="E32" s="111">
        <f>Reforma_Canteiros!E23</f>
        <v>702.74</v>
      </c>
      <c r="F32" s="111">
        <f>Reforma_Canteiros!F23</f>
        <v>46.98</v>
      </c>
      <c r="G32" s="111">
        <f t="shared" si="4"/>
        <v>33014.730000000003</v>
      </c>
      <c r="H32" s="555">
        <f t="shared" ca="1" si="3"/>
        <v>5.0000000000000001E-4</v>
      </c>
    </row>
    <row r="33" spans="1:8" x14ac:dyDescent="0.25">
      <c r="A33" s="109" t="s">
        <v>1541</v>
      </c>
      <c r="B33" s="514"/>
      <c r="C33" s="541" t="str">
        <f>Reforma_Canteiros!C26</f>
        <v>REFORMA DO CANTEIRO DO LOTE 10 (CUSTÓDIA/PE)</v>
      </c>
      <c r="D33" s="110"/>
      <c r="E33" s="111"/>
      <c r="F33" s="111"/>
      <c r="G33" s="111">
        <f>SUBTOTAL(109,G34:G42)</f>
        <v>1449334.7</v>
      </c>
      <c r="H33" s="555">
        <f t="shared" ca="1" si="3"/>
        <v>2.0899999999999998E-2</v>
      </c>
    </row>
    <row r="34" spans="1:8" x14ac:dyDescent="0.25">
      <c r="A34" s="109" t="s">
        <v>1542</v>
      </c>
      <c r="B34" s="514" t="str">
        <f>Reforma_Canteiros!B27</f>
        <v>93206-SINAPI/PE</v>
      </c>
      <c r="C34" s="541" t="str">
        <f>Reforma_Canteiros!C27</f>
        <v>Escritório 1</v>
      </c>
      <c r="D34" s="110" t="str">
        <f>Reforma_Canteiros!D27</f>
        <v>m²</v>
      </c>
      <c r="E34" s="111">
        <f>Reforma_Canteiros!E27</f>
        <v>255.16</v>
      </c>
      <c r="F34" s="111">
        <f>Reforma_Canteiros!F27</f>
        <v>793.66</v>
      </c>
      <c r="G34" s="111">
        <f t="shared" ref="G34:G42" si="5">ROUND(E34*F34,2)</f>
        <v>202510.29</v>
      </c>
      <c r="H34" s="555">
        <f t="shared" ca="1" si="3"/>
        <v>2.8999999999999998E-3</v>
      </c>
    </row>
    <row r="35" spans="1:8" x14ac:dyDescent="0.25">
      <c r="A35" s="109" t="s">
        <v>1543</v>
      </c>
      <c r="B35" s="514" t="str">
        <f>Reforma_Canteiros!B28</f>
        <v>93206-SINAPI/PE</v>
      </c>
      <c r="C35" s="541" t="str">
        <f>Reforma_Canteiros!C28</f>
        <v>Escritório 2</v>
      </c>
      <c r="D35" s="110" t="str">
        <f>Reforma_Canteiros!D28</f>
        <v>m²</v>
      </c>
      <c r="E35" s="111">
        <f>Reforma_Canteiros!E28</f>
        <v>297.08</v>
      </c>
      <c r="F35" s="111">
        <f>Reforma_Canteiros!F28</f>
        <v>793.66</v>
      </c>
      <c r="G35" s="111">
        <f t="shared" si="5"/>
        <v>235780.51</v>
      </c>
      <c r="H35" s="555">
        <f t="shared" ca="1" si="3"/>
        <v>3.3999999999999998E-3</v>
      </c>
    </row>
    <row r="36" spans="1:8" ht="13.15" x14ac:dyDescent="0.3">
      <c r="A36" s="109" t="s">
        <v>1544</v>
      </c>
      <c r="B36" s="514" t="str">
        <f>Reforma_Canteiros!B29</f>
        <v>93585-SINAPI/PE*</v>
      </c>
      <c r="C36" s="541" t="str">
        <f>Reforma_Canteiros!C29</f>
        <v>Guarita</v>
      </c>
      <c r="D36" s="110" t="str">
        <f>Reforma_Canteiros!D29</f>
        <v>m²</v>
      </c>
      <c r="E36" s="111">
        <f>Reforma_Canteiros!E29</f>
        <v>12.46</v>
      </c>
      <c r="F36" s="111">
        <f>Reforma_Canteiros!F29</f>
        <v>171.86</v>
      </c>
      <c r="G36" s="111">
        <f t="shared" si="5"/>
        <v>2141.38</v>
      </c>
      <c r="H36" s="555">
        <f t="shared" ca="1" si="3"/>
        <v>0</v>
      </c>
    </row>
    <row r="37" spans="1:8" x14ac:dyDescent="0.25">
      <c r="A37" s="109" t="s">
        <v>1545</v>
      </c>
      <c r="B37" s="514" t="str">
        <f>Reforma_Canteiros!B30</f>
        <v>93213-SINAPI/PE</v>
      </c>
      <c r="C37" s="541" t="str">
        <f>Reforma_Canteiros!C30</f>
        <v>Vestiário e sanitário</v>
      </c>
      <c r="D37" s="110" t="str">
        <f>Reforma_Canteiros!D30</f>
        <v>m²</v>
      </c>
      <c r="E37" s="111">
        <f>Reforma_Canteiros!E30</f>
        <v>268.64</v>
      </c>
      <c r="F37" s="111">
        <f>Reforma_Canteiros!F30</f>
        <v>738.13</v>
      </c>
      <c r="G37" s="111">
        <f t="shared" si="5"/>
        <v>198291.24</v>
      </c>
      <c r="H37" s="555">
        <f t="shared" ca="1" si="3"/>
        <v>2.8999999999999998E-3</v>
      </c>
    </row>
    <row r="38" spans="1:8" x14ac:dyDescent="0.25">
      <c r="A38" s="109" t="s">
        <v>1546</v>
      </c>
      <c r="B38" s="514" t="str">
        <f>Reforma_Canteiros!B31</f>
        <v>93211-SINAPI/PE</v>
      </c>
      <c r="C38" s="541" t="str">
        <f>Reforma_Canteiros!C31</f>
        <v>Cozinha e refeitório/Auditório</v>
      </c>
      <c r="D38" s="110" t="str">
        <f>Reforma_Canteiros!D31</f>
        <v>m²</v>
      </c>
      <c r="E38" s="111">
        <f>Reforma_Canteiros!E31</f>
        <v>1477.66</v>
      </c>
      <c r="F38" s="111">
        <f>Reforma_Canteiros!F31</f>
        <v>404.27</v>
      </c>
      <c r="G38" s="111">
        <f t="shared" si="5"/>
        <v>597373.61</v>
      </c>
      <c r="H38" s="555">
        <f t="shared" ca="1" si="3"/>
        <v>8.6E-3</v>
      </c>
    </row>
    <row r="39" spans="1:8" x14ac:dyDescent="0.25">
      <c r="A39" s="109" t="s">
        <v>1547</v>
      </c>
      <c r="B39" s="514" t="str">
        <f>Reforma_Canteiros!B32</f>
        <v>93213-SINAPI/PE*</v>
      </c>
      <c r="C39" s="541" t="str">
        <f>Reforma_Canteiros!C32</f>
        <v>Lazer (área de convivência)</v>
      </c>
      <c r="D39" s="110" t="str">
        <f>Reforma_Canteiros!D32</f>
        <v>m²</v>
      </c>
      <c r="E39" s="111">
        <f>Reforma_Canteiros!E32</f>
        <v>350</v>
      </c>
      <c r="F39" s="111">
        <f>Reforma_Canteiros!F32</f>
        <v>184.53</v>
      </c>
      <c r="G39" s="111">
        <f t="shared" si="5"/>
        <v>64585.5</v>
      </c>
      <c r="H39" s="555">
        <f t="shared" ca="1" si="3"/>
        <v>8.9999999999999998E-4</v>
      </c>
    </row>
    <row r="40" spans="1:8" ht="13.15" x14ac:dyDescent="0.3">
      <c r="A40" s="109" t="s">
        <v>1548</v>
      </c>
      <c r="B40" s="514" t="str">
        <f>Reforma_Canteiros!B33</f>
        <v>93209-SINAPI/PE*</v>
      </c>
      <c r="C40" s="541" t="str">
        <f>Reforma_Canteiros!C33</f>
        <v>Almoxarifado</v>
      </c>
      <c r="D40" s="110" t="str">
        <f>Reforma_Canteiros!D33</f>
        <v>m²</v>
      </c>
      <c r="E40" s="111">
        <f>Reforma_Canteiros!E33</f>
        <v>456.2</v>
      </c>
      <c r="F40" s="111">
        <f>Reforma_Canteiros!F33</f>
        <v>164.03</v>
      </c>
      <c r="G40" s="111">
        <f t="shared" si="5"/>
        <v>74830.490000000005</v>
      </c>
      <c r="H40" s="555">
        <f t="shared" ca="1" si="3"/>
        <v>1.1000000000000001E-3</v>
      </c>
    </row>
    <row r="41" spans="1:8" x14ac:dyDescent="0.25">
      <c r="A41" s="109" t="s">
        <v>1549</v>
      </c>
      <c r="B41" s="514" t="str">
        <f>Reforma_Canteiros!B34</f>
        <v>93582-SINAPI/PE*</v>
      </c>
      <c r="C41" s="541" t="str">
        <f>Reforma_Canteiros!C34</f>
        <v>Central de armação</v>
      </c>
      <c r="D41" s="110" t="str">
        <f>Reforma_Canteiros!D34</f>
        <v>m²</v>
      </c>
      <c r="E41" s="111">
        <f>Reforma_Canteiros!E34</f>
        <v>663.82</v>
      </c>
      <c r="F41" s="111">
        <f>Reforma_Canteiros!F34</f>
        <v>46.98</v>
      </c>
      <c r="G41" s="111">
        <f t="shared" si="5"/>
        <v>31186.26</v>
      </c>
      <c r="H41" s="555">
        <f t="shared" ca="1" si="3"/>
        <v>4.0000000000000002E-4</v>
      </c>
    </row>
    <row r="42" spans="1:8" x14ac:dyDescent="0.25">
      <c r="A42" s="109" t="s">
        <v>1550</v>
      </c>
      <c r="B42" s="514" t="str">
        <f>Reforma_Canteiros!B35</f>
        <v>93206-SINAPI/PE</v>
      </c>
      <c r="C42" s="541" t="str">
        <f>Reforma_Canteiros!C35</f>
        <v>Centro de Saúde</v>
      </c>
      <c r="D42" s="110" t="str">
        <f>Reforma_Canteiros!D35</f>
        <v>m²</v>
      </c>
      <c r="E42" s="111">
        <f>Reforma_Canteiros!E35</f>
        <v>53.72</v>
      </c>
      <c r="F42" s="111">
        <f>Reforma_Canteiros!F35</f>
        <v>793.66</v>
      </c>
      <c r="G42" s="111">
        <f t="shared" si="5"/>
        <v>42635.42</v>
      </c>
      <c r="H42" s="555">
        <f t="shared" ca="1" si="3"/>
        <v>5.9999999999999995E-4</v>
      </c>
    </row>
    <row r="43" spans="1:8" x14ac:dyDescent="0.25">
      <c r="A43" s="109" t="s">
        <v>1551</v>
      </c>
      <c r="B43" s="514"/>
      <c r="C43" s="541" t="str">
        <f>Reforma_Canteiros!C38</f>
        <v>REFORMA DO CANTEIRO DO LOTE 12 (SERTÂNIA/PE)</v>
      </c>
      <c r="D43" s="110"/>
      <c r="E43" s="111"/>
      <c r="F43" s="111"/>
      <c r="G43" s="111">
        <f>SUBTOTAL(109,G44:G52)</f>
        <v>375420.30000000005</v>
      </c>
      <c r="H43" s="555">
        <f t="shared" ca="1" si="3"/>
        <v>5.4000000000000003E-3</v>
      </c>
    </row>
    <row r="44" spans="1:8" x14ac:dyDescent="0.25">
      <c r="A44" s="109" t="s">
        <v>1552</v>
      </c>
      <c r="B44" s="514" t="str">
        <f>Reforma_Canteiros!B39</f>
        <v>93206-SINAPI/PE*</v>
      </c>
      <c r="C44" s="541" t="str">
        <f>Reforma_Canteiros!C39</f>
        <v>Escritório 1</v>
      </c>
      <c r="D44" s="110" t="str">
        <f>Reforma_Canteiros!D39</f>
        <v>m²</v>
      </c>
      <c r="E44" s="111">
        <f>Reforma_Canteiros!E39</f>
        <v>285.33</v>
      </c>
      <c r="F44" s="111">
        <f>Reforma_Canteiros!F39</f>
        <v>198.42</v>
      </c>
      <c r="G44" s="111">
        <f t="shared" ref="G44:G52" si="6">ROUND(E44*F44,2)</f>
        <v>56615.18</v>
      </c>
      <c r="H44" s="555">
        <f t="shared" ca="1" si="3"/>
        <v>8.0000000000000004E-4</v>
      </c>
    </row>
    <row r="45" spans="1:8" x14ac:dyDescent="0.25">
      <c r="A45" s="109" t="s">
        <v>1553</v>
      </c>
      <c r="B45" s="514" t="str">
        <f>Reforma_Canteiros!B40</f>
        <v>93206-SINAPI/PE*</v>
      </c>
      <c r="C45" s="541" t="str">
        <f>Reforma_Canteiros!C40</f>
        <v>Escritório 2</v>
      </c>
      <c r="D45" s="110" t="str">
        <f>Reforma_Canteiros!D40</f>
        <v>m²</v>
      </c>
      <c r="E45" s="111">
        <f>Reforma_Canteiros!E40</f>
        <v>323.2</v>
      </c>
      <c r="F45" s="111">
        <f>Reforma_Canteiros!F40</f>
        <v>198.42</v>
      </c>
      <c r="G45" s="111">
        <f t="shared" si="6"/>
        <v>64129.34</v>
      </c>
      <c r="H45" s="555">
        <f t="shared" ca="1" si="3"/>
        <v>8.9999999999999998E-4</v>
      </c>
    </row>
    <row r="46" spans="1:8" ht="13.15" x14ac:dyDescent="0.3">
      <c r="A46" s="109" t="s">
        <v>1554</v>
      </c>
      <c r="B46" s="514" t="str">
        <f>Reforma_Canteiros!B41</f>
        <v>93585-SINAPI/PE*</v>
      </c>
      <c r="C46" s="541" t="str">
        <f>Reforma_Canteiros!C41</f>
        <v>Guarita</v>
      </c>
      <c r="D46" s="110" t="str">
        <f>Reforma_Canteiros!D41</f>
        <v>m²</v>
      </c>
      <c r="E46" s="111">
        <f>Reforma_Canteiros!E41</f>
        <v>9.9</v>
      </c>
      <c r="F46" s="111">
        <f>Reforma_Canteiros!F41</f>
        <v>171.86</v>
      </c>
      <c r="G46" s="111">
        <f t="shared" si="6"/>
        <v>1701.41</v>
      </c>
      <c r="H46" s="555">
        <f t="shared" ca="1" si="3"/>
        <v>0</v>
      </c>
    </row>
    <row r="47" spans="1:8" x14ac:dyDescent="0.25">
      <c r="A47" s="109" t="s">
        <v>1555</v>
      </c>
      <c r="B47" s="514" t="str">
        <f>Reforma_Canteiros!B42</f>
        <v>93213-SINAPI/PE*</v>
      </c>
      <c r="C47" s="541" t="str">
        <f>Reforma_Canteiros!C42</f>
        <v>Vestiário e sanitário</v>
      </c>
      <c r="D47" s="110" t="str">
        <f>Reforma_Canteiros!D42</f>
        <v>m²</v>
      </c>
      <c r="E47" s="111">
        <f>Reforma_Canteiros!E42</f>
        <v>616.98</v>
      </c>
      <c r="F47" s="111">
        <f>Reforma_Canteiros!F42</f>
        <v>184.53</v>
      </c>
      <c r="G47" s="111">
        <f t="shared" si="6"/>
        <v>113851.32</v>
      </c>
      <c r="H47" s="555">
        <f t="shared" ca="1" si="3"/>
        <v>1.6000000000000001E-3</v>
      </c>
    </row>
    <row r="48" spans="1:8" x14ac:dyDescent="0.25">
      <c r="A48" s="109" t="s">
        <v>1556</v>
      </c>
      <c r="B48" s="514" t="str">
        <f>Reforma_Canteiros!B43</f>
        <v>93211-SINAPI/PE*</v>
      </c>
      <c r="C48" s="541" t="str">
        <f>Reforma_Canteiros!C43</f>
        <v>Cozinha e refeitório/Auditório</v>
      </c>
      <c r="D48" s="110" t="str">
        <f>Reforma_Canteiros!D43</f>
        <v>m²</v>
      </c>
      <c r="E48" s="111">
        <f>Reforma_Canteiros!E43</f>
        <v>690.8</v>
      </c>
      <c r="F48" s="111">
        <f>Reforma_Canteiros!F43</f>
        <v>101.07</v>
      </c>
      <c r="G48" s="111">
        <f t="shared" si="6"/>
        <v>69819.16</v>
      </c>
      <c r="H48" s="555">
        <f t="shared" ca="1" si="3"/>
        <v>1E-3</v>
      </c>
    </row>
    <row r="49" spans="1:8" x14ac:dyDescent="0.25">
      <c r="A49" s="109" t="s">
        <v>1557</v>
      </c>
      <c r="B49" s="514" t="str">
        <f>Reforma_Canteiros!B44</f>
        <v>93213-SINAPI/PE*</v>
      </c>
      <c r="C49" s="541" t="str">
        <f>Reforma_Canteiros!C44</f>
        <v>Lazer (área de convivência)</v>
      </c>
      <c r="D49" s="110" t="str">
        <f>Reforma_Canteiros!D44</f>
        <v>m²</v>
      </c>
      <c r="E49" s="111">
        <f>Reforma_Canteiros!E44</f>
        <v>58.76</v>
      </c>
      <c r="F49" s="111">
        <f>Reforma_Canteiros!F44</f>
        <v>184.53</v>
      </c>
      <c r="G49" s="111">
        <f t="shared" si="6"/>
        <v>10842.98</v>
      </c>
      <c r="H49" s="555">
        <f t="shared" ca="1" si="3"/>
        <v>2.0000000000000001E-4</v>
      </c>
    </row>
    <row r="50" spans="1:8" ht="13.15" x14ac:dyDescent="0.3">
      <c r="A50" s="109" t="s">
        <v>1558</v>
      </c>
      <c r="B50" s="514" t="str">
        <f>Reforma_Canteiros!B45</f>
        <v>93209-SINAPI/PE*</v>
      </c>
      <c r="C50" s="541" t="str">
        <f>Reforma_Canteiros!C45</f>
        <v>Almoxarifado</v>
      </c>
      <c r="D50" s="110" t="str">
        <f>Reforma_Canteiros!D45</f>
        <v>m²</v>
      </c>
      <c r="E50" s="111">
        <f>Reforma_Canteiros!E45</f>
        <v>229.35</v>
      </c>
      <c r="F50" s="111">
        <f>Reforma_Canteiros!F45</f>
        <v>164.03</v>
      </c>
      <c r="G50" s="111">
        <f t="shared" si="6"/>
        <v>37620.28</v>
      </c>
      <c r="H50" s="555">
        <f t="shared" ca="1" si="3"/>
        <v>5.0000000000000001E-4</v>
      </c>
    </row>
    <row r="51" spans="1:8" x14ac:dyDescent="0.25">
      <c r="A51" s="109" t="s">
        <v>1559</v>
      </c>
      <c r="B51" s="514" t="str">
        <f>Reforma_Canteiros!B46</f>
        <v>93582-SINAPI/PE*</v>
      </c>
      <c r="C51" s="541" t="str">
        <f>Reforma_Canteiros!C46</f>
        <v>Central de armação</v>
      </c>
      <c r="D51" s="110" t="str">
        <f>Reforma_Canteiros!D46</f>
        <v>m²</v>
      </c>
      <c r="E51" s="111">
        <f>Reforma_Canteiros!E46</f>
        <v>216.72</v>
      </c>
      <c r="F51" s="111">
        <f>Reforma_Canteiros!F46</f>
        <v>46.98</v>
      </c>
      <c r="G51" s="111">
        <f t="shared" si="6"/>
        <v>10181.51</v>
      </c>
      <c r="H51" s="555">
        <f t="shared" ca="1" si="3"/>
        <v>1E-4</v>
      </c>
    </row>
    <row r="52" spans="1:8" x14ac:dyDescent="0.25">
      <c r="A52" s="109" t="s">
        <v>1560</v>
      </c>
      <c r="B52" s="514" t="str">
        <f>Reforma_Canteiros!B47</f>
        <v>93206-SINAPI/PE*</v>
      </c>
      <c r="C52" s="541" t="str">
        <f>Reforma_Canteiros!C47</f>
        <v>Centro de Saúde</v>
      </c>
      <c r="D52" s="110" t="str">
        <f>Reforma_Canteiros!D47</f>
        <v>m²</v>
      </c>
      <c r="E52" s="111">
        <f>Reforma_Canteiros!E47</f>
        <v>53.72</v>
      </c>
      <c r="F52" s="111">
        <f>Reforma_Canteiros!F47</f>
        <v>198.42</v>
      </c>
      <c r="G52" s="111">
        <f t="shared" si="6"/>
        <v>10659.12</v>
      </c>
      <c r="H52" s="555">
        <f t="shared" ca="1" si="3"/>
        <v>2.0000000000000001E-4</v>
      </c>
    </row>
    <row r="53" spans="1:8" x14ac:dyDescent="0.25">
      <c r="A53" s="109"/>
      <c r="B53" s="514"/>
      <c r="C53" s="541"/>
      <c r="D53" s="110"/>
      <c r="E53" s="111"/>
      <c r="F53" s="111"/>
      <c r="G53" s="111"/>
      <c r="H53" s="551"/>
    </row>
    <row r="54" spans="1:8" x14ac:dyDescent="0.25">
      <c r="A54" s="109" t="s">
        <v>362</v>
      </c>
      <c r="B54" s="514"/>
      <c r="C54" s="541" t="str">
        <f>Moveis_Equipamentos!C13</f>
        <v>MOBILIÁRIO E EQUIPAMENTOS DE ESCRTÓRIO</v>
      </c>
      <c r="D54" s="110"/>
      <c r="E54" s="111"/>
      <c r="F54" s="111"/>
      <c r="G54" s="111">
        <f>SUBTOTAL(109,G55:G106)</f>
        <v>671937.35000000009</v>
      </c>
      <c r="H54" s="555">
        <f t="shared" ref="H54:H106" ca="1" si="7">ROUND(G54/G$8,4)</f>
        <v>9.7000000000000003E-3</v>
      </c>
    </row>
    <row r="55" spans="1:8" ht="25.5" x14ac:dyDescent="0.25">
      <c r="A55" s="109" t="s">
        <v>238</v>
      </c>
      <c r="B55" s="514" t="str">
        <f>Moveis_Equipamentos!B14</f>
        <v>E209300236-EMBASA/BA</v>
      </c>
      <c r="C55" s="541" t="str">
        <f>Moveis_Equipamentos!C14</f>
        <v>Aluguel de impressora colorida-Laser com cartuchos-formatos A4 e A3 (inclusive suprimentos)</v>
      </c>
      <c r="D55" s="110" t="str">
        <f>Moveis_Equipamentos!D14</f>
        <v>un x mês</v>
      </c>
      <c r="E55" s="111">
        <f>Moveis_Equipamentos!E14</f>
        <v>216</v>
      </c>
      <c r="F55" s="111">
        <f>Moveis_Equipamentos!F14</f>
        <v>225.08</v>
      </c>
      <c r="G55" s="111">
        <f t="shared" ref="G55" si="8">ROUND(E55*F55,2)</f>
        <v>48617.279999999999</v>
      </c>
      <c r="H55" s="555">
        <f t="shared" ca="1" si="7"/>
        <v>6.9999999999999999E-4</v>
      </c>
    </row>
    <row r="56" spans="1:8" x14ac:dyDescent="0.25">
      <c r="A56" s="109" t="s">
        <v>239</v>
      </c>
      <c r="B56" s="514" t="str">
        <f>Moveis_Equipamentos!B15</f>
        <v>I8612-SEINFRA/CE</v>
      </c>
      <c r="C56" s="541" t="str">
        <f>Moveis_Equipamentos!C15</f>
        <v>Aluguel de Plotter (inclusive suprimentos)</v>
      </c>
      <c r="D56" s="110" t="str">
        <f>Moveis_Equipamentos!D15</f>
        <v>un x mês</v>
      </c>
      <c r="E56" s="111">
        <f>Moveis_Equipamentos!E15</f>
        <v>36</v>
      </c>
      <c r="F56" s="111">
        <f>Moveis_Equipamentos!F15</f>
        <v>320</v>
      </c>
      <c r="G56" s="111">
        <f t="shared" ref="G56:G106" si="9">ROUND(E56*F56,2)</f>
        <v>11520</v>
      </c>
      <c r="H56" s="555">
        <f t="shared" ca="1" si="7"/>
        <v>2.0000000000000001E-4</v>
      </c>
    </row>
    <row r="57" spans="1:8" x14ac:dyDescent="0.25">
      <c r="A57" s="109" t="s">
        <v>240</v>
      </c>
      <c r="B57" s="514" t="str">
        <f>Moveis_Equipamentos!B16</f>
        <v xml:space="preserve"> I2677-SEINFRA/CE</v>
      </c>
      <c r="C57" s="541" t="str">
        <f>Moveis_Equipamentos!C16</f>
        <v>Servidor para backup</v>
      </c>
      <c r="D57" s="110" t="str">
        <f>Moveis_Equipamentos!D16</f>
        <v>un</v>
      </c>
      <c r="E57" s="111">
        <f>Moveis_Equipamentos!E16</f>
        <v>36</v>
      </c>
      <c r="F57" s="111">
        <f>Moveis_Equipamentos!F16</f>
        <v>3652</v>
      </c>
      <c r="G57" s="111">
        <f t="shared" si="9"/>
        <v>131472</v>
      </c>
      <c r="H57" s="555">
        <f t="shared" ca="1" si="7"/>
        <v>1.9E-3</v>
      </c>
    </row>
    <row r="58" spans="1:8" ht="25.5" x14ac:dyDescent="0.25">
      <c r="A58" s="109" t="s">
        <v>241</v>
      </c>
      <c r="B58" s="514" t="str">
        <f>Moveis_Equipamentos!B17</f>
        <v>3671-ORSE/SE</v>
      </c>
      <c r="C58" s="541" t="str">
        <f>Moveis_Equipamentos!C17</f>
        <v>Desktop com software-tipo 1 (i7, 1T, 8GB, monitor 19", S.O. Windows 10 e Office última versão)</v>
      </c>
      <c r="D58" s="110" t="str">
        <f>Moveis_Equipamentos!D17</f>
        <v>un</v>
      </c>
      <c r="E58" s="111">
        <f>Moveis_Equipamentos!E17</f>
        <v>73</v>
      </c>
      <c r="F58" s="111">
        <f>Moveis_Equipamentos!F17</f>
        <v>2505.11</v>
      </c>
      <c r="G58" s="111">
        <f t="shared" si="9"/>
        <v>182873.03</v>
      </c>
      <c r="H58" s="555">
        <f t="shared" ca="1" si="7"/>
        <v>2.5999999999999999E-3</v>
      </c>
    </row>
    <row r="59" spans="1:8" ht="25.5" x14ac:dyDescent="0.25">
      <c r="A59" s="109" t="s">
        <v>242</v>
      </c>
      <c r="B59" s="514" t="str">
        <f>Moveis_Equipamentos!B18</f>
        <v>I6395-SEINFRA/CE</v>
      </c>
      <c r="C59" s="541" t="str">
        <f>Moveis_Equipamentos!C18</f>
        <v>Notebook-tipo 1 (i7, 1T, 8GB, S.O. Windows 10 e Office última versão)</v>
      </c>
      <c r="D59" s="110" t="str">
        <f>Moveis_Equipamentos!D18</f>
        <v>um</v>
      </c>
      <c r="E59" s="111">
        <f>Moveis_Equipamentos!E18</f>
        <v>16</v>
      </c>
      <c r="F59" s="111">
        <f>Moveis_Equipamentos!F18</f>
        <v>2343.44</v>
      </c>
      <c r="G59" s="111">
        <f t="shared" si="9"/>
        <v>37495.040000000001</v>
      </c>
      <c r="H59" s="555">
        <f t="shared" ca="1" si="7"/>
        <v>5.0000000000000001E-4</v>
      </c>
    </row>
    <row r="60" spans="1:8" x14ac:dyDescent="0.25">
      <c r="A60" s="109" t="s">
        <v>243</v>
      </c>
      <c r="B60" s="514" t="str">
        <f>Moveis_Equipamentos!B19</f>
        <v>P.17.000.042561-CPOS/SP</v>
      </c>
      <c r="C60" s="541" t="str">
        <f>Moveis_Equipamentos!C19</f>
        <v>Antena externa</v>
      </c>
      <c r="D60" s="110" t="str">
        <f>Moveis_Equipamentos!D19</f>
        <v>un</v>
      </c>
      <c r="E60" s="111">
        <f>Moveis_Equipamentos!E19</f>
        <v>1</v>
      </c>
      <c r="F60" s="111">
        <f>Moveis_Equipamentos!F19</f>
        <v>326.55</v>
      </c>
      <c r="G60" s="111">
        <f t="shared" si="9"/>
        <v>326.55</v>
      </c>
      <c r="H60" s="555">
        <f t="shared" ca="1" si="7"/>
        <v>0</v>
      </c>
    </row>
    <row r="61" spans="1:8" x14ac:dyDescent="0.25">
      <c r="A61" s="109" t="s">
        <v>244</v>
      </c>
      <c r="B61" s="514" t="str">
        <f>Moveis_Equipamentos!B20</f>
        <v>AP_JANTAR</v>
      </c>
      <c r="C61" s="541" t="str">
        <f>Moveis_Equipamentos!C20</f>
        <v>Aparelho de jantar para 06 pessoas</v>
      </c>
      <c r="D61" s="110" t="str">
        <f>Moveis_Equipamentos!D20</f>
        <v>un</v>
      </c>
      <c r="E61" s="111">
        <f>Moveis_Equipamentos!E20</f>
        <v>20</v>
      </c>
      <c r="F61" s="111">
        <f>Moveis_Equipamentos!F20</f>
        <v>199.97</v>
      </c>
      <c r="G61" s="111">
        <f t="shared" si="9"/>
        <v>3999.4</v>
      </c>
      <c r="H61" s="555">
        <f t="shared" ca="1" si="7"/>
        <v>1E-4</v>
      </c>
    </row>
    <row r="62" spans="1:8" x14ac:dyDescent="0.25">
      <c r="A62" s="109" t="s">
        <v>245</v>
      </c>
      <c r="B62" s="514" t="str">
        <f>Moveis_Equipamentos!B21</f>
        <v>I0122-SEINFRA/CE</v>
      </c>
      <c r="C62" s="541" t="str">
        <f>Moveis_Equipamentos!C21</f>
        <v>Armário de cozinha completo</v>
      </c>
      <c r="D62" s="110" t="str">
        <f>Moveis_Equipamentos!D21</f>
        <v>un</v>
      </c>
      <c r="E62" s="111">
        <f>Moveis_Equipamentos!E21</f>
        <v>3</v>
      </c>
      <c r="F62" s="111">
        <f>Moveis_Equipamentos!F21</f>
        <v>499</v>
      </c>
      <c r="G62" s="111">
        <f t="shared" si="9"/>
        <v>1497</v>
      </c>
      <c r="H62" s="555">
        <f t="shared" ca="1" si="7"/>
        <v>0</v>
      </c>
    </row>
    <row r="63" spans="1:8" x14ac:dyDescent="0.25">
      <c r="A63" s="109" t="s">
        <v>246</v>
      </c>
      <c r="B63" s="514" t="str">
        <f>Moveis_Equipamentos!B22</f>
        <v>I0123-SEINFRA/CE</v>
      </c>
      <c r="C63" s="541" t="str">
        <f>Moveis_Equipamentos!C22</f>
        <v>Armário de escritório</v>
      </c>
      <c r="D63" s="110" t="str">
        <f>Moveis_Equipamentos!D22</f>
        <v>un</v>
      </c>
      <c r="E63" s="111">
        <f>Moveis_Equipamentos!E22</f>
        <v>11</v>
      </c>
      <c r="F63" s="111">
        <f>Moveis_Equipamentos!F22</f>
        <v>195.33</v>
      </c>
      <c r="G63" s="111">
        <f t="shared" si="9"/>
        <v>2148.63</v>
      </c>
      <c r="H63" s="555">
        <f t="shared" ca="1" si="7"/>
        <v>0</v>
      </c>
    </row>
    <row r="64" spans="1:8" x14ac:dyDescent="0.25">
      <c r="A64" s="109" t="s">
        <v>247</v>
      </c>
      <c r="B64" s="514" t="str">
        <f>Moveis_Equipamentos!B23</f>
        <v>11645-ORSE/SE</v>
      </c>
      <c r="C64" s="541" t="str">
        <f>Moveis_Equipamentos!C23</f>
        <v>Armário para vestiário, em aço, com 12 portas, com cadeado</v>
      </c>
      <c r="D64" s="110" t="str">
        <f>Moveis_Equipamentos!D23</f>
        <v>un</v>
      </c>
      <c r="E64" s="111">
        <f>Moveis_Equipamentos!E23</f>
        <v>3</v>
      </c>
      <c r="F64" s="111">
        <f>Moveis_Equipamentos!F23</f>
        <v>1726.59</v>
      </c>
      <c r="G64" s="111">
        <f t="shared" si="9"/>
        <v>5179.7700000000004</v>
      </c>
      <c r="H64" s="555">
        <f t="shared" ca="1" si="7"/>
        <v>1E-4</v>
      </c>
    </row>
    <row r="65" spans="1:8" x14ac:dyDescent="0.25">
      <c r="A65" s="109" t="s">
        <v>248</v>
      </c>
      <c r="B65" s="514" t="str">
        <f>Moveis_Equipamentos!B24</f>
        <v>73.72.07-SUDECAP/MG</v>
      </c>
      <c r="C65" s="541" t="str">
        <f>Moveis_Equipamentos!C24</f>
        <v>Bebedouro industrial (canteiro)</v>
      </c>
      <c r="D65" s="110" t="str">
        <f>Moveis_Equipamentos!D24</f>
        <v>un</v>
      </c>
      <c r="E65" s="111">
        <f>Moveis_Equipamentos!E24</f>
        <v>4</v>
      </c>
      <c r="F65" s="111">
        <f>Moveis_Equipamentos!F24</f>
        <v>997.4</v>
      </c>
      <c r="G65" s="111">
        <f t="shared" si="9"/>
        <v>3989.6</v>
      </c>
      <c r="H65" s="555">
        <f t="shared" ca="1" si="7"/>
        <v>1E-4</v>
      </c>
    </row>
    <row r="66" spans="1:8" x14ac:dyDescent="0.25">
      <c r="A66" s="109" t="s">
        <v>249</v>
      </c>
      <c r="B66" s="514" t="str">
        <f>Moveis_Equipamentos!B25</f>
        <v>11534-ORSE/SE</v>
      </c>
      <c r="C66" s="541" t="str">
        <f>Moveis_Equipamentos!C25</f>
        <v>Cadeira giratória, com braço, tipo executiva</v>
      </c>
      <c r="D66" s="110" t="str">
        <f>Moveis_Equipamentos!D25</f>
        <v>un</v>
      </c>
      <c r="E66" s="111">
        <f>Moveis_Equipamentos!E25</f>
        <v>89</v>
      </c>
      <c r="F66" s="111">
        <f>Moveis_Equipamentos!F25</f>
        <v>280</v>
      </c>
      <c r="G66" s="111">
        <f t="shared" si="9"/>
        <v>24920</v>
      </c>
      <c r="H66" s="555">
        <f t="shared" ca="1" si="7"/>
        <v>4.0000000000000002E-4</v>
      </c>
    </row>
    <row r="67" spans="1:8" x14ac:dyDescent="0.25">
      <c r="A67" s="109" t="s">
        <v>250</v>
      </c>
      <c r="B67" s="514" t="str">
        <f>Moveis_Equipamentos!B26</f>
        <v>11543-ORSE</v>
      </c>
      <c r="C67" s="541" t="str">
        <f>Moveis_Equipamentos!C26</f>
        <v>Cadeira de plástico sem braço, cor branca</v>
      </c>
      <c r="D67" s="110" t="str">
        <f>Moveis_Equipamentos!D26</f>
        <v>un</v>
      </c>
      <c r="E67" s="111">
        <f>Moveis_Equipamentos!E26</f>
        <v>15</v>
      </c>
      <c r="F67" s="111">
        <f>Moveis_Equipamentos!F26</f>
        <v>21</v>
      </c>
      <c r="G67" s="111">
        <f t="shared" si="9"/>
        <v>315</v>
      </c>
      <c r="H67" s="555">
        <f t="shared" ca="1" si="7"/>
        <v>0</v>
      </c>
    </row>
    <row r="68" spans="1:8" x14ac:dyDescent="0.25">
      <c r="A68" s="109" t="s">
        <v>251</v>
      </c>
      <c r="B68" s="514" t="str">
        <f>Moveis_Equipamentos!B27</f>
        <v>COT_CAMA_BOX</v>
      </c>
      <c r="C68" s="541" t="str">
        <f>Moveis_Equipamentos!C27</f>
        <v>Cama box solteiro</v>
      </c>
      <c r="D68" s="110" t="str">
        <f>Moveis_Equipamentos!D27</f>
        <v>un</v>
      </c>
      <c r="E68" s="111">
        <f>Moveis_Equipamentos!E27</f>
        <v>25</v>
      </c>
      <c r="F68" s="111">
        <f>Moveis_Equipamentos!F27</f>
        <v>279.3</v>
      </c>
      <c r="G68" s="111">
        <f t="shared" si="9"/>
        <v>6982.5</v>
      </c>
      <c r="H68" s="555">
        <f t="shared" ca="1" si="7"/>
        <v>1E-4</v>
      </c>
    </row>
    <row r="69" spans="1:8" x14ac:dyDescent="0.25">
      <c r="A69" s="109" t="s">
        <v>252</v>
      </c>
      <c r="B69" s="514" t="str">
        <f>Moveis_Equipamentos!B28</f>
        <v>COT_CAM_FOTO</v>
      </c>
      <c r="C69" s="541" t="str">
        <f>Moveis_Equipamentos!C28</f>
        <v>Câmera fotográfica digital</v>
      </c>
      <c r="D69" s="110" t="str">
        <f>Moveis_Equipamentos!D28</f>
        <v>un</v>
      </c>
      <c r="E69" s="111">
        <f>Moveis_Equipamentos!E28</f>
        <v>3</v>
      </c>
      <c r="F69" s="111">
        <f>Moveis_Equipamentos!F28</f>
        <v>1835.21</v>
      </c>
      <c r="G69" s="111">
        <f t="shared" si="9"/>
        <v>5505.63</v>
      </c>
      <c r="H69" s="555">
        <f t="shared" ca="1" si="7"/>
        <v>1E-4</v>
      </c>
    </row>
    <row r="70" spans="1:8" x14ac:dyDescent="0.25">
      <c r="A70" s="109" t="s">
        <v>253</v>
      </c>
      <c r="B70" s="514" t="str">
        <f>Moveis_Equipamentos!B29</f>
        <v>DV_16-CAERN/RN</v>
      </c>
      <c r="C70" s="541" t="str">
        <f>Moveis_Equipamentos!C29</f>
        <v>Carrinhos de lixo</v>
      </c>
      <c r="D70" s="110" t="str">
        <f>Moveis_Equipamentos!D29</f>
        <v>un</v>
      </c>
      <c r="E70" s="111">
        <f>Moveis_Equipamentos!E29</f>
        <v>7</v>
      </c>
      <c r="F70" s="111">
        <f>Moveis_Equipamentos!F29</f>
        <v>429.02</v>
      </c>
      <c r="G70" s="111">
        <f t="shared" si="9"/>
        <v>3003.14</v>
      </c>
      <c r="H70" s="555">
        <f t="shared" ca="1" si="7"/>
        <v>0</v>
      </c>
    </row>
    <row r="71" spans="1:8" x14ac:dyDescent="0.25">
      <c r="A71" s="109" t="s">
        <v>254</v>
      </c>
      <c r="B71" s="514" t="str">
        <f>Moveis_Equipamentos!B30</f>
        <v xml:space="preserve">	040117-SBC/PE</v>
      </c>
      <c r="C71" s="541" t="str">
        <f>Moveis_Equipamentos!C30</f>
        <v>Cestos de lixo</v>
      </c>
      <c r="D71" s="110" t="str">
        <f>Moveis_Equipamentos!D30</f>
        <v>un</v>
      </c>
      <c r="E71" s="111">
        <f>Moveis_Equipamentos!E30</f>
        <v>12</v>
      </c>
      <c r="F71" s="111">
        <f>Moveis_Equipamentos!F30</f>
        <v>96</v>
      </c>
      <c r="G71" s="111">
        <f t="shared" si="9"/>
        <v>1152</v>
      </c>
      <c r="H71" s="555">
        <f t="shared" ca="1" si="7"/>
        <v>0</v>
      </c>
    </row>
    <row r="72" spans="1:8" x14ac:dyDescent="0.25">
      <c r="A72" s="109" t="s">
        <v>255</v>
      </c>
      <c r="B72" s="514" t="str">
        <f>Moveis_Equipamentos!B31</f>
        <v>COT_CHAP</v>
      </c>
      <c r="C72" s="541" t="str">
        <f>Moveis_Equipamentos!C31</f>
        <v>Chapa gás para grelhar</v>
      </c>
      <c r="D72" s="110" t="str">
        <f>Moveis_Equipamentos!D31</f>
        <v>un</v>
      </c>
      <c r="E72" s="111">
        <f>Moveis_Equipamentos!E31</f>
        <v>4</v>
      </c>
      <c r="F72" s="111">
        <f>Moveis_Equipamentos!F31</f>
        <v>674.18666666666661</v>
      </c>
      <c r="G72" s="111">
        <f t="shared" si="9"/>
        <v>2696.75</v>
      </c>
      <c r="H72" s="555">
        <f t="shared" ca="1" si="7"/>
        <v>0</v>
      </c>
    </row>
    <row r="73" spans="1:8" x14ac:dyDescent="0.25">
      <c r="A73" s="109" t="s">
        <v>256</v>
      </c>
      <c r="B73" s="514" t="str">
        <f>Moveis_Equipamentos!B32</f>
        <v>621-ORSE/SE</v>
      </c>
      <c r="C73" s="541" t="str">
        <f>Moveis_Equipamentos!C32</f>
        <v>Coifa</v>
      </c>
      <c r="D73" s="110" t="str">
        <f>Moveis_Equipamentos!D32</f>
        <v>un</v>
      </c>
      <c r="E73" s="111">
        <f>Moveis_Equipamentos!E32</f>
        <v>4</v>
      </c>
      <c r="F73" s="111">
        <f>Moveis_Equipamentos!F32</f>
        <v>1679.3</v>
      </c>
      <c r="G73" s="111">
        <f t="shared" si="9"/>
        <v>6717.2</v>
      </c>
      <c r="H73" s="555">
        <f t="shared" ca="1" si="7"/>
        <v>1E-4</v>
      </c>
    </row>
    <row r="74" spans="1:8" x14ac:dyDescent="0.25">
      <c r="A74" s="109" t="s">
        <v>257</v>
      </c>
      <c r="B74" s="514" t="str">
        <f>Moveis_Equipamentos!B33</f>
        <v>39555-SINAPI/PE</v>
      </c>
      <c r="C74" s="541" t="str">
        <f>Moveis_Equipamentos!C33</f>
        <v>Condicionador de ar 12.000 BTU</v>
      </c>
      <c r="D74" s="110" t="str">
        <f>Moveis_Equipamentos!D33</f>
        <v>un</v>
      </c>
      <c r="E74" s="111">
        <f>Moveis_Equipamentos!E33</f>
        <v>15</v>
      </c>
      <c r="F74" s="111">
        <f>Moveis_Equipamentos!F33</f>
        <v>1629.96</v>
      </c>
      <c r="G74" s="111">
        <f t="shared" si="9"/>
        <v>24449.4</v>
      </c>
      <c r="H74" s="555">
        <f t="shared" ca="1" si="7"/>
        <v>4.0000000000000002E-4</v>
      </c>
    </row>
    <row r="75" spans="1:8" x14ac:dyDescent="0.25">
      <c r="A75" s="109" t="s">
        <v>258</v>
      </c>
      <c r="B75" s="514" t="str">
        <f>Moveis_Equipamentos!B34</f>
        <v>COT_MES_06</v>
      </c>
      <c r="C75" s="541" t="str">
        <f>Moveis_Equipamentos!C34</f>
        <v>Conjunto de Mesa com 06 lugares (para cozinha)</v>
      </c>
      <c r="D75" s="110" t="str">
        <f>Moveis_Equipamentos!D34</f>
        <v>un</v>
      </c>
      <c r="E75" s="111">
        <f>Moveis_Equipamentos!E34</f>
        <v>4</v>
      </c>
      <c r="F75" s="111">
        <f>Moveis_Equipamentos!F34</f>
        <v>550.63</v>
      </c>
      <c r="G75" s="111">
        <f t="shared" si="9"/>
        <v>2202.52</v>
      </c>
      <c r="H75" s="555">
        <f t="shared" ca="1" si="7"/>
        <v>0</v>
      </c>
    </row>
    <row r="76" spans="1:8" x14ac:dyDescent="0.25">
      <c r="A76" s="109" t="s">
        <v>259</v>
      </c>
      <c r="B76" s="514" t="str">
        <f>Moveis_Equipamentos!B35</f>
        <v>COT_UTENS</v>
      </c>
      <c r="C76" s="541" t="str">
        <f>Moveis_Equipamentos!C35</f>
        <v>Conjunto de utensílios para cozinha</v>
      </c>
      <c r="D76" s="110" t="str">
        <f>Moveis_Equipamentos!D35</f>
        <v>conj.</v>
      </c>
      <c r="E76" s="111">
        <f>Moveis_Equipamentos!E35</f>
        <v>3</v>
      </c>
      <c r="F76" s="111">
        <f>Moveis_Equipamentos!F35</f>
        <v>55.153333333333336</v>
      </c>
      <c r="G76" s="111">
        <f t="shared" si="9"/>
        <v>165.46</v>
      </c>
      <c r="H76" s="555">
        <f t="shared" ca="1" si="7"/>
        <v>0</v>
      </c>
    </row>
    <row r="77" spans="1:8" x14ac:dyDescent="0.25">
      <c r="A77" s="109" t="s">
        <v>260</v>
      </c>
      <c r="B77" s="514" t="str">
        <f>Moveis_Equipamentos!B36</f>
        <v>COT_FAQUEI</v>
      </c>
      <c r="C77" s="541" t="str">
        <f>Moveis_Equipamentos!C36</f>
        <v>Faqueiro com 24 peças</v>
      </c>
      <c r="D77" s="110" t="str">
        <f>Moveis_Equipamentos!D36</f>
        <v>un</v>
      </c>
      <c r="E77" s="111">
        <f>Moveis_Equipamentos!E36</f>
        <v>17</v>
      </c>
      <c r="F77" s="111">
        <f>Moveis_Equipamentos!F36</f>
        <v>45.613333333333323</v>
      </c>
      <c r="G77" s="111">
        <f t="shared" si="9"/>
        <v>775.43</v>
      </c>
      <c r="H77" s="555">
        <f t="shared" ca="1" si="7"/>
        <v>0</v>
      </c>
    </row>
    <row r="78" spans="1:8" x14ac:dyDescent="0.25">
      <c r="A78" s="109" t="s">
        <v>261</v>
      </c>
      <c r="B78" s="514" t="str">
        <f>Moveis_Equipamentos!B37</f>
        <v>10231-ORSE/SE</v>
      </c>
      <c r="C78" s="541" t="str">
        <f>Moveis_Equipamentos!C37</f>
        <v xml:space="preserve">Fogão </v>
      </c>
      <c r="D78" s="110" t="str">
        <f>Moveis_Equipamentos!D37</f>
        <v>un</v>
      </c>
      <c r="E78" s="111">
        <f>Moveis_Equipamentos!E37</f>
        <v>3</v>
      </c>
      <c r="F78" s="111">
        <f>Moveis_Equipamentos!F37</f>
        <v>591.87</v>
      </c>
      <c r="G78" s="111">
        <f t="shared" si="9"/>
        <v>1775.61</v>
      </c>
      <c r="H78" s="555">
        <f t="shared" ca="1" si="7"/>
        <v>0</v>
      </c>
    </row>
    <row r="79" spans="1:8" x14ac:dyDescent="0.25">
      <c r="A79" s="109" t="s">
        <v>262</v>
      </c>
      <c r="B79" s="514" t="str">
        <f>Moveis_Equipamentos!B38</f>
        <v>78052-SIURB/SP</v>
      </c>
      <c r="C79" s="541" t="str">
        <f>Moveis_Equipamentos!C38</f>
        <v xml:space="preserve">Fogão industrial 6 bocas </v>
      </c>
      <c r="D79" s="110" t="str">
        <f>Moveis_Equipamentos!D38</f>
        <v>un</v>
      </c>
      <c r="E79" s="111">
        <f>Moveis_Equipamentos!E38</f>
        <v>3</v>
      </c>
      <c r="F79" s="111">
        <f>Moveis_Equipamentos!F38</f>
        <v>1797.94</v>
      </c>
      <c r="G79" s="111">
        <f t="shared" si="9"/>
        <v>5393.82</v>
      </c>
      <c r="H79" s="555">
        <f t="shared" ca="1" si="7"/>
        <v>1E-4</v>
      </c>
    </row>
    <row r="80" spans="1:8" x14ac:dyDescent="0.25">
      <c r="A80" s="109" t="s">
        <v>263</v>
      </c>
      <c r="B80" s="514" t="str">
        <f>Moveis_Equipamentos!B39</f>
        <v>COT_FORNO</v>
      </c>
      <c r="C80" s="541" t="str">
        <f>Moveis_Equipamentos!C39</f>
        <v>Forno elétrico</v>
      </c>
      <c r="D80" s="110" t="str">
        <f>Moveis_Equipamentos!D39</f>
        <v>un</v>
      </c>
      <c r="E80" s="111">
        <f>Moveis_Equipamentos!E39</f>
        <v>3</v>
      </c>
      <c r="F80" s="111">
        <f>Moveis_Equipamentos!F39</f>
        <v>1670.6133333333335</v>
      </c>
      <c r="G80" s="111">
        <f t="shared" si="9"/>
        <v>5011.84</v>
      </c>
      <c r="H80" s="555">
        <f t="shared" ca="1" si="7"/>
        <v>1E-4</v>
      </c>
    </row>
    <row r="81" spans="1:8" x14ac:dyDescent="0.25">
      <c r="A81" s="109" t="s">
        <v>264</v>
      </c>
      <c r="B81" s="514" t="str">
        <f>Moveis_Equipamentos!B40</f>
        <v>COT_MICROOND</v>
      </c>
      <c r="C81" s="541" t="str">
        <f>Moveis_Equipamentos!C40</f>
        <v>Forno Microondas</v>
      </c>
      <c r="D81" s="110" t="str">
        <f>Moveis_Equipamentos!D40</f>
        <v>un</v>
      </c>
      <c r="E81" s="111">
        <f>Moveis_Equipamentos!E40</f>
        <v>3</v>
      </c>
      <c r="F81" s="111">
        <f>Moveis_Equipamentos!F40</f>
        <v>469</v>
      </c>
      <c r="G81" s="111">
        <f t="shared" si="9"/>
        <v>1407</v>
      </c>
      <c r="H81" s="555">
        <f t="shared" ca="1" si="7"/>
        <v>0</v>
      </c>
    </row>
    <row r="82" spans="1:8" x14ac:dyDescent="0.25">
      <c r="A82" s="109" t="s">
        <v>265</v>
      </c>
      <c r="B82" s="514" t="str">
        <f>Moveis_Equipamentos!B41</f>
        <v>F020000719-EMBASA/BA</v>
      </c>
      <c r="C82" s="541" t="str">
        <f>Moveis_Equipamentos!C41</f>
        <v>Freezer 246 l</v>
      </c>
      <c r="D82" s="110" t="str">
        <f>Moveis_Equipamentos!D41</f>
        <v>un</v>
      </c>
      <c r="E82" s="111">
        <f>Moveis_Equipamentos!E41</f>
        <v>1</v>
      </c>
      <c r="F82" s="111">
        <f>Moveis_Equipamentos!F41</f>
        <v>1183.99</v>
      </c>
      <c r="G82" s="111">
        <f t="shared" si="9"/>
        <v>1183.99</v>
      </c>
      <c r="H82" s="555">
        <f t="shared" ca="1" si="7"/>
        <v>0</v>
      </c>
    </row>
    <row r="83" spans="1:8" x14ac:dyDescent="0.25">
      <c r="A83" s="109" t="s">
        <v>266</v>
      </c>
      <c r="B83" s="514" t="str">
        <f>Moveis_Equipamentos!B42</f>
        <v>029028-IOPES</v>
      </c>
      <c r="C83" s="541" t="str">
        <f>Moveis_Equipamentos!C42</f>
        <v>Cilindro de Gás de Cozinha 45 kg</v>
      </c>
      <c r="D83" s="110" t="str">
        <f>Moveis_Equipamentos!D42</f>
        <v>un</v>
      </c>
      <c r="E83" s="111">
        <f>Moveis_Equipamentos!E42</f>
        <v>7</v>
      </c>
      <c r="F83" s="111">
        <f>Moveis_Equipamentos!F42</f>
        <v>535.16999999999996</v>
      </c>
      <c r="G83" s="111">
        <f t="shared" si="9"/>
        <v>3746.19</v>
      </c>
      <c r="H83" s="555">
        <f t="shared" ca="1" si="7"/>
        <v>1E-4</v>
      </c>
    </row>
    <row r="84" spans="1:8" x14ac:dyDescent="0.25">
      <c r="A84" s="109" t="s">
        <v>267</v>
      </c>
      <c r="B84" s="514" t="str">
        <f>Moveis_Equipamentos!B43</f>
        <v>4226-SINAPI/PE</v>
      </c>
      <c r="C84" s="541" t="str">
        <f>Moveis_Equipamentos!C43</f>
        <v>Gás de cozinha-GLP</v>
      </c>
      <c r="D84" s="110" t="str">
        <f>Moveis_Equipamentos!D43</f>
        <v>kg</v>
      </c>
      <c r="E84" s="111">
        <f>Moveis_Equipamentos!E43</f>
        <v>3780</v>
      </c>
      <c r="F84" s="111">
        <f>Moveis_Equipamentos!F43</f>
        <v>4.97</v>
      </c>
      <c r="G84" s="111">
        <f t="shared" si="9"/>
        <v>18786.599999999999</v>
      </c>
      <c r="H84" s="555">
        <f t="shared" ca="1" si="7"/>
        <v>2.9999999999999997E-4</v>
      </c>
    </row>
    <row r="85" spans="1:8" x14ac:dyDescent="0.25">
      <c r="A85" s="109" t="s">
        <v>268</v>
      </c>
      <c r="B85" s="514" t="str">
        <f>Moveis_Equipamentos!B44</f>
        <v>F020000716-EMBASA/BA</v>
      </c>
      <c r="C85" s="541" t="str">
        <f>Moveis_Equipamentos!C44</f>
        <v>Geladeira 280 litros</v>
      </c>
      <c r="D85" s="110" t="str">
        <f>Moveis_Equipamentos!D44</f>
        <v>un</v>
      </c>
      <c r="E85" s="111">
        <f>Moveis_Equipamentos!E44</f>
        <v>3</v>
      </c>
      <c r="F85" s="111">
        <f>Moveis_Equipamentos!F44</f>
        <v>789.33</v>
      </c>
      <c r="G85" s="111">
        <f t="shared" si="9"/>
        <v>2367.9899999999998</v>
      </c>
      <c r="H85" s="555">
        <f t="shared" ca="1" si="7"/>
        <v>0</v>
      </c>
    </row>
    <row r="86" spans="1:8" x14ac:dyDescent="0.25">
      <c r="A86" s="109" t="s">
        <v>270</v>
      </c>
      <c r="B86" s="514" t="str">
        <f>Moveis_Equipamentos!B45</f>
        <v xml:space="preserve">	10232-ORSE/SE</v>
      </c>
      <c r="C86" s="541" t="str">
        <f>Moveis_Equipamentos!C45</f>
        <v>Geladeira industrial 300 litros</v>
      </c>
      <c r="D86" s="110" t="str">
        <f>Moveis_Equipamentos!D45</f>
        <v>un</v>
      </c>
      <c r="E86" s="111">
        <f>Moveis_Equipamentos!E45</f>
        <v>3</v>
      </c>
      <c r="F86" s="111">
        <f>Moveis_Equipamentos!F45</f>
        <v>1616.1</v>
      </c>
      <c r="G86" s="111">
        <f t="shared" si="9"/>
        <v>4848.3</v>
      </c>
      <c r="H86" s="555">
        <f t="shared" ca="1" si="7"/>
        <v>1E-4</v>
      </c>
    </row>
    <row r="87" spans="1:8" x14ac:dyDescent="0.25">
      <c r="A87" s="109" t="s">
        <v>272</v>
      </c>
      <c r="B87" s="514" t="str">
        <f>Moveis_Equipamentos!B46</f>
        <v>COT_GPS</v>
      </c>
      <c r="C87" s="541" t="str">
        <f>Moveis_Equipamentos!C46</f>
        <v>GPS com cabo e software (conforme especificação)</v>
      </c>
      <c r="D87" s="110" t="str">
        <f>Moveis_Equipamentos!D46</f>
        <v>un</v>
      </c>
      <c r="E87" s="111">
        <f>Moveis_Equipamentos!E46</f>
        <v>3</v>
      </c>
      <c r="F87" s="111">
        <f>Moveis_Equipamentos!F46</f>
        <v>321.97000000000003</v>
      </c>
      <c r="G87" s="111">
        <f t="shared" si="9"/>
        <v>965.91</v>
      </c>
      <c r="H87" s="555">
        <f t="shared" ca="1" si="7"/>
        <v>0</v>
      </c>
    </row>
    <row r="88" spans="1:8" x14ac:dyDescent="0.25">
      <c r="A88" s="109" t="s">
        <v>273</v>
      </c>
      <c r="B88" s="514" t="str">
        <f>Moveis_Equipamentos!B47</f>
        <v>COT_GUARDA_ROUPA</v>
      </c>
      <c r="C88" s="541" t="str">
        <f>Moveis_Equipamentos!C47</f>
        <v>Guarda-Roupa 4 Portas</v>
      </c>
      <c r="D88" s="110" t="str">
        <f>Moveis_Equipamentos!D47</f>
        <v>un</v>
      </c>
      <c r="E88" s="111">
        <f>Moveis_Equipamentos!E47</f>
        <v>2</v>
      </c>
      <c r="F88" s="111">
        <f>Moveis_Equipamentos!F47</f>
        <v>287.26333333333332</v>
      </c>
      <c r="G88" s="111">
        <f t="shared" si="9"/>
        <v>574.53</v>
      </c>
      <c r="H88" s="555">
        <f t="shared" ca="1" si="7"/>
        <v>0</v>
      </c>
    </row>
    <row r="89" spans="1:8" x14ac:dyDescent="0.25">
      <c r="A89" s="109" t="s">
        <v>274</v>
      </c>
      <c r="B89" s="514" t="str">
        <f>Moveis_Equipamentos!B48</f>
        <v>COT_COPO</v>
      </c>
      <c r="C89" s="541" t="str">
        <f>Moveis_Equipamentos!C48</f>
        <v>Conjunto  copos em vidro com 8 unidades</v>
      </c>
      <c r="D89" s="110" t="str">
        <f>Moveis_Equipamentos!D48</f>
        <v>un</v>
      </c>
      <c r="E89" s="111">
        <f>Moveis_Equipamentos!E48</f>
        <v>50</v>
      </c>
      <c r="F89" s="111">
        <f>Moveis_Equipamentos!F48</f>
        <v>31.323333333333334</v>
      </c>
      <c r="G89" s="111">
        <f t="shared" si="9"/>
        <v>1566.17</v>
      </c>
      <c r="H89" s="555">
        <f t="shared" ca="1" si="7"/>
        <v>0</v>
      </c>
    </row>
    <row r="90" spans="1:8" x14ac:dyDescent="0.25">
      <c r="A90" s="109" t="s">
        <v>275</v>
      </c>
      <c r="B90" s="514" t="str">
        <f>Moveis_Equipamentos!B49</f>
        <v>COT_PANEL</v>
      </c>
      <c r="C90" s="541" t="str">
        <f>Moveis_Equipamentos!C49</f>
        <v>Conjunto de panelas com 7 peças</v>
      </c>
      <c r="D90" s="110" t="str">
        <f>Moveis_Equipamentos!D49</f>
        <v>un</v>
      </c>
      <c r="E90" s="111">
        <f>Moveis_Equipamentos!E49</f>
        <v>4</v>
      </c>
      <c r="F90" s="111">
        <f>Moveis_Equipamentos!F49</f>
        <v>235.96333333333334</v>
      </c>
      <c r="G90" s="111">
        <f t="shared" si="9"/>
        <v>943.85</v>
      </c>
      <c r="H90" s="555">
        <f t="shared" ca="1" si="7"/>
        <v>0</v>
      </c>
    </row>
    <row r="91" spans="1:8" x14ac:dyDescent="0.25">
      <c r="A91" s="109" t="s">
        <v>276</v>
      </c>
      <c r="B91" s="514" t="str">
        <f>Moveis_Equipamentos!B50</f>
        <v>COT_ROUPA_BANHO</v>
      </c>
      <c r="C91" s="541" t="str">
        <f>Moveis_Equipamentos!C50</f>
        <v>Jogo de Roupa de banho 5 Peças</v>
      </c>
      <c r="D91" s="110" t="str">
        <f>Moveis_Equipamentos!D50</f>
        <v>un</v>
      </c>
      <c r="E91" s="111">
        <f>Moveis_Equipamentos!E50</f>
        <v>25</v>
      </c>
      <c r="F91" s="111">
        <f>Moveis_Equipamentos!F50</f>
        <v>96.626666666666665</v>
      </c>
      <c r="G91" s="111">
        <f t="shared" si="9"/>
        <v>2415.67</v>
      </c>
      <c r="H91" s="555">
        <f t="shared" ca="1" si="7"/>
        <v>0</v>
      </c>
    </row>
    <row r="92" spans="1:8" x14ac:dyDescent="0.25">
      <c r="A92" s="109" t="s">
        <v>277</v>
      </c>
      <c r="B92" s="514" t="str">
        <f>Moveis_Equipamentos!B51</f>
        <v>COT_ROUPA_CAMA</v>
      </c>
      <c r="C92" s="541" t="str">
        <f>Moveis_Equipamentos!C51</f>
        <v>Jogo de roupa de cama solteiro</v>
      </c>
      <c r="D92" s="110" t="str">
        <f>Moveis_Equipamentos!D51</f>
        <v>un</v>
      </c>
      <c r="E92" s="111">
        <f>Moveis_Equipamentos!E51</f>
        <v>50</v>
      </c>
      <c r="F92" s="111">
        <f>Moveis_Equipamentos!F51</f>
        <v>147.63333333333333</v>
      </c>
      <c r="G92" s="111">
        <f t="shared" si="9"/>
        <v>7381.67</v>
      </c>
      <c r="H92" s="555">
        <f t="shared" ca="1" si="7"/>
        <v>1E-4</v>
      </c>
    </row>
    <row r="93" spans="1:8" x14ac:dyDescent="0.25">
      <c r="A93" s="109" t="s">
        <v>278</v>
      </c>
      <c r="B93" s="514" t="str">
        <f>Moveis_Equipamentos!B52</f>
        <v>COT_SOFA</v>
      </c>
      <c r="C93" s="541" t="str">
        <f>Moveis_Equipamentos!C52</f>
        <v>Conjunto de sofá 2 e 3 lugares</v>
      </c>
      <c r="D93" s="110" t="str">
        <f>Moveis_Equipamentos!D52</f>
        <v>un</v>
      </c>
      <c r="E93" s="111">
        <f>Moveis_Equipamentos!E52</f>
        <v>5</v>
      </c>
      <c r="F93" s="111">
        <f>Moveis_Equipamentos!F52</f>
        <v>495.66666666666669</v>
      </c>
      <c r="G93" s="111">
        <f t="shared" si="9"/>
        <v>2478.33</v>
      </c>
      <c r="H93" s="555">
        <f t="shared" ca="1" si="7"/>
        <v>0</v>
      </c>
    </row>
    <row r="94" spans="1:8" x14ac:dyDescent="0.25">
      <c r="A94" s="109" t="s">
        <v>279</v>
      </c>
      <c r="B94" s="514" t="str">
        <f>Moveis_Equipamentos!B53</f>
        <v>COT_LIQUID</v>
      </c>
      <c r="C94" s="541" t="str">
        <f>Moveis_Equipamentos!C53</f>
        <v>Liquidificadores industriais</v>
      </c>
      <c r="D94" s="110" t="str">
        <f>Moveis_Equipamentos!D53</f>
        <v>un</v>
      </c>
      <c r="E94" s="111">
        <f>Moveis_Equipamentos!E53</f>
        <v>4</v>
      </c>
      <c r="F94" s="111">
        <f>Moveis_Equipamentos!F53</f>
        <v>616.17333333333329</v>
      </c>
      <c r="G94" s="111">
        <f t="shared" si="9"/>
        <v>2464.69</v>
      </c>
      <c r="H94" s="555">
        <f t="shared" ca="1" si="7"/>
        <v>0</v>
      </c>
    </row>
    <row r="95" spans="1:8" x14ac:dyDescent="0.25">
      <c r="A95" s="109" t="s">
        <v>280</v>
      </c>
      <c r="B95" s="514" t="str">
        <f>Moveis_Equipamentos!B54</f>
        <v>COT_MAQ_LAVA_LOUCA</v>
      </c>
      <c r="C95" s="541" t="str">
        <f>Moveis_Equipamentos!C54</f>
        <v>Máquina de lavar louças industrial</v>
      </c>
      <c r="D95" s="110" t="str">
        <f>Moveis_Equipamentos!D54</f>
        <v>un</v>
      </c>
      <c r="E95" s="111">
        <f>Moveis_Equipamentos!E54</f>
        <v>3</v>
      </c>
      <c r="F95" s="111">
        <f>Moveis_Equipamentos!F54</f>
        <v>1050</v>
      </c>
      <c r="G95" s="111">
        <f t="shared" si="9"/>
        <v>3150</v>
      </c>
      <c r="H95" s="555">
        <f t="shared" ca="1" si="7"/>
        <v>0</v>
      </c>
    </row>
    <row r="96" spans="1:8" x14ac:dyDescent="0.25">
      <c r="A96" s="109" t="s">
        <v>281</v>
      </c>
      <c r="B96" s="514" t="str">
        <f>Moveis_Equipamentos!B55</f>
        <v>COT_MAQ_LAVA_ROUPA</v>
      </c>
      <c r="C96" s="541" t="str">
        <f>Moveis_Equipamentos!C55</f>
        <v>Máquina de Lavar roupa 11kg</v>
      </c>
      <c r="D96" s="110" t="str">
        <f>Moveis_Equipamentos!D55</f>
        <v>un</v>
      </c>
      <c r="E96" s="111">
        <f>Moveis_Equipamentos!E55</f>
        <v>3</v>
      </c>
      <c r="F96" s="111">
        <f>Moveis_Equipamentos!F55</f>
        <v>1450.0733333333335</v>
      </c>
      <c r="G96" s="111">
        <f t="shared" si="9"/>
        <v>4350.22</v>
      </c>
      <c r="H96" s="555">
        <f t="shared" ca="1" si="7"/>
        <v>1E-4</v>
      </c>
    </row>
    <row r="97" spans="1:11" x14ac:dyDescent="0.25">
      <c r="A97" s="109" t="s">
        <v>282</v>
      </c>
      <c r="B97" s="514" t="str">
        <f>Moveis_Equipamentos!B56</f>
        <v>COT_MESA_BUF</v>
      </c>
      <c r="C97" s="541" t="str">
        <f>Moveis_Equipamentos!C56</f>
        <v>Mesa buffets</v>
      </c>
      <c r="D97" s="110" t="str">
        <f>Moveis_Equipamentos!D56</f>
        <v>un</v>
      </c>
      <c r="E97" s="111">
        <f>Moveis_Equipamentos!E56</f>
        <v>5</v>
      </c>
      <c r="F97" s="111">
        <f>Moveis_Equipamentos!F56</f>
        <v>1577.7033333333331</v>
      </c>
      <c r="G97" s="111">
        <f t="shared" si="9"/>
        <v>7888.52</v>
      </c>
      <c r="H97" s="555">
        <f t="shared" ca="1" si="7"/>
        <v>1E-4</v>
      </c>
    </row>
    <row r="98" spans="1:11" x14ac:dyDescent="0.25">
      <c r="A98" s="109" t="s">
        <v>283</v>
      </c>
      <c r="B98" s="514" t="str">
        <f>Moveis_Equipamentos!B57</f>
        <v>COT_MESA_REFEIT</v>
      </c>
      <c r="C98" s="541" t="str">
        <f>Moveis_Equipamentos!C57</f>
        <v>Mesa de refeitório 10 lugares com cadeiras</v>
      </c>
      <c r="D98" s="110" t="str">
        <f>Moveis_Equipamentos!D57</f>
        <v>un</v>
      </c>
      <c r="E98" s="111">
        <f>Moveis_Equipamentos!E57</f>
        <v>20</v>
      </c>
      <c r="F98" s="111">
        <f>Moveis_Equipamentos!F57</f>
        <v>1280.48</v>
      </c>
      <c r="G98" s="111">
        <f t="shared" si="9"/>
        <v>25609.599999999999</v>
      </c>
      <c r="H98" s="555">
        <f t="shared" ca="1" si="7"/>
        <v>4.0000000000000002E-4</v>
      </c>
    </row>
    <row r="99" spans="1:11" x14ac:dyDescent="0.25">
      <c r="A99" s="109" t="s">
        <v>1213</v>
      </c>
      <c r="B99" s="514" t="str">
        <f>Moveis_Equipamentos!B58</f>
        <v>COT_MESA_REUN</v>
      </c>
      <c r="C99" s="541" t="str">
        <f>Moveis_Equipamentos!C58</f>
        <v>Mesa de reunião 10 lugares com 10 cadeiras</v>
      </c>
      <c r="D99" s="110" t="str">
        <f>Moveis_Equipamentos!D58</f>
        <v>un</v>
      </c>
      <c r="E99" s="111">
        <f>Moveis_Equipamentos!E58</f>
        <v>3</v>
      </c>
      <c r="F99" s="111">
        <f>Moveis_Equipamentos!F58</f>
        <v>3669.7433333333333</v>
      </c>
      <c r="G99" s="111">
        <f t="shared" si="9"/>
        <v>11009.23</v>
      </c>
      <c r="H99" s="555">
        <f t="shared" ca="1" si="7"/>
        <v>2.0000000000000001E-4</v>
      </c>
    </row>
    <row r="100" spans="1:11" x14ac:dyDescent="0.25">
      <c r="A100" s="109" t="s">
        <v>1214</v>
      </c>
      <c r="B100" s="514" t="str">
        <f>Moveis_Equipamentos!B59</f>
        <v>COT_MESA_PVC</v>
      </c>
      <c r="C100" s="541" t="str">
        <f>Moveis_Equipamentos!C59</f>
        <v>Mesa retangular em PVC</v>
      </c>
      <c r="D100" s="110" t="str">
        <f>Moveis_Equipamentos!D59</f>
        <v>un</v>
      </c>
      <c r="E100" s="111">
        <f>Moveis_Equipamentos!E59</f>
        <v>3</v>
      </c>
      <c r="F100" s="111">
        <f>Moveis_Equipamentos!F59</f>
        <v>187.995</v>
      </c>
      <c r="G100" s="111">
        <f t="shared" si="9"/>
        <v>563.99</v>
      </c>
      <c r="H100" s="555">
        <f t="shared" ca="1" si="7"/>
        <v>0</v>
      </c>
    </row>
    <row r="101" spans="1:11" x14ac:dyDescent="0.25">
      <c r="A101" s="109" t="s">
        <v>1215</v>
      </c>
      <c r="B101" s="514" t="str">
        <f>Moveis_Equipamentos!B60</f>
        <v>COT_MESA_ESCR</v>
      </c>
      <c r="C101" s="541" t="str">
        <f>Moveis_Equipamentos!C60</f>
        <v>Mesas de escritório com gavetas (conforme especificação)</v>
      </c>
      <c r="D101" s="110" t="str">
        <f>Moveis_Equipamentos!D60</f>
        <v>un</v>
      </c>
      <c r="E101" s="111">
        <f>Moveis_Equipamentos!E60</f>
        <v>89</v>
      </c>
      <c r="F101" s="111">
        <f>Moveis_Equipamentos!F60</f>
        <v>390.96333333333331</v>
      </c>
      <c r="G101" s="111">
        <f t="shared" si="9"/>
        <v>34795.74</v>
      </c>
      <c r="H101" s="555">
        <f t="shared" ca="1" si="7"/>
        <v>5.0000000000000001E-4</v>
      </c>
    </row>
    <row r="102" spans="1:11" x14ac:dyDescent="0.25">
      <c r="A102" s="109" t="s">
        <v>1216</v>
      </c>
      <c r="B102" s="514" t="str">
        <f>Moveis_Equipamentos!B61</f>
        <v>COT_PRATO</v>
      </c>
      <c r="C102" s="541" t="str">
        <f>Moveis_Equipamentos!C61</f>
        <v>Pratos rasos</v>
      </c>
      <c r="D102" s="110" t="str">
        <f>Moveis_Equipamentos!D61</f>
        <v>un</v>
      </c>
      <c r="E102" s="111">
        <f>Moveis_Equipamentos!E61</f>
        <v>300</v>
      </c>
      <c r="F102" s="111">
        <f>Moveis_Equipamentos!F61</f>
        <v>6.73</v>
      </c>
      <c r="G102" s="111">
        <f t="shared" si="9"/>
        <v>2019</v>
      </c>
      <c r="H102" s="555">
        <f t="shared" ca="1" si="7"/>
        <v>0</v>
      </c>
    </row>
    <row r="103" spans="1:11" x14ac:dyDescent="0.25">
      <c r="A103" s="109" t="s">
        <v>1217</v>
      </c>
      <c r="B103" s="514" t="str">
        <f>Moveis_Equipamentos!B62</f>
        <v>F030000293-EMBASA/BA</v>
      </c>
      <c r="C103" s="541" t="str">
        <f>Moveis_Equipamentos!C62</f>
        <v>Projetor multimídia (Datashow)</v>
      </c>
      <c r="D103" s="110" t="str">
        <f>Moveis_Equipamentos!D62</f>
        <v>un</v>
      </c>
      <c r="E103" s="111">
        <f>Moveis_Equipamentos!E62</f>
        <v>3</v>
      </c>
      <c r="F103" s="111">
        <f>Moveis_Equipamentos!F62</f>
        <v>1270.25</v>
      </c>
      <c r="G103" s="111">
        <f t="shared" si="9"/>
        <v>3810.75</v>
      </c>
      <c r="H103" s="555">
        <f t="shared" ca="1" si="7"/>
        <v>1E-4</v>
      </c>
    </row>
    <row r="104" spans="1:11" x14ac:dyDescent="0.25">
      <c r="A104" s="109" t="s">
        <v>1218</v>
      </c>
      <c r="B104" s="514" t="str">
        <f>Moveis_Equipamentos!B63</f>
        <v>COT_RACK</v>
      </c>
      <c r="C104" s="541" t="str">
        <f>Moveis_Equipamentos!C63</f>
        <v>Rack (sala)</v>
      </c>
      <c r="D104" s="110" t="str">
        <f>Moveis_Equipamentos!D63</f>
        <v>un</v>
      </c>
      <c r="E104" s="111">
        <f>Moveis_Equipamentos!E63</f>
        <v>3</v>
      </c>
      <c r="F104" s="111">
        <f>Moveis_Equipamentos!F63</f>
        <v>210.29999999999998</v>
      </c>
      <c r="G104" s="111">
        <f t="shared" si="9"/>
        <v>630.9</v>
      </c>
      <c r="H104" s="555">
        <f t="shared" ca="1" si="7"/>
        <v>0</v>
      </c>
    </row>
    <row r="105" spans="1:11" x14ac:dyDescent="0.25">
      <c r="A105" s="109" t="s">
        <v>1219</v>
      </c>
      <c r="B105" s="514" t="str">
        <f>Moveis_Equipamentos!B64</f>
        <v>COT_REFRESQUEIRA</v>
      </c>
      <c r="C105" s="541" t="str">
        <f>Moveis_Equipamentos!C64</f>
        <v>Refresqueira</v>
      </c>
      <c r="D105" s="110" t="str">
        <f>Moveis_Equipamentos!D64</f>
        <v>un</v>
      </c>
      <c r="E105" s="111">
        <f>Moveis_Equipamentos!E64</f>
        <v>4</v>
      </c>
      <c r="F105" s="111">
        <f>Moveis_Equipamentos!F64</f>
        <v>1606.88</v>
      </c>
      <c r="G105" s="111">
        <f t="shared" si="9"/>
        <v>6427.52</v>
      </c>
      <c r="H105" s="555">
        <f t="shared" ca="1" si="7"/>
        <v>1E-4</v>
      </c>
    </row>
    <row r="106" spans="1:11" x14ac:dyDescent="0.25">
      <c r="A106" s="109" t="s">
        <v>1220</v>
      </c>
      <c r="B106" s="514" t="str">
        <f>Moveis_Equipamentos!B65</f>
        <v>COT_TABUA</v>
      </c>
      <c r="C106" s="541" t="str">
        <f>Moveis_Equipamentos!C65</f>
        <v>Tábuas para carnes</v>
      </c>
      <c r="D106" s="110" t="str">
        <f>Moveis_Equipamentos!D65</f>
        <v>un</v>
      </c>
      <c r="E106" s="111">
        <f>Moveis_Equipamentos!E65</f>
        <v>4</v>
      </c>
      <c r="F106" s="111">
        <f>Moveis_Equipamentos!F65</f>
        <v>91.596666666666678</v>
      </c>
      <c r="G106" s="111">
        <f t="shared" si="9"/>
        <v>366.39</v>
      </c>
      <c r="H106" s="555">
        <f t="shared" ca="1" si="7"/>
        <v>0</v>
      </c>
    </row>
    <row r="107" spans="1:11" x14ac:dyDescent="0.25">
      <c r="A107" s="109" t="s">
        <v>1221</v>
      </c>
      <c r="B107" s="514" t="str">
        <f>Moveis_Equipamentos!B66</f>
        <v>COT_TELEVISOR</v>
      </c>
      <c r="C107" s="541" t="str">
        <f>Moveis_Equipamentos!C66</f>
        <v>Televisor LCD com 27,5"</v>
      </c>
      <c r="D107" s="110" t="str">
        <f>Moveis_Equipamentos!D66</f>
        <v>un</v>
      </c>
      <c r="E107" s="111">
        <f>Moveis_Equipamentos!E66</f>
        <v>3</v>
      </c>
      <c r="F107" s="111">
        <f>Moveis_Equipamentos!F66</f>
        <v>913.48333333333323</v>
      </c>
      <c r="G107" s="111">
        <f t="shared" ref="G107" si="10">ROUND(E107*F107,2)</f>
        <v>2740.45</v>
      </c>
      <c r="H107" s="555">
        <f t="shared" ref="H107" ca="1" si="11">ROUND(G107/G$8,4)</f>
        <v>0</v>
      </c>
    </row>
    <row r="108" spans="1:11" x14ac:dyDescent="0.25">
      <c r="A108" s="109"/>
      <c r="B108" s="514"/>
      <c r="C108" s="541"/>
      <c r="D108" s="110"/>
      <c r="E108" s="111"/>
      <c r="F108" s="111"/>
      <c r="G108" s="111"/>
      <c r="H108" s="551"/>
    </row>
    <row r="109" spans="1:11" x14ac:dyDescent="0.25">
      <c r="A109" s="105" t="s">
        <v>381</v>
      </c>
      <c r="B109" s="513"/>
      <c r="C109" s="542" t="str">
        <f>Mao_de_Obra!C13</f>
        <v>EQUIPE - MÃO DE OBRA</v>
      </c>
      <c r="D109" s="106"/>
      <c r="E109" s="107"/>
      <c r="F109" s="107"/>
      <c r="G109" s="107">
        <f ca="1">SUBTOTAL(109,G110:G170)</f>
        <v>30708604.920000017</v>
      </c>
      <c r="H109" s="555">
        <f t="shared" ref="H109:H155" ca="1" si="12">ROUND(G109/G$8,4)</f>
        <v>0.44259999999999999</v>
      </c>
      <c r="K109" s="600"/>
    </row>
    <row r="110" spans="1:11" ht="25.5" x14ac:dyDescent="0.25">
      <c r="A110" s="109" t="s">
        <v>295</v>
      </c>
      <c r="B110" s="514" t="str">
        <f>Mao_de_Obra!B14</f>
        <v>P0</v>
      </c>
      <c r="C110" s="541" t="str">
        <f>Mao_de_Obra!C14</f>
        <v>Coordenador - Engenheiro Sênior (Civil / Eletricista / Mecânico) - Esp. Manutenção Sist Abast/Ger</v>
      </c>
      <c r="D110" s="110" t="str">
        <f>Mao_de_Obra!D14</f>
        <v>homem x mês</v>
      </c>
      <c r="E110" s="111">
        <f>Mao_de_Obra!E14</f>
        <v>12</v>
      </c>
      <c r="F110" s="111">
        <f>Mao_de_Obra!F14</f>
        <v>33438.83</v>
      </c>
      <c r="G110" s="111">
        <f>ROUND(E110*F110,2)</f>
        <v>401265.96</v>
      </c>
      <c r="H110" s="555">
        <f t="shared" ca="1" si="12"/>
        <v>5.7999999999999996E-3</v>
      </c>
      <c r="K110" s="600"/>
    </row>
    <row r="111" spans="1:11" x14ac:dyDescent="0.25">
      <c r="A111" s="109" t="s">
        <v>296</v>
      </c>
      <c r="B111" s="514" t="str">
        <f>Mao_de_Obra!B15</f>
        <v>A1</v>
      </c>
      <c r="C111" s="541" t="str">
        <f>Mao_de_Obra!C15</f>
        <v>Assistente Administrativo</v>
      </c>
      <c r="D111" s="110" t="str">
        <f>Mao_de_Obra!D15</f>
        <v>homem x mês</v>
      </c>
      <c r="E111" s="111">
        <f>Mao_de_Obra!E15</f>
        <v>12</v>
      </c>
      <c r="F111" s="111">
        <f>Mao_de_Obra!F15</f>
        <v>8556.15</v>
      </c>
      <c r="G111" s="111">
        <f t="shared" ref="G111:G239" si="13">ROUND(E111*F111,2)</f>
        <v>102673.8</v>
      </c>
      <c r="H111" s="555">
        <f t="shared" ca="1" si="12"/>
        <v>1.5E-3</v>
      </c>
      <c r="K111" s="601"/>
    </row>
    <row r="112" spans="1:11" x14ac:dyDescent="0.25">
      <c r="A112" s="109" t="s">
        <v>297</v>
      </c>
      <c r="B112" s="514" t="str">
        <f>Mao_de_Obra!B16</f>
        <v>A3</v>
      </c>
      <c r="C112" s="541" t="str">
        <f>Mao_de_Obra!C16</f>
        <v>Auxiliar Administrativo</v>
      </c>
      <c r="D112" s="110" t="str">
        <f>Mao_de_Obra!D16</f>
        <v>homem x mês</v>
      </c>
      <c r="E112" s="111">
        <f>Mao_de_Obra!E16</f>
        <v>48</v>
      </c>
      <c r="F112" s="111">
        <f>Mao_de_Obra!F16</f>
        <v>4368.5</v>
      </c>
      <c r="G112" s="111">
        <f t="shared" si="13"/>
        <v>209688</v>
      </c>
      <c r="H112" s="555">
        <f t="shared" ca="1" si="12"/>
        <v>3.0000000000000001E-3</v>
      </c>
    </row>
    <row r="113" spans="1:8" ht="25.5" x14ac:dyDescent="0.25">
      <c r="A113" s="109" t="s">
        <v>298</v>
      </c>
      <c r="B113" s="514" t="str">
        <f>Mao_de_Obra!B17</f>
        <v>P1</v>
      </c>
      <c r="C113" s="541" t="str">
        <f>Mao_de_Obra!C17</f>
        <v>Coordenador Operação - Engenheiro Sênior (Civil / Eletricista / Mecânico) - Esp. Manutenção Sist Abast/Ger</v>
      </c>
      <c r="D113" s="110" t="str">
        <f>Mao_de_Obra!D17</f>
        <v>homem x mês</v>
      </c>
      <c r="E113" s="111">
        <f>Mao_de_Obra!E17</f>
        <v>12</v>
      </c>
      <c r="F113" s="111">
        <f>Mao_de_Obra!F17</f>
        <v>25871.129999999997</v>
      </c>
      <c r="G113" s="111">
        <f t="shared" si="13"/>
        <v>310453.56</v>
      </c>
      <c r="H113" s="555">
        <f t="shared" ca="1" si="12"/>
        <v>4.4999999999999997E-3</v>
      </c>
    </row>
    <row r="114" spans="1:8" ht="25.5" x14ac:dyDescent="0.25">
      <c r="A114" s="109" t="s">
        <v>299</v>
      </c>
      <c r="B114" s="514" t="str">
        <f>Mao_de_Obra!B18</f>
        <v>P1</v>
      </c>
      <c r="C114" s="541" t="str">
        <f>Mao_de_Obra!C18</f>
        <v>Coordenador Manutenção - Engenheiro Sênior (Civil / Eletricista / Mecânico) - Esp. Manutenção Sist Abast/Ger</v>
      </c>
      <c r="D114" s="110" t="str">
        <f>Mao_de_Obra!D18</f>
        <v>homem x mês</v>
      </c>
      <c r="E114" s="111">
        <f>Mao_de_Obra!E18</f>
        <v>12</v>
      </c>
      <c r="F114" s="111">
        <f>Mao_de_Obra!F18</f>
        <v>25871.129999999997</v>
      </c>
      <c r="G114" s="111">
        <f t="shared" si="13"/>
        <v>310453.56</v>
      </c>
      <c r="H114" s="555">
        <f t="shared" ca="1" si="12"/>
        <v>4.4999999999999997E-3</v>
      </c>
    </row>
    <row r="115" spans="1:8" x14ac:dyDescent="0.25">
      <c r="A115" s="109" t="s">
        <v>300</v>
      </c>
      <c r="B115" s="514" t="str">
        <f>Mao_de_Obra!B19</f>
        <v>AS</v>
      </c>
      <c r="C115" s="541" t="str">
        <f>Mao_de_Obra!C19</f>
        <v>Coordenador - Chefe de Escritório</v>
      </c>
      <c r="D115" s="110" t="str">
        <f>Mao_de_Obra!D19</f>
        <v>homem x mês</v>
      </c>
      <c r="E115" s="111">
        <f>Mao_de_Obra!E19</f>
        <v>12</v>
      </c>
      <c r="F115" s="111">
        <f>Mao_de_Obra!F19</f>
        <v>9940.6</v>
      </c>
      <c r="G115" s="111">
        <f t="shared" si="13"/>
        <v>119287.2</v>
      </c>
      <c r="H115" s="555">
        <f t="shared" ca="1" si="12"/>
        <v>1.6999999999999999E-3</v>
      </c>
    </row>
    <row r="116" spans="1:8" x14ac:dyDescent="0.25">
      <c r="A116" s="109" t="s">
        <v>301</v>
      </c>
      <c r="B116" s="514" t="str">
        <f>Mao_de_Obra!B20</f>
        <v>T1</v>
      </c>
      <c r="C116" s="541" t="str">
        <f>Mao_de_Obra!C20</f>
        <v>Técnico Pleno - Analista em Tecnologia da Informação</v>
      </c>
      <c r="D116" s="110" t="str">
        <f>Mao_de_Obra!D20</f>
        <v>homem x mês</v>
      </c>
      <c r="E116" s="111">
        <f>Mao_de_Obra!E20</f>
        <v>12</v>
      </c>
      <c r="F116" s="111">
        <f>Mao_de_Obra!F20</f>
        <v>7255.8899999999994</v>
      </c>
      <c r="G116" s="111">
        <f t="shared" si="13"/>
        <v>87070.68</v>
      </c>
      <c r="H116" s="555">
        <f t="shared" ca="1" si="12"/>
        <v>1.2999999999999999E-3</v>
      </c>
    </row>
    <row r="117" spans="1:8" x14ac:dyDescent="0.25">
      <c r="A117" s="109" t="s">
        <v>302</v>
      </c>
      <c r="B117" s="514" t="str">
        <f>Mao_de_Obra!B21</f>
        <v>A3</v>
      </c>
      <c r="C117" s="541" t="str">
        <f>Mao_de_Obra!C21</f>
        <v>Motorista</v>
      </c>
      <c r="D117" s="110" t="str">
        <f>Mao_de_Obra!D21</f>
        <v>homem x mês</v>
      </c>
      <c r="E117" s="111">
        <f>Mao_de_Obra!E21</f>
        <v>60</v>
      </c>
      <c r="F117" s="111">
        <f>Mao_de_Obra!F21</f>
        <v>4368.5</v>
      </c>
      <c r="G117" s="111">
        <f t="shared" si="13"/>
        <v>262110</v>
      </c>
      <c r="H117" s="555">
        <f t="shared" ca="1" si="12"/>
        <v>3.8E-3</v>
      </c>
    </row>
    <row r="118" spans="1:8" x14ac:dyDescent="0.25">
      <c r="A118" s="109" t="s">
        <v>303</v>
      </c>
      <c r="B118" s="514" t="str">
        <f>Mao_de_Obra!B22</f>
        <v>A1</v>
      </c>
      <c r="C118" s="541" t="str">
        <f>Mao_de_Obra!C22</f>
        <v>Almoxarife</v>
      </c>
      <c r="D118" s="110" t="str">
        <f>Mao_de_Obra!D22</f>
        <v>homem x mês</v>
      </c>
      <c r="E118" s="111">
        <f>Mao_de_Obra!E22</f>
        <v>12</v>
      </c>
      <c r="F118" s="111">
        <f>Mao_de_Obra!F22</f>
        <v>8556.15</v>
      </c>
      <c r="G118" s="111">
        <f t="shared" si="13"/>
        <v>102673.8</v>
      </c>
      <c r="H118" s="555">
        <f t="shared" ca="1" si="12"/>
        <v>1.5E-3</v>
      </c>
    </row>
    <row r="119" spans="1:8" x14ac:dyDescent="0.25">
      <c r="A119" s="109" t="s">
        <v>304</v>
      </c>
      <c r="B119" s="514" t="str">
        <f>Mao_de_Obra!B23</f>
        <v>A3</v>
      </c>
      <c r="C119" s="541" t="str">
        <f>Mao_de_Obra!C23</f>
        <v>Auxiliar de Almoxarifado</v>
      </c>
      <c r="D119" s="110" t="str">
        <f>Mao_de_Obra!D23</f>
        <v>homem x mês</v>
      </c>
      <c r="E119" s="111">
        <f>Mao_de_Obra!E23</f>
        <v>36</v>
      </c>
      <c r="F119" s="111">
        <f>Mao_de_Obra!F23</f>
        <v>4368.5</v>
      </c>
      <c r="G119" s="111">
        <f t="shared" si="13"/>
        <v>157266</v>
      </c>
      <c r="H119" s="555">
        <f t="shared" ca="1" si="12"/>
        <v>2.3E-3</v>
      </c>
    </row>
    <row r="120" spans="1:8" x14ac:dyDescent="0.25">
      <c r="A120" s="109" t="s">
        <v>305</v>
      </c>
      <c r="B120" s="514" t="str">
        <f>Mao_de_Obra!B24</f>
        <v>A4</v>
      </c>
      <c r="C120" s="541" t="str">
        <f>Mao_de_Obra!C24</f>
        <v>Servente</v>
      </c>
      <c r="D120" s="110" t="str">
        <f>Mao_de_Obra!D24</f>
        <v>homem x mês</v>
      </c>
      <c r="E120" s="111">
        <f>Mao_de_Obra!E24</f>
        <v>144</v>
      </c>
      <c r="F120" s="111">
        <f>Mao_de_Obra!F24</f>
        <v>2556.87</v>
      </c>
      <c r="G120" s="111">
        <f t="shared" si="13"/>
        <v>368189.28</v>
      </c>
      <c r="H120" s="555">
        <f t="shared" ca="1" si="12"/>
        <v>5.3E-3</v>
      </c>
    </row>
    <row r="121" spans="1:8" x14ac:dyDescent="0.25">
      <c r="A121" s="109" t="s">
        <v>306</v>
      </c>
      <c r="B121" s="514" t="str">
        <f>Mao_de_Obra!B25</f>
        <v>P1</v>
      </c>
      <c r="C121" s="541" t="str">
        <f>Mao_de_Obra!C25</f>
        <v>Engenheiro de Segurança e Medicina do Trabalho</v>
      </c>
      <c r="D121" s="110" t="str">
        <f>Mao_de_Obra!D25</f>
        <v>homem x mês</v>
      </c>
      <c r="E121" s="111">
        <f>Mao_de_Obra!E25</f>
        <v>12</v>
      </c>
      <c r="F121" s="111">
        <f>Mao_de_Obra!F25</f>
        <v>25871.129999999997</v>
      </c>
      <c r="G121" s="111">
        <f t="shared" si="13"/>
        <v>310453.56</v>
      </c>
      <c r="H121" s="555">
        <f t="shared" ca="1" si="12"/>
        <v>4.4999999999999997E-3</v>
      </c>
    </row>
    <row r="122" spans="1:8" x14ac:dyDescent="0.25">
      <c r="A122" s="109" t="s">
        <v>307</v>
      </c>
      <c r="B122" s="514" t="str">
        <f>Mao_de_Obra!B26</f>
        <v>T2</v>
      </c>
      <c r="C122" s="541" t="str">
        <f>Mao_de_Obra!C26</f>
        <v>Técnico de Segurança e Medicina do Trabalho</v>
      </c>
      <c r="D122" s="110" t="str">
        <f>Mao_de_Obra!D26</f>
        <v>homem x mês</v>
      </c>
      <c r="E122" s="111">
        <f>Mao_de_Obra!E26</f>
        <v>24</v>
      </c>
      <c r="F122" s="111">
        <f>Mao_de_Obra!F26</f>
        <v>6014.87</v>
      </c>
      <c r="G122" s="111">
        <f t="shared" si="13"/>
        <v>144356.88</v>
      </c>
      <c r="H122" s="555">
        <f t="shared" ca="1" si="12"/>
        <v>2.0999999999999999E-3</v>
      </c>
    </row>
    <row r="123" spans="1:8" x14ac:dyDescent="0.25">
      <c r="A123" s="109" t="s">
        <v>308</v>
      </c>
      <c r="B123" s="514" t="str">
        <f>Mao_de_Obra!B27</f>
        <v>P1</v>
      </c>
      <c r="C123" s="541" t="str">
        <f>Mao_de_Obra!C27</f>
        <v>Médico do Trabalho</v>
      </c>
      <c r="D123" s="110" t="str">
        <f>Mao_de_Obra!D27</f>
        <v>homem x mês</v>
      </c>
      <c r="E123" s="111">
        <f>Mao_de_Obra!E27</f>
        <v>12</v>
      </c>
      <c r="F123" s="111">
        <f>Mao_de_Obra!F27</f>
        <v>25871.129999999997</v>
      </c>
      <c r="G123" s="111">
        <f t="shared" si="13"/>
        <v>310453.56</v>
      </c>
      <c r="H123" s="555">
        <f t="shared" ca="1" si="12"/>
        <v>4.4999999999999997E-3</v>
      </c>
    </row>
    <row r="124" spans="1:8" x14ac:dyDescent="0.25">
      <c r="A124" s="109" t="s">
        <v>309</v>
      </c>
      <c r="B124" s="514" t="str">
        <f>Mao_de_Obra!B28</f>
        <v>P1</v>
      </c>
      <c r="C124" s="541" t="str">
        <f>Mao_de_Obra!C28</f>
        <v>Engenheiro Pleno - Civil - Especialista em Hidráulica</v>
      </c>
      <c r="D124" s="110" t="str">
        <f>Mao_de_Obra!D28</f>
        <v>homem x mês</v>
      </c>
      <c r="E124" s="111">
        <f>Mao_de_Obra!E28</f>
        <v>12</v>
      </c>
      <c r="F124" s="111">
        <f>Mao_de_Obra!F28</f>
        <v>25871.129999999997</v>
      </c>
      <c r="G124" s="111">
        <f t="shared" si="13"/>
        <v>310453.56</v>
      </c>
      <c r="H124" s="555">
        <f t="shared" ca="1" si="12"/>
        <v>4.4999999999999997E-3</v>
      </c>
    </row>
    <row r="125" spans="1:8" x14ac:dyDescent="0.25">
      <c r="A125" s="109" t="s">
        <v>310</v>
      </c>
      <c r="B125" s="514" t="str">
        <f>Mao_de_Obra!B29</f>
        <v>P1</v>
      </c>
      <c r="C125" s="541" t="str">
        <f>Mao_de_Obra!C29</f>
        <v>Engenheiro Pleno - Civil - Especialista em Hidrologia</v>
      </c>
      <c r="D125" s="110" t="str">
        <f>Mao_de_Obra!D29</f>
        <v>homem x mês</v>
      </c>
      <c r="E125" s="111">
        <f>Mao_de_Obra!E29</f>
        <v>12</v>
      </c>
      <c r="F125" s="111">
        <f>Mao_de_Obra!F29</f>
        <v>25871.129999999997</v>
      </c>
      <c r="G125" s="111">
        <f t="shared" si="13"/>
        <v>310453.56</v>
      </c>
      <c r="H125" s="555">
        <f t="shared" ca="1" si="12"/>
        <v>4.4999999999999997E-3</v>
      </c>
    </row>
    <row r="126" spans="1:8" x14ac:dyDescent="0.25">
      <c r="A126" s="109" t="s">
        <v>311</v>
      </c>
      <c r="B126" s="514" t="str">
        <f>Mao_de_Obra!B30</f>
        <v>P3</v>
      </c>
      <c r="C126" s="541" t="str">
        <f>Mao_de_Obra!C30</f>
        <v>Engenheiro Junior - Civil</v>
      </c>
      <c r="D126" s="110" t="str">
        <f>Mao_de_Obra!D30</f>
        <v>homem x mês</v>
      </c>
      <c r="E126" s="111">
        <f>Mao_de_Obra!E30</f>
        <v>12</v>
      </c>
      <c r="F126" s="111">
        <f>Mao_de_Obra!F30</f>
        <v>16451.25</v>
      </c>
      <c r="G126" s="111">
        <f t="shared" si="13"/>
        <v>197415</v>
      </c>
      <c r="H126" s="555">
        <f t="shared" ca="1" si="12"/>
        <v>2.8E-3</v>
      </c>
    </row>
    <row r="127" spans="1:8" x14ac:dyDescent="0.25">
      <c r="A127" s="109" t="s">
        <v>312</v>
      </c>
      <c r="B127" s="514" t="str">
        <f>Mao_de_Obra!B31</f>
        <v>P1</v>
      </c>
      <c r="C127" s="541" t="str">
        <f>Mao_de_Obra!C31</f>
        <v>Engenheiro Pleno - Eletricista</v>
      </c>
      <c r="D127" s="110" t="str">
        <f>Mao_de_Obra!D31</f>
        <v>homem x mês</v>
      </c>
      <c r="E127" s="111">
        <f>Mao_de_Obra!E31</f>
        <v>12</v>
      </c>
      <c r="F127" s="111">
        <f>Mao_de_Obra!F31</f>
        <v>25871.129999999997</v>
      </c>
      <c r="G127" s="111">
        <f t="shared" si="13"/>
        <v>310453.56</v>
      </c>
      <c r="H127" s="555">
        <f t="shared" ca="1" si="12"/>
        <v>4.4999999999999997E-3</v>
      </c>
    </row>
    <row r="128" spans="1:8" ht="25.5" x14ac:dyDescent="0.25">
      <c r="A128" s="109" t="s">
        <v>313</v>
      </c>
      <c r="B128" s="514" t="str">
        <f>Mao_de_Obra!B32</f>
        <v>P1</v>
      </c>
      <c r="C128" s="541" t="str">
        <f>Mao_de_Obra!C32</f>
        <v>Engenheiro Pleno - Eletricista - Especialista em Equipamentos e Sistemas Elétricos</v>
      </c>
      <c r="D128" s="110" t="str">
        <f>Mao_de_Obra!D32</f>
        <v>homem x mês</v>
      </c>
      <c r="E128" s="111">
        <f>Mao_de_Obra!E32</f>
        <v>12</v>
      </c>
      <c r="F128" s="111">
        <f>Mao_de_Obra!F32</f>
        <v>25871.129999999997</v>
      </c>
      <c r="G128" s="111">
        <f t="shared" si="13"/>
        <v>310453.56</v>
      </c>
      <c r="H128" s="555">
        <f t="shared" ca="1" si="12"/>
        <v>4.4999999999999997E-3</v>
      </c>
    </row>
    <row r="129" spans="1:8" ht="25.5" x14ac:dyDescent="0.25">
      <c r="A129" s="109" t="s">
        <v>314</v>
      </c>
      <c r="B129" s="514" t="str">
        <f>Mao_de_Obra!B33</f>
        <v>P1</v>
      </c>
      <c r="C129" s="541" t="str">
        <f>Mao_de_Obra!C33</f>
        <v>Engenheiro Pleno - Eletricista - Especialista em Subestação Pátio, L. Transmissão e L. Distribuição</v>
      </c>
      <c r="D129" s="110" t="str">
        <f>Mao_de_Obra!D33</f>
        <v>homem x mês</v>
      </c>
      <c r="E129" s="111">
        <f>Mao_de_Obra!E33</f>
        <v>12</v>
      </c>
      <c r="F129" s="111">
        <f>Mao_de_Obra!F33</f>
        <v>25871.129999999997</v>
      </c>
      <c r="G129" s="111">
        <f t="shared" si="13"/>
        <v>310453.56</v>
      </c>
      <c r="H129" s="555">
        <f t="shared" ca="1" si="12"/>
        <v>4.4999999999999997E-3</v>
      </c>
    </row>
    <row r="130" spans="1:8" ht="25.5" x14ac:dyDescent="0.25">
      <c r="A130" s="109" t="s">
        <v>315</v>
      </c>
      <c r="B130" s="514" t="str">
        <f>Mao_de_Obra!B34</f>
        <v>P1</v>
      </c>
      <c r="C130" s="541" t="str">
        <f>Mao_de_Obra!C34</f>
        <v>Engenheiro Pleno - Eletricista - Especialista em Sistema de Proteção, Controle e Supervisão (SPCS)</v>
      </c>
      <c r="D130" s="110" t="str">
        <f>Mao_de_Obra!D34</f>
        <v>homem x mês</v>
      </c>
      <c r="E130" s="111">
        <f>Mao_de_Obra!E34</f>
        <v>12</v>
      </c>
      <c r="F130" s="111">
        <f>Mao_de_Obra!F34</f>
        <v>25871.129999999997</v>
      </c>
      <c r="G130" s="111">
        <f t="shared" si="13"/>
        <v>310453.56</v>
      </c>
      <c r="H130" s="555">
        <f t="shared" ca="1" si="12"/>
        <v>4.4999999999999997E-3</v>
      </c>
    </row>
    <row r="131" spans="1:8" x14ac:dyDescent="0.25">
      <c r="A131" s="109" t="s">
        <v>316</v>
      </c>
      <c r="B131" s="514" t="str">
        <f>Mao_de_Obra!B35</f>
        <v>P1</v>
      </c>
      <c r="C131" s="541" t="str">
        <f>Mao_de_Obra!C35</f>
        <v>Engenheiro Pleno - Mecânico</v>
      </c>
      <c r="D131" s="110" t="str">
        <f>Mao_de_Obra!D35</f>
        <v>homem x mês</v>
      </c>
      <c r="E131" s="111">
        <f>Mao_de_Obra!E35</f>
        <v>12</v>
      </c>
      <c r="F131" s="111">
        <f>Mao_de_Obra!F35</f>
        <v>25871.129999999997</v>
      </c>
      <c r="G131" s="111">
        <f t="shared" si="13"/>
        <v>310453.56</v>
      </c>
      <c r="H131" s="555">
        <f t="shared" ca="1" si="12"/>
        <v>4.4999999999999997E-3</v>
      </c>
    </row>
    <row r="132" spans="1:8" x14ac:dyDescent="0.25">
      <c r="A132" s="109" t="s">
        <v>317</v>
      </c>
      <c r="B132" s="514" t="str">
        <f>Mao_de_Obra!B36</f>
        <v>P1</v>
      </c>
      <c r="C132" s="541" t="str">
        <f>Mao_de_Obra!C36</f>
        <v>Engenheiro Pleno - Civil</v>
      </c>
      <c r="D132" s="110" t="str">
        <f>Mao_de_Obra!D36</f>
        <v>homem x mês</v>
      </c>
      <c r="E132" s="111">
        <f>Mao_de_Obra!E36</f>
        <v>12</v>
      </c>
      <c r="F132" s="111">
        <f>Mao_de_Obra!F36</f>
        <v>25871.129999999997</v>
      </c>
      <c r="G132" s="111">
        <f t="shared" si="13"/>
        <v>310453.56</v>
      </c>
      <c r="H132" s="555">
        <f t="shared" ca="1" si="12"/>
        <v>4.4999999999999997E-3</v>
      </c>
    </row>
    <row r="133" spans="1:8" x14ac:dyDescent="0.25">
      <c r="A133" s="109" t="s">
        <v>318</v>
      </c>
      <c r="B133" s="514" t="str">
        <f>Mao_de_Obra!B37</f>
        <v>P1</v>
      </c>
      <c r="C133" s="541" t="str">
        <f>Mao_de_Obra!C37</f>
        <v>Engenheiro Pleno - Mecatrônica - Especialista em Automação</v>
      </c>
      <c r="D133" s="110" t="str">
        <f>Mao_de_Obra!D37</f>
        <v>homem x mês</v>
      </c>
      <c r="E133" s="111">
        <f>Mao_de_Obra!E37</f>
        <v>12</v>
      </c>
      <c r="F133" s="111">
        <f>Mao_de_Obra!F37</f>
        <v>25871.129999999997</v>
      </c>
      <c r="G133" s="111">
        <f t="shared" si="13"/>
        <v>310453.56</v>
      </c>
      <c r="H133" s="555">
        <f t="shared" ca="1" si="12"/>
        <v>4.4999999999999997E-3</v>
      </c>
    </row>
    <row r="134" spans="1:8" x14ac:dyDescent="0.25">
      <c r="A134" s="109" t="s">
        <v>319</v>
      </c>
      <c r="B134" s="514" t="str">
        <f>Mao_de_Obra!B38</f>
        <v>P1</v>
      </c>
      <c r="C134" s="541" t="str">
        <f>Mao_de_Obra!C38</f>
        <v>Engenheiro Pleno - Telecomunicações</v>
      </c>
      <c r="D134" s="110" t="str">
        <f>Mao_de_Obra!D38</f>
        <v>homem x mês</v>
      </c>
      <c r="E134" s="111">
        <f>Mao_de_Obra!E38</f>
        <v>12</v>
      </c>
      <c r="F134" s="111">
        <f>Mao_de_Obra!F38</f>
        <v>25871.129999999997</v>
      </c>
      <c r="G134" s="111">
        <f t="shared" si="13"/>
        <v>310453.56</v>
      </c>
      <c r="H134" s="555">
        <f t="shared" ca="1" si="12"/>
        <v>4.4999999999999997E-3</v>
      </c>
    </row>
    <row r="135" spans="1:8" ht="25.5" x14ac:dyDescent="0.25">
      <c r="A135" s="109" t="s">
        <v>320</v>
      </c>
      <c r="B135" s="514" t="str">
        <f>Mao_de_Obra!B39</f>
        <v>T1</v>
      </c>
      <c r="C135" s="541" t="str">
        <f>Mao_de_Obra!C39</f>
        <v>Técnico Pleno - Manutenção Elétrica -  Especialista em Equipamentos e Sistemas Elétricos</v>
      </c>
      <c r="D135" s="110" t="str">
        <f>Mao_de_Obra!D39</f>
        <v>homem x mês</v>
      </c>
      <c r="E135" s="111">
        <f>Mao_de_Obra!E39</f>
        <v>12</v>
      </c>
      <c r="F135" s="111">
        <f>Mao_de_Obra!F39</f>
        <v>7255.8899999999994</v>
      </c>
      <c r="G135" s="111">
        <f t="shared" si="13"/>
        <v>87070.68</v>
      </c>
      <c r="H135" s="555">
        <f t="shared" ca="1" si="12"/>
        <v>1.2999999999999999E-3</v>
      </c>
    </row>
    <row r="136" spans="1:8" ht="25.5" x14ac:dyDescent="0.25">
      <c r="A136" s="109" t="s">
        <v>321</v>
      </c>
      <c r="B136" s="514" t="str">
        <f>Mao_de_Obra!B40</f>
        <v>T1</v>
      </c>
      <c r="C136" s="541" t="str">
        <f>Mao_de_Obra!C40</f>
        <v>Técnico Pleno - Manutenção Elétrica -  Especialista em Subestação Pátio, L. Transmissão e L. Distribuição</v>
      </c>
      <c r="D136" s="110" t="str">
        <f>Mao_de_Obra!D40</f>
        <v>homem x mês</v>
      </c>
      <c r="E136" s="111">
        <f>Mao_de_Obra!E40</f>
        <v>12</v>
      </c>
      <c r="F136" s="111">
        <f>Mao_de_Obra!F40</f>
        <v>7255.8899999999994</v>
      </c>
      <c r="G136" s="111">
        <f t="shared" si="13"/>
        <v>87070.68</v>
      </c>
      <c r="H136" s="555">
        <f t="shared" ca="1" si="12"/>
        <v>1.2999999999999999E-3</v>
      </c>
    </row>
    <row r="137" spans="1:8" ht="25.5" x14ac:dyDescent="0.25">
      <c r="A137" s="109" t="s">
        <v>322</v>
      </c>
      <c r="B137" s="514" t="str">
        <f>Mao_de_Obra!B41</f>
        <v>T1</v>
      </c>
      <c r="C137" s="541" t="str">
        <f>Mao_de_Obra!C41</f>
        <v>Técnico Pleno - Manutenção Elétrica -  Especialista em Sistema de Proteção, Controle e Supervisão (SPCS)</v>
      </c>
      <c r="D137" s="110" t="str">
        <f>Mao_de_Obra!D41</f>
        <v>homem x mês</v>
      </c>
      <c r="E137" s="111">
        <f>Mao_de_Obra!E41</f>
        <v>12</v>
      </c>
      <c r="F137" s="111">
        <f>Mao_de_Obra!F41</f>
        <v>7255.8899999999994</v>
      </c>
      <c r="G137" s="111">
        <f t="shared" si="13"/>
        <v>87070.68</v>
      </c>
      <c r="H137" s="555">
        <f t="shared" ca="1" si="12"/>
        <v>1.2999999999999999E-3</v>
      </c>
    </row>
    <row r="138" spans="1:8" x14ac:dyDescent="0.25">
      <c r="A138" s="109" t="s">
        <v>323</v>
      </c>
      <c r="B138" s="514" t="str">
        <f>Mao_de_Obra!B42</f>
        <v>T1</v>
      </c>
      <c r="C138" s="541" t="str">
        <f>Mao_de_Obra!C42</f>
        <v>Técnico Pleno - Manutenção Mecânica</v>
      </c>
      <c r="D138" s="110" t="str">
        <f>Mao_de_Obra!D42</f>
        <v>homem x mês</v>
      </c>
      <c r="E138" s="111">
        <f>Mao_de_Obra!E42</f>
        <v>12</v>
      </c>
      <c r="F138" s="111">
        <f>Mao_de_Obra!F42</f>
        <v>7255.8899999999994</v>
      </c>
      <c r="G138" s="111">
        <f t="shared" si="13"/>
        <v>87070.68</v>
      </c>
      <c r="H138" s="555">
        <f t="shared" ca="1" si="12"/>
        <v>1.2999999999999999E-3</v>
      </c>
    </row>
    <row r="139" spans="1:8" x14ac:dyDescent="0.25">
      <c r="A139" s="109" t="s">
        <v>324</v>
      </c>
      <c r="B139" s="514" t="str">
        <f>Mao_de_Obra!B43</f>
        <v>T1</v>
      </c>
      <c r="C139" s="541" t="str">
        <f>Mao_de_Obra!C43</f>
        <v>Técnico Pleno - Manutenção Civil</v>
      </c>
      <c r="D139" s="110" t="str">
        <f>Mao_de_Obra!D43</f>
        <v>homem x mês</v>
      </c>
      <c r="E139" s="111">
        <f>Mao_de_Obra!E43</f>
        <v>12</v>
      </c>
      <c r="F139" s="111">
        <f>Mao_de_Obra!F43</f>
        <v>7255.8899999999994</v>
      </c>
      <c r="G139" s="111">
        <f t="shared" si="13"/>
        <v>87070.68</v>
      </c>
      <c r="H139" s="555">
        <f t="shared" ca="1" si="12"/>
        <v>1.2999999999999999E-3</v>
      </c>
    </row>
    <row r="140" spans="1:8" x14ac:dyDescent="0.25">
      <c r="A140" s="109" t="s">
        <v>325</v>
      </c>
      <c r="B140" s="514" t="str">
        <f>Mao_de_Obra!B44</f>
        <v>P1</v>
      </c>
      <c r="C140" s="541" t="str">
        <f>Mao_de_Obra!C44</f>
        <v>Geólogo  (Geotecnia)</v>
      </c>
      <c r="D140" s="110" t="str">
        <f>Mao_de_Obra!D44</f>
        <v>homem x mês</v>
      </c>
      <c r="E140" s="111">
        <f>Mao_de_Obra!E44</f>
        <v>12</v>
      </c>
      <c r="F140" s="111">
        <f>Mao_de_Obra!F44</f>
        <v>25871.129999999997</v>
      </c>
      <c r="G140" s="111">
        <f t="shared" si="13"/>
        <v>310453.56</v>
      </c>
      <c r="H140" s="555">
        <f t="shared" ca="1" si="12"/>
        <v>4.4999999999999997E-3</v>
      </c>
    </row>
    <row r="141" spans="1:8" ht="25.5" x14ac:dyDescent="0.25">
      <c r="A141" s="109" t="s">
        <v>326</v>
      </c>
      <c r="B141" s="514" t="str">
        <f>Mao_de_Obra!B45</f>
        <v>T1</v>
      </c>
      <c r="C141" s="541" t="str">
        <f>Mao_de_Obra!C45</f>
        <v>Técnico Pleno - Eletrotécnico - Operador Estação de Bombeamento - Diurno (inclusive adicional de periculosidade)</v>
      </c>
      <c r="D141" s="110" t="str">
        <f>Mao_de_Obra!D45</f>
        <v>homem x mês</v>
      </c>
      <c r="E141" s="111">
        <f>Mao_de_Obra!E45</f>
        <v>216</v>
      </c>
      <c r="F141" s="111">
        <f>Mao_de_Obra!F45</f>
        <v>9432.66</v>
      </c>
      <c r="G141" s="111">
        <f t="shared" si="13"/>
        <v>2037454.56</v>
      </c>
      <c r="H141" s="555">
        <f t="shared" ca="1" si="12"/>
        <v>2.9399999999999999E-2</v>
      </c>
    </row>
    <row r="142" spans="1:8" ht="25.5" x14ac:dyDescent="0.25">
      <c r="A142" s="109" t="s">
        <v>328</v>
      </c>
      <c r="B142" s="514" t="str">
        <f>Mao_de_Obra!B46</f>
        <v>T1</v>
      </c>
      <c r="C142" s="541" t="str">
        <f>Mao_de_Obra!C46</f>
        <v>Técnico Pleno - Eletrotécnico - Operador Estação de Bombeamento - Noturno (inclusive adicional de periculosidade)</v>
      </c>
      <c r="D142" s="110" t="str">
        <f>Mao_de_Obra!D46</f>
        <v>homem x mês</v>
      </c>
      <c r="E142" s="111">
        <f>Mao_de_Obra!E46</f>
        <v>216</v>
      </c>
      <c r="F142" s="111">
        <f ca="1">Mao_de_Obra!F46</f>
        <v>11542.836545454546</v>
      </c>
      <c r="G142" s="111">
        <f t="shared" ca="1" si="13"/>
        <v>2493252.69</v>
      </c>
      <c r="H142" s="555">
        <f t="shared" ca="1" si="12"/>
        <v>3.5900000000000001E-2</v>
      </c>
    </row>
    <row r="143" spans="1:8" ht="25.5" x14ac:dyDescent="0.25">
      <c r="A143" s="109" t="s">
        <v>330</v>
      </c>
      <c r="B143" s="514" t="str">
        <f>Mao_de_Obra!B47</f>
        <v>T2</v>
      </c>
      <c r="C143" s="541" t="str">
        <f>Mao_de_Obra!C47</f>
        <v>Técnico Junior - Mecânico - Operador Estação de Bombeamento - Diurno (inclusive adicional de periculosidade)</v>
      </c>
      <c r="D143" s="110" t="str">
        <f>Mao_de_Obra!D47</f>
        <v>homem x mês</v>
      </c>
      <c r="E143" s="111">
        <f>Mao_de_Obra!E47</f>
        <v>216</v>
      </c>
      <c r="F143" s="111">
        <f>Mao_de_Obra!F47</f>
        <v>7819.33</v>
      </c>
      <c r="G143" s="111">
        <f t="shared" si="13"/>
        <v>1688975.28</v>
      </c>
      <c r="H143" s="555">
        <f t="shared" ca="1" si="12"/>
        <v>2.4299999999999999E-2</v>
      </c>
    </row>
    <row r="144" spans="1:8" ht="25.5" x14ac:dyDescent="0.25">
      <c r="A144" s="109" t="s">
        <v>331</v>
      </c>
      <c r="B144" s="514" t="str">
        <f>Mao_de_Obra!B48</f>
        <v>T2</v>
      </c>
      <c r="C144" s="541" t="str">
        <f>Mao_de_Obra!C48</f>
        <v>Técnico Junior - Mecânico - Operador Estação de Bombeamento - Noturno (inclusive adicional de periculosidade)</v>
      </c>
      <c r="D144" s="110" t="str">
        <f>Mao_de_Obra!D48</f>
        <v>homem x mês</v>
      </c>
      <c r="E144" s="111">
        <f>Mao_de_Obra!E48</f>
        <v>216</v>
      </c>
      <c r="F144" s="111">
        <f ca="1">Mao_de_Obra!F48</f>
        <v>9568.5918181818161</v>
      </c>
      <c r="G144" s="111">
        <f t="shared" ca="1" si="13"/>
        <v>2066815.83</v>
      </c>
      <c r="H144" s="555">
        <f t="shared" ca="1" si="12"/>
        <v>2.98E-2</v>
      </c>
    </row>
    <row r="145" spans="1:8" ht="25.5" x14ac:dyDescent="0.25">
      <c r="A145" s="109" t="s">
        <v>332</v>
      </c>
      <c r="B145" s="514" t="str">
        <f>Mao_de_Obra!B49</f>
        <v>T1</v>
      </c>
      <c r="C145" s="541" t="str">
        <f>Mao_de_Obra!C49</f>
        <v>Técnico Pleno - Eletrotécnico - Operador Subestação - Diurno (inclusive adicional de periculosidade)</v>
      </c>
      <c r="D145" s="110" t="str">
        <f>Mao_de_Obra!D49</f>
        <v>homem x mês</v>
      </c>
      <c r="E145" s="111">
        <f>Mao_de_Obra!E49</f>
        <v>216</v>
      </c>
      <c r="F145" s="111">
        <f>Mao_de_Obra!F49</f>
        <v>9432.66</v>
      </c>
      <c r="G145" s="111">
        <f t="shared" si="13"/>
        <v>2037454.56</v>
      </c>
      <c r="H145" s="555">
        <f t="shared" ca="1" si="12"/>
        <v>2.9399999999999999E-2</v>
      </c>
    </row>
    <row r="146" spans="1:8" ht="25.5" x14ac:dyDescent="0.25">
      <c r="A146" s="109" t="s">
        <v>333</v>
      </c>
      <c r="B146" s="514" t="str">
        <f>Mao_de_Obra!B50</f>
        <v>T1</v>
      </c>
      <c r="C146" s="541" t="str">
        <f>Mao_de_Obra!C50</f>
        <v>Técnico Pleno - Eletrotécnico - Operador Subestação - Noturno (inclusive adicional de periculosidade)</v>
      </c>
      <c r="D146" s="110" t="str">
        <f>Mao_de_Obra!D50</f>
        <v>homem x mês</v>
      </c>
      <c r="E146" s="111">
        <f>Mao_de_Obra!E50</f>
        <v>216</v>
      </c>
      <c r="F146" s="111">
        <f ca="1">Mao_de_Obra!F50</f>
        <v>11542.836545454546</v>
      </c>
      <c r="G146" s="111">
        <f t="shared" ca="1" si="13"/>
        <v>2493252.69</v>
      </c>
      <c r="H146" s="555">
        <f t="shared" ca="1" si="12"/>
        <v>3.5900000000000001E-2</v>
      </c>
    </row>
    <row r="147" spans="1:8" ht="25.5" x14ac:dyDescent="0.25">
      <c r="A147" s="109" t="s">
        <v>335</v>
      </c>
      <c r="B147" s="514" t="str">
        <f>Mao_de_Obra!B51</f>
        <v>T2</v>
      </c>
      <c r="C147" s="541" t="str">
        <f>Mao_de_Obra!C51</f>
        <v>Técnico Junior - Eletrotécnico - Operador Subestação - Diurno (inclusive adicional de periculosidade)</v>
      </c>
      <c r="D147" s="110" t="str">
        <f>Mao_de_Obra!D51</f>
        <v>homem x mês</v>
      </c>
      <c r="E147" s="111">
        <f>Mao_de_Obra!E51</f>
        <v>216</v>
      </c>
      <c r="F147" s="111">
        <f>Mao_de_Obra!F51</f>
        <v>7819.33</v>
      </c>
      <c r="G147" s="111">
        <f t="shared" si="13"/>
        <v>1688975.28</v>
      </c>
      <c r="H147" s="555">
        <f t="shared" ca="1" si="12"/>
        <v>2.4299999999999999E-2</v>
      </c>
    </row>
    <row r="148" spans="1:8" ht="25.5" x14ac:dyDescent="0.25">
      <c r="A148" s="109" t="s">
        <v>336</v>
      </c>
      <c r="B148" s="514" t="str">
        <f>Mao_de_Obra!B52</f>
        <v>T2</v>
      </c>
      <c r="C148" s="541" t="str">
        <f>Mao_de_Obra!C52</f>
        <v>Técnico Junior - Eletrotécnico - Operador Subestação - Noturno (inclusive adicional de periculosidade)</v>
      </c>
      <c r="D148" s="110" t="str">
        <f>Mao_de_Obra!D52</f>
        <v>homem x mês</v>
      </c>
      <c r="E148" s="111">
        <f>Mao_de_Obra!E52</f>
        <v>216</v>
      </c>
      <c r="F148" s="111">
        <f ca="1">Mao_de_Obra!F52</f>
        <v>9568.5918181818161</v>
      </c>
      <c r="G148" s="111">
        <f t="shared" ca="1" si="13"/>
        <v>2066815.83</v>
      </c>
      <c r="H148" s="555">
        <f t="shared" ca="1" si="12"/>
        <v>2.98E-2</v>
      </c>
    </row>
    <row r="149" spans="1:8" x14ac:dyDescent="0.25">
      <c r="A149" s="109" t="s">
        <v>337</v>
      </c>
      <c r="B149" s="514" t="str">
        <f>Mao_de_Obra!B53</f>
        <v>T3</v>
      </c>
      <c r="C149" s="541" t="str">
        <f>Mao_de_Obra!C53</f>
        <v>Técnico Auxiliar (inclusive adicional de periculosidade)</v>
      </c>
      <c r="D149" s="110" t="str">
        <f>Mao_de_Obra!D53</f>
        <v>homem x mês</v>
      </c>
      <c r="E149" s="111">
        <f>Mao_de_Obra!E53</f>
        <v>204</v>
      </c>
      <c r="F149" s="111">
        <f>Mao_de_Obra!F53</f>
        <v>3405</v>
      </c>
      <c r="G149" s="111">
        <f t="shared" si="13"/>
        <v>694620</v>
      </c>
      <c r="H149" s="555">
        <f t="shared" ca="1" si="12"/>
        <v>0.01</v>
      </c>
    </row>
    <row r="150" spans="1:8" x14ac:dyDescent="0.25">
      <c r="A150" s="109" t="s">
        <v>338</v>
      </c>
      <c r="B150" s="514" t="str">
        <f>Mao_de_Obra!B54</f>
        <v>T3</v>
      </c>
      <c r="C150" s="541" t="str">
        <f>Mao_de_Obra!C54</f>
        <v>Técnico Auxiliar - Leiturista (inclusive adicional de periculosidade)</v>
      </c>
      <c r="D150" s="110" t="str">
        <f>Mao_de_Obra!D54</f>
        <v>homem x mês</v>
      </c>
      <c r="E150" s="111">
        <f>Mao_de_Obra!E54</f>
        <v>48</v>
      </c>
      <c r="F150" s="111">
        <f>Mao_de_Obra!F54</f>
        <v>3405</v>
      </c>
      <c r="G150" s="111">
        <f t="shared" si="13"/>
        <v>163440</v>
      </c>
      <c r="H150" s="555">
        <f t="shared" ca="1" si="12"/>
        <v>2.3999999999999998E-3</v>
      </c>
    </row>
    <row r="151" spans="1:8" x14ac:dyDescent="0.25">
      <c r="A151" s="109" t="s">
        <v>339</v>
      </c>
      <c r="B151" s="514" t="str">
        <f>Mao_de_Obra!B55</f>
        <v>T1</v>
      </c>
      <c r="C151" s="541" t="str">
        <f>Mao_de_Obra!C55</f>
        <v>Técnico Pleno - Mecânico (inclusive adicional de periculosidade)</v>
      </c>
      <c r="D151" s="110" t="str">
        <f>Mao_de_Obra!D55</f>
        <v>homem x mês</v>
      </c>
      <c r="E151" s="111">
        <f>Mao_de_Obra!E55</f>
        <v>36</v>
      </c>
      <c r="F151" s="111">
        <f>Mao_de_Obra!F55</f>
        <v>9432.66</v>
      </c>
      <c r="G151" s="111">
        <f t="shared" si="13"/>
        <v>339575.76</v>
      </c>
      <c r="H151" s="555">
        <f t="shared" ca="1" si="12"/>
        <v>4.8999999999999998E-3</v>
      </c>
    </row>
    <row r="152" spans="1:8" x14ac:dyDescent="0.25">
      <c r="A152" s="109" t="s">
        <v>340</v>
      </c>
      <c r="B152" s="514" t="str">
        <f>Mao_de_Obra!B56</f>
        <v>T3</v>
      </c>
      <c r="C152" s="541" t="str">
        <f>Mao_de_Obra!C56</f>
        <v>Técnico Auxiliar - Mecânico (inclusive adicional de periculosidade)</v>
      </c>
      <c r="D152" s="110" t="str">
        <f>Mao_de_Obra!D56</f>
        <v>homem x mês</v>
      </c>
      <c r="E152" s="111">
        <f>Mao_de_Obra!E56</f>
        <v>48</v>
      </c>
      <c r="F152" s="111">
        <f>Mao_de_Obra!F56</f>
        <v>3405</v>
      </c>
      <c r="G152" s="111">
        <f t="shared" si="13"/>
        <v>163440</v>
      </c>
      <c r="H152" s="555">
        <f t="shared" ca="1" si="12"/>
        <v>2.3999999999999998E-3</v>
      </c>
    </row>
    <row r="153" spans="1:8" ht="25.5" x14ac:dyDescent="0.25">
      <c r="A153" s="109" t="s">
        <v>341</v>
      </c>
      <c r="B153" s="514" t="str">
        <f>Mao_de_Obra!B57</f>
        <v>T1</v>
      </c>
      <c r="C153" s="541" t="str">
        <f>Mao_de_Obra!C57</f>
        <v>Técnico Pleno - Eletrotécnico - Especialista em Baixa e Média Tensão (inclusive adicional de periculosidade)</v>
      </c>
      <c r="D153" s="110" t="str">
        <f>Mao_de_Obra!D57</f>
        <v>homem x mês</v>
      </c>
      <c r="E153" s="111">
        <f>Mao_de_Obra!E57</f>
        <v>36</v>
      </c>
      <c r="F153" s="111">
        <f>Mao_de_Obra!F57</f>
        <v>9432.66</v>
      </c>
      <c r="G153" s="111">
        <f t="shared" si="13"/>
        <v>339575.76</v>
      </c>
      <c r="H153" s="555">
        <f t="shared" ca="1" si="12"/>
        <v>4.8999999999999998E-3</v>
      </c>
    </row>
    <row r="154" spans="1:8" ht="25.5" x14ac:dyDescent="0.25">
      <c r="A154" s="109" t="s">
        <v>342</v>
      </c>
      <c r="B154" s="514" t="str">
        <f>Mao_de_Obra!B58</f>
        <v>T1</v>
      </c>
      <c r="C154" s="541" t="str">
        <f>Mao_de_Obra!C58</f>
        <v>Eletrotécnico - Especialista Subestação 230 Kv (inclusive adicional de periculosidade)</v>
      </c>
      <c r="D154" s="110" t="str">
        <f>Mao_de_Obra!D58</f>
        <v>homem x mês</v>
      </c>
      <c r="E154" s="111">
        <f>Mao_de_Obra!E58</f>
        <v>12</v>
      </c>
      <c r="F154" s="111">
        <f>Mao_de_Obra!F58</f>
        <v>9432.66</v>
      </c>
      <c r="G154" s="111">
        <f t="shared" si="13"/>
        <v>113191.92</v>
      </c>
      <c r="H154" s="555">
        <f t="shared" ca="1" si="12"/>
        <v>1.6000000000000001E-3</v>
      </c>
    </row>
    <row r="155" spans="1:8" x14ac:dyDescent="0.25">
      <c r="A155" s="109" t="s">
        <v>343</v>
      </c>
      <c r="B155" s="514" t="str">
        <f>Mao_de_Obra!B59</f>
        <v>T3</v>
      </c>
      <c r="C155" s="541" t="str">
        <f>Mao_de_Obra!C59</f>
        <v>Eletricista (inclusive adicional de periculosidade)</v>
      </c>
      <c r="D155" s="110" t="str">
        <f>Mao_de_Obra!D59</f>
        <v>homem x mês</v>
      </c>
      <c r="E155" s="111">
        <f>Mao_de_Obra!E59</f>
        <v>60</v>
      </c>
      <c r="F155" s="111">
        <f>Mao_de_Obra!F59</f>
        <v>3405</v>
      </c>
      <c r="G155" s="111">
        <f t="shared" si="13"/>
        <v>204300</v>
      </c>
      <c r="H155" s="555">
        <f t="shared" ca="1" si="12"/>
        <v>2.8999999999999998E-3</v>
      </c>
    </row>
    <row r="156" spans="1:8" ht="25.5" x14ac:dyDescent="0.25">
      <c r="A156" s="109" t="s">
        <v>344</v>
      </c>
      <c r="B156" s="514" t="str">
        <f>Mao_de_Obra!B60</f>
        <v>T1</v>
      </c>
      <c r="C156" s="541" t="str">
        <f>Mao_de_Obra!C60</f>
        <v>Eletrotécnico - Especialista Inspeção em Linha de Transmissão 230 / 269 Kv (inclusive adicional de periculosidade)</v>
      </c>
      <c r="D156" s="110" t="str">
        <f>Mao_de_Obra!D60</f>
        <v>homem x mês</v>
      </c>
      <c r="E156" s="111">
        <f>Mao_de_Obra!E60</f>
        <v>12</v>
      </c>
      <c r="F156" s="111">
        <f>Mao_de_Obra!F60</f>
        <v>9432.66</v>
      </c>
      <c r="G156" s="111">
        <f t="shared" ref="G156:G170" si="14">ROUND(E156*F156,2)</f>
        <v>113191.92</v>
      </c>
      <c r="H156" s="555">
        <f t="shared" ref="H156:H170" ca="1" si="15">ROUND(G156/G$8,4)</f>
        <v>1.6000000000000001E-3</v>
      </c>
    </row>
    <row r="157" spans="1:8" x14ac:dyDescent="0.25">
      <c r="A157" s="109" t="s">
        <v>346</v>
      </c>
      <c r="B157" s="514" t="str">
        <f>Mao_de_Obra!B61</f>
        <v>T4</v>
      </c>
      <c r="C157" s="541" t="str">
        <f>Mao_de_Obra!C61</f>
        <v>Auxiliar Eletrotécnico (inclusive adicional de periculosidade)</v>
      </c>
      <c r="D157" s="110" t="str">
        <f>Mao_de_Obra!D61</f>
        <v>homem x mês</v>
      </c>
      <c r="E157" s="111">
        <f>Mao_de_Obra!E61</f>
        <v>12</v>
      </c>
      <c r="F157" s="111">
        <f>Mao_de_Obra!F61</f>
        <v>2391.61</v>
      </c>
      <c r="G157" s="111">
        <f t="shared" si="14"/>
        <v>28699.32</v>
      </c>
      <c r="H157" s="555">
        <f t="shared" ca="1" si="15"/>
        <v>4.0000000000000002E-4</v>
      </c>
    </row>
    <row r="158" spans="1:8" ht="25.5" x14ac:dyDescent="0.25">
      <c r="A158" s="109" t="s">
        <v>347</v>
      </c>
      <c r="B158" s="514" t="str">
        <f>Mao_de_Obra!B62</f>
        <v>T1</v>
      </c>
      <c r="C158" s="541" t="str">
        <f>Mao_de_Obra!C62</f>
        <v>Eletrotécnico - Especialista em Linha de Distribuição 13,8 Kv (inclusive adicional de periculosidade)</v>
      </c>
      <c r="D158" s="110" t="str">
        <f>Mao_de_Obra!D62</f>
        <v>homem x mês</v>
      </c>
      <c r="E158" s="111">
        <f>Mao_de_Obra!E62</f>
        <v>12</v>
      </c>
      <c r="F158" s="111">
        <f>Mao_de_Obra!F62</f>
        <v>9432.66</v>
      </c>
      <c r="G158" s="111">
        <f t="shared" si="14"/>
        <v>113191.92</v>
      </c>
      <c r="H158" s="555">
        <f t="shared" ca="1" si="15"/>
        <v>1.6000000000000001E-3</v>
      </c>
    </row>
    <row r="159" spans="1:8" ht="25.5" x14ac:dyDescent="0.25">
      <c r="A159" s="109" t="s">
        <v>348</v>
      </c>
      <c r="B159" s="514" t="str">
        <f>Mao_de_Obra!B63</f>
        <v>T1</v>
      </c>
      <c r="C159" s="541" t="str">
        <f>Mao_de_Obra!C63</f>
        <v>Técnico Automação - Especialista em SDSC (inclusive adicional de periculosidade)</v>
      </c>
      <c r="D159" s="110" t="str">
        <f>Mao_de_Obra!D63</f>
        <v>homem x mês</v>
      </c>
      <c r="E159" s="111">
        <f>Mao_de_Obra!E63</f>
        <v>36</v>
      </c>
      <c r="F159" s="111">
        <f>Mao_de_Obra!F63</f>
        <v>9432.66</v>
      </c>
      <c r="G159" s="111">
        <f t="shared" si="14"/>
        <v>339575.76</v>
      </c>
      <c r="H159" s="555">
        <f t="shared" ca="1" si="15"/>
        <v>4.8999999999999998E-3</v>
      </c>
    </row>
    <row r="160" spans="1:8" ht="25.5" x14ac:dyDescent="0.25">
      <c r="A160" s="109" t="s">
        <v>349</v>
      </c>
      <c r="B160" s="514" t="str">
        <f>Mao_de_Obra!B64</f>
        <v>T1</v>
      </c>
      <c r="C160" s="541" t="str">
        <f>Mao_de_Obra!C64</f>
        <v>Eletrotécnico - Especialista em SPCS (inclusive adicional de periculosidade)</v>
      </c>
      <c r="D160" s="110" t="str">
        <f>Mao_de_Obra!D64</f>
        <v>homem x mês</v>
      </c>
      <c r="E160" s="111">
        <f>Mao_de_Obra!E64</f>
        <v>12</v>
      </c>
      <c r="F160" s="111">
        <f>Mao_de_Obra!F64</f>
        <v>9432.66</v>
      </c>
      <c r="G160" s="111">
        <f t="shared" si="14"/>
        <v>113191.92</v>
      </c>
      <c r="H160" s="555">
        <f t="shared" ca="1" si="15"/>
        <v>1.6000000000000001E-3</v>
      </c>
    </row>
    <row r="161" spans="1:8" ht="25.5" x14ac:dyDescent="0.25">
      <c r="A161" s="109" t="s">
        <v>351</v>
      </c>
      <c r="B161" s="514" t="str">
        <f>Mao_de_Obra!B65</f>
        <v>T1</v>
      </c>
      <c r="C161" s="541" t="str">
        <f>Mao_de_Obra!C65</f>
        <v>Técnico Telecomunicações/Eletrônica (inclusive adicional de periculosidade)</v>
      </c>
      <c r="D161" s="110" t="str">
        <f>Mao_de_Obra!D65</f>
        <v>homem x mês</v>
      </c>
      <c r="E161" s="111">
        <f>Mao_de_Obra!E65</f>
        <v>12</v>
      </c>
      <c r="F161" s="111">
        <f>Mao_de_Obra!F65</f>
        <v>9432.66</v>
      </c>
      <c r="G161" s="111">
        <f t="shared" si="14"/>
        <v>113191.92</v>
      </c>
      <c r="H161" s="555">
        <f t="shared" ca="1" si="15"/>
        <v>1.6000000000000001E-3</v>
      </c>
    </row>
    <row r="162" spans="1:8" ht="25.5" x14ac:dyDescent="0.25">
      <c r="A162" s="109" t="s">
        <v>353</v>
      </c>
      <c r="B162" s="514" t="str">
        <f>Mao_de_Obra!B66</f>
        <v>T1</v>
      </c>
      <c r="C162" s="541" t="str">
        <f>Mao_de_Obra!C66</f>
        <v>Técnico Pleno - Encarregado de Campo (inclusive adicional de periculosidade)</v>
      </c>
      <c r="D162" s="110" t="str">
        <f>Mao_de_Obra!D66</f>
        <v>homem x mês</v>
      </c>
      <c r="E162" s="111">
        <f>Mao_de_Obra!E66</f>
        <v>36</v>
      </c>
      <c r="F162" s="111">
        <f>Mao_de_Obra!F66</f>
        <v>9432.66</v>
      </c>
      <c r="G162" s="111">
        <f t="shared" si="14"/>
        <v>339575.76</v>
      </c>
      <c r="H162" s="555">
        <f t="shared" ca="1" si="15"/>
        <v>4.8999999999999998E-3</v>
      </c>
    </row>
    <row r="163" spans="1:8" x14ac:dyDescent="0.25">
      <c r="A163" s="109" t="s">
        <v>354</v>
      </c>
      <c r="B163" s="514" t="str">
        <f>Mao_de_Obra!B67</f>
        <v>T2</v>
      </c>
      <c r="C163" s="541" t="str">
        <f>Mao_de_Obra!C67</f>
        <v>Tecnico Edificações - Inspeção (inclusive adicional de periculosidade)</v>
      </c>
      <c r="D163" s="110" t="str">
        <f>Mao_de_Obra!D67</f>
        <v>homem x mês</v>
      </c>
      <c r="E163" s="111">
        <f>Mao_de_Obra!E67</f>
        <v>36</v>
      </c>
      <c r="F163" s="111">
        <f>Mao_de_Obra!F67</f>
        <v>7819.33</v>
      </c>
      <c r="G163" s="111">
        <f t="shared" si="14"/>
        <v>281495.88</v>
      </c>
      <c r="H163" s="555">
        <f t="shared" ca="1" si="15"/>
        <v>4.1000000000000003E-3</v>
      </c>
    </row>
    <row r="164" spans="1:8" x14ac:dyDescent="0.25">
      <c r="A164" s="109" t="s">
        <v>2312</v>
      </c>
      <c r="B164" s="514" t="str">
        <f>Mao_de_Obra!B68</f>
        <v>T2</v>
      </c>
      <c r="C164" s="541" t="str">
        <f>Mao_de_Obra!C68</f>
        <v>Técnico Junior - Cadista</v>
      </c>
      <c r="D164" s="110" t="str">
        <f>Mao_de_Obra!D68</f>
        <v>homem x mês</v>
      </c>
      <c r="E164" s="111">
        <f>Mao_de_Obra!E68</f>
        <v>36</v>
      </c>
      <c r="F164" s="111">
        <f>Mao_de_Obra!F68</f>
        <v>6014.87</v>
      </c>
      <c r="G164" s="111">
        <f t="shared" si="14"/>
        <v>216535.32</v>
      </c>
      <c r="H164" s="555">
        <f t="shared" ca="1" si="15"/>
        <v>3.0999999999999999E-3</v>
      </c>
    </row>
    <row r="165" spans="1:8" x14ac:dyDescent="0.25">
      <c r="A165" s="109" t="s">
        <v>2313</v>
      </c>
      <c r="B165" s="514" t="str">
        <f>Mao_de_Obra!B69</f>
        <v>T1</v>
      </c>
      <c r="C165" s="541" t="str">
        <f>Mao_de_Obra!C69</f>
        <v>Topógrafo (inclusive adicional de periculosidade)</v>
      </c>
      <c r="D165" s="110" t="str">
        <f>Mao_de_Obra!D69</f>
        <v>homem x mês</v>
      </c>
      <c r="E165" s="111">
        <f>Mao_de_Obra!E69</f>
        <v>12</v>
      </c>
      <c r="F165" s="111">
        <f>Mao_de_Obra!F69</f>
        <v>9432.66</v>
      </c>
      <c r="G165" s="111">
        <f t="shared" si="14"/>
        <v>113191.92</v>
      </c>
      <c r="H165" s="555">
        <f t="shared" ca="1" si="15"/>
        <v>1.6000000000000001E-3</v>
      </c>
    </row>
    <row r="166" spans="1:8" x14ac:dyDescent="0.25">
      <c r="A166" s="109" t="s">
        <v>2314</v>
      </c>
      <c r="B166" s="514" t="str">
        <f>Mao_de_Obra!B70</f>
        <v>T4</v>
      </c>
      <c r="C166" s="541" t="str">
        <f>Mao_de_Obra!C70</f>
        <v>Auxiliar de Topografia (inclusive adicional de periculosidade)</v>
      </c>
      <c r="D166" s="110" t="str">
        <f>Mao_de_Obra!D70</f>
        <v>homem x mês</v>
      </c>
      <c r="E166" s="111">
        <f>Mao_de_Obra!E70</f>
        <v>24</v>
      </c>
      <c r="F166" s="111">
        <f>Mao_de_Obra!F70</f>
        <v>2391.61</v>
      </c>
      <c r="G166" s="111">
        <f t="shared" si="14"/>
        <v>57398.64</v>
      </c>
      <c r="H166" s="555">
        <f t="shared" ca="1" si="15"/>
        <v>8.0000000000000004E-4</v>
      </c>
    </row>
    <row r="167" spans="1:8" x14ac:dyDescent="0.25">
      <c r="A167" s="109" t="s">
        <v>2315</v>
      </c>
      <c r="B167" s="514" t="str">
        <f>Mao_de_Obra!B71</f>
        <v>T3</v>
      </c>
      <c r="C167" s="541" t="str">
        <f>Mao_de_Obra!C71</f>
        <v>Carpinteiro (inclusive adicional de periculosidade)</v>
      </c>
      <c r="D167" s="110" t="str">
        <f>Mao_de_Obra!D71</f>
        <v>homem x mês</v>
      </c>
      <c r="E167" s="111">
        <f>Mao_de_Obra!E71</f>
        <v>36</v>
      </c>
      <c r="F167" s="111">
        <f>Mao_de_Obra!F71</f>
        <v>3405</v>
      </c>
      <c r="G167" s="111">
        <f t="shared" si="14"/>
        <v>122580</v>
      </c>
      <c r="H167" s="555">
        <f t="shared" ca="1" si="15"/>
        <v>1.8E-3</v>
      </c>
    </row>
    <row r="168" spans="1:8" x14ac:dyDescent="0.25">
      <c r="A168" s="109" t="s">
        <v>2316</v>
      </c>
      <c r="B168" s="514" t="str">
        <f>Mao_de_Obra!B72</f>
        <v>T3</v>
      </c>
      <c r="C168" s="541" t="str">
        <f>Mao_de_Obra!C72</f>
        <v>Ferreiro (inclusive adicional de periculosidade)</v>
      </c>
      <c r="D168" s="110" t="str">
        <f>Mao_de_Obra!D72</f>
        <v>homem x mês</v>
      </c>
      <c r="E168" s="111">
        <f>Mao_de_Obra!E72</f>
        <v>36</v>
      </c>
      <c r="F168" s="111">
        <f>Mao_de_Obra!F72</f>
        <v>3405</v>
      </c>
      <c r="G168" s="111">
        <f t="shared" si="14"/>
        <v>122580</v>
      </c>
      <c r="H168" s="555">
        <f t="shared" ca="1" si="15"/>
        <v>1.8E-3</v>
      </c>
    </row>
    <row r="169" spans="1:8" x14ac:dyDescent="0.25">
      <c r="A169" s="109" t="s">
        <v>2317</v>
      </c>
      <c r="B169" s="514" t="str">
        <f>Mao_de_Obra!B73</f>
        <v>T3</v>
      </c>
      <c r="C169" s="541" t="str">
        <f>Mao_de_Obra!C73</f>
        <v>Pedreiro (inclusive adicional de periculosidade)</v>
      </c>
      <c r="D169" s="110" t="str">
        <f>Mao_de_Obra!D73</f>
        <v>homem x mês</v>
      </c>
      <c r="E169" s="111">
        <f>Mao_de_Obra!E73</f>
        <v>84</v>
      </c>
      <c r="F169" s="111">
        <f>Mao_de_Obra!F73</f>
        <v>3405</v>
      </c>
      <c r="G169" s="111">
        <f t="shared" si="14"/>
        <v>286020</v>
      </c>
      <c r="H169" s="555">
        <f t="shared" ca="1" si="15"/>
        <v>4.1000000000000003E-3</v>
      </c>
    </row>
    <row r="170" spans="1:8" x14ac:dyDescent="0.25">
      <c r="A170" s="109" t="s">
        <v>2318</v>
      </c>
      <c r="B170" s="514" t="str">
        <f>Mao_de_Obra!B74</f>
        <v>A4</v>
      </c>
      <c r="C170" s="541" t="str">
        <f>Mao_de_Obra!C74</f>
        <v>Servente (inclusive adicional de periculosidade)</v>
      </c>
      <c r="D170" s="110" t="str">
        <f>Mao_de_Obra!D74</f>
        <v>homem x mês</v>
      </c>
      <c r="E170" s="111">
        <f>Mao_de_Obra!E74</f>
        <v>756</v>
      </c>
      <c r="F170" s="111">
        <f>Mao_de_Obra!F74</f>
        <v>3323.9300000000003</v>
      </c>
      <c r="G170" s="111">
        <f t="shared" si="14"/>
        <v>2512891.08</v>
      </c>
      <c r="H170" s="555">
        <f t="shared" ca="1" si="15"/>
        <v>3.6200000000000003E-2</v>
      </c>
    </row>
    <row r="171" spans="1:8" x14ac:dyDescent="0.25">
      <c r="A171" s="109"/>
      <c r="B171" s="514"/>
      <c r="C171" s="541"/>
      <c r="D171" s="110"/>
      <c r="E171" s="111"/>
      <c r="F171" s="111"/>
      <c r="G171" s="111"/>
      <c r="H171" s="551"/>
    </row>
    <row r="172" spans="1:8" x14ac:dyDescent="0.25">
      <c r="A172" s="109" t="s">
        <v>382</v>
      </c>
      <c r="B172" s="514"/>
      <c r="C172" s="541" t="str">
        <f>Viagens_Diárias!C13</f>
        <v>VIAGENS / DIÁRIAS</v>
      </c>
      <c r="D172" s="110"/>
      <c r="E172" s="111"/>
      <c r="F172" s="111"/>
      <c r="G172" s="111">
        <f>SUBTOTAL(109,G173:G177)</f>
        <v>25418.76</v>
      </c>
      <c r="H172" s="555">
        <f t="shared" ref="H172:H177" ca="1" si="16">ROUND(G172/G$8,4)</f>
        <v>4.0000000000000002E-4</v>
      </c>
    </row>
    <row r="173" spans="1:8" x14ac:dyDescent="0.25">
      <c r="A173" s="109" t="s">
        <v>1561</v>
      </c>
      <c r="B173" s="514"/>
      <c r="C173" s="541" t="str">
        <f>Viagens_Diárias!C15</f>
        <v>DESPESAS COM VIAGENS COMERCIAIS</v>
      </c>
      <c r="D173" s="110"/>
      <c r="E173" s="111"/>
      <c r="F173" s="111"/>
      <c r="G173" s="111">
        <f>SUBTOTAL(109,G174:G175)</f>
        <v>12512.759999999998</v>
      </c>
      <c r="H173" s="555">
        <f t="shared" ca="1" si="16"/>
        <v>2.0000000000000001E-4</v>
      </c>
    </row>
    <row r="174" spans="1:8" x14ac:dyDescent="0.25">
      <c r="A174" s="109" t="s">
        <v>1562</v>
      </c>
      <c r="B174" s="514">
        <f>Viagens_Diárias!B16</f>
        <v>0</v>
      </c>
      <c r="C174" s="541" t="str">
        <f>Viagens_Diárias!C16</f>
        <v>Viagem por via aerea</v>
      </c>
      <c r="D174" s="110" t="str">
        <f>Viagens_Diárias!D16</f>
        <v>un</v>
      </c>
      <c r="E174" s="111">
        <f>Viagens_Diárias!E16</f>
        <v>12</v>
      </c>
      <c r="F174" s="111">
        <f>Viagens_Diárias!F16</f>
        <v>557.03</v>
      </c>
      <c r="G174" s="111">
        <f t="shared" ref="G174:G199" si="17">ROUND(E174*F174,2)</f>
        <v>6684.36</v>
      </c>
      <c r="H174" s="555">
        <f t="shared" ca="1" si="16"/>
        <v>1E-4</v>
      </c>
    </row>
    <row r="175" spans="1:8" x14ac:dyDescent="0.25">
      <c r="A175" s="109" t="s">
        <v>1563</v>
      </c>
      <c r="B175" s="514">
        <f>Viagens_Diárias!B17</f>
        <v>0</v>
      </c>
      <c r="C175" s="541" t="str">
        <f>Viagens_Diárias!C17</f>
        <v>Viagem por via terrestre (comercial)</v>
      </c>
      <c r="D175" s="110" t="str">
        <f>Viagens_Diárias!D17</f>
        <v>un</v>
      </c>
      <c r="E175" s="111">
        <f>Viagens_Diárias!E17</f>
        <v>24</v>
      </c>
      <c r="F175" s="111">
        <f>Viagens_Diárias!F17</f>
        <v>242.85</v>
      </c>
      <c r="G175" s="111">
        <f t="shared" si="17"/>
        <v>5828.4</v>
      </c>
      <c r="H175" s="555">
        <f t="shared" ca="1" si="16"/>
        <v>1E-4</v>
      </c>
    </row>
    <row r="176" spans="1:8" x14ac:dyDescent="0.25">
      <c r="A176" s="109" t="s">
        <v>1564</v>
      </c>
      <c r="B176" s="514"/>
      <c r="C176" s="541" t="str">
        <f>Viagens_Diárias!C20</f>
        <v>DESPESAS COM DIÁRIAS</v>
      </c>
      <c r="D176" s="110"/>
      <c r="E176" s="111"/>
      <c r="F176" s="111"/>
      <c r="G176" s="111">
        <f>SUBTOTAL(109,G177:G177)</f>
        <v>12906</v>
      </c>
      <c r="H176" s="555">
        <f t="shared" ca="1" si="16"/>
        <v>2.0000000000000001E-4</v>
      </c>
    </row>
    <row r="177" spans="1:8" x14ac:dyDescent="0.25">
      <c r="A177" s="109" t="s">
        <v>1565</v>
      </c>
      <c r="B177" s="514">
        <f>Viagens_Diárias!B21</f>
        <v>0</v>
      </c>
      <c r="C177" s="541" t="str">
        <f>Viagens_Diárias!C21</f>
        <v>Diárias nacionais</v>
      </c>
      <c r="D177" s="110" t="str">
        <f>Viagens_Diárias!D21</f>
        <v>un</v>
      </c>
      <c r="E177" s="111">
        <f>Viagens_Diárias!E21</f>
        <v>54</v>
      </c>
      <c r="F177" s="111">
        <f>Viagens_Diárias!F21</f>
        <v>239</v>
      </c>
      <c r="G177" s="111">
        <f t="shared" si="17"/>
        <v>12906</v>
      </c>
      <c r="H177" s="555">
        <f t="shared" ca="1" si="16"/>
        <v>2.0000000000000001E-4</v>
      </c>
    </row>
    <row r="178" spans="1:8" x14ac:dyDescent="0.25">
      <c r="A178" s="109"/>
      <c r="B178" s="514"/>
      <c r="C178" s="541"/>
      <c r="D178" s="110"/>
      <c r="E178" s="111"/>
      <c r="F178" s="111"/>
      <c r="G178" s="111"/>
      <c r="H178" s="551"/>
    </row>
    <row r="179" spans="1:8" x14ac:dyDescent="0.25">
      <c r="A179" s="109" t="s">
        <v>389</v>
      </c>
      <c r="B179" s="514"/>
      <c r="C179" s="541" t="str">
        <f>Veiculos!C13</f>
        <v>VEÍCULOS AUTOMOTORES</v>
      </c>
      <c r="D179" s="110"/>
      <c r="E179" s="111"/>
      <c r="F179" s="111"/>
      <c r="G179" s="111">
        <f>SUBTOTAL(109,G180:G185)</f>
        <v>4267518.72</v>
      </c>
      <c r="H179" s="555">
        <f t="shared" ref="H179:H185" ca="1" si="18">ROUND(G179/G$8,4)</f>
        <v>6.1499999999999999E-2</v>
      </c>
    </row>
    <row r="180" spans="1:8" x14ac:dyDescent="0.25">
      <c r="A180" s="109" t="s">
        <v>386</v>
      </c>
      <c r="B180" s="514" t="str">
        <f>Veiculos!B14</f>
        <v>B3</v>
      </c>
      <c r="C180" s="541" t="str">
        <f>Veiculos!C14</f>
        <v>Veículo Leve - Tipo Hatch 1.4 Flex (85 CV)</v>
      </c>
      <c r="D180" s="110" t="str">
        <f>Veiculos!D14</f>
        <v>un x mês</v>
      </c>
      <c r="E180" s="111">
        <f>Veiculos!E14</f>
        <v>204</v>
      </c>
      <c r="F180" s="111">
        <f>Veiculos!F14</f>
        <v>3258.28</v>
      </c>
      <c r="G180" s="111">
        <f t="shared" si="17"/>
        <v>664689.12</v>
      </c>
      <c r="H180" s="555">
        <f t="shared" ca="1" si="18"/>
        <v>9.5999999999999992E-3</v>
      </c>
    </row>
    <row r="181" spans="1:8" x14ac:dyDescent="0.25">
      <c r="A181" s="109" t="s">
        <v>387</v>
      </c>
      <c r="B181" s="514" t="str">
        <f>Veiculos!B15</f>
        <v>B4</v>
      </c>
      <c r="C181" s="541" t="str">
        <f>Veiculos!C15</f>
        <v>Veículo Leve - Tipo Sedan 1.6 Flex (115 CV)</v>
      </c>
      <c r="D181" s="110" t="str">
        <f>Veiculos!D15</f>
        <v>un x mês</v>
      </c>
      <c r="E181" s="111">
        <f>Veiculos!E15</f>
        <v>24</v>
      </c>
      <c r="F181" s="111">
        <f>Veiculos!F15</f>
        <v>3386.92</v>
      </c>
      <c r="G181" s="111">
        <f t="shared" si="17"/>
        <v>81286.080000000002</v>
      </c>
      <c r="H181" s="555">
        <f t="shared" ca="1" si="18"/>
        <v>1.1999999999999999E-3</v>
      </c>
    </row>
    <row r="182" spans="1:8" x14ac:dyDescent="0.25">
      <c r="A182" s="109" t="s">
        <v>388</v>
      </c>
      <c r="B182" s="514" t="str">
        <f>Veiculos!B16</f>
        <v>B11</v>
      </c>
      <c r="C182" s="541" t="str">
        <f>Veiculos!C16</f>
        <v>Veículo Tipo Pick Up Cabine Dupla 4 x 4 (163 CV)</v>
      </c>
      <c r="D182" s="110" t="str">
        <f>Veiculos!D16</f>
        <v>un x mês</v>
      </c>
      <c r="E182" s="111">
        <f>Veiculos!E16</f>
        <v>360</v>
      </c>
      <c r="F182" s="111">
        <f>Veiculos!F16</f>
        <v>5906.18</v>
      </c>
      <c r="G182" s="111">
        <f t="shared" si="17"/>
        <v>2126224.7999999998</v>
      </c>
      <c r="H182" s="555">
        <f t="shared" ca="1" si="18"/>
        <v>3.0599999999999999E-2</v>
      </c>
    </row>
    <row r="183" spans="1:8" ht="25.5" x14ac:dyDescent="0.25">
      <c r="A183" s="109" t="s">
        <v>390</v>
      </c>
      <c r="B183" s="514" t="str">
        <f>Veiculos!B17</f>
        <v>B7</v>
      </c>
      <c r="C183" s="541" t="str">
        <f>Veiculos!C17</f>
        <v>Veículo - Tipo Microônibus - 28 assentos (150 CV) - COM MOTORISTA</v>
      </c>
      <c r="D183" s="110" t="str">
        <f>Veiculos!D17</f>
        <v>un x mês</v>
      </c>
      <c r="E183" s="111">
        <f>Veiculos!E17</f>
        <v>24</v>
      </c>
      <c r="F183" s="111">
        <f>Veiculos!F17</f>
        <v>12740.42</v>
      </c>
      <c r="G183" s="111">
        <f t="shared" si="17"/>
        <v>305770.08</v>
      </c>
      <c r="H183" s="555">
        <f t="shared" ca="1" si="18"/>
        <v>4.4000000000000003E-3</v>
      </c>
    </row>
    <row r="184" spans="1:8" x14ac:dyDescent="0.25">
      <c r="A184" s="109" t="s">
        <v>391</v>
      </c>
      <c r="B184" s="514" t="str">
        <f>Veiculos!B18</f>
        <v>B8</v>
      </c>
      <c r="C184" s="541" t="str">
        <f>Veiculos!C18</f>
        <v>Veículo - Tipo Ônibus - 45 assentos (218 CV) - COM MOTORISTA</v>
      </c>
      <c r="D184" s="110" t="str">
        <f>Veiculos!D18</f>
        <v>un x mês</v>
      </c>
      <c r="E184" s="111">
        <f>Veiculos!E18</f>
        <v>48</v>
      </c>
      <c r="F184" s="111">
        <f>Veiculos!F18</f>
        <v>14328.99</v>
      </c>
      <c r="G184" s="111">
        <f t="shared" si="17"/>
        <v>687791.52</v>
      </c>
      <c r="H184" s="555">
        <f t="shared" ca="1" si="18"/>
        <v>9.9000000000000008E-3</v>
      </c>
    </row>
    <row r="185" spans="1:8" ht="25.5" x14ac:dyDescent="0.25">
      <c r="A185" s="109" t="s">
        <v>1566</v>
      </c>
      <c r="B185" s="514" t="str">
        <f>Veiculos!B19</f>
        <v>B6</v>
      </c>
      <c r="C185" s="541" t="str">
        <f>Veiculos!C19</f>
        <v>Veículo Utilitário - Tipo Van - 16 assentos (129 CV) - COM MOTORISTA</v>
      </c>
      <c r="D185" s="110" t="str">
        <f>Veiculos!D19</f>
        <v>un x mês</v>
      </c>
      <c r="E185" s="111">
        <f>Veiculos!E19</f>
        <v>36</v>
      </c>
      <c r="F185" s="111">
        <f>Veiculos!F19</f>
        <v>11159.92</v>
      </c>
      <c r="G185" s="111">
        <f t="shared" si="17"/>
        <v>401757.12</v>
      </c>
      <c r="H185" s="555">
        <f t="shared" ca="1" si="18"/>
        <v>5.7999999999999996E-3</v>
      </c>
    </row>
    <row r="186" spans="1:8" x14ac:dyDescent="0.25">
      <c r="A186" s="109"/>
      <c r="B186" s="514"/>
      <c r="C186" s="541"/>
      <c r="D186" s="110"/>
      <c r="E186" s="111"/>
      <c r="F186" s="111"/>
      <c r="G186" s="111"/>
      <c r="H186" s="551"/>
    </row>
    <row r="187" spans="1:8" x14ac:dyDescent="0.25">
      <c r="A187" s="109" t="s">
        <v>392</v>
      </c>
      <c r="B187" s="514"/>
      <c r="C187" s="541" t="str">
        <f>Frentes_Moveis!C13</f>
        <v>FRENTES MÓVEIS DE LIMPEZA E CONSERVAÇÃO</v>
      </c>
      <c r="D187" s="110"/>
      <c r="E187" s="111"/>
      <c r="F187" s="111"/>
      <c r="G187" s="111">
        <f>SUBTOTAL(109,G188:G190)</f>
        <v>185984.4</v>
      </c>
      <c r="H187" s="555">
        <f t="shared" ref="H187:H190" ca="1" si="19">ROUND(G187/G$8,4)</f>
        <v>2.7000000000000001E-3</v>
      </c>
    </row>
    <row r="188" spans="1:8" x14ac:dyDescent="0.25">
      <c r="A188" s="109" t="s">
        <v>393</v>
      </c>
      <c r="B188" s="514" t="str">
        <f>Frentes_Moveis!B14</f>
        <v>00303 - ORSE (5)</v>
      </c>
      <c r="C188" s="541" t="str">
        <f>Frentes_Moveis!C14</f>
        <v>Tenda Piramidal 5m x 5m (para refeitório)</v>
      </c>
      <c r="D188" s="110" t="str">
        <f>Frentes_Moveis!D14</f>
        <v>un x mês</v>
      </c>
      <c r="E188" s="111">
        <f>Frentes_Moveis!E14</f>
        <v>96</v>
      </c>
      <c r="F188" s="111">
        <f>Frentes_Moveis!F14</f>
        <v>390.15</v>
      </c>
      <c r="G188" s="111">
        <f t="shared" si="17"/>
        <v>37454.400000000001</v>
      </c>
      <c r="H188" s="555">
        <f t="shared" ca="1" si="19"/>
        <v>5.0000000000000001E-4</v>
      </c>
    </row>
    <row r="189" spans="1:8" x14ac:dyDescent="0.25">
      <c r="A189" s="109" t="s">
        <v>394</v>
      </c>
      <c r="B189" s="514" t="str">
        <f>Frentes_Moveis!B15</f>
        <v>00303 - ORSE (3)</v>
      </c>
      <c r="C189" s="541" t="str">
        <f>Frentes_Moveis!C15</f>
        <v xml:space="preserve">Tenda Piramidal 3m x 3m </v>
      </c>
      <c r="D189" s="110" t="str">
        <f>Frentes_Moveis!D15</f>
        <v>un x mês</v>
      </c>
      <c r="E189" s="111">
        <f>Frentes_Moveis!E15</f>
        <v>96</v>
      </c>
      <c r="F189" s="111">
        <f>Frentes_Moveis!F15</f>
        <v>140.44999999999999</v>
      </c>
      <c r="G189" s="111">
        <f t="shared" si="17"/>
        <v>13483.2</v>
      </c>
      <c r="H189" s="555">
        <f t="shared" ca="1" si="19"/>
        <v>2.0000000000000001E-4</v>
      </c>
    </row>
    <row r="190" spans="1:8" x14ac:dyDescent="0.25">
      <c r="A190" s="109" t="s">
        <v>395</v>
      </c>
      <c r="B190" s="514" t="str">
        <f>Frentes_Moveis!B16</f>
        <v>10390 - ORSE/SE</v>
      </c>
      <c r="C190" s="541" t="str">
        <f>Frentes_Moveis!C16</f>
        <v>Banheiro Químico, com 03 limpezas semanais</v>
      </c>
      <c r="D190" s="110" t="str">
        <f>Frentes_Moveis!D16</f>
        <v>un x mês</v>
      </c>
      <c r="E190" s="111">
        <f>Frentes_Moveis!E16</f>
        <v>252</v>
      </c>
      <c r="F190" s="111">
        <f>Frentes_Moveis!F16</f>
        <v>535.9</v>
      </c>
      <c r="G190" s="111">
        <f t="shared" si="17"/>
        <v>135046.79999999999</v>
      </c>
      <c r="H190" s="555">
        <f t="shared" ca="1" si="19"/>
        <v>1.9E-3</v>
      </c>
    </row>
    <row r="191" spans="1:8" x14ac:dyDescent="0.25">
      <c r="A191" s="109"/>
      <c r="B191" s="514"/>
      <c r="C191" s="541"/>
      <c r="D191" s="110"/>
      <c r="E191" s="111"/>
      <c r="F191" s="111"/>
      <c r="G191" s="111"/>
      <c r="H191" s="551"/>
    </row>
    <row r="192" spans="1:8" x14ac:dyDescent="0.25">
      <c r="A192" s="109" t="s">
        <v>441</v>
      </c>
      <c r="B192" s="514"/>
      <c r="C192" s="541" t="str">
        <f>Materiais_Consumo!C13</f>
        <v>MATERIAL DE CONSUMO - ALMOXARIFADOS</v>
      </c>
      <c r="D192" s="110"/>
      <c r="E192" s="111"/>
      <c r="F192" s="111"/>
      <c r="G192" s="111">
        <f>SUBTOTAL(109,G193:G350)</f>
        <v>1543218.3899999994</v>
      </c>
      <c r="H192" s="555">
        <f t="shared" ref="H192:H255" ca="1" si="20">ROUND(G192/G$8,4)</f>
        <v>2.2200000000000001E-2</v>
      </c>
    </row>
    <row r="193" spans="1:8" x14ac:dyDescent="0.25">
      <c r="A193" s="109" t="s">
        <v>1622</v>
      </c>
      <c r="B193" s="514"/>
      <c r="C193" s="541" t="str">
        <f>Materiais_Consumo!C15</f>
        <v>MATERIAL DE CONSUMO - MECÂNICA</v>
      </c>
      <c r="D193" s="110"/>
      <c r="E193" s="111"/>
      <c r="F193" s="111"/>
      <c r="G193" s="111">
        <f>SUBTOTAL(109,G194:G248)</f>
        <v>572079.81000000006</v>
      </c>
      <c r="H193" s="555">
        <f t="shared" ca="1" si="20"/>
        <v>8.2000000000000007E-3</v>
      </c>
    </row>
    <row r="194" spans="1:8" x14ac:dyDescent="0.25">
      <c r="A194" s="109" t="s">
        <v>1623</v>
      </c>
      <c r="B194" s="514" t="str">
        <f>Materiais_Consumo!B16</f>
        <v>04791 - SINAPI</v>
      </c>
      <c r="C194" s="541" t="str">
        <f>Materiais_Consumo!C16</f>
        <v>Adesivo Acrílico / Cola de contato</v>
      </c>
      <c r="D194" s="110" t="str">
        <f>Materiais_Consumo!D16</f>
        <v>un</v>
      </c>
      <c r="E194" s="111">
        <f>Materiais_Consumo!E16</f>
        <v>480</v>
      </c>
      <c r="F194" s="111">
        <f>Materiais_Consumo!F16</f>
        <v>20.12</v>
      </c>
      <c r="G194" s="111">
        <f t="shared" si="17"/>
        <v>9657.6</v>
      </c>
      <c r="H194" s="555">
        <f t="shared" ca="1" si="20"/>
        <v>1E-4</v>
      </c>
    </row>
    <row r="195" spans="1:8" x14ac:dyDescent="0.25">
      <c r="A195" s="109" t="s">
        <v>1624</v>
      </c>
      <c r="B195" s="514" t="str">
        <f>Materiais_Consumo!B17</f>
        <v>05318 - SINAPI</v>
      </c>
      <c r="C195" s="541" t="str">
        <f>Materiais_Consumo!C17</f>
        <v>Água Raz - galão  5 l</v>
      </c>
      <c r="D195" s="110" t="str">
        <f>Materiais_Consumo!D17</f>
        <v>un</v>
      </c>
      <c r="E195" s="111">
        <f>Materiais_Consumo!E17</f>
        <v>112</v>
      </c>
      <c r="F195" s="111">
        <f>Materiais_Consumo!F17</f>
        <v>66</v>
      </c>
      <c r="G195" s="111">
        <f t="shared" si="17"/>
        <v>7392</v>
      </c>
      <c r="H195" s="555">
        <f t="shared" ca="1" si="20"/>
        <v>1E-4</v>
      </c>
    </row>
    <row r="196" spans="1:8" x14ac:dyDescent="0.25">
      <c r="A196" s="109" t="s">
        <v>1625</v>
      </c>
      <c r="B196" s="514" t="str">
        <f>Materiais_Consumo!B18</f>
        <v>F030000301 - EMBASA/BA</v>
      </c>
      <c r="C196" s="541" t="str">
        <f>Materiais_Consumo!C18</f>
        <v>Alcool Comum 90º GL</v>
      </c>
      <c r="D196" s="110" t="str">
        <f>Materiais_Consumo!D18</f>
        <v>l</v>
      </c>
      <c r="E196" s="111">
        <f>Materiais_Consumo!E18</f>
        <v>1200</v>
      </c>
      <c r="F196" s="111">
        <f>Materiais_Consumo!F18</f>
        <v>2.36</v>
      </c>
      <c r="G196" s="111">
        <f t="shared" si="17"/>
        <v>2832</v>
      </c>
      <c r="H196" s="555">
        <f t="shared" ca="1" si="20"/>
        <v>0</v>
      </c>
    </row>
    <row r="197" spans="1:8" x14ac:dyDescent="0.25">
      <c r="A197" s="109" t="s">
        <v>1626</v>
      </c>
      <c r="B197" s="514">
        <f>Materiais_Consumo!B19</f>
        <v>0</v>
      </c>
      <c r="C197" s="541" t="str">
        <f>Materiais_Consumo!C19</f>
        <v>Antiferrugem aerosol WD-40 - tubo de 300 ml</v>
      </c>
      <c r="D197" s="110" t="str">
        <f>Materiais_Consumo!D19</f>
        <v>un</v>
      </c>
      <c r="E197" s="111">
        <f>Materiais_Consumo!E19</f>
        <v>289</v>
      </c>
      <c r="F197" s="111">
        <f>Materiais_Consumo!F19</f>
        <v>34.619999999999997</v>
      </c>
      <c r="G197" s="111">
        <f t="shared" si="17"/>
        <v>10005.18</v>
      </c>
      <c r="H197" s="555">
        <f t="shared" ca="1" si="20"/>
        <v>1E-4</v>
      </c>
    </row>
    <row r="198" spans="1:8" x14ac:dyDescent="0.25">
      <c r="A198" s="109" t="s">
        <v>1627</v>
      </c>
      <c r="B198" s="514">
        <f>Materiais_Consumo!B20</f>
        <v>0</v>
      </c>
      <c r="C198" s="541" t="str">
        <f>Materiais_Consumo!C20</f>
        <v>Antiespumante – antiespumante a base de silicone</v>
      </c>
      <c r="D198" s="110" t="str">
        <f>Materiais_Consumo!D20</f>
        <v>l</v>
      </c>
      <c r="E198" s="111">
        <f>Materiais_Consumo!E20</f>
        <v>223</v>
      </c>
      <c r="F198" s="111">
        <f>Materiais_Consumo!F20</f>
        <v>34.313333333333333</v>
      </c>
      <c r="G198" s="111">
        <f t="shared" si="17"/>
        <v>7651.87</v>
      </c>
      <c r="H198" s="555">
        <f t="shared" ca="1" si="20"/>
        <v>1E-4</v>
      </c>
    </row>
    <row r="199" spans="1:8" x14ac:dyDescent="0.25">
      <c r="A199" s="109" t="s">
        <v>1628</v>
      </c>
      <c r="B199" s="514" t="str">
        <f>Materiais_Consumo!B21</f>
        <v>00337 - SINAPI</v>
      </c>
      <c r="C199" s="541" t="str">
        <f>Materiais_Consumo!C21</f>
        <v>Arame recozido n.º 18</v>
      </c>
      <c r="D199" s="110" t="str">
        <f>Materiais_Consumo!D21</f>
        <v>kg</v>
      </c>
      <c r="E199" s="111">
        <f>Materiais_Consumo!E21</f>
        <v>2400</v>
      </c>
      <c r="F199" s="111">
        <f>Materiais_Consumo!F21</f>
        <v>9.5</v>
      </c>
      <c r="G199" s="111">
        <f t="shared" si="17"/>
        <v>22800</v>
      </c>
      <c r="H199" s="555">
        <f t="shared" ca="1" si="20"/>
        <v>2.9999999999999997E-4</v>
      </c>
    </row>
    <row r="200" spans="1:8" x14ac:dyDescent="0.25">
      <c r="A200" s="109" t="s">
        <v>1629</v>
      </c>
      <c r="B200" s="514" t="str">
        <f>Materiais_Consumo!B22</f>
        <v>00122 - SINAPI</v>
      </c>
      <c r="C200" s="541" t="str">
        <f>Materiais_Consumo!C22</f>
        <v>Cola de PVC com 850 g</v>
      </c>
      <c r="D200" s="110" t="str">
        <f>Materiais_Consumo!D22</f>
        <v>un</v>
      </c>
      <c r="E200" s="111">
        <f>Materiais_Consumo!E22</f>
        <v>144</v>
      </c>
      <c r="F200" s="111">
        <f>Materiais_Consumo!F22</f>
        <v>45.16</v>
      </c>
      <c r="G200" s="111">
        <f t="shared" si="13"/>
        <v>6503.04</v>
      </c>
      <c r="H200" s="555">
        <f t="shared" ca="1" si="20"/>
        <v>1E-4</v>
      </c>
    </row>
    <row r="201" spans="1:8" x14ac:dyDescent="0.25">
      <c r="A201" s="109" t="s">
        <v>1630</v>
      </c>
      <c r="B201" s="514">
        <f>Materiais_Consumo!B23</f>
        <v>0</v>
      </c>
      <c r="C201" s="541" t="str">
        <f>Materiais_Consumo!C23</f>
        <v>Cola Ultra Gray 70g</v>
      </c>
      <c r="D201" s="110" t="str">
        <f>Materiais_Consumo!D23</f>
        <v>un</v>
      </c>
      <c r="E201" s="111">
        <f>Materiais_Consumo!E23</f>
        <v>144</v>
      </c>
      <c r="F201" s="111">
        <f>Materiais_Consumo!F23</f>
        <v>40.01</v>
      </c>
      <c r="G201" s="111">
        <f t="shared" si="13"/>
        <v>5761.44</v>
      </c>
      <c r="H201" s="555">
        <f t="shared" ca="1" si="20"/>
        <v>1E-4</v>
      </c>
    </row>
    <row r="202" spans="1:8" x14ac:dyDescent="0.25">
      <c r="A202" s="109" t="s">
        <v>1631</v>
      </c>
      <c r="B202" s="514">
        <f>Materiais_Consumo!B24</f>
        <v>0</v>
      </c>
      <c r="C202" s="541" t="str">
        <f>Materiais_Consumo!C24</f>
        <v>Cola para junta de motores com 73g</v>
      </c>
      <c r="D202" s="110" t="str">
        <f>Materiais_Consumo!D24</f>
        <v>un</v>
      </c>
      <c r="E202" s="111">
        <f>Materiais_Consumo!E24</f>
        <v>1200</v>
      </c>
      <c r="F202" s="111">
        <f>Materiais_Consumo!F24</f>
        <v>7.4900000000000011</v>
      </c>
      <c r="G202" s="111">
        <f t="shared" si="13"/>
        <v>8988</v>
      </c>
      <c r="H202" s="555">
        <f t="shared" ca="1" si="20"/>
        <v>1E-4</v>
      </c>
    </row>
    <row r="203" spans="1:8" x14ac:dyDescent="0.25">
      <c r="A203" s="109" t="s">
        <v>1632</v>
      </c>
      <c r="B203" s="514">
        <f>Materiais_Consumo!B25</f>
        <v>0</v>
      </c>
      <c r="C203" s="541" t="str">
        <f>Materiais_Consumo!C25</f>
        <v>Convertedor de ferrugem</v>
      </c>
      <c r="D203" s="110" t="str">
        <f>Materiais_Consumo!D25</f>
        <v>un</v>
      </c>
      <c r="E203" s="111">
        <f>Materiais_Consumo!E25</f>
        <v>445</v>
      </c>
      <c r="F203" s="111">
        <f>Materiais_Consumo!F25</f>
        <v>30.596666666666664</v>
      </c>
      <c r="G203" s="111">
        <f t="shared" si="13"/>
        <v>13615.52</v>
      </c>
      <c r="H203" s="555">
        <f t="shared" ca="1" si="20"/>
        <v>2.0000000000000001E-4</v>
      </c>
    </row>
    <row r="204" spans="1:8" x14ac:dyDescent="0.25">
      <c r="A204" s="109" t="s">
        <v>1633</v>
      </c>
      <c r="B204" s="514" t="str">
        <f>Materiais_Consumo!B26</f>
        <v>038200 - SINAPI</v>
      </c>
      <c r="C204" s="541" t="str">
        <f>Materiais_Consumo!C26</f>
        <v>Corda de bombeiro 12mm em nylon trançado (rolo de 100,00m)</v>
      </c>
      <c r="D204" s="110" t="str">
        <f>Materiais_Consumo!D26</f>
        <v>m</v>
      </c>
      <c r="E204" s="111">
        <f>Materiais_Consumo!E26</f>
        <v>3200</v>
      </c>
      <c r="F204" s="111">
        <f>Materiais_Consumo!F26</f>
        <v>4.7</v>
      </c>
      <c r="G204" s="111">
        <f t="shared" si="13"/>
        <v>15040</v>
      </c>
      <c r="H204" s="555">
        <f t="shared" ca="1" si="20"/>
        <v>2.0000000000000001E-4</v>
      </c>
    </row>
    <row r="205" spans="1:8" x14ac:dyDescent="0.25">
      <c r="A205" s="109" t="s">
        <v>1634</v>
      </c>
      <c r="B205" s="514" t="str">
        <f>Materiais_Consumo!B27</f>
        <v>004221 - SINAPI</v>
      </c>
      <c r="C205" s="541" t="str">
        <f>Materiais_Consumo!C27</f>
        <v>Diesel comum (l)</v>
      </c>
      <c r="D205" s="110" t="str">
        <f>Materiais_Consumo!D27</f>
        <v>l</v>
      </c>
      <c r="E205" s="111">
        <f>Materiais_Consumo!E27</f>
        <v>4800</v>
      </c>
      <c r="F205" s="111">
        <f>Materiais_Consumo!F27</f>
        <v>3.69</v>
      </c>
      <c r="G205" s="111">
        <f t="shared" si="13"/>
        <v>17712</v>
      </c>
      <c r="H205" s="555">
        <f t="shared" ca="1" si="20"/>
        <v>2.9999999999999997E-4</v>
      </c>
    </row>
    <row r="206" spans="1:8" x14ac:dyDescent="0.25">
      <c r="A206" s="109" t="s">
        <v>1635</v>
      </c>
      <c r="B206" s="514" t="str">
        <f>Materiais_Consumo!B28</f>
        <v>026019 - SINAPI</v>
      </c>
      <c r="C206" s="541" t="str">
        <f>Materiais_Consumo!C28</f>
        <v>Disco corte abrasivo 7" x 1/8" x 7/8"</v>
      </c>
      <c r="D206" s="110" t="str">
        <f>Materiais_Consumo!D28</f>
        <v>un</v>
      </c>
      <c r="E206" s="111">
        <f>Materiais_Consumo!E28</f>
        <v>434</v>
      </c>
      <c r="F206" s="111">
        <f>Materiais_Consumo!F28</f>
        <v>18.41</v>
      </c>
      <c r="G206" s="111">
        <f t="shared" ref="G206:G236" si="21">ROUND(E206*F206,2)</f>
        <v>7989.94</v>
      </c>
      <c r="H206" s="555">
        <f t="shared" ca="1" si="20"/>
        <v>1E-4</v>
      </c>
    </row>
    <row r="207" spans="1:8" ht="25.5" x14ac:dyDescent="0.25">
      <c r="A207" s="109" t="s">
        <v>1636</v>
      </c>
      <c r="B207" s="514" t="str">
        <f>Materiais_Consumo!B29</f>
        <v>025931 - SINAPI</v>
      </c>
      <c r="C207" s="541" t="str">
        <f>Materiais_Consumo!C29</f>
        <v>Disco de corte diamantado - 7", para esmerilhadeira, segmentado, para concreto</v>
      </c>
      <c r="D207" s="110" t="str">
        <f>Materiais_Consumo!D29</f>
        <v>un</v>
      </c>
      <c r="E207" s="111">
        <f>Materiais_Consumo!E29</f>
        <v>434</v>
      </c>
      <c r="F207" s="111">
        <f>Materiais_Consumo!F29</f>
        <v>76.28</v>
      </c>
      <c r="G207" s="111">
        <f t="shared" si="21"/>
        <v>33105.519999999997</v>
      </c>
      <c r="H207" s="555">
        <f t="shared" ca="1" si="20"/>
        <v>5.0000000000000001E-4</v>
      </c>
    </row>
    <row r="208" spans="1:8" x14ac:dyDescent="0.25">
      <c r="A208" s="109" t="s">
        <v>1637</v>
      </c>
      <c r="B208" s="514" t="str">
        <f>Materiais_Consumo!B30</f>
        <v>026018 - SINAPI</v>
      </c>
      <c r="C208" s="541" t="str">
        <f>Materiais_Consumo!C30</f>
        <v>Disco de corte para estrutura metálica 300 x 3,2 x 19,05 mm</v>
      </c>
      <c r="D208" s="110" t="str">
        <f>Materiais_Consumo!D30</f>
        <v>un</v>
      </c>
      <c r="E208" s="111">
        <f>Materiais_Consumo!E30</f>
        <v>434</v>
      </c>
      <c r="F208" s="111">
        <f>Materiais_Consumo!F30</f>
        <v>19.489999999999998</v>
      </c>
      <c r="G208" s="111">
        <f t="shared" si="21"/>
        <v>8458.66</v>
      </c>
      <c r="H208" s="555">
        <f t="shared" ca="1" si="20"/>
        <v>1E-4</v>
      </c>
    </row>
    <row r="209" spans="1:8" ht="25.5" x14ac:dyDescent="0.25">
      <c r="A209" s="109" t="s">
        <v>1638</v>
      </c>
      <c r="B209" s="514" t="str">
        <f>Materiais_Consumo!B31</f>
        <v>026019 - SINAPI</v>
      </c>
      <c r="C209" s="541" t="str">
        <f>Materiais_Consumo!C31</f>
        <v>Disco de desbaste para estrutura metálica de 9" x 1/4" x 7/8" ( 225 x 6,25 x 21,87 mm)</v>
      </c>
      <c r="D209" s="110" t="str">
        <f>Materiais_Consumo!D31</f>
        <v>un</v>
      </c>
      <c r="E209" s="111">
        <f>Materiais_Consumo!E31</f>
        <v>434</v>
      </c>
      <c r="F209" s="111">
        <f>Materiais_Consumo!F31</f>
        <v>18.41</v>
      </c>
      <c r="G209" s="111">
        <f t="shared" si="21"/>
        <v>7989.94</v>
      </c>
      <c r="H209" s="555">
        <f t="shared" ca="1" si="20"/>
        <v>1E-4</v>
      </c>
    </row>
    <row r="210" spans="1:8" x14ac:dyDescent="0.25">
      <c r="A210" s="109" t="s">
        <v>1639</v>
      </c>
      <c r="B210" s="514" t="str">
        <f>Materiais_Consumo!B32</f>
        <v>010997 - SINAPI</v>
      </c>
      <c r="C210" s="541" t="str">
        <f>Materiais_Consumo!C32</f>
        <v>Eletrodos Revestido AWS-E7018, DN 4 mm</v>
      </c>
      <c r="D210" s="110" t="str">
        <f>Materiais_Consumo!D32</f>
        <v>kg</v>
      </c>
      <c r="E210" s="111">
        <f>Materiais_Consumo!E32</f>
        <v>320</v>
      </c>
      <c r="F210" s="111">
        <f>Materiais_Consumo!F32</f>
        <v>18.75</v>
      </c>
      <c r="G210" s="111">
        <f t="shared" si="21"/>
        <v>6000</v>
      </c>
      <c r="H210" s="555">
        <f t="shared" ca="1" si="20"/>
        <v>1E-4</v>
      </c>
    </row>
    <row r="211" spans="1:8" x14ac:dyDescent="0.25">
      <c r="A211" s="109" t="s">
        <v>1640</v>
      </c>
      <c r="B211" s="514" t="str">
        <f>Materiais_Consumo!B33</f>
        <v>10997 - SINAPI/PE</v>
      </c>
      <c r="C211" s="541" t="str">
        <f>Materiais_Consumo!C33</f>
        <v>Eletrodos Revestido AWS-E7018, DN 6 mm</v>
      </c>
      <c r="D211" s="110" t="str">
        <f>Materiais_Consumo!D33</f>
        <v>kg</v>
      </c>
      <c r="E211" s="111">
        <f>Materiais_Consumo!E33</f>
        <v>320</v>
      </c>
      <c r="F211" s="111">
        <f>Materiais_Consumo!F33</f>
        <v>26.63</v>
      </c>
      <c r="G211" s="111">
        <f t="shared" si="21"/>
        <v>8521.6</v>
      </c>
      <c r="H211" s="555">
        <f t="shared" ca="1" si="20"/>
        <v>1E-4</v>
      </c>
    </row>
    <row r="212" spans="1:8" x14ac:dyDescent="0.25">
      <c r="A212" s="109" t="s">
        <v>1641</v>
      </c>
      <c r="B212" s="514" t="str">
        <f>Materiais_Consumo!B34</f>
        <v>000012 - SINAPI</v>
      </c>
      <c r="C212" s="541" t="str">
        <f>Materiais_Consumo!C34</f>
        <v>Escova de aço para remoção da graxa envelhecida dos cabos de aço</v>
      </c>
      <c r="D212" s="110" t="str">
        <f>Materiais_Consumo!D34</f>
        <v>un</v>
      </c>
      <c r="E212" s="111">
        <f>Materiais_Consumo!E34</f>
        <v>160</v>
      </c>
      <c r="F212" s="111">
        <f>Materiais_Consumo!F34</f>
        <v>10</v>
      </c>
      <c r="G212" s="111">
        <f t="shared" si="21"/>
        <v>1600</v>
      </c>
      <c r="H212" s="555">
        <f t="shared" ca="1" si="20"/>
        <v>0</v>
      </c>
    </row>
    <row r="213" spans="1:8" x14ac:dyDescent="0.25">
      <c r="A213" s="109" t="s">
        <v>1642</v>
      </c>
      <c r="B213" s="514" t="str">
        <f>Materiais_Consumo!B35</f>
        <v>000013 - SINAPI</v>
      </c>
      <c r="C213" s="541" t="str">
        <f>Materiais_Consumo!C35</f>
        <v>Estopa - embalagem 20 kg</v>
      </c>
      <c r="D213" s="110" t="str">
        <f>Materiais_Consumo!D35</f>
        <v>kg</v>
      </c>
      <c r="E213" s="111">
        <f>Materiais_Consumo!E35</f>
        <v>294</v>
      </c>
      <c r="F213" s="111" t="str">
        <f>Materiais_Consumo!F35</f>
        <v>15,39</v>
      </c>
      <c r="G213" s="111">
        <f t="shared" si="21"/>
        <v>4524.66</v>
      </c>
      <c r="H213" s="555">
        <f t="shared" ca="1" si="20"/>
        <v>1E-4</v>
      </c>
    </row>
    <row r="214" spans="1:8" x14ac:dyDescent="0.25">
      <c r="A214" s="109" t="s">
        <v>1643</v>
      </c>
      <c r="B214" s="514" t="str">
        <f>Materiais_Consumo!B36</f>
        <v>000404 - SINAPI</v>
      </c>
      <c r="C214" s="541" t="str">
        <f>Materiais_Consumo!C36</f>
        <v>Fita auto fusão 19 mm x 10 m</v>
      </c>
      <c r="D214" s="110" t="str">
        <f>Materiais_Consumo!D36</f>
        <v>un</v>
      </c>
      <c r="E214" s="111">
        <f>Materiais_Consumo!E36</f>
        <v>194</v>
      </c>
      <c r="F214" s="111">
        <f>Materiais_Consumo!F36</f>
        <v>10</v>
      </c>
      <c r="G214" s="111">
        <f t="shared" si="21"/>
        <v>1940</v>
      </c>
      <c r="H214" s="555">
        <f t="shared" ca="1" si="20"/>
        <v>0</v>
      </c>
    </row>
    <row r="215" spans="1:8" x14ac:dyDescent="0.25">
      <c r="A215" s="109" t="s">
        <v>1644</v>
      </c>
      <c r="B215" s="514" t="str">
        <f>Materiais_Consumo!B37</f>
        <v>012815 - SINAPI</v>
      </c>
      <c r="C215" s="541" t="str">
        <f>Materiais_Consumo!C37</f>
        <v xml:space="preserve">Fita crepe adesiva 25mm x 50mm </v>
      </c>
      <c r="D215" s="110" t="str">
        <f>Materiais_Consumo!D37</f>
        <v>un</v>
      </c>
      <c r="E215" s="111">
        <f>Materiais_Consumo!E37</f>
        <v>194</v>
      </c>
      <c r="F215" s="111">
        <f>Materiais_Consumo!F37</f>
        <v>8.41</v>
      </c>
      <c r="G215" s="111">
        <f t="shared" si="21"/>
        <v>1631.54</v>
      </c>
      <c r="H215" s="555">
        <f t="shared" ca="1" si="20"/>
        <v>0</v>
      </c>
    </row>
    <row r="216" spans="1:8" x14ac:dyDescent="0.25">
      <c r="A216" s="109" t="s">
        <v>1645</v>
      </c>
      <c r="B216" s="514" t="str">
        <f>Materiais_Consumo!B38</f>
        <v>020111 - SINAPI</v>
      </c>
      <c r="C216" s="541" t="str">
        <f>Materiais_Consumo!C38</f>
        <v>Fita isolante 19 mm x 20 m</v>
      </c>
      <c r="D216" s="110" t="str">
        <f>Materiais_Consumo!D38</f>
        <v>un</v>
      </c>
      <c r="E216" s="111">
        <f>Materiais_Consumo!E38</f>
        <v>194</v>
      </c>
      <c r="F216" s="111">
        <f>Materiais_Consumo!F38</f>
        <v>7.34</v>
      </c>
      <c r="G216" s="111">
        <f t="shared" si="21"/>
        <v>1423.96</v>
      </c>
      <c r="H216" s="555">
        <f t="shared" ca="1" si="20"/>
        <v>0</v>
      </c>
    </row>
    <row r="217" spans="1:8" x14ac:dyDescent="0.25">
      <c r="A217" s="109" t="s">
        <v>1646</v>
      </c>
      <c r="B217" s="514" t="str">
        <f>Materiais_Consumo!B39</f>
        <v>004222 - SINAPI</v>
      </c>
      <c r="C217" s="541" t="str">
        <f>Materiais_Consumo!C39</f>
        <v>Gasolina Comum</v>
      </c>
      <c r="D217" s="110" t="str">
        <f>Materiais_Consumo!D39</f>
        <v>l</v>
      </c>
      <c r="E217" s="111">
        <f>Materiais_Consumo!E39</f>
        <v>2400</v>
      </c>
      <c r="F217" s="111">
        <f>Materiais_Consumo!F39</f>
        <v>4.24</v>
      </c>
      <c r="G217" s="111">
        <f t="shared" si="21"/>
        <v>10176</v>
      </c>
      <c r="H217" s="555">
        <f t="shared" ca="1" si="20"/>
        <v>1E-4</v>
      </c>
    </row>
    <row r="218" spans="1:8" x14ac:dyDescent="0.25">
      <c r="A218" s="109" t="s">
        <v>1647</v>
      </c>
      <c r="B218" s="514">
        <f>Materiais_Consumo!B40</f>
        <v>0</v>
      </c>
      <c r="C218" s="541" t="str">
        <f>Materiais_Consumo!C40</f>
        <v>Graxa a base de lítio NGLI 2</v>
      </c>
      <c r="D218" s="110" t="str">
        <f>Materiais_Consumo!D40</f>
        <v>kg</v>
      </c>
      <c r="E218" s="111">
        <f>Materiais_Consumo!E40</f>
        <v>478</v>
      </c>
      <c r="F218" s="111">
        <f>Materiais_Consumo!F40</f>
        <v>34.083166666666664</v>
      </c>
      <c r="G218" s="111">
        <f t="shared" si="21"/>
        <v>16291.75</v>
      </c>
      <c r="H218" s="555">
        <f t="shared" ca="1" si="20"/>
        <v>2.0000000000000001E-4</v>
      </c>
    </row>
    <row r="219" spans="1:8" x14ac:dyDescent="0.25">
      <c r="A219" s="109" t="s">
        <v>1648</v>
      </c>
      <c r="B219" s="514">
        <f>Materiais_Consumo!B41</f>
        <v>0</v>
      </c>
      <c r="C219" s="541" t="str">
        <f>Materiais_Consumo!C41</f>
        <v>Graxa a base de lítio NGLI 3</v>
      </c>
      <c r="D219" s="110" t="str">
        <f>Materiais_Consumo!D41</f>
        <v>kg</v>
      </c>
      <c r="E219" s="111">
        <f>Materiais_Consumo!E41</f>
        <v>478</v>
      </c>
      <c r="F219" s="111">
        <f>Materiais_Consumo!F41</f>
        <v>66.73</v>
      </c>
      <c r="G219" s="111">
        <f t="shared" si="21"/>
        <v>31896.94</v>
      </c>
      <c r="H219" s="555">
        <f t="shared" ca="1" si="20"/>
        <v>5.0000000000000001E-4</v>
      </c>
    </row>
    <row r="220" spans="1:8" x14ac:dyDescent="0.25">
      <c r="A220" s="109" t="s">
        <v>1649</v>
      </c>
      <c r="B220" s="514">
        <f>Materiais_Consumo!B42</f>
        <v>0</v>
      </c>
      <c r="C220" s="541" t="str">
        <f>Materiais_Consumo!C42</f>
        <v>Graxa com dissulfeto de molibidênio (MoS2) - Lata 500 g</v>
      </c>
      <c r="D220" s="110" t="str">
        <f>Materiais_Consumo!D42</f>
        <v>un</v>
      </c>
      <c r="E220" s="111">
        <f>Materiais_Consumo!E42</f>
        <v>478</v>
      </c>
      <c r="F220" s="111">
        <f>Materiais_Consumo!F42</f>
        <v>51.65</v>
      </c>
      <c r="G220" s="111">
        <f t="shared" si="21"/>
        <v>24688.7</v>
      </c>
      <c r="H220" s="555">
        <f t="shared" ca="1" si="20"/>
        <v>4.0000000000000002E-4</v>
      </c>
    </row>
    <row r="221" spans="1:8" x14ac:dyDescent="0.25">
      <c r="A221" s="109" t="s">
        <v>1650</v>
      </c>
      <c r="B221" s="514">
        <f>Materiais_Consumo!B43</f>
        <v>0</v>
      </c>
      <c r="C221" s="541" t="str">
        <f>Materiais_Consumo!C43</f>
        <v>Graxa GMA - 2</v>
      </c>
      <c r="D221" s="110" t="str">
        <f>Materiais_Consumo!D43</f>
        <v>kg</v>
      </c>
      <c r="E221" s="111">
        <f>Materiais_Consumo!E43</f>
        <v>478</v>
      </c>
      <c r="F221" s="111">
        <f>Materiais_Consumo!F43</f>
        <v>13.315</v>
      </c>
      <c r="G221" s="111">
        <f t="shared" si="21"/>
        <v>6364.57</v>
      </c>
      <c r="H221" s="555">
        <f t="shared" ca="1" si="20"/>
        <v>1E-4</v>
      </c>
    </row>
    <row r="222" spans="1:8" ht="25.5" x14ac:dyDescent="0.25">
      <c r="A222" s="109" t="s">
        <v>1651</v>
      </c>
      <c r="B222" s="514">
        <f>Materiais_Consumo!B44</f>
        <v>0</v>
      </c>
      <c r="C222" s="541" t="str">
        <f>Materiais_Consumo!C44</f>
        <v>Graxa de Alta Resistência a Carga, Pressão LGEP 2/1. Aplicação: graxa para motor e bomba</v>
      </c>
      <c r="D222" s="110" t="str">
        <f>Materiais_Consumo!D44</f>
        <v>kg</v>
      </c>
      <c r="E222" s="111">
        <f>Materiais_Consumo!E44</f>
        <v>478</v>
      </c>
      <c r="F222" s="111">
        <f>Materiais_Consumo!F44</f>
        <v>66.73</v>
      </c>
      <c r="G222" s="111">
        <f t="shared" si="21"/>
        <v>31896.94</v>
      </c>
      <c r="H222" s="555">
        <f t="shared" ca="1" si="20"/>
        <v>5.0000000000000001E-4</v>
      </c>
    </row>
    <row r="223" spans="1:8" ht="25.5" x14ac:dyDescent="0.25">
      <c r="A223" s="109" t="s">
        <v>1652</v>
      </c>
      <c r="B223" s="514">
        <f>Materiais_Consumo!B45</f>
        <v>0</v>
      </c>
      <c r="C223" s="541" t="str">
        <f>Materiais_Consumo!C45</f>
        <v>Graxa de Alta Resistência a Carga, Pressão LGEP 2/1. Aplicação: Engrenagens de roda e engrenagens expostas</v>
      </c>
      <c r="D223" s="110" t="str">
        <f>Materiais_Consumo!D45</f>
        <v>kg</v>
      </c>
      <c r="E223" s="111">
        <f>Materiais_Consumo!E45</f>
        <v>478</v>
      </c>
      <c r="F223" s="111">
        <f>Materiais_Consumo!F45</f>
        <v>66.73</v>
      </c>
      <c r="G223" s="111">
        <f t="shared" si="21"/>
        <v>31896.94</v>
      </c>
      <c r="H223" s="555">
        <f t="shared" ca="1" si="20"/>
        <v>5.0000000000000001E-4</v>
      </c>
    </row>
    <row r="224" spans="1:8" x14ac:dyDescent="0.25">
      <c r="A224" s="109" t="s">
        <v>1653</v>
      </c>
      <c r="B224" s="514">
        <f>Materiais_Consumo!B46</f>
        <v>0</v>
      </c>
      <c r="C224" s="541" t="str">
        <f>Materiais_Consumo!C46</f>
        <v xml:space="preserve">Hidróxido de cálcio </v>
      </c>
      <c r="D224" s="110" t="str">
        <f>Materiais_Consumo!D46</f>
        <v>kg</v>
      </c>
      <c r="E224" s="111">
        <f>Materiais_Consumo!E46</f>
        <v>600</v>
      </c>
      <c r="F224" s="111">
        <f>Materiais_Consumo!F46</f>
        <v>0.8</v>
      </c>
      <c r="G224" s="111">
        <f t="shared" si="21"/>
        <v>480</v>
      </c>
      <c r="H224" s="555">
        <f t="shared" ca="1" si="20"/>
        <v>0</v>
      </c>
    </row>
    <row r="225" spans="1:8" x14ac:dyDescent="0.25">
      <c r="A225" s="109" t="s">
        <v>1654</v>
      </c>
      <c r="B225" s="514">
        <f>Materiais_Consumo!B47</f>
        <v>0</v>
      </c>
      <c r="C225" s="541" t="str">
        <f>Materiais_Consumo!C47</f>
        <v>Hipoclorito de sódio</v>
      </c>
      <c r="D225" s="110" t="str">
        <f>Materiais_Consumo!D47</f>
        <v>kg</v>
      </c>
      <c r="E225" s="111">
        <f>Materiais_Consumo!E47</f>
        <v>1200</v>
      </c>
      <c r="F225" s="111">
        <f>Materiais_Consumo!F47</f>
        <v>4.3019999999999996</v>
      </c>
      <c r="G225" s="111">
        <f t="shared" si="21"/>
        <v>5162.3999999999996</v>
      </c>
      <c r="H225" s="555">
        <f t="shared" ca="1" si="20"/>
        <v>1E-4</v>
      </c>
    </row>
    <row r="226" spans="1:8" x14ac:dyDescent="0.25">
      <c r="A226" s="109" t="s">
        <v>1655</v>
      </c>
      <c r="B226" s="514" t="str">
        <f>Materiais_Consumo!B48</f>
        <v>8216 - ORSE</v>
      </c>
      <c r="C226" s="541" t="str">
        <f>Materiais_Consumo!C48</f>
        <v>Lâmina de serra para metal  Starret ou similar</v>
      </c>
      <c r="D226" s="110" t="str">
        <f>Materiais_Consumo!D48</f>
        <v>un</v>
      </c>
      <c r="E226" s="111">
        <f>Materiais_Consumo!E48</f>
        <v>667</v>
      </c>
      <c r="F226" s="111">
        <f>Materiais_Consumo!F48</f>
        <v>7</v>
      </c>
      <c r="G226" s="111">
        <f t="shared" si="21"/>
        <v>4669</v>
      </c>
      <c r="H226" s="555">
        <f t="shared" ca="1" si="20"/>
        <v>1E-4</v>
      </c>
    </row>
    <row r="227" spans="1:8" x14ac:dyDescent="0.25">
      <c r="A227" s="109" t="s">
        <v>1656</v>
      </c>
      <c r="B227" s="514" t="str">
        <f>Materiais_Consumo!B49</f>
        <v>I1660 - SEINFRA/CE</v>
      </c>
      <c r="C227" s="541" t="str">
        <f>Materiais_Consumo!C49</f>
        <v>Lençol de borracha manta 3/16” 4,8mm</v>
      </c>
      <c r="D227" s="110" t="str">
        <f>Materiais_Consumo!D49</f>
        <v>m²</v>
      </c>
      <c r="E227" s="111">
        <f>Materiais_Consumo!E49</f>
        <v>400</v>
      </c>
      <c r="F227" s="111">
        <f>Materiais_Consumo!F49</f>
        <v>82.45</v>
      </c>
      <c r="G227" s="111">
        <f t="shared" si="21"/>
        <v>32980</v>
      </c>
      <c r="H227" s="555">
        <f t="shared" ca="1" si="20"/>
        <v>5.0000000000000001E-4</v>
      </c>
    </row>
    <row r="228" spans="1:8" ht="25.5" x14ac:dyDescent="0.25">
      <c r="A228" s="109" t="s">
        <v>1657</v>
      </c>
      <c r="B228" s="514">
        <f>Materiais_Consumo!B50</f>
        <v>0</v>
      </c>
      <c r="C228" s="541" t="str">
        <f>Materiais_Consumo!C50</f>
        <v>Líquido penetrante visível lavável à água (Ensaios de Líquido Penetrante)</v>
      </c>
      <c r="D228" s="110" t="str">
        <f>Materiais_Consumo!D50</f>
        <v>un</v>
      </c>
      <c r="E228" s="111">
        <f>Materiais_Consumo!E50</f>
        <v>98</v>
      </c>
      <c r="F228" s="111">
        <f>Materiais_Consumo!F50</f>
        <v>32.096666666666664</v>
      </c>
      <c r="G228" s="111">
        <f t="shared" si="21"/>
        <v>3145.47</v>
      </c>
      <c r="H228" s="555">
        <f t="shared" ca="1" si="20"/>
        <v>0</v>
      </c>
    </row>
    <row r="229" spans="1:8" x14ac:dyDescent="0.25">
      <c r="A229" s="109" t="s">
        <v>1658</v>
      </c>
      <c r="B229" s="514" t="str">
        <f>Materiais_Consumo!B51</f>
        <v>003767 - SINAPI</v>
      </c>
      <c r="C229" s="541" t="str">
        <f>Materiais_Consumo!C51</f>
        <v>Lixa nº120</v>
      </c>
      <c r="D229" s="110" t="str">
        <f>Materiais_Consumo!D51</f>
        <v>un</v>
      </c>
      <c r="E229" s="111">
        <f>Materiais_Consumo!E51</f>
        <v>2400</v>
      </c>
      <c r="F229" s="111">
        <f>Materiais_Consumo!F51</f>
        <v>0.42</v>
      </c>
      <c r="G229" s="111">
        <f t="shared" si="21"/>
        <v>1008</v>
      </c>
      <c r="H229" s="555">
        <f t="shared" ca="1" si="20"/>
        <v>0</v>
      </c>
    </row>
    <row r="230" spans="1:8" x14ac:dyDescent="0.25">
      <c r="A230" s="109" t="s">
        <v>1659</v>
      </c>
      <c r="B230" s="514">
        <f>Materiais_Consumo!B52</f>
        <v>0</v>
      </c>
      <c r="C230" s="541" t="str">
        <f>Materiais_Consumo!C52</f>
        <v>Lona de borracha com alma 1,0 – 4,8 mm esp.</v>
      </c>
      <c r="D230" s="110" t="str">
        <f>Materiais_Consumo!D52</f>
        <v>m</v>
      </c>
      <c r="E230" s="111">
        <f>Materiais_Consumo!E52</f>
        <v>45</v>
      </c>
      <c r="F230" s="111">
        <f>Materiais_Consumo!F52</f>
        <v>154.995</v>
      </c>
      <c r="G230" s="111">
        <f t="shared" si="21"/>
        <v>6974.78</v>
      </c>
      <c r="H230" s="555">
        <f t="shared" ca="1" si="20"/>
        <v>1E-4</v>
      </c>
    </row>
    <row r="231" spans="1:8" x14ac:dyDescent="0.25">
      <c r="A231" s="109" t="s">
        <v>1660</v>
      </c>
      <c r="B231" s="514" t="str">
        <f>Materiais_Consumo!B53</f>
        <v>003777 - SINAPI/PE</v>
      </c>
      <c r="C231" s="541" t="str">
        <f>Materiais_Consumo!C53</f>
        <v>Lona plástica - 4 x 100 m - 12 kg</v>
      </c>
      <c r="D231" s="110" t="str">
        <f>Materiais_Consumo!D53</f>
        <v>m²</v>
      </c>
      <c r="E231" s="111">
        <f>Materiais_Consumo!E53</f>
        <v>3200</v>
      </c>
      <c r="F231" s="111">
        <f>Materiais_Consumo!F53</f>
        <v>1.1299999999999999</v>
      </c>
      <c r="G231" s="111">
        <f t="shared" si="21"/>
        <v>3616</v>
      </c>
      <c r="H231" s="555">
        <f t="shared" ca="1" si="20"/>
        <v>1E-4</v>
      </c>
    </row>
    <row r="232" spans="1:8" x14ac:dyDescent="0.25">
      <c r="A232" s="109" t="s">
        <v>1661</v>
      </c>
      <c r="B232" s="514" t="str">
        <f>Materiais_Consumo!B54</f>
        <v>037459 - SINAPI</v>
      </c>
      <c r="C232" s="541" t="str">
        <f>Materiais_Consumo!C54</f>
        <v>Mangueira Cristal, Lisa PVC transparente, 3/4" x 2 mm</v>
      </c>
      <c r="D232" s="110" t="str">
        <f>Materiais_Consumo!D54</f>
        <v>m</v>
      </c>
      <c r="E232" s="111">
        <f>Materiais_Consumo!E54</f>
        <v>1600</v>
      </c>
      <c r="F232" s="111">
        <f>Materiais_Consumo!F54</f>
        <v>3.48</v>
      </c>
      <c r="G232" s="111">
        <f t="shared" si="21"/>
        <v>5568</v>
      </c>
      <c r="H232" s="555">
        <f t="shared" ca="1" si="20"/>
        <v>1E-4</v>
      </c>
    </row>
    <row r="233" spans="1:8" x14ac:dyDescent="0.25">
      <c r="A233" s="109" t="s">
        <v>1662</v>
      </c>
      <c r="B233" s="514">
        <f>Materiais_Consumo!B55</f>
        <v>0</v>
      </c>
      <c r="C233" s="541" t="str">
        <f>Materiais_Consumo!C55</f>
        <v>Mangueira FLG-62/1 0 - 150 PSI 1/4" NPT</v>
      </c>
      <c r="D233" s="110" t="str">
        <f>Materiais_Consumo!D55</f>
        <v>m</v>
      </c>
      <c r="E233" s="111">
        <f>Materiais_Consumo!E55</f>
        <v>800</v>
      </c>
      <c r="F233" s="111">
        <f>Materiais_Consumo!F55</f>
        <v>26.55</v>
      </c>
      <c r="G233" s="111">
        <f t="shared" si="21"/>
        <v>21240</v>
      </c>
      <c r="H233" s="555">
        <f t="shared" ca="1" si="20"/>
        <v>2.9999999999999997E-4</v>
      </c>
    </row>
    <row r="234" spans="1:8" x14ac:dyDescent="0.25">
      <c r="A234" s="109" t="s">
        <v>1663</v>
      </c>
      <c r="B234" s="514" t="str">
        <f>Materiais_Consumo!B56</f>
        <v>7696 - ORSE</v>
      </c>
      <c r="C234" s="541" t="str">
        <f>Materiais_Consumo!C56</f>
        <v>Massa calafetar cinza-Durepox ou similiar</v>
      </c>
      <c r="D234" s="110" t="str">
        <f>Materiais_Consumo!D56</f>
        <v>kg</v>
      </c>
      <c r="E234" s="111">
        <f>Materiais_Consumo!E56</f>
        <v>334</v>
      </c>
      <c r="F234" s="111">
        <f>Materiais_Consumo!F56</f>
        <v>22.86</v>
      </c>
      <c r="G234" s="111">
        <f t="shared" si="21"/>
        <v>7635.24</v>
      </c>
      <c r="H234" s="555">
        <f t="shared" ca="1" si="20"/>
        <v>1E-4</v>
      </c>
    </row>
    <row r="235" spans="1:8" ht="25.5" x14ac:dyDescent="0.25">
      <c r="A235" s="109" t="s">
        <v>1664</v>
      </c>
      <c r="B235" s="514">
        <f>Materiais_Consumo!B57</f>
        <v>0</v>
      </c>
      <c r="C235" s="541" t="str">
        <f>Materiais_Consumo!C57</f>
        <v>Óleo - Translação pórtico e ponte e direção do carro - 20 l -  Óleo EP 220</v>
      </c>
      <c r="D235" s="110" t="str">
        <f>Materiais_Consumo!D57</f>
        <v>l</v>
      </c>
      <c r="E235" s="111">
        <f>Materiais_Consumo!E57</f>
        <v>334</v>
      </c>
      <c r="F235" s="111">
        <f>Materiais_Consumo!F57</f>
        <v>12.4345</v>
      </c>
      <c r="G235" s="111">
        <f t="shared" si="21"/>
        <v>4153.12</v>
      </c>
      <c r="H235" s="555">
        <f t="shared" ca="1" si="20"/>
        <v>1E-4</v>
      </c>
    </row>
    <row r="236" spans="1:8" ht="25.5" x14ac:dyDescent="0.25">
      <c r="A236" s="109" t="s">
        <v>1665</v>
      </c>
      <c r="B236" s="514">
        <f>Materiais_Consumo!B58</f>
        <v>0</v>
      </c>
      <c r="C236" s="541" t="str">
        <f>Materiais_Consumo!C58</f>
        <v>Óleo Hidràulico para os componentes não protegido dos Servomotor Hidráulico - Óleo EP 320</v>
      </c>
      <c r="D236" s="110" t="str">
        <f>Materiais_Consumo!D58</f>
        <v>l</v>
      </c>
      <c r="E236" s="111">
        <f>Materiais_Consumo!E58</f>
        <v>334</v>
      </c>
      <c r="F236" s="111">
        <f>Materiais_Consumo!F58</f>
        <v>14.943750000000001</v>
      </c>
      <c r="G236" s="111">
        <f t="shared" si="21"/>
        <v>4991.21</v>
      </c>
      <c r="H236" s="555">
        <f t="shared" ca="1" si="20"/>
        <v>1E-4</v>
      </c>
    </row>
    <row r="237" spans="1:8" x14ac:dyDescent="0.25">
      <c r="A237" s="109" t="s">
        <v>1666</v>
      </c>
      <c r="B237" s="514">
        <f>Materiais_Consumo!B59</f>
        <v>0</v>
      </c>
      <c r="C237" s="541" t="str">
        <f>Materiais_Consumo!C59</f>
        <v>Óleo Lubrificante Redutor - Óleo SAE 90</v>
      </c>
      <c r="D237" s="110" t="str">
        <f>Materiais_Consumo!D59</f>
        <v>l</v>
      </c>
      <c r="E237" s="111">
        <f>Materiais_Consumo!E59</f>
        <v>334</v>
      </c>
      <c r="F237" s="111">
        <f>Materiais_Consumo!F59</f>
        <v>14.273333333333333</v>
      </c>
      <c r="G237" s="111">
        <f t="shared" si="13"/>
        <v>4767.29</v>
      </c>
      <c r="H237" s="555">
        <f t="shared" ca="1" si="20"/>
        <v>1E-4</v>
      </c>
    </row>
    <row r="238" spans="1:8" ht="25.5" x14ac:dyDescent="0.25">
      <c r="A238" s="109" t="s">
        <v>1667</v>
      </c>
      <c r="B238" s="514">
        <f>Materiais_Consumo!B60</f>
        <v>0</v>
      </c>
      <c r="C238" s="541" t="str">
        <f>Materiais_Consumo!C60</f>
        <v>Óleo lubrificante, para engrenagem., EP-5, viscosidade (CSt) ( - 40ºC) = 22 - tambor 20 l</v>
      </c>
      <c r="D238" s="110" t="str">
        <f>Materiais_Consumo!D60</f>
        <v>l</v>
      </c>
      <c r="E238" s="111">
        <f>Materiais_Consumo!E60</f>
        <v>334</v>
      </c>
      <c r="F238" s="111">
        <f>Materiais_Consumo!F60</f>
        <v>16.175000000000001</v>
      </c>
      <c r="G238" s="111">
        <f t="shared" si="13"/>
        <v>5402.45</v>
      </c>
      <c r="H238" s="555">
        <f t="shared" ca="1" si="20"/>
        <v>1E-4</v>
      </c>
    </row>
    <row r="239" spans="1:8" x14ac:dyDescent="0.25">
      <c r="A239" s="109" t="s">
        <v>1668</v>
      </c>
      <c r="B239" s="514">
        <f>Materiais_Consumo!B61</f>
        <v>0</v>
      </c>
      <c r="C239" s="541" t="str">
        <f>Materiais_Consumo!C61</f>
        <v>PAC – Policloreto de alumínio (5 l)</v>
      </c>
      <c r="D239" s="110" t="str">
        <f>Materiais_Consumo!D61</f>
        <v>l</v>
      </c>
      <c r="E239" s="111">
        <f>Materiais_Consumo!E61</f>
        <v>967</v>
      </c>
      <c r="F239" s="111">
        <f>Materiais_Consumo!F61</f>
        <v>7</v>
      </c>
      <c r="G239" s="111">
        <f t="shared" si="13"/>
        <v>6769</v>
      </c>
      <c r="H239" s="555">
        <f t="shared" ca="1" si="20"/>
        <v>1E-4</v>
      </c>
    </row>
    <row r="240" spans="1:8" x14ac:dyDescent="0.25">
      <c r="A240" s="109" t="s">
        <v>1669</v>
      </c>
      <c r="B240" s="514">
        <f>Materiais_Consumo!B62</f>
        <v>0</v>
      </c>
      <c r="C240" s="541" t="str">
        <f>Materiais_Consumo!C62</f>
        <v>Papelão grafitado 1,50 m x 1,60 m Esp 2.4</v>
      </c>
      <c r="D240" s="110" t="str">
        <f>Materiais_Consumo!D62</f>
        <v>m</v>
      </c>
      <c r="E240" s="111">
        <f>Materiais_Consumo!E62</f>
        <v>45</v>
      </c>
      <c r="F240" s="111">
        <f>Materiais_Consumo!F62</f>
        <v>140.125</v>
      </c>
      <c r="G240" s="111">
        <f t="shared" ref="G240:G753" si="22">ROUND(E240*F240,2)</f>
        <v>6305.63</v>
      </c>
      <c r="H240" s="555">
        <f t="shared" ca="1" si="20"/>
        <v>1E-4</v>
      </c>
    </row>
    <row r="241" spans="1:8" x14ac:dyDescent="0.25">
      <c r="A241" s="109" t="s">
        <v>1670</v>
      </c>
      <c r="B241" s="514">
        <f>Materiais_Consumo!B63</f>
        <v>0</v>
      </c>
      <c r="C241" s="541" t="str">
        <f>Materiais_Consumo!C63</f>
        <v>Pasta de Limpeza</v>
      </c>
      <c r="D241" s="110" t="str">
        <f>Materiais_Consumo!D63</f>
        <v>kg</v>
      </c>
      <c r="E241" s="111">
        <f>Materiais_Consumo!E63</f>
        <v>967</v>
      </c>
      <c r="F241" s="111">
        <f>Materiais_Consumo!F63</f>
        <v>4.42</v>
      </c>
      <c r="G241" s="111">
        <f t="shared" si="22"/>
        <v>4274.1400000000003</v>
      </c>
      <c r="H241" s="555">
        <f t="shared" ca="1" si="20"/>
        <v>1E-4</v>
      </c>
    </row>
    <row r="242" spans="1:8" x14ac:dyDescent="0.25">
      <c r="A242" s="109" t="s">
        <v>1671</v>
      </c>
      <c r="B242" s="514">
        <f>Materiais_Consumo!B64</f>
        <v>0</v>
      </c>
      <c r="C242" s="541" t="str">
        <f>Materiais_Consumo!C64</f>
        <v>Polímero aniônico</v>
      </c>
      <c r="D242" s="110" t="str">
        <f>Materiais_Consumo!D64</f>
        <v>kg</v>
      </c>
      <c r="E242" s="111">
        <f>Materiais_Consumo!E64</f>
        <v>967</v>
      </c>
      <c r="F242" s="111">
        <f>Materiais_Consumo!F64</f>
        <v>29.9</v>
      </c>
      <c r="G242" s="111">
        <f t="shared" si="22"/>
        <v>28913.3</v>
      </c>
      <c r="H242" s="555">
        <f t="shared" ca="1" si="20"/>
        <v>4.0000000000000002E-4</v>
      </c>
    </row>
    <row r="243" spans="1:8" x14ac:dyDescent="0.25">
      <c r="A243" s="109" t="s">
        <v>1672</v>
      </c>
      <c r="B243" s="514" t="str">
        <f>Materiais_Consumo!B65</f>
        <v>004224 - SINAPI</v>
      </c>
      <c r="C243" s="541" t="str">
        <f>Materiais_Consumo!C65</f>
        <v xml:space="preserve">Querosene para limpeza </v>
      </c>
      <c r="D243" s="110" t="str">
        <f>Materiais_Consumo!D65</f>
        <v>l</v>
      </c>
      <c r="E243" s="111">
        <f>Materiais_Consumo!E65</f>
        <v>967</v>
      </c>
      <c r="F243" s="111">
        <f>Materiais_Consumo!F65</f>
        <v>13.88</v>
      </c>
      <c r="G243" s="111">
        <f t="shared" ref="G243:G303" si="23">ROUND(E243*F243,2)</f>
        <v>13421.96</v>
      </c>
      <c r="H243" s="555">
        <f t="shared" ca="1" si="20"/>
        <v>2.0000000000000001E-4</v>
      </c>
    </row>
    <row r="244" spans="1:8" x14ac:dyDescent="0.25">
      <c r="A244" s="109" t="s">
        <v>1673</v>
      </c>
      <c r="B244" s="514">
        <f>Materiais_Consumo!B66</f>
        <v>0</v>
      </c>
      <c r="C244" s="541" t="str">
        <f>Materiais_Consumo!C66</f>
        <v>Revelador não aquoso D70 (Ensaios de Líquido Penetrante)</v>
      </c>
      <c r="D244" s="110" t="str">
        <f>Materiais_Consumo!D66</f>
        <v>un</v>
      </c>
      <c r="E244" s="111">
        <f>Materiais_Consumo!E66</f>
        <v>98</v>
      </c>
      <c r="F244" s="111">
        <f>Materiais_Consumo!F66</f>
        <v>21.045000000000002</v>
      </c>
      <c r="G244" s="111">
        <f t="shared" si="23"/>
        <v>2062.41</v>
      </c>
      <c r="H244" s="555">
        <f t="shared" ca="1" si="20"/>
        <v>0</v>
      </c>
    </row>
    <row r="245" spans="1:8" x14ac:dyDescent="0.25">
      <c r="A245" s="109" t="s">
        <v>1674</v>
      </c>
      <c r="B245" s="514">
        <f>Materiais_Consumo!B67</f>
        <v>0</v>
      </c>
      <c r="C245" s="541" t="str">
        <f>Materiais_Consumo!C67</f>
        <v>Sílica Gel</v>
      </c>
      <c r="D245" s="110" t="str">
        <f>Materiais_Consumo!D67</f>
        <v>kg</v>
      </c>
      <c r="E245" s="111">
        <f>Materiais_Consumo!E67</f>
        <v>98</v>
      </c>
      <c r="F245" s="111">
        <f>Materiais_Consumo!F67</f>
        <v>31.194444444444443</v>
      </c>
      <c r="G245" s="111">
        <f t="shared" si="23"/>
        <v>3057.06</v>
      </c>
      <c r="H245" s="555">
        <f t="shared" ca="1" si="20"/>
        <v>0</v>
      </c>
    </row>
    <row r="246" spans="1:8" x14ac:dyDescent="0.25">
      <c r="A246" s="109" t="s">
        <v>1675</v>
      </c>
      <c r="B246" s="514" t="str">
        <f>Materiais_Consumo!B68</f>
        <v>039961 - SINAPI</v>
      </c>
      <c r="C246" s="541" t="str">
        <f>Materiais_Consumo!C68</f>
        <v>Silicone (acético branca) - Tubo de 280g</v>
      </c>
      <c r="D246" s="110" t="str">
        <f>Materiais_Consumo!D68</f>
        <v>un</v>
      </c>
      <c r="E246" s="111">
        <f>Materiais_Consumo!E68</f>
        <v>480</v>
      </c>
      <c r="F246" s="111">
        <f>Materiais_Consumo!F68</f>
        <v>13.64</v>
      </c>
      <c r="G246" s="111">
        <f t="shared" si="23"/>
        <v>6547.2</v>
      </c>
      <c r="H246" s="555">
        <f t="shared" ca="1" si="20"/>
        <v>1E-4</v>
      </c>
    </row>
    <row r="247" spans="1:8" x14ac:dyDescent="0.25">
      <c r="A247" s="109" t="s">
        <v>1676</v>
      </c>
      <c r="B247" s="514">
        <f>Materiais_Consumo!B69</f>
        <v>0</v>
      </c>
      <c r="C247" s="541" t="str">
        <f>Materiais_Consumo!C69</f>
        <v>Trava química</v>
      </c>
      <c r="D247" s="110" t="str">
        <f>Materiais_Consumo!D69</f>
        <v>un</v>
      </c>
      <c r="E247" s="111">
        <f>Materiais_Consumo!E69</f>
        <v>192</v>
      </c>
      <c r="F247" s="111">
        <f>Materiais_Consumo!F69</f>
        <v>48.02</v>
      </c>
      <c r="G247" s="111">
        <f t="shared" si="23"/>
        <v>9219.84</v>
      </c>
      <c r="H247" s="555">
        <f t="shared" ca="1" si="20"/>
        <v>1E-4</v>
      </c>
    </row>
    <row r="248" spans="1:8" x14ac:dyDescent="0.25">
      <c r="A248" s="109" t="s">
        <v>1677</v>
      </c>
      <c r="B248" s="514" t="str">
        <f>Materiais_Consumo!B70</f>
        <v>004869 - SBC</v>
      </c>
      <c r="C248" s="541" t="str">
        <f>Materiais_Consumo!C70</f>
        <v>Vaselina sólida anti-inflamável</v>
      </c>
      <c r="D248" s="110" t="str">
        <f>Materiais_Consumo!D70</f>
        <v>kg</v>
      </c>
      <c r="E248" s="111">
        <f>Materiais_Consumo!E70</f>
        <v>480</v>
      </c>
      <c r="F248" s="111">
        <f>Materiais_Consumo!F70</f>
        <v>32</v>
      </c>
      <c r="G248" s="111">
        <f t="shared" si="23"/>
        <v>15360</v>
      </c>
      <c r="H248" s="555">
        <f t="shared" ca="1" si="20"/>
        <v>2.0000000000000001E-4</v>
      </c>
    </row>
    <row r="249" spans="1:8" x14ac:dyDescent="0.25">
      <c r="A249" s="109" t="s">
        <v>1678</v>
      </c>
      <c r="B249" s="514"/>
      <c r="C249" s="541" t="str">
        <f>Materiais_Consumo!C74</f>
        <v>MATERIAL DE CONSUMO - ELÉTRICA</v>
      </c>
      <c r="D249" s="110"/>
      <c r="E249" s="111"/>
      <c r="F249" s="111"/>
      <c r="G249" s="111">
        <f>SUBTOTAL(109,G250:G303)</f>
        <v>381321.02</v>
      </c>
      <c r="H249" s="555">
        <f t="shared" ca="1" si="20"/>
        <v>5.4999999999999997E-3</v>
      </c>
    </row>
    <row r="250" spans="1:8" x14ac:dyDescent="0.25">
      <c r="A250" s="109" t="s">
        <v>1679</v>
      </c>
      <c r="B250" s="514" t="str">
        <f>Materiais_Consumo!B75</f>
        <v>00181 - ORSE</v>
      </c>
      <c r="C250" s="541" t="str">
        <f>Materiais_Consumo!C75</f>
        <v>Anilha Identificação - 0,5 a 6mm² (pacote com 100 unidades)</v>
      </c>
      <c r="D250" s="110" t="str">
        <f>Materiais_Consumo!D75</f>
        <v>un</v>
      </c>
      <c r="E250" s="111">
        <f>Materiais_Consumo!E75</f>
        <v>10</v>
      </c>
      <c r="F250" s="111">
        <f>Materiais_Consumo!F75</f>
        <v>0.5</v>
      </c>
      <c r="G250" s="111">
        <f t="shared" si="23"/>
        <v>5</v>
      </c>
      <c r="H250" s="555">
        <f t="shared" ca="1" si="20"/>
        <v>0</v>
      </c>
    </row>
    <row r="251" spans="1:8" x14ac:dyDescent="0.25">
      <c r="A251" s="109" t="s">
        <v>1680</v>
      </c>
      <c r="B251" s="514" t="str">
        <f>Materiais_Consumo!B76</f>
        <v>00181 - ORSE</v>
      </c>
      <c r="C251" s="541" t="str">
        <f>Materiais_Consumo!C76</f>
        <v>Anilha Identificação - 10 a 16mm² (pacote com 100 unidades)</v>
      </c>
      <c r="D251" s="110" t="str">
        <f>Materiais_Consumo!D76</f>
        <v>un</v>
      </c>
      <c r="E251" s="111">
        <f>Materiais_Consumo!E76</f>
        <v>10</v>
      </c>
      <c r="F251" s="111">
        <f>Materiais_Consumo!F76</f>
        <v>0.5</v>
      </c>
      <c r="G251" s="111">
        <f t="shared" si="23"/>
        <v>5</v>
      </c>
      <c r="H251" s="555">
        <f t="shared" ca="1" si="20"/>
        <v>0</v>
      </c>
    </row>
    <row r="252" spans="1:8" x14ac:dyDescent="0.25">
      <c r="A252" s="109" t="s">
        <v>1681</v>
      </c>
      <c r="B252" s="514" t="str">
        <f>Materiais_Consumo!B77</f>
        <v>03875 - ORSE</v>
      </c>
      <c r="C252" s="541" t="str">
        <f>Materiais_Consumo!C77</f>
        <v>Anilha Identificação - 25 a 70mm² (pacote com 100 unidades)</v>
      </c>
      <c r="D252" s="110" t="str">
        <f>Materiais_Consumo!D77</f>
        <v>un</v>
      </c>
      <c r="E252" s="111">
        <f>Materiais_Consumo!E77</f>
        <v>10</v>
      </c>
      <c r="F252" s="111">
        <f>Materiais_Consumo!F77</f>
        <v>52</v>
      </c>
      <c r="G252" s="111">
        <f t="shared" si="23"/>
        <v>520</v>
      </c>
      <c r="H252" s="555">
        <f t="shared" ca="1" si="20"/>
        <v>0</v>
      </c>
    </row>
    <row r="253" spans="1:8" x14ac:dyDescent="0.25">
      <c r="A253" s="109" t="s">
        <v>1682</v>
      </c>
      <c r="B253" s="514" t="str">
        <f>Materiais_Consumo!B78</f>
        <v>03875 - ORSE</v>
      </c>
      <c r="C253" s="541" t="str">
        <f>Materiais_Consumo!C78</f>
        <v>Anilha Identificação - 95 a 120mm² (pacote com 100 unidades)</v>
      </c>
      <c r="D253" s="110" t="str">
        <f>Materiais_Consumo!D78</f>
        <v>un</v>
      </c>
      <c r="E253" s="111">
        <f>Materiais_Consumo!E78</f>
        <v>10</v>
      </c>
      <c r="F253" s="111">
        <f>Materiais_Consumo!F78</f>
        <v>52</v>
      </c>
      <c r="G253" s="111">
        <f t="shared" si="23"/>
        <v>520</v>
      </c>
      <c r="H253" s="555">
        <f t="shared" ca="1" si="20"/>
        <v>0</v>
      </c>
    </row>
    <row r="254" spans="1:8" x14ac:dyDescent="0.25">
      <c r="A254" s="109" t="s">
        <v>1683</v>
      </c>
      <c r="B254" s="514" t="str">
        <f>Materiais_Consumo!B79</f>
        <v>03531 - ORSE</v>
      </c>
      <c r="C254" s="541" t="str">
        <f>Materiais_Consumo!C79</f>
        <v>Ar comprimido seco  Aerossol 300ml</v>
      </c>
      <c r="D254" s="110" t="str">
        <f>Materiais_Consumo!D79</f>
        <v>un</v>
      </c>
      <c r="E254" s="111">
        <f>Materiais_Consumo!E79</f>
        <v>400</v>
      </c>
      <c r="F254" s="111">
        <f>Materiais_Consumo!F79</f>
        <v>44.97</v>
      </c>
      <c r="G254" s="111">
        <f t="shared" si="23"/>
        <v>17988</v>
      </c>
      <c r="H254" s="555">
        <f t="shared" ca="1" si="20"/>
        <v>2.9999999999999997E-4</v>
      </c>
    </row>
    <row r="255" spans="1:8" ht="25.5" x14ac:dyDescent="0.25">
      <c r="A255" s="109" t="s">
        <v>1684</v>
      </c>
      <c r="B255" s="514" t="str">
        <f>Materiais_Consumo!B80</f>
        <v>00993 - SINAPI</v>
      </c>
      <c r="C255" s="541" t="str">
        <f>Materiais_Consumo!C80</f>
        <v>Cabo cobre flexível classe 4 ou 5 isolação PVC/A M 1,68 e cobertura PVC-ST1 antichama BWF-B 0,6/1 kV 1,5mm²</v>
      </c>
      <c r="D255" s="110" t="str">
        <f>Materiais_Consumo!D80</f>
        <v>m</v>
      </c>
      <c r="E255" s="111">
        <f>Materiais_Consumo!E80</f>
        <v>6000</v>
      </c>
      <c r="F255" s="111">
        <f>Materiais_Consumo!F80</f>
        <v>1.81</v>
      </c>
      <c r="G255" s="111">
        <f t="shared" si="23"/>
        <v>10860</v>
      </c>
      <c r="H255" s="555">
        <f t="shared" ca="1" si="20"/>
        <v>2.0000000000000001E-4</v>
      </c>
    </row>
    <row r="256" spans="1:8" ht="25.5" x14ac:dyDescent="0.25">
      <c r="A256" s="109" t="s">
        <v>1685</v>
      </c>
      <c r="B256" s="514" t="str">
        <f>Materiais_Consumo!B81</f>
        <v>01022 - SINAPI</v>
      </c>
      <c r="C256" s="541" t="str">
        <f>Materiais_Consumo!C81</f>
        <v>Cabo cobre flexível classe 4 ou 5 isolação PVC/A M 1,68 e cobertura PVC-ST1 antichama BWF-B 0,6/1 kV 2,5mm²</v>
      </c>
      <c r="D256" s="110" t="str">
        <f>Materiais_Consumo!D81</f>
        <v>m</v>
      </c>
      <c r="E256" s="111">
        <f>Materiais_Consumo!E81</f>
        <v>6000</v>
      </c>
      <c r="F256" s="111">
        <f>Materiais_Consumo!F81</f>
        <v>2.52</v>
      </c>
      <c r="G256" s="111">
        <f t="shared" si="23"/>
        <v>15120</v>
      </c>
      <c r="H256" s="555">
        <f t="shared" ref="H256:H319" ca="1" si="24">ROUND(G256/G$8,4)</f>
        <v>2.0000000000000001E-4</v>
      </c>
    </row>
    <row r="257" spans="1:8" ht="25.5" x14ac:dyDescent="0.25">
      <c r="A257" s="109" t="s">
        <v>1686</v>
      </c>
      <c r="B257" s="514" t="str">
        <f>Materiais_Consumo!B82</f>
        <v>01003 - SINAPI</v>
      </c>
      <c r="C257" s="541" t="str">
        <f>Materiais_Consumo!C82</f>
        <v>Cabo cobre flexível classe 4 ou 5 isolação PVC/A M 1,68 e cobertura PVC-ST1 antichama BWF-B 0,6/1 kV 4mm²</v>
      </c>
      <c r="D257" s="110" t="str">
        <f>Materiais_Consumo!D82</f>
        <v>m</v>
      </c>
      <c r="E257" s="111">
        <f>Materiais_Consumo!E82</f>
        <v>2000</v>
      </c>
      <c r="F257" s="111">
        <f>Materiais_Consumo!F82</f>
        <v>3.88</v>
      </c>
      <c r="G257" s="111">
        <f t="shared" si="23"/>
        <v>7760</v>
      </c>
      <c r="H257" s="555">
        <f t="shared" ca="1" si="24"/>
        <v>1E-4</v>
      </c>
    </row>
    <row r="258" spans="1:8" ht="25.5" x14ac:dyDescent="0.25">
      <c r="A258" s="109" t="s">
        <v>1687</v>
      </c>
      <c r="B258" s="514" t="str">
        <f>Materiais_Consumo!B83</f>
        <v>00994 - SINAPI</v>
      </c>
      <c r="C258" s="541" t="str">
        <f>Materiais_Consumo!C83</f>
        <v>Cabo cobre flexível classe 4 ou 5 isolação PVC/A M 1,68 e cobertura PVC-ST1 antichama BWF-B 0,6/1 kV 6mm²</v>
      </c>
      <c r="D258" s="110" t="str">
        <f>Materiais_Consumo!D83</f>
        <v>m</v>
      </c>
      <c r="E258" s="111">
        <f>Materiais_Consumo!E83</f>
        <v>2000</v>
      </c>
      <c r="F258" s="111">
        <f>Materiais_Consumo!F83</f>
        <v>4.93</v>
      </c>
      <c r="G258" s="111">
        <f t="shared" si="23"/>
        <v>9860</v>
      </c>
      <c r="H258" s="555">
        <f t="shared" ca="1" si="24"/>
        <v>1E-4</v>
      </c>
    </row>
    <row r="259" spans="1:8" ht="25.5" x14ac:dyDescent="0.25">
      <c r="A259" s="109" t="s">
        <v>1688</v>
      </c>
      <c r="B259" s="514" t="str">
        <f>Materiais_Consumo!B84</f>
        <v>01020 - SINAPI</v>
      </c>
      <c r="C259" s="541" t="str">
        <f>Materiais_Consumo!C84</f>
        <v>Cabo cobre flexível classe 4 ou 5 isolação PVC/A M 1,68 e cobertura PVC-ST1 antichama BWF-B 0,6/1 kV 10mm²</v>
      </c>
      <c r="D259" s="110" t="str">
        <f>Materiais_Consumo!D84</f>
        <v>m</v>
      </c>
      <c r="E259" s="111">
        <f>Materiais_Consumo!E84</f>
        <v>1000</v>
      </c>
      <c r="F259" s="111">
        <f>Materiais_Consumo!F84</f>
        <v>7.89</v>
      </c>
      <c r="G259" s="111">
        <f t="shared" si="23"/>
        <v>7890</v>
      </c>
      <c r="H259" s="555">
        <f t="shared" ca="1" si="24"/>
        <v>1E-4</v>
      </c>
    </row>
    <row r="260" spans="1:8" ht="25.5" x14ac:dyDescent="0.25">
      <c r="A260" s="109" t="s">
        <v>1689</v>
      </c>
      <c r="B260" s="514" t="str">
        <f>Materiais_Consumo!B85</f>
        <v>00995 - SINAPI</v>
      </c>
      <c r="C260" s="541" t="str">
        <f>Materiais_Consumo!C85</f>
        <v>Cabo cobre flexível classe 4 ou 5 isolação PVC/A M 1,68 e cobertura PVC-ST1 antichama BWF-B 0,6/1 kV 16mm²</v>
      </c>
      <c r="D260" s="110" t="str">
        <f>Materiais_Consumo!D85</f>
        <v>m</v>
      </c>
      <c r="E260" s="111">
        <f>Materiais_Consumo!E85</f>
        <v>1000</v>
      </c>
      <c r="F260" s="111">
        <f>Materiais_Consumo!F85</f>
        <v>12.11</v>
      </c>
      <c r="G260" s="111">
        <f t="shared" si="23"/>
        <v>12110</v>
      </c>
      <c r="H260" s="555">
        <f t="shared" ca="1" si="24"/>
        <v>2.0000000000000001E-4</v>
      </c>
    </row>
    <row r="261" spans="1:8" ht="25.5" x14ac:dyDescent="0.25">
      <c r="A261" s="109" t="s">
        <v>1690</v>
      </c>
      <c r="B261" s="514" t="str">
        <f>Materiais_Consumo!B86</f>
        <v>00996 - SINAPI</v>
      </c>
      <c r="C261" s="541" t="str">
        <f>Materiais_Consumo!C86</f>
        <v>Cabo cobre flexível classe 4 ou 5 isolação PVC/A M 1,68 e cobertura PVC-ST1 antichama BWF-B 0,6/1 kV 25mm²</v>
      </c>
      <c r="D261" s="110" t="str">
        <f>Materiais_Consumo!D86</f>
        <v>m</v>
      </c>
      <c r="E261" s="111">
        <f>Materiais_Consumo!E86</f>
        <v>600</v>
      </c>
      <c r="F261" s="111">
        <f>Materiais_Consumo!F86</f>
        <v>18.43</v>
      </c>
      <c r="G261" s="111">
        <f t="shared" si="23"/>
        <v>11058</v>
      </c>
      <c r="H261" s="555">
        <f t="shared" ca="1" si="24"/>
        <v>2.0000000000000001E-4</v>
      </c>
    </row>
    <row r="262" spans="1:8" ht="25.5" x14ac:dyDescent="0.25">
      <c r="A262" s="109" t="s">
        <v>1691</v>
      </c>
      <c r="B262" s="514" t="str">
        <f>Materiais_Consumo!B87</f>
        <v>01019 - SINAPI</v>
      </c>
      <c r="C262" s="541" t="str">
        <f>Materiais_Consumo!C87</f>
        <v>Cabo cobre flexível classe 4 ou 5 isolação PVC/A M 1,68 e cobertura PVC-ST1 antichama BWF-B 0,6/1 kV 35mm²</v>
      </c>
      <c r="D262" s="110" t="str">
        <f>Materiais_Consumo!D87</f>
        <v>m</v>
      </c>
      <c r="E262" s="111">
        <f>Materiais_Consumo!E87</f>
        <v>500</v>
      </c>
      <c r="F262" s="111">
        <f>Materiais_Consumo!F87</f>
        <v>25.41</v>
      </c>
      <c r="G262" s="111">
        <f t="shared" si="23"/>
        <v>12705</v>
      </c>
      <c r="H262" s="555">
        <f t="shared" ca="1" si="24"/>
        <v>2.0000000000000001E-4</v>
      </c>
    </row>
    <row r="263" spans="1:8" ht="25.5" x14ac:dyDescent="0.25">
      <c r="A263" s="109" t="s">
        <v>1692</v>
      </c>
      <c r="B263" s="514" t="str">
        <f>Materiais_Consumo!B88</f>
        <v>01018 - SINAPI</v>
      </c>
      <c r="C263" s="541" t="str">
        <f>Materiais_Consumo!C88</f>
        <v>Cabo cobre flexível classe 4 ou 5 isolação PVC/A M 1,68 e cobertura PVC-ST1 antichama BWF-B 0,6/1 kV 50mm²</v>
      </c>
      <c r="D263" s="110" t="str">
        <f>Materiais_Consumo!D88</f>
        <v>m</v>
      </c>
      <c r="E263" s="111">
        <f>Materiais_Consumo!E88</f>
        <v>500</v>
      </c>
      <c r="F263" s="111">
        <f>Materiais_Consumo!F88</f>
        <v>36.22</v>
      </c>
      <c r="G263" s="111">
        <f t="shared" si="23"/>
        <v>18110</v>
      </c>
      <c r="H263" s="555">
        <f t="shared" ca="1" si="24"/>
        <v>2.9999999999999997E-4</v>
      </c>
    </row>
    <row r="264" spans="1:8" ht="25.5" x14ac:dyDescent="0.25">
      <c r="A264" s="109" t="s">
        <v>1693</v>
      </c>
      <c r="B264" s="514" t="str">
        <f>Materiais_Consumo!B89</f>
        <v>00977 - SINAPI</v>
      </c>
      <c r="C264" s="541" t="str">
        <f>Materiais_Consumo!C89</f>
        <v>Cabo cobre flexível classe 4 ou 5 isolação PVC/A M 1,68 e cobertura PVC-ST1 antichama BWF-B 0,6/1 kV 70mm²</v>
      </c>
      <c r="D264" s="110" t="str">
        <f>Materiais_Consumo!D89</f>
        <v>m</v>
      </c>
      <c r="E264" s="111">
        <f>Materiais_Consumo!E89</f>
        <v>500</v>
      </c>
      <c r="F264" s="111">
        <f>Materiais_Consumo!F89</f>
        <v>50.18</v>
      </c>
      <c r="G264" s="111">
        <f t="shared" si="23"/>
        <v>25090</v>
      </c>
      <c r="H264" s="555">
        <f t="shared" ca="1" si="24"/>
        <v>4.0000000000000002E-4</v>
      </c>
    </row>
    <row r="265" spans="1:8" ht="25.5" x14ac:dyDescent="0.25">
      <c r="A265" s="109" t="s">
        <v>1694</v>
      </c>
      <c r="B265" s="514" t="str">
        <f>Materiais_Consumo!B90</f>
        <v>00998 - SINAPI</v>
      </c>
      <c r="C265" s="541" t="str">
        <f>Materiais_Consumo!C90</f>
        <v>Cabo cobre flexível classe 4 ou 5 isolação PVC/A M 1,68 e cobertura PVC-ST1 antichama BWF-B 0,6/1 kV 95mm²</v>
      </c>
      <c r="D265" s="110" t="str">
        <f>Materiais_Consumo!D90</f>
        <v>m</v>
      </c>
      <c r="E265" s="111">
        <f>Materiais_Consumo!E90</f>
        <v>200</v>
      </c>
      <c r="F265" s="111">
        <f>Materiais_Consumo!F90</f>
        <v>66.650000000000006</v>
      </c>
      <c r="G265" s="111">
        <f t="shared" si="23"/>
        <v>13330</v>
      </c>
      <c r="H265" s="555">
        <f t="shared" ca="1" si="24"/>
        <v>2.0000000000000001E-4</v>
      </c>
    </row>
    <row r="266" spans="1:8" ht="25.5" x14ac:dyDescent="0.25">
      <c r="A266" s="109" t="s">
        <v>1695</v>
      </c>
      <c r="B266" s="514" t="str">
        <f>Materiais_Consumo!B91</f>
        <v>01017 - SINAPI</v>
      </c>
      <c r="C266" s="541" t="str">
        <f>Materiais_Consumo!C91</f>
        <v>Cabo cobre flexível classe 4 ou 5 isolação PVC/A M 1,68 e cobertura PVC-ST1 antichama BWF-B 0,6/1 kV 120mm²</v>
      </c>
      <c r="D266" s="110" t="str">
        <f>Materiais_Consumo!D91</f>
        <v>m</v>
      </c>
      <c r="E266" s="111">
        <f>Materiais_Consumo!E91</f>
        <v>200</v>
      </c>
      <c r="F266" s="111">
        <f>Materiais_Consumo!F91</f>
        <v>86.77</v>
      </c>
      <c r="G266" s="111">
        <f t="shared" si="23"/>
        <v>17354</v>
      </c>
      <c r="H266" s="555">
        <f t="shared" ca="1" si="24"/>
        <v>2.9999999999999997E-4</v>
      </c>
    </row>
    <row r="267" spans="1:8" x14ac:dyDescent="0.25">
      <c r="A267" s="109" t="s">
        <v>1696</v>
      </c>
      <c r="B267" s="514" t="str">
        <f>Materiais_Consumo!B92</f>
        <v>25005 - SINAPI</v>
      </c>
      <c r="C267" s="541" t="str">
        <f>Materiais_Consumo!C92</f>
        <v>Cabo de alumínio nu bitola 1/0 AWG (kg)</v>
      </c>
      <c r="D267" s="110" t="str">
        <f>Materiais_Consumo!D92</f>
        <v>kg</v>
      </c>
      <c r="E267" s="111">
        <f>Materiais_Consumo!E92</f>
        <v>600</v>
      </c>
      <c r="F267" s="111">
        <f>Materiais_Consumo!F92</f>
        <v>18.09</v>
      </c>
      <c r="G267" s="111">
        <f t="shared" si="23"/>
        <v>10854</v>
      </c>
      <c r="H267" s="555">
        <f t="shared" ca="1" si="24"/>
        <v>2.0000000000000001E-4</v>
      </c>
    </row>
    <row r="268" spans="1:8" x14ac:dyDescent="0.25">
      <c r="A268" s="109" t="s">
        <v>1697</v>
      </c>
      <c r="B268" s="514" t="str">
        <f>Materiais_Consumo!B93</f>
        <v>00842 - SINAPI</v>
      </c>
      <c r="C268" s="541" t="str">
        <f>Materiais_Consumo!C93</f>
        <v>Cabo de alumínio nu bitola 4/0 AWG (kg)</v>
      </c>
      <c r="D268" s="110" t="str">
        <f>Materiais_Consumo!D93</f>
        <v>kg</v>
      </c>
      <c r="E268" s="111">
        <f>Materiais_Consumo!E93</f>
        <v>1200</v>
      </c>
      <c r="F268" s="111">
        <f>Materiais_Consumo!F93</f>
        <v>20.350000000000001</v>
      </c>
      <c r="G268" s="111">
        <f t="shared" si="23"/>
        <v>24420</v>
      </c>
      <c r="H268" s="555">
        <f t="shared" ca="1" si="24"/>
        <v>4.0000000000000002E-4</v>
      </c>
    </row>
    <row r="269" spans="1:8" x14ac:dyDescent="0.25">
      <c r="A269" s="109" t="s">
        <v>1698</v>
      </c>
      <c r="B269" s="514" t="str">
        <f>Materiais_Consumo!B94</f>
        <v>00863 - SINAPI</v>
      </c>
      <c r="C269" s="541" t="str">
        <f>Materiais_Consumo!C94</f>
        <v>Cabo de cobre nu, eletrolítico, têmpera meio duro, #35mm² (m)</v>
      </c>
      <c r="D269" s="110" t="str">
        <f>Materiais_Consumo!D94</f>
        <v>m</v>
      </c>
      <c r="E269" s="111">
        <f>Materiais_Consumo!E94</f>
        <v>500</v>
      </c>
      <c r="F269" s="111">
        <f>Materiais_Consumo!F94</f>
        <v>15.08</v>
      </c>
      <c r="G269" s="111">
        <f t="shared" si="23"/>
        <v>7540</v>
      </c>
      <c r="H269" s="555">
        <f t="shared" ca="1" si="24"/>
        <v>1E-4</v>
      </c>
    </row>
    <row r="270" spans="1:8" x14ac:dyDescent="0.25">
      <c r="A270" s="109" t="s">
        <v>1699</v>
      </c>
      <c r="B270" s="514" t="str">
        <f>Materiais_Consumo!B95</f>
        <v>00867 - SINAPI</v>
      </c>
      <c r="C270" s="541" t="str">
        <f>Materiais_Consumo!C95</f>
        <v>Cabo de cobre nu, eletrolítico, têmpera meio duro, #50mm² (m)</v>
      </c>
      <c r="D270" s="110" t="str">
        <f>Materiais_Consumo!D95</f>
        <v>m</v>
      </c>
      <c r="E270" s="111">
        <f>Materiais_Consumo!E95</f>
        <v>500</v>
      </c>
      <c r="F270" s="111">
        <f>Materiais_Consumo!F95</f>
        <v>21.01</v>
      </c>
      <c r="G270" s="111">
        <f t="shared" si="23"/>
        <v>10505</v>
      </c>
      <c r="H270" s="555">
        <f t="shared" ca="1" si="24"/>
        <v>2.0000000000000001E-4</v>
      </c>
    </row>
    <row r="271" spans="1:8" x14ac:dyDescent="0.25">
      <c r="A271" s="109" t="s">
        <v>1700</v>
      </c>
      <c r="B271" s="514" t="str">
        <f>Materiais_Consumo!B96</f>
        <v>00864 - SINAPI</v>
      </c>
      <c r="C271" s="541" t="str">
        <f>Materiais_Consumo!C96</f>
        <v>Cabo de cobre nu, eletrolítico, têmpera meio duro, #70mm² (m)</v>
      </c>
      <c r="D271" s="110" t="str">
        <f>Materiais_Consumo!D96</f>
        <v>m</v>
      </c>
      <c r="E271" s="111">
        <f>Materiais_Consumo!E96</f>
        <v>500</v>
      </c>
      <c r="F271" s="111">
        <f>Materiais_Consumo!F96</f>
        <v>29.6</v>
      </c>
      <c r="G271" s="111">
        <f t="shared" si="23"/>
        <v>14800</v>
      </c>
      <c r="H271" s="555">
        <f t="shared" ca="1" si="24"/>
        <v>2.0000000000000001E-4</v>
      </c>
    </row>
    <row r="272" spans="1:8" x14ac:dyDescent="0.25">
      <c r="A272" s="109" t="s">
        <v>1701</v>
      </c>
      <c r="B272" s="514" t="str">
        <f>Materiais_Consumo!B97</f>
        <v>09720 - ORSE</v>
      </c>
      <c r="C272" s="541" t="str">
        <f>Materiais_Consumo!C97</f>
        <v>Conector para haste aterramento #35mm² GTDU</v>
      </c>
      <c r="D272" s="110" t="str">
        <f>Materiais_Consumo!D97</f>
        <v>un</v>
      </c>
      <c r="E272" s="111">
        <f>Materiais_Consumo!E97</f>
        <v>50</v>
      </c>
      <c r="F272" s="111">
        <f>Materiais_Consumo!F97</f>
        <v>29.99</v>
      </c>
      <c r="G272" s="111">
        <f t="shared" si="23"/>
        <v>1499.5</v>
      </c>
      <c r="H272" s="555">
        <f t="shared" ca="1" si="24"/>
        <v>0</v>
      </c>
    </row>
    <row r="273" spans="1:8" x14ac:dyDescent="0.25">
      <c r="A273" s="109" t="s">
        <v>1702</v>
      </c>
      <c r="B273" s="514" t="str">
        <f>Materiais_Consumo!B98</f>
        <v>09720 - ORSE</v>
      </c>
      <c r="C273" s="541" t="str">
        <f>Materiais_Consumo!C98</f>
        <v>Conector para haste aterramento #50mm² GTDU</v>
      </c>
      <c r="D273" s="110" t="str">
        <f>Materiais_Consumo!D98</f>
        <v>un</v>
      </c>
      <c r="E273" s="111">
        <f>Materiais_Consumo!E98</f>
        <v>40</v>
      </c>
      <c r="F273" s="111">
        <f>Materiais_Consumo!F98</f>
        <v>29.99</v>
      </c>
      <c r="G273" s="111">
        <f t="shared" si="23"/>
        <v>1199.5999999999999</v>
      </c>
      <c r="H273" s="555">
        <f t="shared" ca="1" si="24"/>
        <v>0</v>
      </c>
    </row>
    <row r="274" spans="1:8" x14ac:dyDescent="0.25">
      <c r="A274" s="109" t="s">
        <v>1703</v>
      </c>
      <c r="B274" s="514" t="str">
        <f>Materiais_Consumo!B99</f>
        <v>09720 - ORSE</v>
      </c>
      <c r="C274" s="541" t="str">
        <f>Materiais_Consumo!C99</f>
        <v>Conector para haste aterramento #70mm² GTDU</v>
      </c>
      <c r="D274" s="110" t="str">
        <f>Materiais_Consumo!D99</f>
        <v>un</v>
      </c>
      <c r="E274" s="111">
        <f>Materiais_Consumo!E99</f>
        <v>40</v>
      </c>
      <c r="F274" s="111">
        <f>Materiais_Consumo!F99</f>
        <v>29.99</v>
      </c>
      <c r="G274" s="111">
        <f t="shared" si="23"/>
        <v>1199.5999999999999</v>
      </c>
      <c r="H274" s="555">
        <f t="shared" ca="1" si="24"/>
        <v>0</v>
      </c>
    </row>
    <row r="275" spans="1:8" x14ac:dyDescent="0.25">
      <c r="A275" s="109" t="s">
        <v>1704</v>
      </c>
      <c r="B275" s="514" t="str">
        <f>Materiais_Consumo!B100</f>
        <v>11602 - ORSE</v>
      </c>
      <c r="C275" s="541" t="str">
        <f>Materiais_Consumo!C100</f>
        <v>Filtro de ventiladores de painéis</v>
      </c>
      <c r="D275" s="110" t="str">
        <f>Materiais_Consumo!D100</f>
        <v>un</v>
      </c>
      <c r="E275" s="111">
        <f>Materiais_Consumo!E100</f>
        <v>180</v>
      </c>
      <c r="F275" s="111">
        <f>Materiais_Consumo!F100</f>
        <v>20.100000000000001</v>
      </c>
      <c r="G275" s="111">
        <f t="shared" si="23"/>
        <v>3618</v>
      </c>
      <c r="H275" s="555">
        <f t="shared" ca="1" si="24"/>
        <v>1E-4</v>
      </c>
    </row>
    <row r="276" spans="1:8" ht="25.5" x14ac:dyDescent="0.25">
      <c r="A276" s="109" t="s">
        <v>1705</v>
      </c>
      <c r="B276" s="514">
        <f>Materiais_Consumo!B101</f>
        <v>0</v>
      </c>
      <c r="C276" s="541" t="str">
        <f>Materiais_Consumo!C101</f>
        <v>Filtro dos motores do eixo leste EBV4, 5 e 6 (fabricante Aeroglass-ref 11140737)</v>
      </c>
      <c r="D276" s="110" t="str">
        <f>Materiais_Consumo!D101</f>
        <v>un</v>
      </c>
      <c r="E276" s="111">
        <f>Materiais_Consumo!E101</f>
        <v>48</v>
      </c>
      <c r="F276" s="111">
        <f>Materiais_Consumo!F101</f>
        <v>15</v>
      </c>
      <c r="G276" s="111">
        <f t="shared" si="23"/>
        <v>720</v>
      </c>
      <c r="H276" s="555">
        <f t="shared" ca="1" si="24"/>
        <v>0</v>
      </c>
    </row>
    <row r="277" spans="1:8" ht="25.5" x14ac:dyDescent="0.25">
      <c r="A277" s="109" t="s">
        <v>1706</v>
      </c>
      <c r="B277" s="514">
        <f>Materiais_Consumo!B102</f>
        <v>0</v>
      </c>
      <c r="C277" s="541" t="str">
        <f>Materiais_Consumo!C102</f>
        <v>Filtro dos motores do eixo leste EBV1, 2 e 3 (fabricante Aeroglass-modelo FMT_C2015 inox - 345x925x25mm)</v>
      </c>
      <c r="D277" s="110" t="str">
        <f>Materiais_Consumo!D102</f>
        <v>un</v>
      </c>
      <c r="E277" s="111">
        <f>Materiais_Consumo!E102</f>
        <v>64</v>
      </c>
      <c r="F277" s="111">
        <f>Materiais_Consumo!F102</f>
        <v>240</v>
      </c>
      <c r="G277" s="111">
        <f t="shared" si="23"/>
        <v>15360</v>
      </c>
      <c r="H277" s="555">
        <f t="shared" ca="1" si="24"/>
        <v>2.0000000000000001E-4</v>
      </c>
    </row>
    <row r="278" spans="1:8" ht="25.5" x14ac:dyDescent="0.25">
      <c r="A278" s="109" t="s">
        <v>1707</v>
      </c>
      <c r="B278" s="514" t="str">
        <f>Materiais_Consumo!B103</f>
        <v>02643 - ORSE</v>
      </c>
      <c r="C278" s="541" t="str">
        <f>Materiais_Consumo!C103</f>
        <v>Fita isolante de borracha autofusão impermeável à prova dágua , até 69 kV (alta tensão)- 19mm x 10m</v>
      </c>
      <c r="D278" s="110" t="str">
        <f>Materiais_Consumo!D103</f>
        <v>un</v>
      </c>
      <c r="E278" s="111">
        <f>Materiais_Consumo!E103</f>
        <v>756</v>
      </c>
      <c r="F278" s="111">
        <f>Materiais_Consumo!F103</f>
        <v>12.6</v>
      </c>
      <c r="G278" s="111">
        <f t="shared" si="23"/>
        <v>9525.6</v>
      </c>
      <c r="H278" s="555">
        <f t="shared" ca="1" si="24"/>
        <v>1E-4</v>
      </c>
    </row>
    <row r="279" spans="1:8" x14ac:dyDescent="0.25">
      <c r="A279" s="109" t="s">
        <v>1708</v>
      </c>
      <c r="B279" s="514" t="str">
        <f>Materiais_Consumo!B104</f>
        <v>020111 - SINAPI</v>
      </c>
      <c r="C279" s="541" t="str">
        <f>Materiais_Consumo!C104</f>
        <v>Fita isolante adesiva antichama 19mm x 20m</v>
      </c>
      <c r="D279" s="110" t="str">
        <f>Materiais_Consumo!D104</f>
        <v>un</v>
      </c>
      <c r="E279" s="111">
        <f>Materiais_Consumo!E104</f>
        <v>1512</v>
      </c>
      <c r="F279" s="111">
        <f>Materiais_Consumo!F104</f>
        <v>7.34</v>
      </c>
      <c r="G279" s="111">
        <f t="shared" si="23"/>
        <v>11098.08</v>
      </c>
      <c r="H279" s="555">
        <f t="shared" ca="1" si="24"/>
        <v>2.0000000000000001E-4</v>
      </c>
    </row>
    <row r="280" spans="1:8" x14ac:dyDescent="0.25">
      <c r="A280" s="109" t="s">
        <v>1709</v>
      </c>
      <c r="B280" s="514" t="str">
        <f>Materiais_Consumo!B105</f>
        <v>01118 - ORSE</v>
      </c>
      <c r="C280" s="541" t="str">
        <f>Materiais_Consumo!C105</f>
        <v>Interruptor simples com 01 tecla</v>
      </c>
      <c r="D280" s="110" t="str">
        <f>Materiais_Consumo!D105</f>
        <v>un</v>
      </c>
      <c r="E280" s="111">
        <f>Materiais_Consumo!E105</f>
        <v>4</v>
      </c>
      <c r="F280" s="111">
        <f>Materiais_Consumo!F105</f>
        <v>6.7</v>
      </c>
      <c r="G280" s="111">
        <f t="shared" si="23"/>
        <v>26.8</v>
      </c>
      <c r="H280" s="555">
        <f t="shared" ca="1" si="24"/>
        <v>0</v>
      </c>
    </row>
    <row r="281" spans="1:8" x14ac:dyDescent="0.25">
      <c r="A281" s="109" t="s">
        <v>1710</v>
      </c>
      <c r="B281" s="514" t="str">
        <f>Materiais_Consumo!B106</f>
        <v>01119 - ORSE</v>
      </c>
      <c r="C281" s="541" t="str">
        <f>Materiais_Consumo!C106</f>
        <v>Interruptor simples com 02 teclas</v>
      </c>
      <c r="D281" s="110" t="str">
        <f>Materiais_Consumo!D106</f>
        <v>un</v>
      </c>
      <c r="E281" s="111">
        <f>Materiais_Consumo!E106</f>
        <v>4</v>
      </c>
      <c r="F281" s="111">
        <f>Materiais_Consumo!F106</f>
        <v>6.2</v>
      </c>
      <c r="G281" s="111">
        <f t="shared" si="23"/>
        <v>24.8</v>
      </c>
      <c r="H281" s="555">
        <f t="shared" ca="1" si="24"/>
        <v>0</v>
      </c>
    </row>
    <row r="282" spans="1:8" x14ac:dyDescent="0.25">
      <c r="A282" s="109" t="s">
        <v>1711</v>
      </c>
      <c r="B282" s="514" t="str">
        <f>Materiais_Consumo!B107</f>
        <v>38070 - SINAPI</v>
      </c>
      <c r="C282" s="541" t="str">
        <f>Materiais_Consumo!C107</f>
        <v>Interruptor tipo three-way (paralelos) com 02 teclas</v>
      </c>
      <c r="D282" s="110" t="str">
        <f>Materiais_Consumo!D107</f>
        <v>un</v>
      </c>
      <c r="E282" s="111">
        <f>Materiais_Consumo!E107</f>
        <v>4</v>
      </c>
      <c r="F282" s="111">
        <f>Materiais_Consumo!F107</f>
        <v>16.11</v>
      </c>
      <c r="G282" s="111">
        <f t="shared" si="23"/>
        <v>64.44</v>
      </c>
      <c r="H282" s="555">
        <f t="shared" ca="1" si="24"/>
        <v>0</v>
      </c>
    </row>
    <row r="283" spans="1:8" x14ac:dyDescent="0.25">
      <c r="A283" s="109" t="s">
        <v>1712</v>
      </c>
      <c r="B283" s="514">
        <f>Materiais_Consumo!B108</f>
        <v>0</v>
      </c>
      <c r="C283" s="541" t="str">
        <f>Materiais_Consumo!C108</f>
        <v>Limpador de contatos elétricos 300ml</v>
      </c>
      <c r="D283" s="110" t="str">
        <f>Materiais_Consumo!D108</f>
        <v>un</v>
      </c>
      <c r="E283" s="111">
        <f>Materiais_Consumo!E108</f>
        <v>200</v>
      </c>
      <c r="F283" s="111">
        <f>Materiais_Consumo!F108</f>
        <v>8.77</v>
      </c>
      <c r="G283" s="111">
        <f t="shared" si="23"/>
        <v>1754</v>
      </c>
      <c r="H283" s="555">
        <f t="shared" ca="1" si="24"/>
        <v>0</v>
      </c>
    </row>
    <row r="284" spans="1:8" x14ac:dyDescent="0.25">
      <c r="A284" s="109" t="s">
        <v>1713</v>
      </c>
      <c r="B284" s="514" t="str">
        <f>Materiais_Consumo!B109</f>
        <v>004221 - SINAPI</v>
      </c>
      <c r="C284" s="541" t="str">
        <f>Materiais_Consumo!C109</f>
        <v>Diesel comum (l)</v>
      </c>
      <c r="D284" s="110" t="str">
        <f>Materiais_Consumo!D109</f>
        <v>l</v>
      </c>
      <c r="E284" s="111">
        <f>Materiais_Consumo!E109</f>
        <v>9720</v>
      </c>
      <c r="F284" s="111">
        <f>Materiais_Consumo!F109</f>
        <v>3.69</v>
      </c>
      <c r="G284" s="111">
        <f t="shared" si="23"/>
        <v>35866.800000000003</v>
      </c>
      <c r="H284" s="555">
        <f t="shared" ca="1" si="24"/>
        <v>5.0000000000000001E-4</v>
      </c>
    </row>
    <row r="285" spans="1:8" x14ac:dyDescent="0.25">
      <c r="A285" s="109" t="s">
        <v>1714</v>
      </c>
      <c r="B285" s="514">
        <f>Materiais_Consumo!B110</f>
        <v>0</v>
      </c>
      <c r="C285" s="541" t="str">
        <f>Materiais_Consumo!C110</f>
        <v>Pano para limpeza</v>
      </c>
      <c r="D285" s="110" t="str">
        <f>Materiais_Consumo!D110</f>
        <v xml:space="preserve"> kg </v>
      </c>
      <c r="E285" s="111">
        <f>Materiais_Consumo!E110</f>
        <v>50</v>
      </c>
      <c r="F285" s="111">
        <f>Materiais_Consumo!F110</f>
        <v>8.0500000000000007</v>
      </c>
      <c r="G285" s="111">
        <f t="shared" si="23"/>
        <v>402.5</v>
      </c>
      <c r="H285" s="555">
        <f t="shared" ca="1" si="24"/>
        <v>0</v>
      </c>
    </row>
    <row r="286" spans="1:8" x14ac:dyDescent="0.25">
      <c r="A286" s="109" t="s">
        <v>1715</v>
      </c>
      <c r="B286" s="514" t="str">
        <f>Materiais_Consumo!B111</f>
        <v>11443 - ORSE</v>
      </c>
      <c r="C286" s="541" t="str">
        <f>Materiais_Consumo!C111</f>
        <v>Pincel - kit 03 pincéis 1/2" 1" 1.1/2"</v>
      </c>
      <c r="D286" s="110" t="str">
        <f>Materiais_Consumo!D111</f>
        <v>un</v>
      </c>
      <c r="E286" s="111">
        <f>Materiais_Consumo!E111</f>
        <v>76</v>
      </c>
      <c r="F286" s="111">
        <f>Materiais_Consumo!F111</f>
        <v>6.18</v>
      </c>
      <c r="G286" s="111">
        <f t="shared" si="23"/>
        <v>469.68</v>
      </c>
      <c r="H286" s="555">
        <f t="shared" ca="1" si="24"/>
        <v>0</v>
      </c>
    </row>
    <row r="287" spans="1:8" x14ac:dyDescent="0.25">
      <c r="A287" s="109" t="s">
        <v>1716</v>
      </c>
      <c r="B287" s="514">
        <f>Materiais_Consumo!B112</f>
        <v>0</v>
      </c>
      <c r="C287" s="541" t="str">
        <f>Materiais_Consumo!C112</f>
        <v>Recarga de gás SF6 (hexafluoreto de enxofre) -52,16 kg</v>
      </c>
      <c r="D287" s="110" t="str">
        <f>Materiais_Consumo!D112</f>
        <v>un</v>
      </c>
      <c r="E287" s="111">
        <f>Materiais_Consumo!E112</f>
        <v>2</v>
      </c>
      <c r="F287" s="111">
        <f>Materiais_Consumo!F112</f>
        <v>5182.1000000000004</v>
      </c>
      <c r="G287" s="111">
        <f t="shared" si="23"/>
        <v>10364.200000000001</v>
      </c>
      <c r="H287" s="555">
        <f t="shared" ca="1" si="24"/>
        <v>1E-4</v>
      </c>
    </row>
    <row r="288" spans="1:8" x14ac:dyDescent="0.25">
      <c r="A288" s="109" t="s">
        <v>1717</v>
      </c>
      <c r="B288" s="514">
        <f>Materiais_Consumo!B113</f>
        <v>0</v>
      </c>
      <c r="C288" s="541" t="str">
        <f>Materiais_Consumo!C113</f>
        <v>Sabão líquido neutro (5 l)</v>
      </c>
      <c r="D288" s="110" t="str">
        <f>Materiais_Consumo!D113</f>
        <v>un</v>
      </c>
      <c r="E288" s="111">
        <f>Materiais_Consumo!E113</f>
        <v>54</v>
      </c>
      <c r="F288" s="111">
        <f>Materiais_Consumo!F113</f>
        <v>24.57</v>
      </c>
      <c r="G288" s="111">
        <f t="shared" si="23"/>
        <v>1326.78</v>
      </c>
      <c r="H288" s="555">
        <f t="shared" ca="1" si="24"/>
        <v>0</v>
      </c>
    </row>
    <row r="289" spans="1:8" x14ac:dyDescent="0.25">
      <c r="A289" s="109" t="s">
        <v>1718</v>
      </c>
      <c r="B289" s="514" t="str">
        <f>Materiais_Consumo!B114</f>
        <v>02922 - ORSE</v>
      </c>
      <c r="C289" s="541" t="str">
        <f>Materiais_Consumo!C114</f>
        <v>Solvente/Desengraxante de alta rigidez dielétrica  1l</v>
      </c>
      <c r="D289" s="110" t="str">
        <f>Materiais_Consumo!D114</f>
        <v>un</v>
      </c>
      <c r="E289" s="111">
        <f>Materiais_Consumo!E114</f>
        <v>36</v>
      </c>
      <c r="F289" s="111">
        <f>Materiais_Consumo!F114</f>
        <v>20.14</v>
      </c>
      <c r="G289" s="111">
        <f t="shared" si="23"/>
        <v>725.04</v>
      </c>
      <c r="H289" s="555">
        <f t="shared" ca="1" si="24"/>
        <v>0</v>
      </c>
    </row>
    <row r="290" spans="1:8" ht="25.5" x14ac:dyDescent="0.25">
      <c r="A290" s="109" t="s">
        <v>1719</v>
      </c>
      <c r="B290" s="514" t="str">
        <f>Materiais_Consumo!B115</f>
        <v>12377 - ORSE*</v>
      </c>
      <c r="C290" s="541" t="str">
        <f>Materiais_Consumo!C115</f>
        <v>Terminal isolado tipo agulha para condutores de 0,5 a 1,5mm² (pct c/ 100)</v>
      </c>
      <c r="D290" s="110" t="str">
        <f>Materiais_Consumo!D115</f>
        <v>un</v>
      </c>
      <c r="E290" s="111">
        <f>Materiais_Consumo!E115</f>
        <v>300</v>
      </c>
      <c r="F290" s="111">
        <f>Materiais_Consumo!F115</f>
        <v>37</v>
      </c>
      <c r="G290" s="111">
        <f t="shared" si="23"/>
        <v>11100</v>
      </c>
      <c r="H290" s="555">
        <f t="shared" ca="1" si="24"/>
        <v>2.0000000000000001E-4</v>
      </c>
    </row>
    <row r="291" spans="1:8" ht="25.5" x14ac:dyDescent="0.25">
      <c r="A291" s="109" t="s">
        <v>1720</v>
      </c>
      <c r="B291" s="514" t="str">
        <f>Materiais_Consumo!B116</f>
        <v>12377 - ORSE*</v>
      </c>
      <c r="C291" s="541" t="str">
        <f>Materiais_Consumo!C116</f>
        <v>Terminal isolado tipo agulha para condutores de 1,5 a 2,5 mm² (pct c/ 100)</v>
      </c>
      <c r="D291" s="110" t="str">
        <f>Materiais_Consumo!D116</f>
        <v>un</v>
      </c>
      <c r="E291" s="111">
        <f>Materiais_Consumo!E116</f>
        <v>300</v>
      </c>
      <c r="F291" s="111">
        <f>Materiais_Consumo!F116</f>
        <v>37</v>
      </c>
      <c r="G291" s="111">
        <f t="shared" si="23"/>
        <v>11100</v>
      </c>
      <c r="H291" s="555">
        <f t="shared" ca="1" si="24"/>
        <v>2.0000000000000001E-4</v>
      </c>
    </row>
    <row r="292" spans="1:8" ht="25.5" x14ac:dyDescent="0.25">
      <c r="A292" s="109" t="s">
        <v>1721</v>
      </c>
      <c r="B292" s="514" t="str">
        <f>Materiais_Consumo!B117</f>
        <v>07948 - ORSE*</v>
      </c>
      <c r="C292" s="541" t="str">
        <f>Materiais_Consumo!C117</f>
        <v>Terminal isolado tipo agulha para condutores de 4 a 6 mm² (pct c/ 100)</v>
      </c>
      <c r="D292" s="110" t="str">
        <f>Materiais_Consumo!D117</f>
        <v>un</v>
      </c>
      <c r="E292" s="111">
        <f>Materiais_Consumo!E117</f>
        <v>300</v>
      </c>
      <c r="F292" s="111">
        <f>Materiais_Consumo!F117</f>
        <v>39</v>
      </c>
      <c r="G292" s="111">
        <f t="shared" si="23"/>
        <v>11700</v>
      </c>
      <c r="H292" s="555">
        <f t="shared" ca="1" si="24"/>
        <v>2.0000000000000001E-4</v>
      </c>
    </row>
    <row r="293" spans="1:8" x14ac:dyDescent="0.25">
      <c r="A293" s="109" t="s">
        <v>1722</v>
      </c>
      <c r="B293" s="514" t="str">
        <f>Materiais_Consumo!B118</f>
        <v>04669 - ORSE</v>
      </c>
      <c r="C293" s="541" t="str">
        <f>Materiais_Consumo!C118</f>
        <v>Terminal de compressão – 10mm²</v>
      </c>
      <c r="D293" s="110" t="str">
        <f>Materiais_Consumo!D118</f>
        <v>un</v>
      </c>
      <c r="E293" s="111">
        <f>Materiais_Consumo!E118</f>
        <v>400</v>
      </c>
      <c r="F293" s="111">
        <f>Materiais_Consumo!F118</f>
        <v>1.02</v>
      </c>
      <c r="G293" s="111">
        <f t="shared" si="23"/>
        <v>408</v>
      </c>
      <c r="H293" s="555">
        <f t="shared" ca="1" si="24"/>
        <v>0</v>
      </c>
    </row>
    <row r="294" spans="1:8" x14ac:dyDescent="0.25">
      <c r="A294" s="109" t="s">
        <v>1723</v>
      </c>
      <c r="B294" s="514" t="str">
        <f>Materiais_Consumo!B119</f>
        <v>04670 - ORSE</v>
      </c>
      <c r="C294" s="541" t="str">
        <f>Materiais_Consumo!C119</f>
        <v>Terminal de compressão – 16mm²</v>
      </c>
      <c r="D294" s="110" t="str">
        <f>Materiais_Consumo!D119</f>
        <v>un</v>
      </c>
      <c r="E294" s="111">
        <f>Materiais_Consumo!E119</f>
        <v>400</v>
      </c>
      <c r="F294" s="111">
        <f>Materiais_Consumo!F119</f>
        <v>1.21</v>
      </c>
      <c r="G294" s="111">
        <f t="shared" si="23"/>
        <v>484</v>
      </c>
      <c r="H294" s="555">
        <f t="shared" ca="1" si="24"/>
        <v>0</v>
      </c>
    </row>
    <row r="295" spans="1:8" x14ac:dyDescent="0.25">
      <c r="A295" s="109" t="s">
        <v>1724</v>
      </c>
      <c r="B295" s="514" t="str">
        <f>Materiais_Consumo!B120</f>
        <v>02676 - ORSE</v>
      </c>
      <c r="C295" s="541" t="str">
        <f>Materiais_Consumo!C120</f>
        <v>Terminal de compressão – 25mm²</v>
      </c>
      <c r="D295" s="110" t="str">
        <f>Materiais_Consumo!D120</f>
        <v>un</v>
      </c>
      <c r="E295" s="111">
        <f>Materiais_Consumo!E120</f>
        <v>200</v>
      </c>
      <c r="F295" s="111">
        <f>Materiais_Consumo!F120</f>
        <v>1.68</v>
      </c>
      <c r="G295" s="111">
        <f t="shared" si="23"/>
        <v>336</v>
      </c>
      <c r="H295" s="555">
        <f t="shared" ca="1" si="24"/>
        <v>0</v>
      </c>
    </row>
    <row r="296" spans="1:8" x14ac:dyDescent="0.25">
      <c r="A296" s="109" t="s">
        <v>1725</v>
      </c>
      <c r="B296" s="514" t="str">
        <f>Materiais_Consumo!B121</f>
        <v>02677 - ORSE</v>
      </c>
      <c r="C296" s="541" t="str">
        <f>Materiais_Consumo!C121</f>
        <v>Terminal de compressão – 35mm²</v>
      </c>
      <c r="D296" s="110" t="str">
        <f>Materiais_Consumo!D121</f>
        <v>un</v>
      </c>
      <c r="E296" s="111">
        <f>Materiais_Consumo!E121</f>
        <v>200</v>
      </c>
      <c r="F296" s="111">
        <f>Materiais_Consumo!F121</f>
        <v>1.89</v>
      </c>
      <c r="G296" s="111">
        <f t="shared" si="23"/>
        <v>378</v>
      </c>
      <c r="H296" s="555">
        <f t="shared" ca="1" si="24"/>
        <v>0</v>
      </c>
    </row>
    <row r="297" spans="1:8" x14ac:dyDescent="0.25">
      <c r="A297" s="109" t="s">
        <v>1726</v>
      </c>
      <c r="B297" s="514" t="str">
        <f>Materiais_Consumo!B122</f>
        <v>03559 - ORSE</v>
      </c>
      <c r="C297" s="541" t="str">
        <f>Materiais_Consumo!C122</f>
        <v>Terminal de compressão – 50mm²</v>
      </c>
      <c r="D297" s="110" t="str">
        <f>Materiais_Consumo!D122</f>
        <v>un</v>
      </c>
      <c r="E297" s="111">
        <f>Materiais_Consumo!E122</f>
        <v>100</v>
      </c>
      <c r="F297" s="111">
        <f>Materiais_Consumo!F122</f>
        <v>3.29</v>
      </c>
      <c r="G297" s="111">
        <f t="shared" si="23"/>
        <v>329</v>
      </c>
      <c r="H297" s="555">
        <f t="shared" ca="1" si="24"/>
        <v>0</v>
      </c>
    </row>
    <row r="298" spans="1:8" x14ac:dyDescent="0.25">
      <c r="A298" s="109" t="s">
        <v>1727</v>
      </c>
      <c r="B298" s="514" t="str">
        <f>Materiais_Consumo!B123</f>
        <v>06911 - ORSE</v>
      </c>
      <c r="C298" s="541" t="str">
        <f>Materiais_Consumo!C123</f>
        <v>Terminal de compressão – 70mm²</v>
      </c>
      <c r="D298" s="110" t="str">
        <f>Materiais_Consumo!D123</f>
        <v>un</v>
      </c>
      <c r="E298" s="111">
        <f>Materiais_Consumo!E123</f>
        <v>100</v>
      </c>
      <c r="F298" s="111">
        <f>Materiais_Consumo!F123</f>
        <v>4.0999999999999996</v>
      </c>
      <c r="G298" s="111">
        <f t="shared" si="23"/>
        <v>410</v>
      </c>
      <c r="H298" s="555">
        <f t="shared" ca="1" si="24"/>
        <v>0</v>
      </c>
    </row>
    <row r="299" spans="1:8" x14ac:dyDescent="0.25">
      <c r="A299" s="109" t="s">
        <v>1728</v>
      </c>
      <c r="B299" s="514" t="str">
        <f>Materiais_Consumo!B124</f>
        <v>03153 - ORSE</v>
      </c>
      <c r="C299" s="541" t="str">
        <f>Materiais_Consumo!C124</f>
        <v>Terminal de compressão – 95mm²</v>
      </c>
      <c r="D299" s="110" t="str">
        <f>Materiais_Consumo!D124</f>
        <v>un</v>
      </c>
      <c r="E299" s="111">
        <f>Materiais_Consumo!E124</f>
        <v>50</v>
      </c>
      <c r="F299" s="111">
        <f>Materiais_Consumo!F124</f>
        <v>5.05</v>
      </c>
      <c r="G299" s="111">
        <f t="shared" si="23"/>
        <v>252.5</v>
      </c>
      <c r="H299" s="555">
        <f t="shared" ca="1" si="24"/>
        <v>0</v>
      </c>
    </row>
    <row r="300" spans="1:8" x14ac:dyDescent="0.25">
      <c r="A300" s="109" t="s">
        <v>1729</v>
      </c>
      <c r="B300" s="514" t="str">
        <f>Materiais_Consumo!B125</f>
        <v>04673 - ORSE</v>
      </c>
      <c r="C300" s="541" t="str">
        <f>Materiais_Consumo!C125</f>
        <v>Terminal de compressão – 120mm²</v>
      </c>
      <c r="D300" s="110" t="str">
        <f>Materiais_Consumo!D125</f>
        <v>un</v>
      </c>
      <c r="E300" s="111">
        <f>Materiais_Consumo!E125</f>
        <v>50</v>
      </c>
      <c r="F300" s="111">
        <f>Materiais_Consumo!F125</f>
        <v>7.1</v>
      </c>
      <c r="G300" s="111">
        <f t="shared" si="23"/>
        <v>355</v>
      </c>
      <c r="H300" s="555">
        <f t="shared" ca="1" si="24"/>
        <v>0</v>
      </c>
    </row>
    <row r="301" spans="1:8" x14ac:dyDescent="0.25">
      <c r="A301" s="109" t="s">
        <v>1730</v>
      </c>
      <c r="B301" s="514" t="str">
        <f>Materiais_Consumo!B126</f>
        <v>01587 - SINAPI</v>
      </c>
      <c r="C301" s="541" t="str">
        <f>Materiais_Consumo!C126</f>
        <v>Terminal de pressão – 35mm²</v>
      </c>
      <c r="D301" s="110" t="str">
        <f>Materiais_Consumo!D126</f>
        <v>un</v>
      </c>
      <c r="E301" s="111">
        <f>Materiais_Consumo!E126</f>
        <v>50</v>
      </c>
      <c r="F301" s="111">
        <f>Materiais_Consumo!F126</f>
        <v>5.07</v>
      </c>
      <c r="G301" s="111">
        <f t="shared" si="23"/>
        <v>253.5</v>
      </c>
      <c r="H301" s="555">
        <f t="shared" ca="1" si="24"/>
        <v>0</v>
      </c>
    </row>
    <row r="302" spans="1:8" x14ac:dyDescent="0.25">
      <c r="A302" s="109" t="s">
        <v>1731</v>
      </c>
      <c r="B302" s="514" t="str">
        <f>Materiais_Consumo!B127</f>
        <v>01588 - SINAPI</v>
      </c>
      <c r="C302" s="541" t="str">
        <f>Materiais_Consumo!C127</f>
        <v>Terminal de pressão – 50mm²</v>
      </c>
      <c r="D302" s="110" t="str">
        <f>Materiais_Consumo!D127</f>
        <v>un</v>
      </c>
      <c r="E302" s="111">
        <f>Materiais_Consumo!E127</f>
        <v>40</v>
      </c>
      <c r="F302" s="111">
        <f>Materiais_Consumo!F127</f>
        <v>6.96</v>
      </c>
      <c r="G302" s="111">
        <f t="shared" si="23"/>
        <v>278.39999999999998</v>
      </c>
      <c r="H302" s="555">
        <f t="shared" ca="1" si="24"/>
        <v>0</v>
      </c>
    </row>
    <row r="303" spans="1:8" x14ac:dyDescent="0.25">
      <c r="A303" s="109" t="s">
        <v>1732</v>
      </c>
      <c r="B303" s="514" t="str">
        <f>Materiais_Consumo!B128</f>
        <v>01589 - SINAPI</v>
      </c>
      <c r="C303" s="541" t="str">
        <f>Materiais_Consumo!C128</f>
        <v>Terminal de pressão – 70mm²</v>
      </c>
      <c r="D303" s="110" t="str">
        <f>Materiais_Consumo!D128</f>
        <v>un</v>
      </c>
      <c r="E303" s="111">
        <f>Materiais_Consumo!E128</f>
        <v>40</v>
      </c>
      <c r="F303" s="111">
        <f>Materiais_Consumo!F128</f>
        <v>7.18</v>
      </c>
      <c r="G303" s="111">
        <f t="shared" si="23"/>
        <v>287.2</v>
      </c>
      <c r="H303" s="555">
        <f t="shared" ca="1" si="24"/>
        <v>0</v>
      </c>
    </row>
    <row r="304" spans="1:8" x14ac:dyDescent="0.25">
      <c r="A304" s="109" t="s">
        <v>1733</v>
      </c>
      <c r="B304" s="514"/>
      <c r="C304" s="541" t="str">
        <f>Materiais_Consumo!C132</f>
        <v>MATERIAL DE CONSUMO - CIVIL</v>
      </c>
      <c r="D304" s="110"/>
      <c r="E304" s="111"/>
      <c r="F304" s="111"/>
      <c r="G304" s="111">
        <f>SUBTOTAL(109,G305:G348)</f>
        <v>480643.96000000008</v>
      </c>
      <c r="H304" s="555">
        <f t="shared" ca="1" si="24"/>
        <v>6.8999999999999999E-3</v>
      </c>
    </row>
    <row r="305" spans="1:8" x14ac:dyDescent="0.25">
      <c r="A305" s="109" t="s">
        <v>1734</v>
      </c>
      <c r="B305" s="514" t="str">
        <f>Materiais_Consumo!B133</f>
        <v>00034 - SINAPI</v>
      </c>
      <c r="C305" s="541" t="str">
        <f>Materiais_Consumo!C133</f>
        <v>Aço D=10 mm CA 50</v>
      </c>
      <c r="D305" s="110" t="str">
        <f>Materiais_Consumo!D133</f>
        <v>kg</v>
      </c>
      <c r="E305" s="111">
        <f>Materiais_Consumo!E133</f>
        <v>3112</v>
      </c>
      <c r="F305" s="111" t="str">
        <f>Materiais_Consumo!F133</f>
        <v>4,59</v>
      </c>
      <c r="G305" s="111">
        <f t="shared" ref="G305:G752" si="25">ROUND(E305*F305,2)</f>
        <v>14284.08</v>
      </c>
      <c r="H305" s="555">
        <f t="shared" ca="1" si="24"/>
        <v>2.0000000000000001E-4</v>
      </c>
    </row>
    <row r="306" spans="1:8" x14ac:dyDescent="0.25">
      <c r="A306" s="109" t="s">
        <v>1735</v>
      </c>
      <c r="B306" s="514" t="str">
        <f>Materiais_Consumo!B134</f>
        <v>00031 - SINAPI</v>
      </c>
      <c r="C306" s="541" t="str">
        <f>Materiais_Consumo!C134</f>
        <v>Aço D=12 mm CA 50</v>
      </c>
      <c r="D306" s="110" t="str">
        <f>Materiais_Consumo!D134</f>
        <v>kg</v>
      </c>
      <c r="E306" s="111">
        <f>Materiais_Consumo!E134</f>
        <v>3112</v>
      </c>
      <c r="F306" s="111">
        <f>Materiais_Consumo!F134</f>
        <v>4.37</v>
      </c>
      <c r="G306" s="111">
        <f t="shared" si="25"/>
        <v>13599.44</v>
      </c>
      <c r="H306" s="555">
        <f t="shared" ca="1" si="24"/>
        <v>2.0000000000000001E-4</v>
      </c>
    </row>
    <row r="307" spans="1:8" x14ac:dyDescent="0.25">
      <c r="A307" s="109" t="s">
        <v>1736</v>
      </c>
      <c r="B307" s="514" t="str">
        <f>Materiais_Consumo!B135</f>
        <v>00039 - SINAPI</v>
      </c>
      <c r="C307" s="541" t="str">
        <f>Materiais_Consumo!C135</f>
        <v>Aço D=5.0 mm CA 60</v>
      </c>
      <c r="D307" s="110" t="str">
        <f>Materiais_Consumo!D135</f>
        <v>kg</v>
      </c>
      <c r="E307" s="111">
        <f>Materiais_Consumo!E135</f>
        <v>3112</v>
      </c>
      <c r="F307" s="111">
        <f>Materiais_Consumo!F135</f>
        <v>4.55</v>
      </c>
      <c r="G307" s="111">
        <f t="shared" si="25"/>
        <v>14159.6</v>
      </c>
      <c r="H307" s="555">
        <f t="shared" ca="1" si="24"/>
        <v>2.0000000000000001E-4</v>
      </c>
    </row>
    <row r="308" spans="1:8" x14ac:dyDescent="0.25">
      <c r="A308" s="109" t="s">
        <v>1737</v>
      </c>
      <c r="B308" s="514" t="str">
        <f>Materiais_Consumo!B136</f>
        <v>00032 - SINAPI</v>
      </c>
      <c r="C308" s="541" t="str">
        <f>Materiais_Consumo!C136</f>
        <v>Aço D=6.3 mm CA 50</v>
      </c>
      <c r="D308" s="110" t="str">
        <f>Materiais_Consumo!D136</f>
        <v>kg</v>
      </c>
      <c r="E308" s="111">
        <f>Materiais_Consumo!E136</f>
        <v>3112</v>
      </c>
      <c r="F308" s="111">
        <f>Materiais_Consumo!F136</f>
        <v>4.8099999999999996</v>
      </c>
      <c r="G308" s="111">
        <f t="shared" si="25"/>
        <v>14968.72</v>
      </c>
      <c r="H308" s="555">
        <f t="shared" ca="1" si="24"/>
        <v>2.0000000000000001E-4</v>
      </c>
    </row>
    <row r="309" spans="1:8" x14ac:dyDescent="0.25">
      <c r="A309" s="109" t="s">
        <v>1738</v>
      </c>
      <c r="B309" s="514" t="str">
        <f>Materiais_Consumo!B137</f>
        <v>00033 - SINAPI</v>
      </c>
      <c r="C309" s="541" t="str">
        <f>Materiais_Consumo!C137</f>
        <v>Aço D=8.0 mm CA 50</v>
      </c>
      <c r="D309" s="110" t="str">
        <f>Materiais_Consumo!D137</f>
        <v>kg</v>
      </c>
      <c r="E309" s="111">
        <f>Materiais_Consumo!E137</f>
        <v>3112</v>
      </c>
      <c r="F309" s="111">
        <f>Materiais_Consumo!F137</f>
        <v>5.4</v>
      </c>
      <c r="G309" s="111">
        <f t="shared" si="25"/>
        <v>16804.8</v>
      </c>
      <c r="H309" s="555">
        <f t="shared" ca="1" si="24"/>
        <v>2.0000000000000001E-4</v>
      </c>
    </row>
    <row r="310" spans="1:8" x14ac:dyDescent="0.25">
      <c r="A310" s="109" t="s">
        <v>1739</v>
      </c>
      <c r="B310" s="514" t="str">
        <f>Materiais_Consumo!B138</f>
        <v>00340 - SINAPI</v>
      </c>
      <c r="C310" s="541" t="str">
        <f>Materiais_Consumo!C138</f>
        <v>Arame farpado nº. 16 galvanizado Simples</v>
      </c>
      <c r="D310" s="110" t="str">
        <f>Materiais_Consumo!D138</f>
        <v>m</v>
      </c>
      <c r="E310" s="111">
        <f>Materiais_Consumo!E138</f>
        <v>2223</v>
      </c>
      <c r="F310" s="111">
        <f>Materiais_Consumo!F138</f>
        <v>0.83</v>
      </c>
      <c r="G310" s="111">
        <f t="shared" si="25"/>
        <v>1845.09</v>
      </c>
      <c r="H310" s="555">
        <f t="shared" ca="1" si="24"/>
        <v>0</v>
      </c>
    </row>
    <row r="311" spans="1:8" x14ac:dyDescent="0.25">
      <c r="A311" s="109" t="s">
        <v>1740</v>
      </c>
      <c r="B311" s="514" t="str">
        <f>Materiais_Consumo!B139</f>
        <v>00334 - SINAPI</v>
      </c>
      <c r="C311" s="541" t="str">
        <f>Materiais_Consumo!C139</f>
        <v>Arame galvanizado 8BWG, d=4,19mm</v>
      </c>
      <c r="D311" s="110" t="str">
        <f>Materiais_Consumo!D139</f>
        <v>kg</v>
      </c>
      <c r="E311" s="111">
        <f>Materiais_Consumo!E139</f>
        <v>240</v>
      </c>
      <c r="F311" s="111">
        <f>Materiais_Consumo!F139</f>
        <v>11.32</v>
      </c>
      <c r="G311" s="111">
        <f t="shared" si="25"/>
        <v>2716.8</v>
      </c>
      <c r="H311" s="555">
        <f t="shared" ca="1" si="24"/>
        <v>0</v>
      </c>
    </row>
    <row r="312" spans="1:8" x14ac:dyDescent="0.25">
      <c r="A312" s="109" t="s">
        <v>1741</v>
      </c>
      <c r="B312" s="514" t="str">
        <f>Materiais_Consumo!B140</f>
        <v>00337 - SINAPI</v>
      </c>
      <c r="C312" s="541" t="str">
        <f>Materiais_Consumo!C140</f>
        <v>Arame recozido n.º 18</v>
      </c>
      <c r="D312" s="110" t="str">
        <f>Materiais_Consumo!D140</f>
        <v>kg</v>
      </c>
      <c r="E312" s="111">
        <f>Materiais_Consumo!E140</f>
        <v>134</v>
      </c>
      <c r="F312" s="111">
        <f>Materiais_Consumo!F140</f>
        <v>9.5</v>
      </c>
      <c r="G312" s="111">
        <f t="shared" si="25"/>
        <v>1273</v>
      </c>
      <c r="H312" s="555">
        <f t="shared" ca="1" si="24"/>
        <v>0</v>
      </c>
    </row>
    <row r="313" spans="1:8" x14ac:dyDescent="0.25">
      <c r="A313" s="109" t="s">
        <v>1742</v>
      </c>
      <c r="B313" s="514" t="str">
        <f>Materiais_Consumo!B141</f>
        <v>00367 - SINAPI</v>
      </c>
      <c r="C313" s="541" t="str">
        <f>Materiais_Consumo!C141</f>
        <v>Areia grossa comercial, posto em obra</v>
      </c>
      <c r="D313" s="110" t="str">
        <f>Materiais_Consumo!D141</f>
        <v>m³</v>
      </c>
      <c r="E313" s="111">
        <f>Materiais_Consumo!E141</f>
        <v>178</v>
      </c>
      <c r="F313" s="111">
        <f>Materiais_Consumo!F141</f>
        <v>77.5</v>
      </c>
      <c r="G313" s="111">
        <f t="shared" si="25"/>
        <v>13795</v>
      </c>
      <c r="H313" s="555">
        <f t="shared" ca="1" si="24"/>
        <v>2.0000000000000001E-4</v>
      </c>
    </row>
    <row r="314" spans="1:8" x14ac:dyDescent="0.25">
      <c r="A314" s="109" t="s">
        <v>1743</v>
      </c>
      <c r="B314" s="514" t="str">
        <f>Materiais_Consumo!B142</f>
        <v>6884 - ORSE</v>
      </c>
      <c r="C314" s="541" t="str">
        <f>Materiais_Consumo!C142</f>
        <v xml:space="preserve">Argamassa para grouteamento </v>
      </c>
      <c r="D314" s="110" t="str">
        <f>Materiais_Consumo!D142</f>
        <v>kg</v>
      </c>
      <c r="E314" s="111">
        <f>Materiais_Consumo!E142</f>
        <v>1112</v>
      </c>
      <c r="F314" s="111">
        <f>Materiais_Consumo!F142</f>
        <v>1.71</v>
      </c>
      <c r="G314" s="111">
        <f t="shared" si="25"/>
        <v>1901.52</v>
      </c>
      <c r="H314" s="555">
        <f t="shared" ca="1" si="24"/>
        <v>0</v>
      </c>
    </row>
    <row r="315" spans="1:8" x14ac:dyDescent="0.25">
      <c r="A315" s="109" t="s">
        <v>1744</v>
      </c>
      <c r="B315" s="514" t="str">
        <f>Materiais_Consumo!B143</f>
        <v>004729 - SINAPI</v>
      </c>
      <c r="C315" s="541" t="str">
        <f>Materiais_Consumo!C143</f>
        <v>Pedra britada comercial (n.º 0 a 5)</v>
      </c>
      <c r="D315" s="110" t="str">
        <f>Materiais_Consumo!D143</f>
        <v>m³</v>
      </c>
      <c r="E315" s="111">
        <f>Materiais_Consumo!E143</f>
        <v>223</v>
      </c>
      <c r="F315" s="111">
        <f>Materiais_Consumo!F143</f>
        <v>69.05</v>
      </c>
      <c r="G315" s="111">
        <f t="shared" si="25"/>
        <v>15398.15</v>
      </c>
      <c r="H315" s="555">
        <f t="shared" ca="1" si="24"/>
        <v>2.0000000000000001E-4</v>
      </c>
    </row>
    <row r="316" spans="1:8" x14ac:dyDescent="0.25">
      <c r="A316" s="109" t="s">
        <v>1745</v>
      </c>
      <c r="B316" s="514" t="str">
        <f>Materiais_Consumo!B144</f>
        <v>04513 - SINAPI</v>
      </c>
      <c r="C316" s="541" t="str">
        <f>Materiais_Consumo!C144</f>
        <v xml:space="preserve">Caibro de 5x5cm </v>
      </c>
      <c r="D316" s="110" t="str">
        <f>Materiais_Consumo!D144</f>
        <v>m</v>
      </c>
      <c r="E316" s="111">
        <f>Materiais_Consumo!E144</f>
        <v>1334</v>
      </c>
      <c r="F316" s="111">
        <f>Materiais_Consumo!F144</f>
        <v>4.75</v>
      </c>
      <c r="G316" s="111">
        <f t="shared" si="25"/>
        <v>6336.5</v>
      </c>
      <c r="H316" s="555">
        <f t="shared" ca="1" si="24"/>
        <v>1E-4</v>
      </c>
    </row>
    <row r="317" spans="1:8" x14ac:dyDescent="0.25">
      <c r="A317" s="109" t="s">
        <v>1746</v>
      </c>
      <c r="B317" s="514" t="str">
        <f>Materiais_Consumo!B145</f>
        <v>001106 - SINAPI</v>
      </c>
      <c r="C317" s="541" t="str">
        <f>Materiais_Consumo!C145</f>
        <v>Cal hidratada</v>
      </c>
      <c r="D317" s="110" t="str">
        <f>Materiais_Consumo!D145</f>
        <v>kg</v>
      </c>
      <c r="E317" s="111">
        <f>Materiais_Consumo!E145</f>
        <v>889</v>
      </c>
      <c r="F317" s="111">
        <f>Materiais_Consumo!F145</f>
        <v>0.65</v>
      </c>
      <c r="G317" s="111">
        <f t="shared" si="25"/>
        <v>577.85</v>
      </c>
      <c r="H317" s="555">
        <f t="shared" ca="1" si="24"/>
        <v>0</v>
      </c>
    </row>
    <row r="318" spans="1:8" x14ac:dyDescent="0.25">
      <c r="A318" s="109" t="s">
        <v>1747</v>
      </c>
      <c r="B318" s="514" t="str">
        <f>Materiais_Consumo!B146</f>
        <v>001379 - SINAPI</v>
      </c>
      <c r="C318" s="541" t="str">
        <f>Materiais_Consumo!C146</f>
        <v>Cimento CPII-32</v>
      </c>
      <c r="D318" s="110" t="str">
        <f>Materiais_Consumo!D146</f>
        <v>kg</v>
      </c>
      <c r="E318" s="111">
        <f>Materiais_Consumo!E146</f>
        <v>111112</v>
      </c>
      <c r="F318" s="111">
        <f>Materiais_Consumo!F146</f>
        <v>0.4</v>
      </c>
      <c r="G318" s="111">
        <f t="shared" si="25"/>
        <v>44444.800000000003</v>
      </c>
      <c r="H318" s="555">
        <f t="shared" ca="1" si="24"/>
        <v>5.9999999999999995E-4</v>
      </c>
    </row>
    <row r="319" spans="1:8" x14ac:dyDescent="0.25">
      <c r="A319" s="109" t="s">
        <v>1748</v>
      </c>
      <c r="B319" s="514" t="str">
        <f>Materiais_Consumo!B147</f>
        <v>001358 - SINAPI</v>
      </c>
      <c r="C319" s="541" t="str">
        <f>Materiais_Consumo!C147</f>
        <v>Compensado resinado 17mm</v>
      </c>
      <c r="D319" s="110" t="str">
        <f>Materiais_Consumo!D147</f>
        <v>m²</v>
      </c>
      <c r="E319" s="111">
        <f>Materiais_Consumo!E147</f>
        <v>96</v>
      </c>
      <c r="F319" s="111">
        <f>Materiais_Consumo!F147</f>
        <v>31.78</v>
      </c>
      <c r="G319" s="111">
        <f t="shared" si="25"/>
        <v>3050.88</v>
      </c>
      <c r="H319" s="555">
        <f t="shared" ca="1" si="24"/>
        <v>0</v>
      </c>
    </row>
    <row r="320" spans="1:8" x14ac:dyDescent="0.25">
      <c r="A320" s="109" t="s">
        <v>1749</v>
      </c>
      <c r="B320" s="514" t="str">
        <f>Materiais_Consumo!B148</f>
        <v>002692 - SINAPI</v>
      </c>
      <c r="C320" s="541" t="str">
        <f>Materiais_Consumo!C148</f>
        <v>Desmoldante</v>
      </c>
      <c r="D320" s="110" t="str">
        <f>Materiais_Consumo!D148</f>
        <v>l</v>
      </c>
      <c r="E320" s="111">
        <f>Materiais_Consumo!E148</f>
        <v>86</v>
      </c>
      <c r="F320" s="111">
        <f>Materiais_Consumo!F148</f>
        <v>7.49</v>
      </c>
      <c r="G320" s="111">
        <f t="shared" si="25"/>
        <v>644.14</v>
      </c>
      <c r="H320" s="555">
        <f t="shared" ref="H320:H350" ca="1" si="26">ROUND(G320/G$8,4)</f>
        <v>0</v>
      </c>
    </row>
    <row r="321" spans="1:8" x14ac:dyDescent="0.25">
      <c r="A321" s="109" t="s">
        <v>1750</v>
      </c>
      <c r="B321" s="514" t="str">
        <f>Materiais_Consumo!B149</f>
        <v>004221 - SINAPI</v>
      </c>
      <c r="C321" s="541" t="str">
        <f>Materiais_Consumo!C149</f>
        <v>Diesel comum (l)</v>
      </c>
      <c r="D321" s="110" t="str">
        <f>Materiais_Consumo!D149</f>
        <v>l</v>
      </c>
      <c r="E321" s="111">
        <f>Materiais_Consumo!E149</f>
        <v>56000</v>
      </c>
      <c r="F321" s="111">
        <f>Materiais_Consumo!F149</f>
        <v>3.69</v>
      </c>
      <c r="G321" s="111">
        <f t="shared" si="25"/>
        <v>206640</v>
      </c>
      <c r="H321" s="555">
        <f t="shared" ca="1" si="26"/>
        <v>3.0000000000000001E-3</v>
      </c>
    </row>
    <row r="322" spans="1:8" x14ac:dyDescent="0.25">
      <c r="A322" s="109" t="s">
        <v>1751</v>
      </c>
      <c r="B322" s="514" t="str">
        <f>Materiais_Consumo!B150</f>
        <v>020111 - SINAPI</v>
      </c>
      <c r="C322" s="541" t="str">
        <f>Materiais_Consumo!C150</f>
        <v>Fita isolante adesiva antichama 19mm x 20m</v>
      </c>
      <c r="D322" s="110" t="str">
        <f>Materiais_Consumo!D150</f>
        <v>un</v>
      </c>
      <c r="E322" s="111">
        <f>Materiais_Consumo!E150</f>
        <v>16</v>
      </c>
      <c r="F322" s="111">
        <f>Materiais_Consumo!F150</f>
        <v>7.34</v>
      </c>
      <c r="G322" s="111">
        <f t="shared" si="25"/>
        <v>117.44</v>
      </c>
      <c r="H322" s="555">
        <f t="shared" ca="1" si="26"/>
        <v>0</v>
      </c>
    </row>
    <row r="323" spans="1:8" x14ac:dyDescent="0.25">
      <c r="A323" s="109" t="s">
        <v>1752</v>
      </c>
      <c r="B323" s="514" t="str">
        <f>Materiais_Consumo!B151</f>
        <v xml:space="preserve"> M2018 - SICRO3/PE</v>
      </c>
      <c r="C323" s="541" t="str">
        <f>Materiais_Consumo!C151</f>
        <v>Gastalho 10x2,5cm</v>
      </c>
      <c r="D323" s="110" t="str">
        <f>Materiais_Consumo!D151</f>
        <v>m</v>
      </c>
      <c r="E323" s="111">
        <f>Materiais_Consumo!E151</f>
        <v>1334</v>
      </c>
      <c r="F323" s="111">
        <f>Materiais_Consumo!F151</f>
        <v>3.33</v>
      </c>
      <c r="G323" s="111">
        <f t="shared" si="25"/>
        <v>4442.22</v>
      </c>
      <c r="H323" s="555">
        <f t="shared" ca="1" si="26"/>
        <v>1E-4</v>
      </c>
    </row>
    <row r="324" spans="1:8" x14ac:dyDescent="0.25">
      <c r="A324" s="109" t="s">
        <v>1753</v>
      </c>
      <c r="B324" s="514" t="str">
        <f>Materiais_Consumo!B152</f>
        <v>005076 - SINAPI</v>
      </c>
      <c r="C324" s="541" t="str">
        <f>Materiais_Consumo!C152</f>
        <v>Grampo para cerca galvanizado 1 x 9</v>
      </c>
      <c r="D324" s="110" t="str">
        <f>Materiais_Consumo!D152</f>
        <v>kg</v>
      </c>
      <c r="E324" s="111">
        <f>Materiais_Consumo!E152</f>
        <v>96</v>
      </c>
      <c r="F324" s="111">
        <f>Materiais_Consumo!F152</f>
        <v>11.04</v>
      </c>
      <c r="G324" s="111">
        <f t="shared" si="25"/>
        <v>1059.8399999999999</v>
      </c>
      <c r="H324" s="555">
        <f t="shared" ca="1" si="26"/>
        <v>0</v>
      </c>
    </row>
    <row r="325" spans="1:8" x14ac:dyDescent="0.25">
      <c r="A325" s="109" t="s">
        <v>1754</v>
      </c>
      <c r="B325" s="514" t="str">
        <f>Materiais_Consumo!B153</f>
        <v>003681 - SINAPI</v>
      </c>
      <c r="C325" s="541" t="str">
        <f>Materiais_Consumo!C153</f>
        <v>Junta de dilatação (O-22 ou similar)</v>
      </c>
      <c r="D325" s="110" t="str">
        <f>Materiais_Consumo!D153</f>
        <v>m</v>
      </c>
      <c r="E325" s="111">
        <f>Materiais_Consumo!E153</f>
        <v>134</v>
      </c>
      <c r="F325" s="111">
        <f>Materiais_Consumo!F153</f>
        <v>87.85</v>
      </c>
      <c r="G325" s="111">
        <f t="shared" si="25"/>
        <v>11771.9</v>
      </c>
      <c r="H325" s="555">
        <f t="shared" ca="1" si="26"/>
        <v>2.0000000000000001E-4</v>
      </c>
    </row>
    <row r="326" spans="1:8" ht="38.25" x14ac:dyDescent="0.25">
      <c r="A326" s="109" t="s">
        <v>1755</v>
      </c>
      <c r="B326" s="514" t="str">
        <f>Materiais_Consumo!B154</f>
        <v>014077 - SINAPI</v>
      </c>
      <c r="C326" s="541" t="str">
        <f>Materiais_Consumo!C154</f>
        <v>Junta de dilatação - Perfil elastomerico pre-formado em epmd, para junta de dilatacao de pisos com pouca solicitacao, 15 mm de largura, movimentacao de 11 a 19 mm</v>
      </c>
      <c r="D326" s="110" t="str">
        <f>Materiais_Consumo!D154</f>
        <v>m</v>
      </c>
      <c r="E326" s="111">
        <f>Materiais_Consumo!E154</f>
        <v>134</v>
      </c>
      <c r="F326" s="111">
        <f>Materiais_Consumo!F154</f>
        <v>134.69</v>
      </c>
      <c r="G326" s="111">
        <f t="shared" si="25"/>
        <v>18048.46</v>
      </c>
      <c r="H326" s="555">
        <f t="shared" ca="1" si="26"/>
        <v>2.9999999999999997E-4</v>
      </c>
    </row>
    <row r="327" spans="1:8" x14ac:dyDescent="0.25">
      <c r="A327" s="109" t="s">
        <v>1756</v>
      </c>
      <c r="B327" s="514" t="str">
        <f>Materiais_Consumo!B155</f>
        <v>38780 - SINAPI/PE</v>
      </c>
      <c r="C327" s="541" t="str">
        <f>Materiais_Consumo!C155</f>
        <v>Lâmpada fluorescente compacta, branca 20 W, base E27 (127/220 V)</v>
      </c>
      <c r="D327" s="110" t="str">
        <f>Materiais_Consumo!D155</f>
        <v>un</v>
      </c>
      <c r="E327" s="111">
        <f>Materiais_Consumo!E155</f>
        <v>134</v>
      </c>
      <c r="F327" s="111">
        <f>Materiais_Consumo!F155</f>
        <v>15.8</v>
      </c>
      <c r="G327" s="111">
        <f t="shared" si="25"/>
        <v>2117.1999999999998</v>
      </c>
      <c r="H327" s="555">
        <f t="shared" ca="1" si="26"/>
        <v>0</v>
      </c>
    </row>
    <row r="328" spans="1:8" x14ac:dyDescent="0.25">
      <c r="A328" s="109" t="s">
        <v>1757</v>
      </c>
      <c r="B328" s="514" t="str">
        <f>Materiais_Consumo!B156</f>
        <v>038780 - SINAPI</v>
      </c>
      <c r="C328" s="541" t="str">
        <f>Materiais_Consumo!C156</f>
        <v>Lâmpada fluorecente de 20W</v>
      </c>
      <c r="D328" s="110" t="str">
        <f>Materiais_Consumo!D156</f>
        <v>un</v>
      </c>
      <c r="E328" s="111">
        <f>Materiais_Consumo!E156</f>
        <v>134</v>
      </c>
      <c r="F328" s="111">
        <f>Materiais_Consumo!F156</f>
        <v>15.8</v>
      </c>
      <c r="G328" s="111">
        <f t="shared" si="25"/>
        <v>2117.1999999999998</v>
      </c>
      <c r="H328" s="555">
        <f t="shared" ca="1" si="26"/>
        <v>0</v>
      </c>
    </row>
    <row r="329" spans="1:8" x14ac:dyDescent="0.25">
      <c r="A329" s="109" t="s">
        <v>1758</v>
      </c>
      <c r="B329" s="514" t="str">
        <f>Materiais_Consumo!B157</f>
        <v>003751 - SINAPI</v>
      </c>
      <c r="C329" s="541" t="str">
        <f>Materiais_Consumo!C157</f>
        <v>Lâmpada vapor mercúrio 400 W (base E40)</v>
      </c>
      <c r="D329" s="110" t="str">
        <f>Materiais_Consumo!D157</f>
        <v>un</v>
      </c>
      <c r="E329" s="111">
        <f>Materiais_Consumo!E157</f>
        <v>16</v>
      </c>
      <c r="F329" s="111">
        <f>Materiais_Consumo!F157</f>
        <v>54.19</v>
      </c>
      <c r="G329" s="111">
        <f t="shared" si="25"/>
        <v>867.04</v>
      </c>
      <c r="H329" s="555">
        <f t="shared" ca="1" si="26"/>
        <v>0</v>
      </c>
    </row>
    <row r="330" spans="1:8" x14ac:dyDescent="0.25">
      <c r="A330" s="109" t="s">
        <v>1759</v>
      </c>
      <c r="B330" s="514" t="str">
        <f>Materiais_Consumo!B158</f>
        <v>003767 - SINAPI</v>
      </c>
      <c r="C330" s="541" t="str">
        <f>Materiais_Consumo!C158</f>
        <v>Lixa nº120</v>
      </c>
      <c r="D330" s="110" t="str">
        <f>Materiais_Consumo!D158</f>
        <v>un</v>
      </c>
      <c r="E330" s="111">
        <f>Materiais_Consumo!E158</f>
        <v>40</v>
      </c>
      <c r="F330" s="111">
        <f>Materiais_Consumo!F158</f>
        <v>0.42</v>
      </c>
      <c r="G330" s="111">
        <f t="shared" si="25"/>
        <v>16.8</v>
      </c>
      <c r="H330" s="555">
        <f t="shared" ca="1" si="26"/>
        <v>0</v>
      </c>
    </row>
    <row r="331" spans="1:8" x14ac:dyDescent="0.25">
      <c r="A331" s="109" t="s">
        <v>1760</v>
      </c>
      <c r="B331" s="514" t="str">
        <f>Materiais_Consumo!B159</f>
        <v>003777 - SINAPI</v>
      </c>
      <c r="C331" s="541" t="str">
        <f>Materiais_Consumo!C159</f>
        <v>Lona plástica - 4 x 100m - 12kg</v>
      </c>
      <c r="D331" s="110" t="str">
        <f>Materiais_Consumo!D159</f>
        <v>m²</v>
      </c>
      <c r="E331" s="111">
        <f>Materiais_Consumo!E159</f>
        <v>8</v>
      </c>
      <c r="F331" s="111">
        <f>Materiais_Consumo!F159</f>
        <v>1.1299999999999999</v>
      </c>
      <c r="G331" s="111">
        <f t="shared" si="25"/>
        <v>9.0399999999999991</v>
      </c>
      <c r="H331" s="555">
        <f t="shared" ca="1" si="26"/>
        <v>0</v>
      </c>
    </row>
    <row r="332" spans="1:8" x14ac:dyDescent="0.25">
      <c r="A332" s="109" t="s">
        <v>1761</v>
      </c>
      <c r="B332" s="514" t="str">
        <f>Materiais_Consumo!B160</f>
        <v>025865 - SINAPI</v>
      </c>
      <c r="C332" s="541" t="str">
        <f>Materiais_Consumo!C160</f>
        <v>Manta termoplástica PEAD, geomembrana lisa, e=2 mm</v>
      </c>
      <c r="D332" s="110" t="str">
        <f>Materiais_Consumo!D160</f>
        <v>m²</v>
      </c>
      <c r="E332" s="111">
        <f>Materiais_Consumo!E160</f>
        <v>734</v>
      </c>
      <c r="F332" s="111">
        <f>Materiais_Consumo!F160</f>
        <v>34.76</v>
      </c>
      <c r="G332" s="111">
        <f t="shared" si="25"/>
        <v>25513.84</v>
      </c>
      <c r="H332" s="555">
        <f t="shared" ca="1" si="26"/>
        <v>4.0000000000000002E-4</v>
      </c>
    </row>
    <row r="333" spans="1:8" x14ac:dyDescent="0.25">
      <c r="A333" s="109" t="s">
        <v>1762</v>
      </c>
      <c r="B333" s="514" t="str">
        <f>Materiais_Consumo!B161</f>
        <v>004051 - SINAPI</v>
      </c>
      <c r="C333" s="541" t="str">
        <f>Materiais_Consumo!C161</f>
        <v>Massa corrida - latão 18 l</v>
      </c>
      <c r="D333" s="110" t="str">
        <f>Materiais_Consumo!D161</f>
        <v>un</v>
      </c>
      <c r="E333" s="111">
        <f>Materiais_Consumo!E161</f>
        <v>23</v>
      </c>
      <c r="F333" s="111">
        <f>Materiais_Consumo!F161</f>
        <v>49</v>
      </c>
      <c r="G333" s="111">
        <f t="shared" si="25"/>
        <v>1127</v>
      </c>
      <c r="H333" s="555">
        <f t="shared" ca="1" si="26"/>
        <v>0</v>
      </c>
    </row>
    <row r="334" spans="1:8" x14ac:dyDescent="0.25">
      <c r="A334" s="109" t="s">
        <v>1763</v>
      </c>
      <c r="B334" s="514" t="str">
        <f>Materiais_Consumo!B162</f>
        <v>2866 - ORSE</v>
      </c>
      <c r="C334" s="541" t="str">
        <f>Materiais_Consumo!C162</f>
        <v>Mastique elástico base silicone</v>
      </c>
      <c r="D334" s="110" t="str">
        <f>Materiais_Consumo!D162</f>
        <v>l</v>
      </c>
      <c r="E334" s="111">
        <f>Materiais_Consumo!E162</f>
        <v>67</v>
      </c>
      <c r="F334" s="111">
        <f>Materiais_Consumo!F162</f>
        <v>73.599999999999994</v>
      </c>
      <c r="G334" s="111">
        <f t="shared" si="25"/>
        <v>4931.2</v>
      </c>
      <c r="H334" s="555">
        <f t="shared" ca="1" si="26"/>
        <v>1E-4</v>
      </c>
    </row>
    <row r="335" spans="1:8" x14ac:dyDescent="0.25">
      <c r="A335" s="109" t="s">
        <v>1764</v>
      </c>
      <c r="B335" s="514" t="str">
        <f>Materiais_Consumo!B163</f>
        <v>004108 - SINAPI</v>
      </c>
      <c r="C335" s="541" t="str">
        <f>Materiais_Consumo!C163</f>
        <v>Mourão de concreto reto para cercas</v>
      </c>
      <c r="D335" s="110" t="str">
        <f>Materiais_Consumo!D163</f>
        <v>un</v>
      </c>
      <c r="E335" s="111">
        <f>Materiais_Consumo!E163</f>
        <v>224</v>
      </c>
      <c r="F335" s="111">
        <f>Materiais_Consumo!F163</f>
        <v>30.55</v>
      </c>
      <c r="G335" s="111">
        <f t="shared" si="25"/>
        <v>6843.2</v>
      </c>
      <c r="H335" s="555">
        <f t="shared" ca="1" si="26"/>
        <v>1E-4</v>
      </c>
    </row>
    <row r="336" spans="1:8" x14ac:dyDescent="0.25">
      <c r="A336" s="109" t="s">
        <v>1765</v>
      </c>
      <c r="B336" s="514">
        <f>Materiais_Consumo!B164</f>
        <v>0</v>
      </c>
      <c r="C336" s="541" t="str">
        <f>Materiais_Consumo!C164</f>
        <v xml:space="preserve">Perfil para fixação das geomembrana Barra de 6m </v>
      </c>
      <c r="D336" s="110" t="str">
        <f>Materiais_Consumo!D164</f>
        <v>m</v>
      </c>
      <c r="E336" s="111">
        <f>Materiais_Consumo!E164</f>
        <v>134</v>
      </c>
      <c r="F336" s="111">
        <f>Materiais_Consumo!F164</f>
        <v>6.833333333333333</v>
      </c>
      <c r="G336" s="111">
        <f t="shared" si="25"/>
        <v>915.67</v>
      </c>
      <c r="H336" s="555">
        <f t="shared" ca="1" si="26"/>
        <v>0</v>
      </c>
    </row>
    <row r="337" spans="1:8" x14ac:dyDescent="0.25">
      <c r="A337" s="109" t="s">
        <v>1766</v>
      </c>
      <c r="B337" s="514" t="str">
        <f>Materiais_Consumo!B165</f>
        <v>11442 - ORSE</v>
      </c>
      <c r="C337" s="541" t="str">
        <f>Materiais_Consumo!C165</f>
        <v>Pincel 1"</v>
      </c>
      <c r="D337" s="110" t="str">
        <f>Materiais_Consumo!D165</f>
        <v>un</v>
      </c>
      <c r="E337" s="111">
        <f>Materiais_Consumo!E165</f>
        <v>89</v>
      </c>
      <c r="F337" s="111">
        <f>Materiais_Consumo!F165</f>
        <v>5.31</v>
      </c>
      <c r="G337" s="111">
        <f t="shared" si="25"/>
        <v>472.59</v>
      </c>
      <c r="H337" s="555">
        <f t="shared" ca="1" si="26"/>
        <v>0</v>
      </c>
    </row>
    <row r="338" spans="1:8" x14ac:dyDescent="0.25">
      <c r="A338" s="109" t="s">
        <v>1767</v>
      </c>
      <c r="B338" s="514" t="str">
        <f>Materiais_Consumo!B166</f>
        <v>005075 - SINAPI</v>
      </c>
      <c r="C338" s="541" t="str">
        <f>Materiais_Consumo!C166</f>
        <v>Prego 18x30</v>
      </c>
      <c r="D338" s="110" t="str">
        <f>Materiais_Consumo!D166</f>
        <v>kg</v>
      </c>
      <c r="E338" s="111">
        <f>Materiais_Consumo!E166</f>
        <v>214</v>
      </c>
      <c r="F338" s="111">
        <f>Materiais_Consumo!F166</f>
        <v>10.93</v>
      </c>
      <c r="G338" s="111">
        <f t="shared" si="25"/>
        <v>2339.02</v>
      </c>
      <c r="H338" s="555">
        <f t="shared" ca="1" si="26"/>
        <v>0</v>
      </c>
    </row>
    <row r="339" spans="1:8" x14ac:dyDescent="0.25">
      <c r="A339" s="109" t="s">
        <v>1768</v>
      </c>
      <c r="B339" s="514" t="str">
        <f>Materiais_Consumo!B167</f>
        <v>038390 - SINAPI</v>
      </c>
      <c r="C339" s="541" t="str">
        <f>Materiais_Consumo!C167</f>
        <v xml:space="preserve">Rolo de lã de carneiro - 20cm </v>
      </c>
      <c r="D339" s="110" t="str">
        <f>Materiais_Consumo!D167</f>
        <v>un</v>
      </c>
      <c r="E339" s="111">
        <f>Materiais_Consumo!E167</f>
        <v>89</v>
      </c>
      <c r="F339" s="111">
        <f>Materiais_Consumo!F167</f>
        <v>33.049999999999997</v>
      </c>
      <c r="G339" s="111">
        <f t="shared" si="25"/>
        <v>2941.45</v>
      </c>
      <c r="H339" s="555">
        <f t="shared" ca="1" si="26"/>
        <v>0</v>
      </c>
    </row>
    <row r="340" spans="1:8" x14ac:dyDescent="0.25">
      <c r="A340" s="109" t="s">
        <v>1769</v>
      </c>
      <c r="B340" s="514" t="str">
        <f>Materiais_Consumo!B168</f>
        <v>038393 - SINAPI</v>
      </c>
      <c r="C340" s="541" t="str">
        <f>Materiais_Consumo!C168</f>
        <v>Rolo de espuma poliéster 23 cm com cabo</v>
      </c>
      <c r="D340" s="110" t="str">
        <f>Materiais_Consumo!D168</f>
        <v>un</v>
      </c>
      <c r="E340" s="111">
        <f>Materiais_Consumo!E168</f>
        <v>89</v>
      </c>
      <c r="F340" s="111">
        <f>Materiais_Consumo!F168</f>
        <v>14.9</v>
      </c>
      <c r="G340" s="111">
        <f t="shared" si="25"/>
        <v>1326.1</v>
      </c>
      <c r="H340" s="555">
        <f t="shared" ca="1" si="26"/>
        <v>0</v>
      </c>
    </row>
    <row r="341" spans="1:8" x14ac:dyDescent="0.25">
      <c r="A341" s="109" t="s">
        <v>1770</v>
      </c>
      <c r="B341" s="514" t="str">
        <f>Materiais_Consumo!B169</f>
        <v>012296 - SINAPI</v>
      </c>
      <c r="C341" s="541" t="str">
        <f>Materiais_Consumo!C169</f>
        <v>Soquete de porcelana base E27, para uso ao tempo, para lâmpadas</v>
      </c>
      <c r="D341" s="110" t="str">
        <f>Materiais_Consumo!D169</f>
        <v>un</v>
      </c>
      <c r="E341" s="111">
        <f>Materiais_Consumo!E169</f>
        <v>16</v>
      </c>
      <c r="F341" s="111">
        <f>Materiais_Consumo!F169</f>
        <v>3.87</v>
      </c>
      <c r="G341" s="111">
        <f t="shared" si="25"/>
        <v>61.92</v>
      </c>
      <c r="H341" s="555">
        <f t="shared" ca="1" si="26"/>
        <v>0</v>
      </c>
    </row>
    <row r="342" spans="1:8" x14ac:dyDescent="0.25">
      <c r="A342" s="109" t="s">
        <v>1771</v>
      </c>
      <c r="B342" s="514" t="str">
        <f>Materiais_Consumo!B170</f>
        <v>0093 - SINAPI</v>
      </c>
      <c r="C342" s="541" t="str">
        <f>Materiais_Consumo!C170</f>
        <v>Tábua de madeira de lei, 2,5x15cm (1x6) não aparelhada</v>
      </c>
      <c r="D342" s="110" t="str">
        <f>Materiais_Consumo!D170</f>
        <v>m</v>
      </c>
      <c r="E342" s="111">
        <f>Materiais_Consumo!E170</f>
        <v>223</v>
      </c>
      <c r="F342" s="111">
        <f>Materiais_Consumo!F170</f>
        <v>55.29</v>
      </c>
      <c r="G342" s="111">
        <f t="shared" si="25"/>
        <v>12329.67</v>
      </c>
      <c r="H342" s="555">
        <f t="shared" ca="1" si="26"/>
        <v>2.0000000000000001E-4</v>
      </c>
    </row>
    <row r="343" spans="1:8" x14ac:dyDescent="0.25">
      <c r="A343" s="109" t="s">
        <v>1772</v>
      </c>
      <c r="B343" s="514" t="str">
        <f>Materiais_Consumo!B171</f>
        <v>005318 - SINAPI*</v>
      </c>
      <c r="C343" s="541" t="str">
        <f>Materiais_Consumo!C171</f>
        <v>Thinner/águarras - 5 l</v>
      </c>
      <c r="D343" s="110" t="str">
        <f>Materiais_Consumo!D171</f>
        <v>un</v>
      </c>
      <c r="E343" s="111">
        <f>Materiais_Consumo!E171</f>
        <v>9</v>
      </c>
      <c r="F343" s="111">
        <f>Materiais_Consumo!F171</f>
        <v>66</v>
      </c>
      <c r="G343" s="111">
        <f t="shared" si="25"/>
        <v>594</v>
      </c>
      <c r="H343" s="555">
        <f t="shared" ca="1" si="26"/>
        <v>0</v>
      </c>
    </row>
    <row r="344" spans="1:8" x14ac:dyDescent="0.25">
      <c r="A344" s="109" t="s">
        <v>1773</v>
      </c>
      <c r="B344" s="514" t="str">
        <f>Materiais_Consumo!B172</f>
        <v>07258 - SINAPI</v>
      </c>
      <c r="C344" s="541" t="str">
        <f>Materiais_Consumo!C172</f>
        <v>Tijolo comum (5,5x10x20) cm</v>
      </c>
      <c r="D344" s="110" t="str">
        <f>Materiais_Consumo!D172</f>
        <v>un</v>
      </c>
      <c r="E344" s="111">
        <f>Materiais_Consumo!E172</f>
        <v>10667</v>
      </c>
      <c r="F344" s="111">
        <f>Materiais_Consumo!F172</f>
        <v>0.24</v>
      </c>
      <c r="G344" s="111">
        <f t="shared" si="25"/>
        <v>2560.08</v>
      </c>
      <c r="H344" s="555">
        <f t="shared" ca="1" si="26"/>
        <v>0</v>
      </c>
    </row>
    <row r="345" spans="1:8" x14ac:dyDescent="0.25">
      <c r="A345" s="109" t="s">
        <v>1774</v>
      </c>
      <c r="B345" s="514" t="str">
        <f>Materiais_Consumo!B173</f>
        <v>00154 - SINAPI</v>
      </c>
      <c r="C345" s="541" t="str">
        <f>Materiais_Consumo!C173</f>
        <v>Tinta Alcatrão de Hulha -  galão de 3,6 litros</v>
      </c>
      <c r="D345" s="110" t="str">
        <f>Materiais_Consumo!D173</f>
        <v>l</v>
      </c>
      <c r="E345" s="111">
        <f>Materiais_Consumo!E173</f>
        <v>9</v>
      </c>
      <c r="F345" s="111">
        <f>Materiais_Consumo!F173</f>
        <v>51.32</v>
      </c>
      <c r="G345" s="111">
        <f t="shared" si="25"/>
        <v>461.88</v>
      </c>
      <c r="H345" s="555">
        <f t="shared" ca="1" si="26"/>
        <v>0</v>
      </c>
    </row>
    <row r="346" spans="1:8" x14ac:dyDescent="0.25">
      <c r="A346" s="109" t="s">
        <v>1775</v>
      </c>
      <c r="B346" s="514" t="str">
        <f>Materiais_Consumo!B174</f>
        <v>35691 - SINAPI</v>
      </c>
      <c r="C346" s="541" t="str">
        <f>Materiais_Consumo!C174</f>
        <v>Tinta Latex  PVA</v>
      </c>
      <c r="D346" s="110" t="str">
        <f>Materiais_Consumo!D174</f>
        <v>l</v>
      </c>
      <c r="E346" s="111">
        <f>Materiais_Consumo!E174</f>
        <v>221</v>
      </c>
      <c r="F346" s="111">
        <f>Materiais_Consumo!F174</f>
        <v>13.65</v>
      </c>
      <c r="G346" s="111">
        <f t="shared" si="25"/>
        <v>3016.65</v>
      </c>
      <c r="H346" s="555">
        <f t="shared" ca="1" si="26"/>
        <v>0</v>
      </c>
    </row>
    <row r="347" spans="1:8" x14ac:dyDescent="0.25">
      <c r="A347" s="109" t="s">
        <v>1776</v>
      </c>
      <c r="B347" s="514" t="str">
        <f>Materiais_Consumo!B175</f>
        <v>38386 - SINAPI</v>
      </c>
      <c r="C347" s="541" t="str">
        <f>Materiais_Consumo!C175</f>
        <v>Trincha de 2 "</v>
      </c>
      <c r="D347" s="110" t="str">
        <f>Materiais_Consumo!D175</f>
        <v>un</v>
      </c>
      <c r="E347" s="111">
        <f>Materiais_Consumo!E175</f>
        <v>89</v>
      </c>
      <c r="F347" s="111">
        <f>Materiais_Consumo!F175</f>
        <v>4.82</v>
      </c>
      <c r="G347" s="111">
        <f t="shared" si="25"/>
        <v>428.98</v>
      </c>
      <c r="H347" s="555">
        <f t="shared" ca="1" si="26"/>
        <v>0</v>
      </c>
    </row>
    <row r="348" spans="1:8" x14ac:dyDescent="0.25">
      <c r="A348" s="109" t="s">
        <v>1777</v>
      </c>
      <c r="B348" s="514" t="str">
        <f>Materiais_Consumo!B176</f>
        <v>38400 - SINAPI</v>
      </c>
      <c r="C348" s="541" t="str">
        <f>Materiais_Consumo!C176</f>
        <v>Vassourão 40cm com cabo</v>
      </c>
      <c r="D348" s="110" t="str">
        <f>Materiais_Consumo!D176</f>
        <v>un</v>
      </c>
      <c r="E348" s="111">
        <f>Materiais_Consumo!E176</f>
        <v>110</v>
      </c>
      <c r="F348" s="111">
        <f>Materiais_Consumo!F176</f>
        <v>16.12</v>
      </c>
      <c r="G348" s="111">
        <f t="shared" si="25"/>
        <v>1773.2</v>
      </c>
      <c r="H348" s="555">
        <f t="shared" ca="1" si="26"/>
        <v>0</v>
      </c>
    </row>
    <row r="349" spans="1:8" x14ac:dyDescent="0.25">
      <c r="A349" s="109" t="s">
        <v>1778</v>
      </c>
      <c r="B349" s="514"/>
      <c r="C349" s="541" t="str">
        <f>Materiais_Consumo!C180</f>
        <v>MANUTENÇÃO DE CANTEIRO - ESCRITÓRIO</v>
      </c>
      <c r="D349" s="110"/>
      <c r="E349" s="111"/>
      <c r="F349" s="111"/>
      <c r="G349" s="111">
        <f>SUBTOTAL(109,G350)</f>
        <v>109173.6</v>
      </c>
      <c r="H349" s="555">
        <f t="shared" ca="1" si="26"/>
        <v>1.6000000000000001E-3</v>
      </c>
    </row>
    <row r="350" spans="1:8" ht="38.25" x14ac:dyDescent="0.25">
      <c r="A350" s="109" t="s">
        <v>2625</v>
      </c>
      <c r="B350" s="514">
        <f>Materiais_Consumo!B181</f>
        <v>0</v>
      </c>
      <c r="C350" s="541" t="str">
        <f>Materiais_Consumo!C181</f>
        <v>Taxa de manutenção de canteiro, incluindo despesas com material de expediente, material de limpeza, água, energia, comunicação, entre outras</v>
      </c>
      <c r="D350" s="110" t="str">
        <f>Materiais_Consumo!D181</f>
        <v>un x mês</v>
      </c>
      <c r="E350" s="111">
        <f>Materiais_Consumo!E181</f>
        <v>36</v>
      </c>
      <c r="F350" s="111">
        <f>Materiais_Consumo!F181</f>
        <v>3032.6</v>
      </c>
      <c r="G350" s="111">
        <f t="shared" si="25"/>
        <v>109173.6</v>
      </c>
      <c r="H350" s="555">
        <f t="shared" ca="1" si="26"/>
        <v>1.6000000000000001E-3</v>
      </c>
    </row>
    <row r="351" spans="1:8" x14ac:dyDescent="0.25">
      <c r="A351" s="109"/>
      <c r="B351" s="514"/>
      <c r="C351" s="541"/>
      <c r="D351" s="110"/>
      <c r="E351" s="111"/>
      <c r="F351" s="111"/>
      <c r="G351" s="111"/>
      <c r="H351" s="551"/>
    </row>
    <row r="352" spans="1:8" x14ac:dyDescent="0.25">
      <c r="A352" s="109" t="s">
        <v>442</v>
      </c>
      <c r="B352" s="514"/>
      <c r="C352" s="541" t="str">
        <f>Ferramentas!C13</f>
        <v>FERRAMENTAS</v>
      </c>
      <c r="D352" s="110"/>
      <c r="E352" s="111"/>
      <c r="F352" s="111"/>
      <c r="G352" s="111">
        <f>SUBTOTAL(109,G353:G602)</f>
        <v>417850.60000000015</v>
      </c>
      <c r="H352" s="555">
        <f t="shared" ref="H352:H415" ca="1" si="27">ROUND(G352/G$8,4)</f>
        <v>6.0000000000000001E-3</v>
      </c>
    </row>
    <row r="353" spans="1:8" x14ac:dyDescent="0.25">
      <c r="A353" s="109" t="s">
        <v>1779</v>
      </c>
      <c r="B353" s="514"/>
      <c r="C353" s="541" t="str">
        <f>Ferramentas!C15</f>
        <v>FERRAMENTAS - MECÂNICA</v>
      </c>
      <c r="D353" s="110"/>
      <c r="E353" s="111"/>
      <c r="F353" s="111"/>
      <c r="G353" s="111">
        <f>SUBTOTAL(109,G354:G435)</f>
        <v>31325.3</v>
      </c>
      <c r="H353" s="555">
        <f t="shared" ca="1" si="27"/>
        <v>5.0000000000000001E-4</v>
      </c>
    </row>
    <row r="354" spans="1:8" x14ac:dyDescent="0.25">
      <c r="A354" s="109" t="s">
        <v>1780</v>
      </c>
      <c r="B354" s="514">
        <f>Ferramentas!B16</f>
        <v>0</v>
      </c>
      <c r="C354" s="541" t="str">
        <f>Ferramentas!C16</f>
        <v xml:space="preserve">Alavanca para mecânico 38,4 cm </v>
      </c>
      <c r="D354" s="110" t="str">
        <f>Ferramentas!D16</f>
        <v>un</v>
      </c>
      <c r="E354" s="111">
        <f>Ferramentas!E16</f>
        <v>4</v>
      </c>
      <c r="F354" s="111">
        <f>Ferramentas!F16</f>
        <v>111.97</v>
      </c>
      <c r="G354" s="111">
        <f t="shared" si="25"/>
        <v>447.88</v>
      </c>
      <c r="H354" s="555">
        <f t="shared" ca="1" si="27"/>
        <v>0</v>
      </c>
    </row>
    <row r="355" spans="1:8" x14ac:dyDescent="0.25">
      <c r="A355" s="109" t="s">
        <v>1783</v>
      </c>
      <c r="B355" s="514" t="str">
        <f>Ferramentas!B17</f>
        <v>11240 - ORSE</v>
      </c>
      <c r="C355" s="541" t="str">
        <f>Ferramentas!C17</f>
        <v>Alicate de bico com isolamento para 1000V</v>
      </c>
      <c r="D355" s="110" t="str">
        <f>Ferramentas!D17</f>
        <v>un</v>
      </c>
      <c r="E355" s="111">
        <f>Ferramentas!E17</f>
        <v>7</v>
      </c>
      <c r="F355" s="111">
        <f>Ferramentas!F17</f>
        <v>22.9</v>
      </c>
      <c r="G355" s="111">
        <f t="shared" si="25"/>
        <v>160.30000000000001</v>
      </c>
      <c r="H355" s="555">
        <f t="shared" ca="1" si="27"/>
        <v>0</v>
      </c>
    </row>
    <row r="356" spans="1:8" x14ac:dyDescent="0.25">
      <c r="A356" s="109" t="s">
        <v>1784</v>
      </c>
      <c r="B356" s="514" t="str">
        <f>Ferramentas!B18</f>
        <v>38470 - SINAPI</v>
      </c>
      <c r="C356" s="541" t="str">
        <f>Ferramentas!C18</f>
        <v>Alicate de corte diagonal</v>
      </c>
      <c r="D356" s="110" t="str">
        <f>Ferramentas!D18</f>
        <v>un</v>
      </c>
      <c r="E356" s="111">
        <f>Ferramentas!E18</f>
        <v>7</v>
      </c>
      <c r="F356" s="111">
        <f>Ferramentas!F18</f>
        <v>32.5</v>
      </c>
      <c r="G356" s="111">
        <f t="shared" si="25"/>
        <v>227.5</v>
      </c>
      <c r="H356" s="555">
        <f t="shared" ca="1" si="27"/>
        <v>0</v>
      </c>
    </row>
    <row r="357" spans="1:8" x14ac:dyDescent="0.25">
      <c r="A357" s="109" t="s">
        <v>1785</v>
      </c>
      <c r="B357" s="514" t="str">
        <f>Ferramentas!B19</f>
        <v>38471 - SINAPI</v>
      </c>
      <c r="C357" s="541" t="str">
        <f>Ferramentas!C19</f>
        <v>Alicate para anéis externo pontas retas</v>
      </c>
      <c r="D357" s="110" t="str">
        <f>Ferramentas!D19</f>
        <v>un</v>
      </c>
      <c r="E357" s="111">
        <f>Ferramentas!E19</f>
        <v>7</v>
      </c>
      <c r="F357" s="111">
        <f>Ferramentas!F19</f>
        <v>76.67</v>
      </c>
      <c r="G357" s="111">
        <f t="shared" si="25"/>
        <v>536.69000000000005</v>
      </c>
      <c r="H357" s="555">
        <f t="shared" ca="1" si="27"/>
        <v>0</v>
      </c>
    </row>
    <row r="358" spans="1:8" x14ac:dyDescent="0.25">
      <c r="A358" s="109" t="s">
        <v>1786</v>
      </c>
      <c r="B358" s="514" t="str">
        <f>Ferramentas!B20</f>
        <v>38471 - SINAPI</v>
      </c>
      <c r="C358" s="541" t="str">
        <f>Ferramentas!C20</f>
        <v>Alicate para anéis externos ponta curva 90°</v>
      </c>
      <c r="D358" s="110" t="str">
        <f>Ferramentas!D20</f>
        <v>un</v>
      </c>
      <c r="E358" s="111">
        <f>Ferramentas!E20</f>
        <v>7</v>
      </c>
      <c r="F358" s="111">
        <f>Ferramentas!F20</f>
        <v>76.67</v>
      </c>
      <c r="G358" s="111">
        <f t="shared" si="25"/>
        <v>536.69000000000005</v>
      </c>
      <c r="H358" s="555">
        <f t="shared" ca="1" si="27"/>
        <v>0</v>
      </c>
    </row>
    <row r="359" spans="1:8" x14ac:dyDescent="0.25">
      <c r="A359" s="109" t="s">
        <v>1787</v>
      </c>
      <c r="B359" s="514" t="str">
        <f>Ferramentas!B21</f>
        <v>38471 - SINAPI</v>
      </c>
      <c r="C359" s="541" t="str">
        <f>Ferramentas!C21</f>
        <v>Alicate para anéis internos</v>
      </c>
      <c r="D359" s="110" t="str">
        <f>Ferramentas!D21</f>
        <v>un</v>
      </c>
      <c r="E359" s="111">
        <f>Ferramentas!E21</f>
        <v>7</v>
      </c>
      <c r="F359" s="111">
        <f>Ferramentas!F21</f>
        <v>76.67</v>
      </c>
      <c r="G359" s="111">
        <f t="shared" si="25"/>
        <v>536.69000000000005</v>
      </c>
      <c r="H359" s="555">
        <f t="shared" ca="1" si="27"/>
        <v>0</v>
      </c>
    </row>
    <row r="360" spans="1:8" x14ac:dyDescent="0.25">
      <c r="A360" s="109" t="s">
        <v>1788</v>
      </c>
      <c r="B360" s="514" t="str">
        <f>Ferramentas!B22</f>
        <v>11275 - ORSE</v>
      </c>
      <c r="C360" s="541" t="str">
        <f>Ferramentas!C22</f>
        <v>Alicate de pressão, 10", 250mm</v>
      </c>
      <c r="D360" s="110" t="str">
        <f>Ferramentas!D22</f>
        <v>un</v>
      </c>
      <c r="E360" s="111">
        <f>Ferramentas!E22</f>
        <v>7</v>
      </c>
      <c r="F360" s="111">
        <f>Ferramentas!F22</f>
        <v>40.86</v>
      </c>
      <c r="G360" s="111">
        <f t="shared" si="25"/>
        <v>286.02</v>
      </c>
      <c r="H360" s="555">
        <f t="shared" ca="1" si="27"/>
        <v>0</v>
      </c>
    </row>
    <row r="361" spans="1:8" x14ac:dyDescent="0.25">
      <c r="A361" s="109" t="s">
        <v>1789</v>
      </c>
      <c r="B361" s="514" t="str">
        <f>Ferramentas!B23</f>
        <v>11240 - ORSE</v>
      </c>
      <c r="C361" s="541" t="str">
        <f>Ferramentas!C23</f>
        <v>Alicate universal, 8", com isolação 1000 V</v>
      </c>
      <c r="D361" s="110" t="str">
        <f>Ferramentas!D23</f>
        <v>un</v>
      </c>
      <c r="E361" s="111">
        <f>Ferramentas!E23</f>
        <v>7</v>
      </c>
      <c r="F361" s="111">
        <f>Ferramentas!F23</f>
        <v>22.9</v>
      </c>
      <c r="G361" s="111">
        <f t="shared" si="25"/>
        <v>160.30000000000001</v>
      </c>
      <c r="H361" s="555">
        <f t="shared" ca="1" si="27"/>
        <v>0</v>
      </c>
    </row>
    <row r="362" spans="1:8" x14ac:dyDescent="0.25">
      <c r="A362" s="109" t="s">
        <v>1790</v>
      </c>
      <c r="B362" s="514" t="str">
        <f>Ferramentas!B24</f>
        <v>10585 - ORSE</v>
      </c>
      <c r="C362" s="541" t="str">
        <f>Ferramentas!C24</f>
        <v>Arco de Serra manual (com serra)</v>
      </c>
      <c r="D362" s="110" t="str">
        <f>Ferramentas!D24</f>
        <v>un</v>
      </c>
      <c r="E362" s="111">
        <f>Ferramentas!E24</f>
        <v>4</v>
      </c>
      <c r="F362" s="111">
        <f>Ferramentas!F24</f>
        <v>21.25</v>
      </c>
      <c r="G362" s="111">
        <f t="shared" si="25"/>
        <v>85</v>
      </c>
      <c r="H362" s="555">
        <f t="shared" ca="1" si="27"/>
        <v>0</v>
      </c>
    </row>
    <row r="363" spans="1:8" x14ac:dyDescent="0.25">
      <c r="A363" s="109" t="s">
        <v>1791</v>
      </c>
      <c r="B363" s="514">
        <f>Ferramentas!B25</f>
        <v>0</v>
      </c>
      <c r="C363" s="541" t="str">
        <f>Ferramentas!C25</f>
        <v>Cabo de força com encaixe de ½”, ¾” e 1”</v>
      </c>
      <c r="D363" s="110" t="str">
        <f>Ferramentas!D25</f>
        <v>un</v>
      </c>
      <c r="E363" s="111">
        <f>Ferramentas!E25</f>
        <v>4</v>
      </c>
      <c r="F363" s="111">
        <f>Ferramentas!F25</f>
        <v>179.99</v>
      </c>
      <c r="G363" s="111">
        <f t="shared" si="25"/>
        <v>719.96</v>
      </c>
      <c r="H363" s="555">
        <f t="shared" ca="1" si="27"/>
        <v>0</v>
      </c>
    </row>
    <row r="364" spans="1:8" x14ac:dyDescent="0.25">
      <c r="A364" s="109" t="s">
        <v>1792</v>
      </c>
      <c r="B364" s="514" t="str">
        <f>Ferramentas!B26</f>
        <v>5090 - SINAPI</v>
      </c>
      <c r="C364" s="541" t="str">
        <f>Ferramentas!C26</f>
        <v>Cadeado 30mm</v>
      </c>
      <c r="D364" s="110" t="str">
        <f>Ferramentas!D26</f>
        <v>un</v>
      </c>
      <c r="E364" s="111">
        <f>Ferramentas!E26</f>
        <v>7</v>
      </c>
      <c r="F364" s="111">
        <f>Ferramentas!F26</f>
        <v>15.2</v>
      </c>
      <c r="G364" s="111">
        <f t="shared" si="25"/>
        <v>106.4</v>
      </c>
      <c r="H364" s="555">
        <f t="shared" ca="1" si="27"/>
        <v>0</v>
      </c>
    </row>
    <row r="365" spans="1:8" x14ac:dyDescent="0.25">
      <c r="A365" s="109" t="s">
        <v>1793</v>
      </c>
      <c r="B365" s="514" t="str">
        <f>Ferramentas!B27</f>
        <v>00425 - ORSE</v>
      </c>
      <c r="C365" s="541" t="str">
        <f>Ferramentas!C27</f>
        <v>Cadeado 40mm</v>
      </c>
      <c r="D365" s="110" t="str">
        <f>Ferramentas!D27</f>
        <v>un</v>
      </c>
      <c r="E365" s="111">
        <f>Ferramentas!E27</f>
        <v>7</v>
      </c>
      <c r="F365" s="111">
        <f>Ferramentas!F27</f>
        <v>17.850000000000001</v>
      </c>
      <c r="G365" s="111">
        <f t="shared" si="25"/>
        <v>124.95</v>
      </c>
      <c r="H365" s="555">
        <f t="shared" ca="1" si="27"/>
        <v>0</v>
      </c>
    </row>
    <row r="366" spans="1:8" x14ac:dyDescent="0.25">
      <c r="A366" s="109" t="s">
        <v>1794</v>
      </c>
      <c r="B366" s="514">
        <f>Ferramentas!B28</f>
        <v>0</v>
      </c>
      <c r="C366" s="541" t="str">
        <f>Ferramentas!C28</f>
        <v>Calibrador de folgas de 0,03 mm - 0,50 mm</v>
      </c>
      <c r="D366" s="110" t="str">
        <f>Ferramentas!D28</f>
        <v>un</v>
      </c>
      <c r="E366" s="111">
        <f>Ferramentas!E28</f>
        <v>4</v>
      </c>
      <c r="F366" s="111">
        <f>Ferramentas!F28</f>
        <v>37.226666666666667</v>
      </c>
      <c r="G366" s="111">
        <f t="shared" si="25"/>
        <v>148.91</v>
      </c>
      <c r="H366" s="555">
        <f t="shared" ca="1" si="27"/>
        <v>0</v>
      </c>
    </row>
    <row r="367" spans="1:8" x14ac:dyDescent="0.25">
      <c r="A367" s="109" t="s">
        <v>1795</v>
      </c>
      <c r="B367" s="514">
        <f>Ferramentas!B29</f>
        <v>0</v>
      </c>
      <c r="C367" s="541" t="str">
        <f>Ferramentas!C29</f>
        <v>Canivete sem ponta</v>
      </c>
      <c r="D367" s="110" t="str">
        <f>Ferramentas!D29</f>
        <v>un</v>
      </c>
      <c r="E367" s="111">
        <f>Ferramentas!E29</f>
        <v>7</v>
      </c>
      <c r="F367" s="111">
        <f>Ferramentas!F29</f>
        <v>16.663333333333338</v>
      </c>
      <c r="G367" s="111">
        <f t="shared" si="25"/>
        <v>116.64</v>
      </c>
      <c r="H367" s="555">
        <f t="shared" ca="1" si="27"/>
        <v>0</v>
      </c>
    </row>
    <row r="368" spans="1:8" x14ac:dyDescent="0.25">
      <c r="A368" s="109" t="s">
        <v>1796</v>
      </c>
      <c r="B368" s="514">
        <f>Ferramentas!B30</f>
        <v>0</v>
      </c>
      <c r="C368" s="541" t="str">
        <f>Ferramentas!C30</f>
        <v>Chave ajustável n.º 08</v>
      </c>
      <c r="D368" s="110" t="str">
        <f>Ferramentas!D30</f>
        <v>un</v>
      </c>
      <c r="E368" s="111">
        <f>Ferramentas!E30</f>
        <v>7</v>
      </c>
      <c r="F368" s="111">
        <f>Ferramentas!F30</f>
        <v>13.71</v>
      </c>
      <c r="G368" s="111">
        <f t="shared" si="25"/>
        <v>95.97</v>
      </c>
      <c r="H368" s="555">
        <f t="shared" ca="1" si="27"/>
        <v>0</v>
      </c>
    </row>
    <row r="369" spans="1:8" x14ac:dyDescent="0.25">
      <c r="A369" s="109" t="s">
        <v>1797</v>
      </c>
      <c r="B369" s="514">
        <f>Ferramentas!B31</f>
        <v>0</v>
      </c>
      <c r="C369" s="541" t="str">
        <f>Ferramentas!C31</f>
        <v>Chave combinada 1" x 5/16"</v>
      </c>
      <c r="D369" s="110" t="str">
        <f>Ferramentas!D31</f>
        <v>un</v>
      </c>
      <c r="E369" s="111">
        <f>Ferramentas!E31</f>
        <v>7</v>
      </c>
      <c r="F369" s="111">
        <f>Ferramentas!F31</f>
        <v>25.17</v>
      </c>
      <c r="G369" s="111">
        <f t="shared" si="25"/>
        <v>176.19</v>
      </c>
      <c r="H369" s="555">
        <f t="shared" ca="1" si="27"/>
        <v>0</v>
      </c>
    </row>
    <row r="370" spans="1:8" x14ac:dyDescent="0.25">
      <c r="A370" s="109" t="s">
        <v>1798</v>
      </c>
      <c r="B370" s="514">
        <f>Ferramentas!B32</f>
        <v>0</v>
      </c>
      <c r="C370" s="541" t="str">
        <f>Ferramentas!C32</f>
        <v>Chave combinada 22 mm</v>
      </c>
      <c r="D370" s="110" t="str">
        <f>Ferramentas!D32</f>
        <v>un</v>
      </c>
      <c r="E370" s="111">
        <f>Ferramentas!E32</f>
        <v>7</v>
      </c>
      <c r="F370" s="111">
        <f>Ferramentas!F32</f>
        <v>20</v>
      </c>
      <c r="G370" s="111">
        <f t="shared" si="25"/>
        <v>140</v>
      </c>
      <c r="H370" s="555">
        <f t="shared" ca="1" si="27"/>
        <v>0</v>
      </c>
    </row>
    <row r="371" spans="1:8" x14ac:dyDescent="0.25">
      <c r="A371" s="109" t="s">
        <v>1799</v>
      </c>
      <c r="B371" s="514">
        <f>Ferramentas!B33</f>
        <v>0</v>
      </c>
      <c r="C371" s="541" t="str">
        <f>Ferramentas!C33</f>
        <v>Chave combinada n.º 5/16"</v>
      </c>
      <c r="D371" s="110" t="str">
        <f>Ferramentas!D33</f>
        <v>un</v>
      </c>
      <c r="E371" s="111">
        <f>Ferramentas!E33</f>
        <v>7</v>
      </c>
      <c r="F371" s="111">
        <f>Ferramentas!F33</f>
        <v>20.53</v>
      </c>
      <c r="G371" s="111">
        <f t="shared" si="25"/>
        <v>143.71</v>
      </c>
      <c r="H371" s="555">
        <f t="shared" ca="1" si="27"/>
        <v>0</v>
      </c>
    </row>
    <row r="372" spans="1:8" x14ac:dyDescent="0.25">
      <c r="A372" s="109" t="s">
        <v>1800</v>
      </c>
      <c r="B372" s="514">
        <f>Ferramentas!B34</f>
        <v>0</v>
      </c>
      <c r="C372" s="541" t="str">
        <f>Ferramentas!C34</f>
        <v>Chave cruzada 8 x 150</v>
      </c>
      <c r="D372" s="110" t="str">
        <f>Ferramentas!D34</f>
        <v>un</v>
      </c>
      <c r="E372" s="111">
        <f>Ferramentas!E34</f>
        <v>7</v>
      </c>
      <c r="F372" s="111">
        <f>Ferramentas!F34</f>
        <v>24.643333333333334</v>
      </c>
      <c r="G372" s="111">
        <f t="shared" si="25"/>
        <v>172.5</v>
      </c>
      <c r="H372" s="555">
        <f t="shared" ca="1" si="27"/>
        <v>0</v>
      </c>
    </row>
    <row r="373" spans="1:8" x14ac:dyDescent="0.25">
      <c r="A373" s="109" t="s">
        <v>1801</v>
      </c>
      <c r="B373" s="514">
        <f>Ferramentas!B35</f>
        <v>0</v>
      </c>
      <c r="C373" s="541" t="str">
        <f>Ferramentas!C35</f>
        <v>Chave de boca 3/4" x 25/32"</v>
      </c>
      <c r="D373" s="110" t="str">
        <f>Ferramentas!D35</f>
        <v>un</v>
      </c>
      <c r="E373" s="111">
        <f>Ferramentas!E35</f>
        <v>7</v>
      </c>
      <c r="F373" s="111">
        <f>Ferramentas!F35</f>
        <v>17.899999999999999</v>
      </c>
      <c r="G373" s="111">
        <f t="shared" si="25"/>
        <v>125.3</v>
      </c>
      <c r="H373" s="555">
        <f t="shared" ca="1" si="27"/>
        <v>0</v>
      </c>
    </row>
    <row r="374" spans="1:8" x14ac:dyDescent="0.25">
      <c r="A374" s="109" t="s">
        <v>1802</v>
      </c>
      <c r="B374" s="514">
        <f>Ferramentas!B36</f>
        <v>0</v>
      </c>
      <c r="C374" s="541" t="str">
        <f>Ferramentas!C36</f>
        <v>Chave de boca 5/16" x 1/4"</v>
      </c>
      <c r="D374" s="110" t="str">
        <f>Ferramentas!D36</f>
        <v>un</v>
      </c>
      <c r="E374" s="111">
        <f>Ferramentas!E36</f>
        <v>7</v>
      </c>
      <c r="F374" s="111">
        <f>Ferramentas!F36</f>
        <v>10.220000000000001</v>
      </c>
      <c r="G374" s="111">
        <f t="shared" si="25"/>
        <v>71.540000000000006</v>
      </c>
      <c r="H374" s="555">
        <f t="shared" ca="1" si="27"/>
        <v>0</v>
      </c>
    </row>
    <row r="375" spans="1:8" x14ac:dyDescent="0.25">
      <c r="A375" s="109" t="s">
        <v>1803</v>
      </c>
      <c r="B375" s="514">
        <f>Ferramentas!B37</f>
        <v>0</v>
      </c>
      <c r="C375" s="541" t="str">
        <f>Ferramentas!C37</f>
        <v>Chave de fenda 1/4x10</v>
      </c>
      <c r="D375" s="110" t="str">
        <f>Ferramentas!D37</f>
        <v>un</v>
      </c>
      <c r="E375" s="111">
        <f>Ferramentas!E37</f>
        <v>7</v>
      </c>
      <c r="F375" s="111">
        <f>Ferramentas!F37</f>
        <v>8.99</v>
      </c>
      <c r="G375" s="111">
        <f t="shared" si="25"/>
        <v>62.93</v>
      </c>
      <c r="H375" s="555">
        <f t="shared" ca="1" si="27"/>
        <v>0</v>
      </c>
    </row>
    <row r="376" spans="1:8" x14ac:dyDescent="0.25">
      <c r="A376" s="109" t="s">
        <v>1804</v>
      </c>
      <c r="B376" s="514">
        <f>Ferramentas!B38</f>
        <v>0</v>
      </c>
      <c r="C376" s="541" t="str">
        <f>Ferramentas!C38</f>
        <v>Chave de fenda 1/8x3</v>
      </c>
      <c r="D376" s="110" t="str">
        <f>Ferramentas!D38</f>
        <v>un</v>
      </c>
      <c r="E376" s="111">
        <f>Ferramentas!E38</f>
        <v>7</v>
      </c>
      <c r="F376" s="111">
        <f>Ferramentas!F38</f>
        <v>8.99</v>
      </c>
      <c r="G376" s="111">
        <f t="shared" si="25"/>
        <v>62.93</v>
      </c>
      <c r="H376" s="555">
        <f t="shared" ca="1" si="27"/>
        <v>0</v>
      </c>
    </row>
    <row r="377" spans="1:8" x14ac:dyDescent="0.25">
      <c r="A377" s="109" t="s">
        <v>1805</v>
      </c>
      <c r="B377" s="514">
        <f>Ferramentas!B39</f>
        <v>0</v>
      </c>
      <c r="C377" s="541" t="str">
        <f>Ferramentas!C39</f>
        <v>Chave de fenda 3/16x6</v>
      </c>
      <c r="D377" s="110" t="str">
        <f>Ferramentas!D39</f>
        <v>un</v>
      </c>
      <c r="E377" s="111">
        <f>Ferramentas!E39</f>
        <v>7</v>
      </c>
      <c r="F377" s="111">
        <f>Ferramentas!F39</f>
        <v>3.71</v>
      </c>
      <c r="G377" s="111">
        <f t="shared" si="25"/>
        <v>25.97</v>
      </c>
      <c r="H377" s="555">
        <f t="shared" ca="1" si="27"/>
        <v>0</v>
      </c>
    </row>
    <row r="378" spans="1:8" x14ac:dyDescent="0.25">
      <c r="A378" s="109" t="s">
        <v>1806</v>
      </c>
      <c r="B378" s="514">
        <f>Ferramentas!B40</f>
        <v>0</v>
      </c>
      <c r="C378" s="541" t="str">
        <f>Ferramentas!C40</f>
        <v>Chave de fenda 3/8x10</v>
      </c>
      <c r="D378" s="110" t="str">
        <f>Ferramentas!D40</f>
        <v>un</v>
      </c>
      <c r="E378" s="111">
        <f>Ferramentas!E40</f>
        <v>7</v>
      </c>
      <c r="F378" s="111">
        <f>Ferramentas!F40</f>
        <v>9.8800000000000008</v>
      </c>
      <c r="G378" s="111">
        <f t="shared" si="25"/>
        <v>69.16</v>
      </c>
      <c r="H378" s="555">
        <f t="shared" ca="1" si="27"/>
        <v>0</v>
      </c>
    </row>
    <row r="379" spans="1:8" x14ac:dyDescent="0.25">
      <c r="A379" s="109" t="s">
        <v>1807</v>
      </c>
      <c r="B379" s="514">
        <f>Ferramentas!B41</f>
        <v>0</v>
      </c>
      <c r="C379" s="541" t="str">
        <f>Ferramentas!C41</f>
        <v>Chave de fenda 8x150</v>
      </c>
      <c r="D379" s="110" t="str">
        <f>Ferramentas!D41</f>
        <v>un</v>
      </c>
      <c r="E379" s="111">
        <f>Ferramentas!E41</f>
        <v>7</v>
      </c>
      <c r="F379" s="111">
        <f>Ferramentas!F41</f>
        <v>21.899999999999995</v>
      </c>
      <c r="G379" s="111">
        <f t="shared" si="25"/>
        <v>153.30000000000001</v>
      </c>
      <c r="H379" s="555">
        <f t="shared" ca="1" si="27"/>
        <v>0</v>
      </c>
    </row>
    <row r="380" spans="1:8" x14ac:dyDescent="0.25">
      <c r="A380" s="109" t="s">
        <v>1808</v>
      </c>
      <c r="B380" s="514">
        <f>Ferramentas!B42</f>
        <v>0</v>
      </c>
      <c r="C380" s="541" t="str">
        <f>Ferramentas!C42</f>
        <v>Chave de fenda cruzada (Philips) 1/4" x 1. 1/2"</v>
      </c>
      <c r="D380" s="110" t="str">
        <f>Ferramentas!D42</f>
        <v>un</v>
      </c>
      <c r="E380" s="111">
        <f>Ferramentas!E42</f>
        <v>7</v>
      </c>
      <c r="F380" s="111">
        <f>Ferramentas!F42</f>
        <v>4.1150000000000002</v>
      </c>
      <c r="G380" s="111">
        <f t="shared" si="25"/>
        <v>28.81</v>
      </c>
      <c r="H380" s="555">
        <f t="shared" ca="1" si="27"/>
        <v>0</v>
      </c>
    </row>
    <row r="381" spans="1:8" x14ac:dyDescent="0.25">
      <c r="A381" s="109" t="s">
        <v>1809</v>
      </c>
      <c r="B381" s="514">
        <f>Ferramentas!B43</f>
        <v>0</v>
      </c>
      <c r="C381" s="541" t="str">
        <f>Ferramentas!C43</f>
        <v>Chave de fenda tipo toco 1/4" x 1. 1/2"</v>
      </c>
      <c r="D381" s="110" t="str">
        <f>Ferramentas!D43</f>
        <v>un</v>
      </c>
      <c r="E381" s="111">
        <f>Ferramentas!E43</f>
        <v>7</v>
      </c>
      <c r="F381" s="111">
        <f>Ferramentas!F43</f>
        <v>8.8466666666666658</v>
      </c>
      <c r="G381" s="111">
        <f t="shared" si="25"/>
        <v>61.93</v>
      </c>
      <c r="H381" s="555">
        <f t="shared" ca="1" si="27"/>
        <v>0</v>
      </c>
    </row>
    <row r="382" spans="1:8" x14ac:dyDescent="0.25">
      <c r="A382" s="109" t="s">
        <v>1810</v>
      </c>
      <c r="B382" s="514">
        <f>Ferramentas!B44</f>
        <v>0</v>
      </c>
      <c r="C382" s="541" t="str">
        <f>Ferramentas!C44</f>
        <v>Chave grifo n.º 8</v>
      </c>
      <c r="D382" s="110" t="str">
        <f>Ferramentas!D44</f>
        <v>un</v>
      </c>
      <c r="E382" s="111">
        <f>Ferramentas!E44</f>
        <v>4</v>
      </c>
      <c r="F382" s="111">
        <f>Ferramentas!F44</f>
        <v>45.666666666666664</v>
      </c>
      <c r="G382" s="111">
        <f t="shared" si="25"/>
        <v>182.67</v>
      </c>
      <c r="H382" s="555">
        <f t="shared" ca="1" si="27"/>
        <v>0</v>
      </c>
    </row>
    <row r="383" spans="1:8" x14ac:dyDescent="0.25">
      <c r="A383" s="109" t="s">
        <v>1811</v>
      </c>
      <c r="B383" s="514">
        <f>Ferramentas!B45</f>
        <v>0</v>
      </c>
      <c r="C383" s="541" t="str">
        <f>Ferramentas!C45</f>
        <v>Chave grifo n.º 18</v>
      </c>
      <c r="D383" s="110" t="str">
        <f>Ferramentas!D45</f>
        <v>un</v>
      </c>
      <c r="E383" s="111">
        <f>Ferramentas!E45</f>
        <v>4</v>
      </c>
      <c r="F383" s="111">
        <f>Ferramentas!F45</f>
        <v>72.826666666666668</v>
      </c>
      <c r="G383" s="111">
        <f t="shared" si="25"/>
        <v>291.31</v>
      </c>
      <c r="H383" s="555">
        <f t="shared" ca="1" si="27"/>
        <v>0</v>
      </c>
    </row>
    <row r="384" spans="1:8" x14ac:dyDescent="0.25">
      <c r="A384" s="109" t="s">
        <v>1812</v>
      </c>
      <c r="B384" s="514">
        <f>Ferramentas!B46</f>
        <v>0</v>
      </c>
      <c r="C384" s="541" t="str">
        <f>Ferramentas!C46</f>
        <v>Chave Philips</v>
      </c>
      <c r="D384" s="110" t="str">
        <f>Ferramentas!D46</f>
        <v>un</v>
      </c>
      <c r="E384" s="111">
        <f>Ferramentas!E46</f>
        <v>7</v>
      </c>
      <c r="F384" s="111">
        <f>Ferramentas!F46</f>
        <v>34.699999999999996</v>
      </c>
      <c r="G384" s="111">
        <f t="shared" si="25"/>
        <v>242.9</v>
      </c>
      <c r="H384" s="555">
        <f t="shared" ca="1" si="27"/>
        <v>0</v>
      </c>
    </row>
    <row r="385" spans="1:8" x14ac:dyDescent="0.25">
      <c r="A385" s="109" t="s">
        <v>1813</v>
      </c>
      <c r="B385" s="514">
        <f>Ferramentas!B47</f>
        <v>0</v>
      </c>
      <c r="C385" s="541" t="str">
        <f>Ferramentas!C47</f>
        <v>Chave soquete tipo canhão 1/2"</v>
      </c>
      <c r="D385" s="110" t="str">
        <f>Ferramentas!D47</f>
        <v>un</v>
      </c>
      <c r="E385" s="111">
        <f>Ferramentas!E47</f>
        <v>3</v>
      </c>
      <c r="F385" s="111">
        <f>Ferramentas!F47</f>
        <v>36.54</v>
      </c>
      <c r="G385" s="111">
        <f t="shared" si="25"/>
        <v>109.62</v>
      </c>
      <c r="H385" s="555">
        <f t="shared" ca="1" si="27"/>
        <v>0</v>
      </c>
    </row>
    <row r="386" spans="1:8" x14ac:dyDescent="0.25">
      <c r="A386" s="109" t="s">
        <v>1814</v>
      </c>
      <c r="B386" s="514">
        <f>Ferramentas!B48</f>
        <v>0</v>
      </c>
      <c r="C386" s="541" t="str">
        <f>Ferramentas!C48</f>
        <v>Chave soquete tipo canhão 1/4"</v>
      </c>
      <c r="D386" s="110" t="str">
        <f>Ferramentas!D48</f>
        <v>un</v>
      </c>
      <c r="E386" s="111">
        <f>Ferramentas!E48</f>
        <v>3</v>
      </c>
      <c r="F386" s="111">
        <f>Ferramentas!F48</f>
        <v>18.416666666666668</v>
      </c>
      <c r="G386" s="111">
        <f t="shared" si="25"/>
        <v>55.25</v>
      </c>
      <c r="H386" s="555">
        <f t="shared" ca="1" si="27"/>
        <v>0</v>
      </c>
    </row>
    <row r="387" spans="1:8" x14ac:dyDescent="0.25">
      <c r="A387" s="109" t="s">
        <v>1815</v>
      </c>
      <c r="B387" s="514">
        <f>Ferramentas!B49</f>
        <v>0</v>
      </c>
      <c r="C387" s="541" t="str">
        <f>Ferramentas!C49</f>
        <v>Chave soquete tipo canhão 11/32"</v>
      </c>
      <c r="D387" s="110" t="str">
        <f>Ferramentas!D49</f>
        <v>un</v>
      </c>
      <c r="E387" s="111">
        <f>Ferramentas!E49</f>
        <v>3</v>
      </c>
      <c r="F387" s="111">
        <f>Ferramentas!F49</f>
        <v>24.265000000000001</v>
      </c>
      <c r="G387" s="111">
        <f t="shared" si="25"/>
        <v>72.8</v>
      </c>
      <c r="H387" s="555">
        <f t="shared" ca="1" si="27"/>
        <v>0</v>
      </c>
    </row>
    <row r="388" spans="1:8" x14ac:dyDescent="0.25">
      <c r="A388" s="109" t="s">
        <v>1816</v>
      </c>
      <c r="B388" s="514">
        <f>Ferramentas!B50</f>
        <v>0</v>
      </c>
      <c r="C388" s="541" t="str">
        <f>Ferramentas!C50</f>
        <v>Chave soquete tipo canhão 3/8"</v>
      </c>
      <c r="D388" s="110" t="str">
        <f>Ferramentas!D50</f>
        <v>un</v>
      </c>
      <c r="E388" s="111">
        <f>Ferramentas!E50</f>
        <v>3</v>
      </c>
      <c r="F388" s="111">
        <f>Ferramentas!F50</f>
        <v>38.980000000000004</v>
      </c>
      <c r="G388" s="111">
        <f t="shared" si="25"/>
        <v>116.94</v>
      </c>
      <c r="H388" s="555">
        <f t="shared" ca="1" si="27"/>
        <v>0</v>
      </c>
    </row>
    <row r="389" spans="1:8" x14ac:dyDescent="0.25">
      <c r="A389" s="109" t="s">
        <v>1817</v>
      </c>
      <c r="B389" s="514">
        <f>Ferramentas!B51</f>
        <v>0</v>
      </c>
      <c r="C389" s="541" t="str">
        <f>Ferramentas!C51</f>
        <v>Chave soquete tipo canhão 7/16"</v>
      </c>
      <c r="D389" s="110" t="str">
        <f>Ferramentas!D51</f>
        <v>un</v>
      </c>
      <c r="E389" s="111">
        <f>Ferramentas!E51</f>
        <v>3</v>
      </c>
      <c r="F389" s="111">
        <f>Ferramentas!F51</f>
        <v>20.655000000000001</v>
      </c>
      <c r="G389" s="111">
        <f t="shared" si="25"/>
        <v>61.97</v>
      </c>
      <c r="H389" s="555">
        <f t="shared" ca="1" si="27"/>
        <v>0</v>
      </c>
    </row>
    <row r="390" spans="1:8" x14ac:dyDescent="0.25">
      <c r="A390" s="109" t="s">
        <v>1818</v>
      </c>
      <c r="B390" s="514">
        <f>Ferramentas!B52</f>
        <v>0</v>
      </c>
      <c r="C390" s="541" t="str">
        <f>Ferramentas!C52</f>
        <v>Chave soquete tipo canhão 9/16"</v>
      </c>
      <c r="D390" s="110" t="str">
        <f>Ferramentas!D52</f>
        <v>un</v>
      </c>
      <c r="E390" s="111">
        <f>Ferramentas!E52</f>
        <v>3</v>
      </c>
      <c r="F390" s="111">
        <f>Ferramentas!F52</f>
        <v>21.405000000000001</v>
      </c>
      <c r="G390" s="111">
        <f t="shared" si="25"/>
        <v>64.22</v>
      </c>
      <c r="H390" s="555">
        <f t="shared" ca="1" si="27"/>
        <v>0</v>
      </c>
    </row>
    <row r="391" spans="1:8" x14ac:dyDescent="0.25">
      <c r="A391" s="109" t="s">
        <v>1819</v>
      </c>
      <c r="B391" s="514" t="str">
        <f>Ferramentas!B53</f>
        <v>12 - SINAPI</v>
      </c>
      <c r="C391" s="541" t="str">
        <f>Ferramentas!C53</f>
        <v>Escova de aço, com cabo, *4 X 15* fileiras de cerdas</v>
      </c>
      <c r="D391" s="110" t="str">
        <f>Ferramentas!D53</f>
        <v>un</v>
      </c>
      <c r="E391" s="111">
        <f>Ferramentas!E53</f>
        <v>3</v>
      </c>
      <c r="F391" s="111">
        <f>Ferramentas!F53</f>
        <v>10</v>
      </c>
      <c r="G391" s="111">
        <f t="shared" si="25"/>
        <v>30</v>
      </c>
      <c r="H391" s="555">
        <f t="shared" ca="1" si="27"/>
        <v>0</v>
      </c>
    </row>
    <row r="392" spans="1:8" x14ac:dyDescent="0.25">
      <c r="A392" s="109" t="s">
        <v>1820</v>
      </c>
      <c r="B392" s="514">
        <f>Ferramentas!B54</f>
        <v>0</v>
      </c>
      <c r="C392" s="541" t="str">
        <f>Ferramentas!C54</f>
        <v>Espátula n.º 38A-23</v>
      </c>
      <c r="D392" s="110" t="str">
        <f>Ferramentas!D54</f>
        <v>un</v>
      </c>
      <c r="E392" s="111">
        <f>Ferramentas!E54</f>
        <v>7</v>
      </c>
      <c r="F392" s="111">
        <f>Ferramentas!F54</f>
        <v>139.16500000000002</v>
      </c>
      <c r="G392" s="111">
        <f t="shared" si="25"/>
        <v>974.16</v>
      </c>
      <c r="H392" s="555">
        <f t="shared" ca="1" si="27"/>
        <v>0</v>
      </c>
    </row>
    <row r="393" spans="1:8" x14ac:dyDescent="0.25">
      <c r="A393" s="109" t="s">
        <v>1821</v>
      </c>
      <c r="B393" s="514" t="str">
        <f>Ferramentas!B55</f>
        <v>38380 - SINAPI</v>
      </c>
      <c r="C393" s="541" t="str">
        <f>Ferramentas!C55</f>
        <v>Esquadro Profissional 12" (em aço)</v>
      </c>
      <c r="D393" s="110" t="str">
        <f>Ferramentas!D55</f>
        <v>un</v>
      </c>
      <c r="E393" s="111">
        <f>Ferramentas!E55</f>
        <v>4</v>
      </c>
      <c r="F393" s="111">
        <f>Ferramentas!F55</f>
        <v>18.98</v>
      </c>
      <c r="G393" s="111">
        <f t="shared" si="25"/>
        <v>75.92</v>
      </c>
      <c r="H393" s="555">
        <f t="shared" ca="1" si="27"/>
        <v>0</v>
      </c>
    </row>
    <row r="394" spans="1:8" x14ac:dyDescent="0.25">
      <c r="A394" s="109" t="s">
        <v>1822</v>
      </c>
      <c r="B394" s="514">
        <f>Ferramentas!B56</f>
        <v>0</v>
      </c>
      <c r="C394" s="541" t="str">
        <f>Ferramentas!C56</f>
        <v>Extensão 20m</v>
      </c>
      <c r="D394" s="110" t="str">
        <f>Ferramentas!D56</f>
        <v>un</v>
      </c>
      <c r="E394" s="111">
        <f>Ferramentas!E56</f>
        <v>4</v>
      </c>
      <c r="F394" s="111">
        <f>Ferramentas!F56</f>
        <v>96.98</v>
      </c>
      <c r="G394" s="111">
        <f t="shared" si="25"/>
        <v>387.92</v>
      </c>
      <c r="H394" s="555">
        <f t="shared" ca="1" si="27"/>
        <v>0</v>
      </c>
    </row>
    <row r="395" spans="1:8" x14ac:dyDescent="0.25">
      <c r="A395" s="109" t="s">
        <v>1823</v>
      </c>
      <c r="B395" s="514">
        <f>Ferramentas!B57</f>
        <v>0</v>
      </c>
      <c r="C395" s="541" t="str">
        <f>Ferramentas!C57</f>
        <v>Faca reta desencapadora com isolamento para 1000V</v>
      </c>
      <c r="D395" s="110" t="str">
        <f>Ferramentas!D57</f>
        <v>un</v>
      </c>
      <c r="E395" s="111">
        <f>Ferramentas!E57</f>
        <v>7</v>
      </c>
      <c r="F395" s="111">
        <f>Ferramentas!F57</f>
        <v>92.456666666666663</v>
      </c>
      <c r="G395" s="111">
        <f t="shared" si="25"/>
        <v>647.20000000000005</v>
      </c>
      <c r="H395" s="555">
        <f t="shared" ca="1" si="27"/>
        <v>0</v>
      </c>
    </row>
    <row r="396" spans="1:8" x14ac:dyDescent="0.25">
      <c r="A396" s="109" t="s">
        <v>1824</v>
      </c>
      <c r="B396" s="514">
        <f>Ferramentas!B58</f>
        <v>0</v>
      </c>
      <c r="C396" s="541" t="str">
        <f>Ferramentas!C58</f>
        <v>Funil para troca de óleo</v>
      </c>
      <c r="D396" s="110" t="str">
        <f>Ferramentas!D58</f>
        <v>un</v>
      </c>
      <c r="E396" s="111">
        <f>Ferramentas!E58</f>
        <v>4</v>
      </c>
      <c r="F396" s="111">
        <f>Ferramentas!F58</f>
        <v>29.99</v>
      </c>
      <c r="G396" s="111">
        <f t="shared" si="25"/>
        <v>119.96</v>
      </c>
      <c r="H396" s="555">
        <f t="shared" ca="1" si="27"/>
        <v>0</v>
      </c>
    </row>
    <row r="397" spans="1:8" x14ac:dyDescent="0.25">
      <c r="A397" s="109" t="s">
        <v>1825</v>
      </c>
      <c r="B397" s="514">
        <f>Ferramentas!B59</f>
        <v>0</v>
      </c>
      <c r="C397" s="541" t="str">
        <f>Ferramentas!C59</f>
        <v>Jogo de broca de aço de 6 a 19mm (concreto parede)</v>
      </c>
      <c r="D397" s="110" t="str">
        <f>Ferramentas!D59</f>
        <v>un</v>
      </c>
      <c r="E397" s="111">
        <f>Ferramentas!E59</f>
        <v>7</v>
      </c>
      <c r="F397" s="111">
        <f>Ferramentas!F59</f>
        <v>39.99</v>
      </c>
      <c r="G397" s="111">
        <f t="shared" si="25"/>
        <v>279.93</v>
      </c>
      <c r="H397" s="555">
        <f t="shared" ca="1" si="27"/>
        <v>0</v>
      </c>
    </row>
    <row r="398" spans="1:8" x14ac:dyDescent="0.25">
      <c r="A398" s="109" t="s">
        <v>1826</v>
      </c>
      <c r="B398" s="514">
        <f>Ferramentas!B60</f>
        <v>0</v>
      </c>
      <c r="C398" s="541" t="str">
        <f>Ferramentas!C60</f>
        <v>Jogo de chave catraca</v>
      </c>
      <c r="D398" s="110" t="str">
        <f>Ferramentas!D60</f>
        <v>un</v>
      </c>
      <c r="E398" s="111">
        <f>Ferramentas!E60</f>
        <v>4</v>
      </c>
      <c r="F398" s="111">
        <f>Ferramentas!F60</f>
        <v>29.569999999999997</v>
      </c>
      <c r="G398" s="111">
        <f t="shared" si="25"/>
        <v>118.28</v>
      </c>
      <c r="H398" s="555">
        <f t="shared" ca="1" si="27"/>
        <v>0</v>
      </c>
    </row>
    <row r="399" spans="1:8" x14ac:dyDescent="0.25">
      <c r="A399" s="109" t="s">
        <v>1827</v>
      </c>
      <c r="B399" s="514">
        <f>Ferramentas!B61</f>
        <v>0</v>
      </c>
      <c r="C399" s="541" t="str">
        <f>Ferramentas!C61</f>
        <v>Jogo de chave combinada de nº 6 a nº 50</v>
      </c>
      <c r="D399" s="110" t="str">
        <f>Ferramentas!D61</f>
        <v>un</v>
      </c>
      <c r="E399" s="111">
        <f>Ferramentas!E61</f>
        <v>7</v>
      </c>
      <c r="F399" s="111">
        <f>Ferramentas!F61</f>
        <v>180</v>
      </c>
      <c r="G399" s="111">
        <f t="shared" si="25"/>
        <v>1260</v>
      </c>
      <c r="H399" s="555">
        <f t="shared" ca="1" si="27"/>
        <v>0</v>
      </c>
    </row>
    <row r="400" spans="1:8" x14ac:dyDescent="0.25">
      <c r="A400" s="109" t="s">
        <v>1828</v>
      </c>
      <c r="B400" s="514">
        <f>Ferramentas!B62</f>
        <v>0</v>
      </c>
      <c r="C400" s="541" t="str">
        <f>Ferramentas!C62</f>
        <v>Jogo de chave hexagonal (Allen) em polegada</v>
      </c>
      <c r="D400" s="110" t="str">
        <f>Ferramentas!D62</f>
        <v>un</v>
      </c>
      <c r="E400" s="111">
        <f>Ferramentas!E62</f>
        <v>7</v>
      </c>
      <c r="F400" s="111">
        <f>Ferramentas!F62</f>
        <v>177</v>
      </c>
      <c r="G400" s="111">
        <f t="shared" si="25"/>
        <v>1239</v>
      </c>
      <c r="H400" s="555">
        <f t="shared" ca="1" si="27"/>
        <v>0</v>
      </c>
    </row>
    <row r="401" spans="1:8" x14ac:dyDescent="0.25">
      <c r="A401" s="109" t="s">
        <v>1829</v>
      </c>
      <c r="B401" s="514">
        <f>Ferramentas!B63</f>
        <v>0</v>
      </c>
      <c r="C401" s="541" t="str">
        <f>Ferramentas!C63</f>
        <v>Jogo de chave hexagonal (Allen) nº 03 a 17mm</v>
      </c>
      <c r="D401" s="110" t="str">
        <f>Ferramentas!D63</f>
        <v>un</v>
      </c>
      <c r="E401" s="111">
        <f>Ferramentas!E63</f>
        <v>7</v>
      </c>
      <c r="F401" s="111">
        <f>Ferramentas!F63</f>
        <v>120.49</v>
      </c>
      <c r="G401" s="111">
        <f t="shared" si="25"/>
        <v>843.43</v>
      </c>
      <c r="H401" s="555">
        <f t="shared" ca="1" si="27"/>
        <v>0</v>
      </c>
    </row>
    <row r="402" spans="1:8" x14ac:dyDescent="0.25">
      <c r="A402" s="109" t="s">
        <v>1830</v>
      </c>
      <c r="B402" s="514">
        <f>Ferramentas!B64</f>
        <v>0</v>
      </c>
      <c r="C402" s="541" t="str">
        <f>Ferramentas!C64</f>
        <v>Jogo de chave Phillips com isolamento para 1000V</v>
      </c>
      <c r="D402" s="110" t="str">
        <f>Ferramentas!D64</f>
        <v>un</v>
      </c>
      <c r="E402" s="111">
        <f>Ferramentas!E64</f>
        <v>7</v>
      </c>
      <c r="F402" s="111">
        <f>Ferramentas!F64</f>
        <v>152.86333333333334</v>
      </c>
      <c r="G402" s="111">
        <f t="shared" si="25"/>
        <v>1070.04</v>
      </c>
      <c r="H402" s="555">
        <f t="shared" ca="1" si="27"/>
        <v>0</v>
      </c>
    </row>
    <row r="403" spans="1:8" x14ac:dyDescent="0.25">
      <c r="A403" s="109" t="s">
        <v>1831</v>
      </c>
      <c r="B403" s="514">
        <f>Ferramentas!B65</f>
        <v>0</v>
      </c>
      <c r="C403" s="541" t="str">
        <f>Ferramentas!C65</f>
        <v>Jogo de chave soquete 22 mm a 50 mm</v>
      </c>
      <c r="D403" s="110" t="str">
        <f>Ferramentas!D65</f>
        <v>un</v>
      </c>
      <c r="E403" s="111">
        <f>Ferramentas!E65</f>
        <v>4</v>
      </c>
      <c r="F403" s="111">
        <f>Ferramentas!F65</f>
        <v>679.9</v>
      </c>
      <c r="G403" s="111">
        <f t="shared" si="25"/>
        <v>2719.6</v>
      </c>
      <c r="H403" s="555">
        <f t="shared" ca="1" si="27"/>
        <v>0</v>
      </c>
    </row>
    <row r="404" spans="1:8" x14ac:dyDescent="0.25">
      <c r="A404" s="109" t="s">
        <v>1832</v>
      </c>
      <c r="B404" s="514">
        <f>Ferramentas!B66</f>
        <v>0</v>
      </c>
      <c r="C404" s="541" t="str">
        <f>Ferramentas!C66</f>
        <v>Jogo de chaves de fenda com isolamento para 1000V</v>
      </c>
      <c r="D404" s="110" t="str">
        <f>Ferramentas!D66</f>
        <v>un</v>
      </c>
      <c r="E404" s="111">
        <f>Ferramentas!E66</f>
        <v>7</v>
      </c>
      <c r="F404" s="111">
        <f>Ferramentas!F66</f>
        <v>34.729999999999997</v>
      </c>
      <c r="G404" s="111">
        <f t="shared" si="25"/>
        <v>243.11</v>
      </c>
      <c r="H404" s="555">
        <f t="shared" ca="1" si="27"/>
        <v>0</v>
      </c>
    </row>
    <row r="405" spans="1:8" x14ac:dyDescent="0.25">
      <c r="A405" s="109" t="s">
        <v>1833</v>
      </c>
      <c r="B405" s="514">
        <f>Ferramentas!B67</f>
        <v>0</v>
      </c>
      <c r="C405" s="541" t="str">
        <f>Ferramentas!C67</f>
        <v>Jogo de macho para reparo de roscas</v>
      </c>
      <c r="D405" s="110" t="str">
        <f>Ferramentas!D67</f>
        <v>un</v>
      </c>
      <c r="E405" s="111">
        <f>Ferramentas!E67</f>
        <v>4</v>
      </c>
      <c r="F405" s="111">
        <f>Ferramentas!F67</f>
        <v>134.81666666666666</v>
      </c>
      <c r="G405" s="111">
        <f t="shared" si="25"/>
        <v>539.27</v>
      </c>
      <c r="H405" s="555">
        <f t="shared" ca="1" si="27"/>
        <v>0</v>
      </c>
    </row>
    <row r="406" spans="1:8" x14ac:dyDescent="0.25">
      <c r="A406" s="109" t="s">
        <v>1834</v>
      </c>
      <c r="B406" s="514">
        <f>Ferramentas!B68</f>
        <v>0</v>
      </c>
      <c r="C406" s="541" t="str">
        <f>Ferramentas!C68</f>
        <v>Lanterna grande - 10 Million</v>
      </c>
      <c r="D406" s="110" t="str">
        <f>Ferramentas!D68</f>
        <v>un</v>
      </c>
      <c r="E406" s="111">
        <f>Ferramentas!E68</f>
        <v>4</v>
      </c>
      <c r="F406" s="111">
        <f>Ferramentas!F68</f>
        <v>49.4</v>
      </c>
      <c r="G406" s="111">
        <f t="shared" si="25"/>
        <v>197.6</v>
      </c>
      <c r="H406" s="555">
        <f t="shared" ca="1" si="27"/>
        <v>0</v>
      </c>
    </row>
    <row r="407" spans="1:8" x14ac:dyDescent="0.25">
      <c r="A407" s="109" t="s">
        <v>1835</v>
      </c>
      <c r="B407" s="514">
        <f>Ferramentas!B69</f>
        <v>0</v>
      </c>
      <c r="C407" s="541" t="str">
        <f>Ferramentas!C69</f>
        <v>Lima chata paralela murça 6"</v>
      </c>
      <c r="D407" s="110" t="str">
        <f>Ferramentas!D69</f>
        <v>un</v>
      </c>
      <c r="E407" s="111">
        <f>Ferramentas!E69</f>
        <v>7</v>
      </c>
      <c r="F407" s="111">
        <f>Ferramentas!F69</f>
        <v>6.74</v>
      </c>
      <c r="G407" s="111">
        <f t="shared" si="25"/>
        <v>47.18</v>
      </c>
      <c r="H407" s="555">
        <f t="shared" ca="1" si="27"/>
        <v>0</v>
      </c>
    </row>
    <row r="408" spans="1:8" x14ac:dyDescent="0.25">
      <c r="A408" s="109" t="s">
        <v>1836</v>
      </c>
      <c r="B408" s="514">
        <f>Ferramentas!B70</f>
        <v>0</v>
      </c>
      <c r="C408" s="541" t="str">
        <f>Ferramentas!C70</f>
        <v>Lima paralela bastarda 6"</v>
      </c>
      <c r="D408" s="110" t="str">
        <f>Ferramentas!D70</f>
        <v>un</v>
      </c>
      <c r="E408" s="111">
        <f>Ferramentas!E70</f>
        <v>7</v>
      </c>
      <c r="F408" s="111">
        <f>Ferramentas!F70</f>
        <v>7.8</v>
      </c>
      <c r="G408" s="111">
        <f t="shared" si="25"/>
        <v>54.6</v>
      </c>
      <c r="H408" s="555">
        <f t="shared" ca="1" si="27"/>
        <v>0</v>
      </c>
    </row>
    <row r="409" spans="1:8" x14ac:dyDescent="0.25">
      <c r="A409" s="109" t="s">
        <v>1837</v>
      </c>
      <c r="B409" s="514">
        <f>Ferramentas!B71</f>
        <v>0</v>
      </c>
      <c r="C409" s="541" t="str">
        <f>Ferramentas!C71</f>
        <v>Lima redonda murça 6"</v>
      </c>
      <c r="D409" s="110" t="str">
        <f>Ferramentas!D71</f>
        <v>un</v>
      </c>
      <c r="E409" s="111">
        <f>Ferramentas!E71</f>
        <v>7</v>
      </c>
      <c r="F409" s="111">
        <f>Ferramentas!F71</f>
        <v>6.41</v>
      </c>
      <c r="G409" s="111">
        <f t="shared" si="25"/>
        <v>44.87</v>
      </c>
      <c r="H409" s="555">
        <f t="shared" ca="1" si="27"/>
        <v>0</v>
      </c>
    </row>
    <row r="410" spans="1:8" x14ac:dyDescent="0.25">
      <c r="A410" s="109" t="s">
        <v>1838</v>
      </c>
      <c r="B410" s="514">
        <f>Ferramentas!B72</f>
        <v>0</v>
      </c>
      <c r="C410" s="541" t="str">
        <f>Ferramentas!C72</f>
        <v>Limas diversas</v>
      </c>
      <c r="D410" s="110" t="str">
        <f>Ferramentas!D72</f>
        <v>un</v>
      </c>
      <c r="E410" s="111">
        <f>Ferramentas!E72</f>
        <v>7</v>
      </c>
      <c r="F410" s="111">
        <f>Ferramentas!F72</f>
        <v>61.400000000000006</v>
      </c>
      <c r="G410" s="111">
        <f t="shared" si="25"/>
        <v>429.8</v>
      </c>
      <c r="H410" s="555">
        <f t="shared" ca="1" si="27"/>
        <v>0</v>
      </c>
    </row>
    <row r="411" spans="1:8" x14ac:dyDescent="0.25">
      <c r="A411" s="109" t="s">
        <v>1839</v>
      </c>
      <c r="B411" s="514">
        <f>Ferramentas!B73</f>
        <v>0</v>
      </c>
      <c r="C411" s="541" t="str">
        <f>Ferramentas!C73</f>
        <v>Mala de ferramenta com 05 gavetas</v>
      </c>
      <c r="D411" s="110" t="str">
        <f>Ferramentas!D73</f>
        <v>un</v>
      </c>
      <c r="E411" s="111">
        <f>Ferramentas!E73</f>
        <v>7</v>
      </c>
      <c r="F411" s="111">
        <f>Ferramentas!F73</f>
        <v>64.63000000000001</v>
      </c>
      <c r="G411" s="111">
        <f t="shared" si="25"/>
        <v>452.41</v>
      </c>
      <c r="H411" s="555">
        <f t="shared" ca="1" si="27"/>
        <v>0</v>
      </c>
    </row>
    <row r="412" spans="1:8" x14ac:dyDescent="0.25">
      <c r="A412" s="109" t="s">
        <v>1840</v>
      </c>
      <c r="B412" s="514" t="str">
        <f>Ferramentas!B74</f>
        <v>4729 - ORSE</v>
      </c>
      <c r="C412" s="541" t="str">
        <f>Ferramentas!C74</f>
        <v>Marreta 1kg</v>
      </c>
      <c r="D412" s="110" t="str">
        <f>Ferramentas!D74</f>
        <v>un</v>
      </c>
      <c r="E412" s="111">
        <f>Ferramentas!E74</f>
        <v>7</v>
      </c>
      <c r="F412" s="111">
        <f>Ferramentas!F74</f>
        <v>15.8</v>
      </c>
      <c r="G412" s="111">
        <f t="shared" si="25"/>
        <v>110.6</v>
      </c>
      <c r="H412" s="555">
        <f t="shared" ca="1" si="27"/>
        <v>0</v>
      </c>
    </row>
    <row r="413" spans="1:8" x14ac:dyDescent="0.25">
      <c r="A413" s="109" t="s">
        <v>1841</v>
      </c>
      <c r="B413" s="514">
        <f>Ferramentas!B75</f>
        <v>0</v>
      </c>
      <c r="C413" s="541" t="str">
        <f>Ferramentas!C75</f>
        <v>Marreta 2 kg</v>
      </c>
      <c r="D413" s="110" t="str">
        <f>Ferramentas!D75</f>
        <v>un</v>
      </c>
      <c r="E413" s="111">
        <f>Ferramentas!E75</f>
        <v>4</v>
      </c>
      <c r="F413" s="111">
        <f>Ferramentas!F75</f>
        <v>32.405000000000001</v>
      </c>
      <c r="G413" s="111">
        <f t="shared" si="25"/>
        <v>129.62</v>
      </c>
      <c r="H413" s="555">
        <f t="shared" ca="1" si="27"/>
        <v>0</v>
      </c>
    </row>
    <row r="414" spans="1:8" x14ac:dyDescent="0.25">
      <c r="A414" s="109" t="s">
        <v>1842</v>
      </c>
      <c r="B414" s="514">
        <f>Ferramentas!B76</f>
        <v>0</v>
      </c>
      <c r="C414" s="541" t="str">
        <f>Ferramentas!C76</f>
        <v>Marreta de 5kg com cabo de madeira</v>
      </c>
      <c r="D414" s="110" t="str">
        <f>Ferramentas!D76</f>
        <v>un</v>
      </c>
      <c r="E414" s="111">
        <f>Ferramentas!E76</f>
        <v>4</v>
      </c>
      <c r="F414" s="111">
        <f>Ferramentas!F76</f>
        <v>61.805</v>
      </c>
      <c r="G414" s="111">
        <f t="shared" si="25"/>
        <v>247.22</v>
      </c>
      <c r="H414" s="555">
        <f t="shared" ca="1" si="27"/>
        <v>0</v>
      </c>
    </row>
    <row r="415" spans="1:8" x14ac:dyDescent="0.25">
      <c r="A415" s="109" t="s">
        <v>1843</v>
      </c>
      <c r="B415" s="514">
        <f>Ferramentas!B77</f>
        <v>0</v>
      </c>
      <c r="C415" s="541" t="str">
        <f>Ferramentas!C77</f>
        <v>Martelo bola  1kg</v>
      </c>
      <c r="D415" s="110" t="str">
        <f>Ferramentas!D77</f>
        <v>un</v>
      </c>
      <c r="E415" s="111">
        <f>Ferramentas!E77</f>
        <v>7</v>
      </c>
      <c r="F415" s="111">
        <f>Ferramentas!F77</f>
        <v>57.556666666666672</v>
      </c>
      <c r="G415" s="111">
        <f t="shared" si="25"/>
        <v>402.9</v>
      </c>
      <c r="H415" s="555">
        <f t="shared" ca="1" si="27"/>
        <v>0</v>
      </c>
    </row>
    <row r="416" spans="1:8" x14ac:dyDescent="0.25">
      <c r="A416" s="109" t="s">
        <v>1844</v>
      </c>
      <c r="B416" s="514">
        <f>Ferramentas!B78</f>
        <v>0</v>
      </c>
      <c r="C416" s="541" t="str">
        <f>Ferramentas!C78</f>
        <v>Martelo de borracha 32 Cm</v>
      </c>
      <c r="D416" s="110" t="str">
        <f>Ferramentas!D78</f>
        <v>un</v>
      </c>
      <c r="E416" s="111">
        <f>Ferramentas!E78</f>
        <v>7</v>
      </c>
      <c r="F416" s="111">
        <f>Ferramentas!F78</f>
        <v>100.90000000000002</v>
      </c>
      <c r="G416" s="111">
        <f t="shared" si="25"/>
        <v>706.3</v>
      </c>
      <c r="H416" s="555">
        <f t="shared" ref="H416:H479" ca="1" si="28">ROUND(G416/G$8,4)</f>
        <v>0</v>
      </c>
    </row>
    <row r="417" spans="1:8" x14ac:dyDescent="0.25">
      <c r="A417" s="109" t="s">
        <v>1845</v>
      </c>
      <c r="B417" s="514">
        <f>Ferramentas!B79</f>
        <v>0</v>
      </c>
      <c r="C417" s="541" t="str">
        <f>Ferramentas!C79</f>
        <v>Nível a laser com base magnética e tripé</v>
      </c>
      <c r="D417" s="110" t="str">
        <f>Ferramentas!D79</f>
        <v>un</v>
      </c>
      <c r="E417" s="111">
        <f>Ferramentas!E79</f>
        <v>4</v>
      </c>
      <c r="F417" s="111">
        <f>Ferramentas!F79</f>
        <v>157.5</v>
      </c>
      <c r="G417" s="111">
        <f t="shared" si="25"/>
        <v>630</v>
      </c>
      <c r="H417" s="555">
        <f t="shared" ca="1" si="28"/>
        <v>0</v>
      </c>
    </row>
    <row r="418" spans="1:8" x14ac:dyDescent="0.25">
      <c r="A418" s="109" t="s">
        <v>1846</v>
      </c>
      <c r="B418" s="514">
        <f>Ferramentas!B80</f>
        <v>0</v>
      </c>
      <c r="C418" s="541" t="str">
        <f>Ferramentas!C80</f>
        <v>Nível de mão – metálico e magnético</v>
      </c>
      <c r="D418" s="110" t="str">
        <f>Ferramentas!D80</f>
        <v>un</v>
      </c>
      <c r="E418" s="111">
        <f>Ferramentas!E80</f>
        <v>4</v>
      </c>
      <c r="F418" s="111">
        <f>Ferramentas!F80</f>
        <v>41.65</v>
      </c>
      <c r="G418" s="111">
        <f t="shared" si="25"/>
        <v>166.6</v>
      </c>
      <c r="H418" s="555">
        <f t="shared" ca="1" si="28"/>
        <v>0</v>
      </c>
    </row>
    <row r="419" spans="1:8" x14ac:dyDescent="0.25">
      <c r="A419" s="109" t="s">
        <v>1847</v>
      </c>
      <c r="B419" s="514">
        <f>Ferramentas!B81</f>
        <v>0</v>
      </c>
      <c r="C419" s="541" t="str">
        <f>Ferramentas!C81</f>
        <v>Pé-de-cabra</v>
      </c>
      <c r="D419" s="110" t="str">
        <f>Ferramentas!D81</f>
        <v>un</v>
      </c>
      <c r="E419" s="111">
        <f>Ferramentas!E81</f>
        <v>4</v>
      </c>
      <c r="F419" s="111">
        <f>Ferramentas!F81</f>
        <v>22.99</v>
      </c>
      <c r="G419" s="111">
        <f t="shared" si="25"/>
        <v>91.96</v>
      </c>
      <c r="H419" s="555">
        <f t="shared" ca="1" si="28"/>
        <v>0</v>
      </c>
    </row>
    <row r="420" spans="1:8" x14ac:dyDescent="0.25">
      <c r="A420" s="109" t="s">
        <v>1848</v>
      </c>
      <c r="B420" s="514" t="str">
        <f>Ferramentas!B82</f>
        <v>38377 - SINAPI</v>
      </c>
      <c r="C420" s="541" t="str">
        <f>Ferramentas!C82</f>
        <v>Prumo de centro</v>
      </c>
      <c r="D420" s="110" t="str">
        <f>Ferramentas!D82</f>
        <v>un</v>
      </c>
      <c r="E420" s="111">
        <f>Ferramentas!E82</f>
        <v>4</v>
      </c>
      <c r="F420" s="111">
        <f>Ferramentas!F82</f>
        <v>24.01</v>
      </c>
      <c r="G420" s="111">
        <f t="shared" si="25"/>
        <v>96.04</v>
      </c>
      <c r="H420" s="555">
        <f t="shared" ca="1" si="28"/>
        <v>0</v>
      </c>
    </row>
    <row r="421" spans="1:8" x14ac:dyDescent="0.25">
      <c r="A421" s="109" t="s">
        <v>1849</v>
      </c>
      <c r="B421" s="514">
        <f>Ferramentas!B83</f>
        <v>0</v>
      </c>
      <c r="C421" s="541" t="str">
        <f>Ferramentas!C83</f>
        <v>Punção de centro 100 x 4 mm</v>
      </c>
      <c r="D421" s="110" t="str">
        <f>Ferramentas!D83</f>
        <v>un</v>
      </c>
      <c r="E421" s="111">
        <f>Ferramentas!E83</f>
        <v>7</v>
      </c>
      <c r="F421" s="111">
        <f>Ferramentas!F83</f>
        <v>14.533333333333331</v>
      </c>
      <c r="G421" s="111">
        <f t="shared" si="25"/>
        <v>101.73</v>
      </c>
      <c r="H421" s="555">
        <f t="shared" ca="1" si="28"/>
        <v>0</v>
      </c>
    </row>
    <row r="422" spans="1:8" x14ac:dyDescent="0.25">
      <c r="A422" s="109" t="s">
        <v>1850</v>
      </c>
      <c r="B422" s="514">
        <f>Ferramentas!B84</f>
        <v>0</v>
      </c>
      <c r="C422" s="541" t="str">
        <f>Ferramentas!C84</f>
        <v>Punção de centro 150 x 6 mm</v>
      </c>
      <c r="D422" s="110" t="str">
        <f>Ferramentas!D84</f>
        <v>un</v>
      </c>
      <c r="E422" s="111">
        <f>Ferramentas!E84</f>
        <v>7</v>
      </c>
      <c r="F422" s="111">
        <f>Ferramentas!F84</f>
        <v>15.484999999999999</v>
      </c>
      <c r="G422" s="111">
        <f t="shared" si="25"/>
        <v>108.4</v>
      </c>
      <c r="H422" s="555">
        <f t="shared" ca="1" si="28"/>
        <v>0</v>
      </c>
    </row>
    <row r="423" spans="1:8" x14ac:dyDescent="0.25">
      <c r="A423" s="109" t="s">
        <v>1851</v>
      </c>
      <c r="B423" s="514">
        <f>Ferramentas!B85</f>
        <v>0</v>
      </c>
      <c r="C423" s="541" t="str">
        <f>Ferramentas!C85</f>
        <v>Saca pino 03 mm</v>
      </c>
      <c r="D423" s="110" t="str">
        <f>Ferramentas!D85</f>
        <v>un</v>
      </c>
      <c r="E423" s="111">
        <f>Ferramentas!E85</f>
        <v>7</v>
      </c>
      <c r="F423" s="111">
        <f>Ferramentas!F85</f>
        <v>20.483333333333334</v>
      </c>
      <c r="G423" s="111">
        <f t="shared" si="25"/>
        <v>143.38</v>
      </c>
      <c r="H423" s="555">
        <f t="shared" ca="1" si="28"/>
        <v>0</v>
      </c>
    </row>
    <row r="424" spans="1:8" x14ac:dyDescent="0.25">
      <c r="A424" s="109" t="s">
        <v>1852</v>
      </c>
      <c r="B424" s="514">
        <f>Ferramentas!B86</f>
        <v>0</v>
      </c>
      <c r="C424" s="541" t="str">
        <f>Ferramentas!C86</f>
        <v>Saca pino 08mm</v>
      </c>
      <c r="D424" s="110" t="str">
        <f>Ferramentas!D86</f>
        <v>un</v>
      </c>
      <c r="E424" s="111">
        <f>Ferramentas!E86</f>
        <v>7</v>
      </c>
      <c r="F424" s="111">
        <f>Ferramentas!F86</f>
        <v>22.446666666666669</v>
      </c>
      <c r="G424" s="111">
        <f t="shared" si="25"/>
        <v>157.13</v>
      </c>
      <c r="H424" s="555">
        <f t="shared" ca="1" si="28"/>
        <v>0</v>
      </c>
    </row>
    <row r="425" spans="1:8" x14ac:dyDescent="0.25">
      <c r="A425" s="109" t="s">
        <v>1853</v>
      </c>
      <c r="B425" s="514">
        <f>Ferramentas!B87</f>
        <v>0</v>
      </c>
      <c r="C425" s="541" t="str">
        <f>Ferramentas!C87</f>
        <v>Saca pino 17 mm</v>
      </c>
      <c r="D425" s="110" t="str">
        <f>Ferramentas!D87</f>
        <v>un</v>
      </c>
      <c r="E425" s="111">
        <f>Ferramentas!E87</f>
        <v>7</v>
      </c>
      <c r="F425" s="111">
        <f>Ferramentas!F87</f>
        <v>22.95</v>
      </c>
      <c r="G425" s="111">
        <f t="shared" si="25"/>
        <v>160.65</v>
      </c>
      <c r="H425" s="555">
        <f t="shared" ca="1" si="28"/>
        <v>0</v>
      </c>
    </row>
    <row r="426" spans="1:8" x14ac:dyDescent="0.25">
      <c r="A426" s="109" t="s">
        <v>1854</v>
      </c>
      <c r="B426" s="514">
        <f>Ferramentas!B88</f>
        <v>0</v>
      </c>
      <c r="C426" s="541" t="str">
        <f>Ferramentas!C88</f>
        <v>Saca pino paralelo 150x4</v>
      </c>
      <c r="D426" s="110" t="str">
        <f>Ferramentas!D88</f>
        <v>un</v>
      </c>
      <c r="E426" s="111">
        <f>Ferramentas!E88</f>
        <v>7</v>
      </c>
      <c r="F426" s="111">
        <f>Ferramentas!F88</f>
        <v>24.819999999999997</v>
      </c>
      <c r="G426" s="111">
        <f t="shared" si="25"/>
        <v>173.74</v>
      </c>
      <c r="H426" s="555">
        <f t="shared" ca="1" si="28"/>
        <v>0</v>
      </c>
    </row>
    <row r="427" spans="1:8" x14ac:dyDescent="0.25">
      <c r="A427" s="109" t="s">
        <v>1855</v>
      </c>
      <c r="B427" s="514">
        <f>Ferramentas!B89</f>
        <v>0</v>
      </c>
      <c r="C427" s="541" t="str">
        <f>Ferramentas!C89</f>
        <v>Saca pino paralelo 150x6</v>
      </c>
      <c r="D427" s="110" t="str">
        <f>Ferramentas!D89</f>
        <v>un</v>
      </c>
      <c r="E427" s="111">
        <f>Ferramentas!E89</f>
        <v>7</v>
      </c>
      <c r="F427" s="111">
        <f>Ferramentas!F89</f>
        <v>26.99666666666667</v>
      </c>
      <c r="G427" s="111">
        <f t="shared" si="25"/>
        <v>188.98</v>
      </c>
      <c r="H427" s="555">
        <f t="shared" ca="1" si="28"/>
        <v>0</v>
      </c>
    </row>
    <row r="428" spans="1:8" x14ac:dyDescent="0.25">
      <c r="A428" s="109" t="s">
        <v>1856</v>
      </c>
      <c r="B428" s="514">
        <f>Ferramentas!B90</f>
        <v>0</v>
      </c>
      <c r="C428" s="541" t="str">
        <f>Ferramentas!C90</f>
        <v>Saca pino paralelo 150x8</v>
      </c>
      <c r="D428" s="110" t="str">
        <f>Ferramentas!D90</f>
        <v>un</v>
      </c>
      <c r="E428" s="111">
        <f>Ferramentas!E90</f>
        <v>7</v>
      </c>
      <c r="F428" s="111">
        <f>Ferramentas!F90</f>
        <v>34.343333333333334</v>
      </c>
      <c r="G428" s="111">
        <f t="shared" si="25"/>
        <v>240.4</v>
      </c>
      <c r="H428" s="555">
        <f t="shared" ca="1" si="28"/>
        <v>0</v>
      </c>
    </row>
    <row r="429" spans="1:8" x14ac:dyDescent="0.25">
      <c r="A429" s="109" t="s">
        <v>1857</v>
      </c>
      <c r="B429" s="514">
        <f>Ferramentas!B91</f>
        <v>0</v>
      </c>
      <c r="C429" s="541" t="str">
        <f>Ferramentas!C91</f>
        <v>Saca polia 10"</v>
      </c>
      <c r="D429" s="110" t="str">
        <f>Ferramentas!D91</f>
        <v>un</v>
      </c>
      <c r="E429" s="111">
        <f>Ferramentas!E91</f>
        <v>3</v>
      </c>
      <c r="F429" s="111">
        <f>Ferramentas!F91</f>
        <v>985.37</v>
      </c>
      <c r="G429" s="111">
        <f t="shared" si="25"/>
        <v>2956.11</v>
      </c>
      <c r="H429" s="555">
        <f t="shared" ca="1" si="28"/>
        <v>0</v>
      </c>
    </row>
    <row r="430" spans="1:8" x14ac:dyDescent="0.25">
      <c r="A430" s="109" t="s">
        <v>1858</v>
      </c>
      <c r="B430" s="514">
        <f>Ferramentas!B92</f>
        <v>0</v>
      </c>
      <c r="C430" s="541" t="str">
        <f>Ferramentas!C92</f>
        <v>Soquete 65</v>
      </c>
      <c r="D430" s="110" t="str">
        <f>Ferramentas!D92</f>
        <v>un</v>
      </c>
      <c r="E430" s="111">
        <f>Ferramentas!E92</f>
        <v>3</v>
      </c>
      <c r="F430" s="111">
        <f>Ferramentas!F92</f>
        <v>212.57666666666668</v>
      </c>
      <c r="G430" s="111">
        <f t="shared" si="25"/>
        <v>637.73</v>
      </c>
      <c r="H430" s="555">
        <f t="shared" ca="1" si="28"/>
        <v>0</v>
      </c>
    </row>
    <row r="431" spans="1:8" x14ac:dyDescent="0.25">
      <c r="A431" s="109" t="s">
        <v>1859</v>
      </c>
      <c r="B431" s="514">
        <f>Ferramentas!B93</f>
        <v>0</v>
      </c>
      <c r="C431" s="541" t="str">
        <f>Ferramentas!C93</f>
        <v>Soquete 70</v>
      </c>
      <c r="D431" s="110" t="str">
        <f>Ferramentas!D93</f>
        <v>un</v>
      </c>
      <c r="E431" s="111">
        <f>Ferramentas!E93</f>
        <v>3</v>
      </c>
      <c r="F431" s="111">
        <f>Ferramentas!F93</f>
        <v>275.97333333333336</v>
      </c>
      <c r="G431" s="111">
        <f t="shared" si="25"/>
        <v>827.92</v>
      </c>
      <c r="H431" s="555">
        <f t="shared" ca="1" si="28"/>
        <v>0</v>
      </c>
    </row>
    <row r="432" spans="1:8" x14ac:dyDescent="0.25">
      <c r="A432" s="109" t="s">
        <v>1860</v>
      </c>
      <c r="B432" s="514">
        <f>Ferramentas!B94</f>
        <v>0</v>
      </c>
      <c r="C432" s="541" t="str">
        <f>Ferramentas!C94</f>
        <v>Soquete 75/55</v>
      </c>
      <c r="D432" s="110" t="str">
        <f>Ferramentas!D94</f>
        <v>un</v>
      </c>
      <c r="E432" s="111">
        <f>Ferramentas!E94</f>
        <v>3</v>
      </c>
      <c r="F432" s="111">
        <f>Ferramentas!F94</f>
        <v>297.89</v>
      </c>
      <c r="G432" s="111">
        <f t="shared" si="25"/>
        <v>893.67</v>
      </c>
      <c r="H432" s="555">
        <f t="shared" ca="1" si="28"/>
        <v>0</v>
      </c>
    </row>
    <row r="433" spans="1:8" x14ac:dyDescent="0.25">
      <c r="A433" s="109" t="s">
        <v>1861</v>
      </c>
      <c r="B433" s="514">
        <f>Ferramentas!B95</f>
        <v>0</v>
      </c>
      <c r="C433" s="541" t="str">
        <f>Ferramentas!C95</f>
        <v>Talhadeira para mecânica</v>
      </c>
      <c r="D433" s="110" t="str">
        <f>Ferramentas!D95</f>
        <v>un</v>
      </c>
      <c r="E433" s="111">
        <f>Ferramentas!E95</f>
        <v>7</v>
      </c>
      <c r="F433" s="111">
        <f>Ferramentas!F95</f>
        <v>50.586666666666666</v>
      </c>
      <c r="G433" s="111">
        <f t="shared" si="25"/>
        <v>354.11</v>
      </c>
      <c r="H433" s="555">
        <f t="shared" ca="1" si="28"/>
        <v>0</v>
      </c>
    </row>
    <row r="434" spans="1:8" x14ac:dyDescent="0.25">
      <c r="A434" s="109" t="s">
        <v>1862</v>
      </c>
      <c r="B434" s="514">
        <f>Ferramentas!B96</f>
        <v>0</v>
      </c>
      <c r="C434" s="541" t="str">
        <f>Ferramentas!C96</f>
        <v>Torquímetro de estalo 50 - 400 N.m</v>
      </c>
      <c r="D434" s="110" t="str">
        <f>Ferramentas!D96</f>
        <v>un</v>
      </c>
      <c r="E434" s="111">
        <f>Ferramentas!E96</f>
        <v>3</v>
      </c>
      <c r="F434" s="111">
        <f>Ferramentas!F96</f>
        <v>1039.5</v>
      </c>
      <c r="G434" s="111">
        <f t="shared" si="25"/>
        <v>3118.5</v>
      </c>
      <c r="H434" s="555">
        <f t="shared" ca="1" si="28"/>
        <v>0</v>
      </c>
    </row>
    <row r="435" spans="1:8" x14ac:dyDescent="0.25">
      <c r="A435" s="109" t="s">
        <v>1863</v>
      </c>
      <c r="B435" s="514">
        <f>Ferramentas!B97</f>
        <v>0</v>
      </c>
      <c r="C435" s="541" t="str">
        <f>Ferramentas!C97</f>
        <v>Trena Metálica 8 m</v>
      </c>
      <c r="D435" s="110" t="str">
        <f>Ferramentas!D97</f>
        <v>un</v>
      </c>
      <c r="E435" s="111">
        <f>Ferramentas!E97</f>
        <v>4</v>
      </c>
      <c r="F435" s="111">
        <f>Ferramentas!F97</f>
        <v>31.37</v>
      </c>
      <c r="G435" s="111">
        <f t="shared" si="25"/>
        <v>125.48</v>
      </c>
      <c r="H435" s="555">
        <f t="shared" ca="1" si="28"/>
        <v>0</v>
      </c>
    </row>
    <row r="436" spans="1:8" x14ac:dyDescent="0.25">
      <c r="A436" s="109" t="s">
        <v>1864</v>
      </c>
      <c r="B436" s="514"/>
      <c r="C436" s="541" t="str">
        <f>Ferramentas!C100</f>
        <v>FERRAMENTAS - ELÉTRICA</v>
      </c>
      <c r="D436" s="110"/>
      <c r="E436" s="111"/>
      <c r="F436" s="111"/>
      <c r="G436" s="111">
        <f>SUBTOTAL(109,G437:G546)</f>
        <v>311016.37000000005</v>
      </c>
      <c r="H436" s="555">
        <f t="shared" ca="1" si="28"/>
        <v>4.4999999999999997E-3</v>
      </c>
    </row>
    <row r="437" spans="1:8" x14ac:dyDescent="0.25">
      <c r="A437" s="109" t="s">
        <v>1865</v>
      </c>
      <c r="B437" s="514">
        <f>Ferramentas!B101</f>
        <v>0</v>
      </c>
      <c r="C437" s="541" t="str">
        <f>Ferramentas!C101</f>
        <v>Adaptador universal de tomadas</v>
      </c>
      <c r="D437" s="110" t="str">
        <f>Ferramentas!D101</f>
        <v>un</v>
      </c>
      <c r="E437" s="111">
        <f>Ferramentas!E101</f>
        <v>46</v>
      </c>
      <c r="F437" s="111">
        <f>Ferramentas!F101</f>
        <v>11.446666666666667</v>
      </c>
      <c r="G437" s="111">
        <f t="shared" si="25"/>
        <v>526.54999999999995</v>
      </c>
      <c r="H437" s="555">
        <f t="shared" ca="1" si="28"/>
        <v>0</v>
      </c>
    </row>
    <row r="438" spans="1:8" x14ac:dyDescent="0.25">
      <c r="A438" s="109" t="s">
        <v>1782</v>
      </c>
      <c r="B438" s="514">
        <f>Ferramentas!B102</f>
        <v>0</v>
      </c>
      <c r="C438" s="541" t="str">
        <f>Ferramentas!C102</f>
        <v>Alavanca reta, 1,75 m</v>
      </c>
      <c r="D438" s="110" t="str">
        <f>Ferramentas!D102</f>
        <v>un</v>
      </c>
      <c r="E438" s="111">
        <f>Ferramentas!E102</f>
        <v>10</v>
      </c>
      <c r="F438" s="111">
        <f>Ferramentas!F102</f>
        <v>228.65</v>
      </c>
      <c r="G438" s="111">
        <f t="shared" si="25"/>
        <v>2286.5</v>
      </c>
      <c r="H438" s="555">
        <f t="shared" ca="1" si="28"/>
        <v>0</v>
      </c>
    </row>
    <row r="439" spans="1:8" x14ac:dyDescent="0.25">
      <c r="A439" s="109" t="s">
        <v>1866</v>
      </c>
      <c r="B439" s="514">
        <f>Ferramentas!B103</f>
        <v>0</v>
      </c>
      <c r="C439" s="541" t="str">
        <f>Ferramentas!C103</f>
        <v>Alicate bico chato/pato, 6"</v>
      </c>
      <c r="D439" s="110" t="str">
        <f>Ferramentas!D103</f>
        <v>un</v>
      </c>
      <c r="E439" s="111">
        <f>Ferramentas!E103</f>
        <v>13</v>
      </c>
      <c r="F439" s="111">
        <f>Ferramentas!F103</f>
        <v>73.61</v>
      </c>
      <c r="G439" s="111">
        <f t="shared" si="25"/>
        <v>956.93</v>
      </c>
      <c r="H439" s="555">
        <f t="shared" ca="1" si="28"/>
        <v>0</v>
      </c>
    </row>
    <row r="440" spans="1:8" x14ac:dyDescent="0.25">
      <c r="A440" s="109" t="s">
        <v>1867</v>
      </c>
      <c r="B440" s="514" t="str">
        <f>Ferramentas!B104</f>
        <v>38470 - SINAPI</v>
      </c>
      <c r="C440" s="541" t="str">
        <f>Ferramentas!C104</f>
        <v>Alicate cortador de cabos diagonal, 6"</v>
      </c>
      <c r="D440" s="110" t="str">
        <f>Ferramentas!D104</f>
        <v>un</v>
      </c>
      <c r="E440" s="111">
        <f>Ferramentas!E104</f>
        <v>23</v>
      </c>
      <c r="F440" s="111">
        <f>Ferramentas!F104</f>
        <v>32.5</v>
      </c>
      <c r="G440" s="111">
        <f t="shared" si="25"/>
        <v>747.5</v>
      </c>
      <c r="H440" s="555">
        <f t="shared" ca="1" si="28"/>
        <v>0</v>
      </c>
    </row>
    <row r="441" spans="1:8" x14ac:dyDescent="0.25">
      <c r="A441" s="109" t="s">
        <v>1868</v>
      </c>
      <c r="B441" s="514">
        <f>Ferramentas!B105</f>
        <v>0</v>
      </c>
      <c r="C441" s="541" t="str">
        <f>Ferramentas!C105</f>
        <v>Alicate cortador de cabos frontal, 6"</v>
      </c>
      <c r="D441" s="110" t="str">
        <f>Ferramentas!D105</f>
        <v>un</v>
      </c>
      <c r="E441" s="111">
        <f>Ferramentas!E105</f>
        <v>13</v>
      </c>
      <c r="F441" s="111">
        <f>Ferramentas!F105</f>
        <v>54.33</v>
      </c>
      <c r="G441" s="111">
        <f t="shared" si="25"/>
        <v>706.29</v>
      </c>
      <c r="H441" s="555">
        <f t="shared" ca="1" si="28"/>
        <v>0</v>
      </c>
    </row>
    <row r="442" spans="1:8" x14ac:dyDescent="0.25">
      <c r="A442" s="109" t="s">
        <v>1869</v>
      </c>
      <c r="B442" s="514">
        <f>Ferramentas!B106</f>
        <v>0</v>
      </c>
      <c r="C442" s="541" t="str">
        <f>Ferramentas!C106</f>
        <v>Alicate/Tesoura cortador manual de cabos de até 300mm², 225mm</v>
      </c>
      <c r="D442" s="110" t="str">
        <f>Ferramentas!D106</f>
        <v>un</v>
      </c>
      <c r="E442" s="111">
        <f>Ferramentas!E106</f>
        <v>13</v>
      </c>
      <c r="F442" s="111">
        <f>Ferramentas!F106</f>
        <v>608.93000000000006</v>
      </c>
      <c r="G442" s="111">
        <f t="shared" si="25"/>
        <v>7916.09</v>
      </c>
      <c r="H442" s="555">
        <f t="shared" ca="1" si="28"/>
        <v>1E-4</v>
      </c>
    </row>
    <row r="443" spans="1:8" x14ac:dyDescent="0.25">
      <c r="A443" s="109" t="s">
        <v>1870</v>
      </c>
      <c r="B443" s="514" t="str">
        <f>Ferramentas!B107</f>
        <v>38547 - SINAPI</v>
      </c>
      <c r="C443" s="541" t="str">
        <f>Ferramentas!C107</f>
        <v>Alicate crimpador, RJ-11/RJ-45, 200mm</v>
      </c>
      <c r="D443" s="110" t="str">
        <f>Ferramentas!D107</f>
        <v>un</v>
      </c>
      <c r="E443" s="111">
        <f>Ferramentas!E107</f>
        <v>2</v>
      </c>
      <c r="F443" s="111">
        <f>Ferramentas!F107</f>
        <v>88.68</v>
      </c>
      <c r="G443" s="111">
        <f t="shared" si="25"/>
        <v>177.36</v>
      </c>
      <c r="H443" s="555">
        <f t="shared" ca="1" si="28"/>
        <v>0</v>
      </c>
    </row>
    <row r="444" spans="1:8" x14ac:dyDescent="0.25">
      <c r="A444" s="109" t="s">
        <v>1871</v>
      </c>
      <c r="B444" s="514" t="str">
        <f>Ferramentas!B108</f>
        <v>38547 - SINAPI</v>
      </c>
      <c r="C444" s="541" t="str">
        <f>Ferramentas!C108</f>
        <v>Alicate crimpador,  RG-59 e RG-6, 130mm</v>
      </c>
      <c r="D444" s="110" t="str">
        <f>Ferramentas!D108</f>
        <v>un</v>
      </c>
      <c r="E444" s="111">
        <f>Ferramentas!E108</f>
        <v>2</v>
      </c>
      <c r="F444" s="111" t="str">
        <f>Ferramentas!F108</f>
        <v>88,68</v>
      </c>
      <c r="G444" s="111">
        <f t="shared" si="25"/>
        <v>177.36</v>
      </c>
      <c r="H444" s="555">
        <f t="shared" ca="1" si="28"/>
        <v>0</v>
      </c>
    </row>
    <row r="445" spans="1:8" x14ac:dyDescent="0.25">
      <c r="A445" s="109" t="s">
        <v>1872</v>
      </c>
      <c r="B445" s="514" t="str">
        <f>Ferramentas!B109</f>
        <v>11272 - ORSE</v>
      </c>
      <c r="C445" s="541" t="str">
        <f>Ferramentas!C109</f>
        <v>Alicate crimpador para terminais 1,0 a 10mm², 220mm</v>
      </c>
      <c r="D445" s="110" t="str">
        <f>Ferramentas!D109</f>
        <v>un</v>
      </c>
      <c r="E445" s="111">
        <f>Ferramentas!E109</f>
        <v>13</v>
      </c>
      <c r="F445" s="111">
        <f>Ferramentas!F109</f>
        <v>67.540000000000006</v>
      </c>
      <c r="G445" s="111">
        <f t="shared" si="25"/>
        <v>878.02</v>
      </c>
      <c r="H445" s="555">
        <f t="shared" ca="1" si="28"/>
        <v>0</v>
      </c>
    </row>
    <row r="446" spans="1:8" x14ac:dyDescent="0.25">
      <c r="A446" s="109" t="s">
        <v>1873</v>
      </c>
      <c r="B446" s="514" t="str">
        <f>Ferramentas!B110</f>
        <v>11272 - ORSE</v>
      </c>
      <c r="C446" s="541" t="str">
        <f>Ferramentas!C110</f>
        <v>Alicate crimpador para terminais 10 a 120mm², 620mm</v>
      </c>
      <c r="D446" s="110" t="str">
        <f>Ferramentas!D110</f>
        <v>un</v>
      </c>
      <c r="E446" s="111">
        <f>Ferramentas!E110</f>
        <v>1</v>
      </c>
      <c r="F446" s="111">
        <f>Ferramentas!F110</f>
        <v>67.540000000000006</v>
      </c>
      <c r="G446" s="111">
        <f t="shared" si="25"/>
        <v>67.540000000000006</v>
      </c>
      <c r="H446" s="555">
        <f t="shared" ca="1" si="28"/>
        <v>0</v>
      </c>
    </row>
    <row r="447" spans="1:8" x14ac:dyDescent="0.25">
      <c r="A447" s="109" t="s">
        <v>1874</v>
      </c>
      <c r="B447" s="514" t="str">
        <f>Ferramentas!B111</f>
        <v>11272 - ORSE</v>
      </c>
      <c r="C447" s="541" t="str">
        <f>Ferramentas!C111</f>
        <v>Alicate crimpador 11", 280mm</v>
      </c>
      <c r="D447" s="110" t="str">
        <f>Ferramentas!D111</f>
        <v>un</v>
      </c>
      <c r="E447" s="111">
        <f>Ferramentas!E111</f>
        <v>2</v>
      </c>
      <c r="F447" s="111">
        <f>Ferramentas!F111</f>
        <v>67.540000000000006</v>
      </c>
      <c r="G447" s="111">
        <f t="shared" si="25"/>
        <v>135.08000000000001</v>
      </c>
      <c r="H447" s="555">
        <f t="shared" ca="1" si="28"/>
        <v>0</v>
      </c>
    </row>
    <row r="448" spans="1:8" ht="25.5" x14ac:dyDescent="0.25">
      <c r="A448" s="109" t="s">
        <v>1875</v>
      </c>
      <c r="B448" s="514">
        <f>Ferramentas!B112</f>
        <v>0</v>
      </c>
      <c r="C448" s="541" t="str">
        <f>Ferramentas!C112</f>
        <v>Alicate crimpador, hidráulico, prensa terminal,  com matriz de 10 a 300mm²</v>
      </c>
      <c r="D448" s="110" t="str">
        <f>Ferramentas!D112</f>
        <v>un</v>
      </c>
      <c r="E448" s="111">
        <f>Ferramentas!E112</f>
        <v>1</v>
      </c>
      <c r="F448" s="111">
        <f>Ferramentas!F112</f>
        <v>417.19666666666672</v>
      </c>
      <c r="G448" s="111">
        <f t="shared" si="25"/>
        <v>417.2</v>
      </c>
      <c r="H448" s="555">
        <f t="shared" ca="1" si="28"/>
        <v>0</v>
      </c>
    </row>
    <row r="449" spans="1:8" x14ac:dyDescent="0.25">
      <c r="A449" s="109" t="s">
        <v>1876</v>
      </c>
      <c r="B449" s="514" t="str">
        <f>Ferramentas!B113</f>
        <v>11275 - ORSE</v>
      </c>
      <c r="C449" s="541" t="str">
        <f>Ferramentas!C113</f>
        <v>Alicate de pressão, 10", 250mm</v>
      </c>
      <c r="D449" s="110" t="str">
        <f>Ferramentas!D113</f>
        <v>un</v>
      </c>
      <c r="E449" s="111">
        <f>Ferramentas!E113</f>
        <v>13</v>
      </c>
      <c r="F449" s="111">
        <f>Ferramentas!F113</f>
        <v>40.86</v>
      </c>
      <c r="G449" s="111">
        <f t="shared" si="25"/>
        <v>531.17999999999995</v>
      </c>
      <c r="H449" s="555">
        <f t="shared" ca="1" si="28"/>
        <v>0</v>
      </c>
    </row>
    <row r="450" spans="1:8" x14ac:dyDescent="0.25">
      <c r="A450" s="109" t="s">
        <v>1877</v>
      </c>
      <c r="B450" s="514" t="str">
        <f>Ferramentas!B114</f>
        <v>11240 - ORSE</v>
      </c>
      <c r="C450" s="541" t="str">
        <f>Ferramentas!C114</f>
        <v>Alicate profissional universal, 8". Material: Cromo Vanadium</v>
      </c>
      <c r="D450" s="110" t="str">
        <f>Ferramentas!D114</f>
        <v>un</v>
      </c>
      <c r="E450" s="111">
        <f>Ferramentas!E114</f>
        <v>13</v>
      </c>
      <c r="F450" s="111">
        <f>Ferramentas!F114</f>
        <v>22.9</v>
      </c>
      <c r="G450" s="111">
        <f t="shared" si="25"/>
        <v>297.7</v>
      </c>
      <c r="H450" s="555">
        <f t="shared" ca="1" si="28"/>
        <v>0</v>
      </c>
    </row>
    <row r="451" spans="1:8" x14ac:dyDescent="0.25">
      <c r="A451" s="109" t="s">
        <v>1878</v>
      </c>
      <c r="B451" s="514" t="str">
        <f>Ferramentas!B115</f>
        <v>11240 - ORSE</v>
      </c>
      <c r="C451" s="541" t="str">
        <f>Ferramentas!C115</f>
        <v>Alicate universal, 8", com isolação 1000 V</v>
      </c>
      <c r="D451" s="110" t="str">
        <f>Ferramentas!D115</f>
        <v>un</v>
      </c>
      <c r="E451" s="111">
        <f>Ferramentas!E115</f>
        <v>10</v>
      </c>
      <c r="F451" s="111">
        <f>Ferramentas!F115</f>
        <v>22.9</v>
      </c>
      <c r="G451" s="111">
        <f t="shared" si="25"/>
        <v>229</v>
      </c>
      <c r="H451" s="555">
        <f t="shared" ca="1" si="28"/>
        <v>0</v>
      </c>
    </row>
    <row r="452" spans="1:8" x14ac:dyDescent="0.25">
      <c r="A452" s="109" t="s">
        <v>1879</v>
      </c>
      <c r="B452" s="514">
        <f>Ferramentas!B116</f>
        <v>0</v>
      </c>
      <c r="C452" s="541" t="str">
        <f>Ferramentas!C116</f>
        <v>Aluguel Notebook - tipo 1 (i7, 1T, 8GB, S.O. 10 e Office última versão)</v>
      </c>
      <c r="D452" s="110" t="str">
        <f>Ferramentas!D116</f>
        <v>un</v>
      </c>
      <c r="E452" s="111">
        <f>Ferramentas!E116</f>
        <v>2</v>
      </c>
      <c r="F452" s="111">
        <f>Ferramentas!F116</f>
        <v>450</v>
      </c>
      <c r="G452" s="111">
        <f t="shared" si="25"/>
        <v>900</v>
      </c>
      <c r="H452" s="555">
        <f t="shared" ca="1" si="28"/>
        <v>0</v>
      </c>
    </row>
    <row r="453" spans="1:8" ht="25.5" x14ac:dyDescent="0.25">
      <c r="A453" s="109" t="s">
        <v>1880</v>
      </c>
      <c r="B453" s="514">
        <f>Ferramentas!B117</f>
        <v>0</v>
      </c>
      <c r="C453" s="541" t="str">
        <f>Ferramentas!C117</f>
        <v>Andaime modular isolante 2x1m, com conexões em aluminio fundido - Altura de 15 m.</v>
      </c>
      <c r="D453" s="110" t="str">
        <f>Ferramentas!D117</f>
        <v>un</v>
      </c>
      <c r="E453" s="111">
        <f>Ferramentas!E117</f>
        <v>1</v>
      </c>
      <c r="F453" s="111">
        <f>Ferramentas!F117</f>
        <v>164369.99</v>
      </c>
      <c r="G453" s="111">
        <f t="shared" si="25"/>
        <v>164369.99</v>
      </c>
      <c r="H453" s="555">
        <f t="shared" ca="1" si="28"/>
        <v>2.3999999999999998E-3</v>
      </c>
    </row>
    <row r="454" spans="1:8" x14ac:dyDescent="0.25">
      <c r="A454" s="109" t="s">
        <v>1881</v>
      </c>
      <c r="B454" s="514" t="str">
        <f>Ferramentas!B118</f>
        <v>10585 - ORSE</v>
      </c>
      <c r="C454" s="541" t="str">
        <f>Ferramentas!C118</f>
        <v>Arco de Serra manual (com serra)</v>
      </c>
      <c r="D454" s="110" t="str">
        <f>Ferramentas!D118</f>
        <v>un</v>
      </c>
      <c r="E454" s="111">
        <f>Ferramentas!E118</f>
        <v>23</v>
      </c>
      <c r="F454" s="111">
        <f>Ferramentas!F118</f>
        <v>21.25</v>
      </c>
      <c r="G454" s="111">
        <f t="shared" si="25"/>
        <v>488.75</v>
      </c>
      <c r="H454" s="555">
        <f t="shared" ca="1" si="28"/>
        <v>0</v>
      </c>
    </row>
    <row r="455" spans="1:8" x14ac:dyDescent="0.25">
      <c r="A455" s="109" t="s">
        <v>1882</v>
      </c>
      <c r="B455" s="514">
        <f>Ferramentas!B119</f>
        <v>0</v>
      </c>
      <c r="C455" s="541" t="str">
        <f>Ferramentas!C119</f>
        <v>Bastão/Vara de manobra 35 kV, Ø 32 mm, 3,0 m, 2 m isolante</v>
      </c>
      <c r="D455" s="110" t="str">
        <f>Ferramentas!D119</f>
        <v>un</v>
      </c>
      <c r="E455" s="111">
        <f>Ferramentas!E119</f>
        <v>2</v>
      </c>
      <c r="F455" s="111">
        <f>Ferramentas!F119</f>
        <v>357</v>
      </c>
      <c r="G455" s="111">
        <f t="shared" si="25"/>
        <v>714</v>
      </c>
      <c r="H455" s="555">
        <f t="shared" ca="1" si="28"/>
        <v>0</v>
      </c>
    </row>
    <row r="456" spans="1:8" x14ac:dyDescent="0.25">
      <c r="A456" s="109" t="s">
        <v>1883</v>
      </c>
      <c r="B456" s="514">
        <f>Ferramentas!B120</f>
        <v>0</v>
      </c>
      <c r="C456" s="541" t="str">
        <f>Ferramentas!C120</f>
        <v>Bastão isolante universal Ø 38 mm, 6 m, com 2 cabeçotes</v>
      </c>
      <c r="D456" s="110" t="str">
        <f>Ferramentas!D120</f>
        <v>un</v>
      </c>
      <c r="E456" s="111">
        <f>Ferramentas!E120</f>
        <v>2</v>
      </c>
      <c r="F456" s="111">
        <f>Ferramentas!F120</f>
        <v>695</v>
      </c>
      <c r="G456" s="111">
        <f t="shared" si="25"/>
        <v>1390</v>
      </c>
      <c r="H456" s="555">
        <f t="shared" ca="1" si="28"/>
        <v>0</v>
      </c>
    </row>
    <row r="457" spans="1:8" x14ac:dyDescent="0.25">
      <c r="A457" s="109" t="s">
        <v>1884</v>
      </c>
      <c r="B457" s="514">
        <f>Ferramentas!B121</f>
        <v>0</v>
      </c>
      <c r="C457" s="541" t="str">
        <f>Ferramentas!C121</f>
        <v>Bastão de resgate - 35 kV, 220 mm</v>
      </c>
      <c r="D457" s="110" t="str">
        <f>Ferramentas!D121</f>
        <v>un</v>
      </c>
      <c r="E457" s="111">
        <f>Ferramentas!E121</f>
        <v>2</v>
      </c>
      <c r="F457" s="111">
        <f>Ferramentas!F121</f>
        <v>721.66666666666663</v>
      </c>
      <c r="G457" s="111">
        <f t="shared" si="25"/>
        <v>1443.33</v>
      </c>
      <c r="H457" s="555">
        <f t="shared" ca="1" si="28"/>
        <v>0</v>
      </c>
    </row>
    <row r="458" spans="1:8" x14ac:dyDescent="0.25">
      <c r="A458" s="109" t="s">
        <v>1885</v>
      </c>
      <c r="B458" s="514">
        <f>Ferramentas!B122</f>
        <v>0</v>
      </c>
      <c r="C458" s="541" t="str">
        <f>Ferramentas!C122</f>
        <v>Bastão-garra comprimento do isolante 3 m</v>
      </c>
      <c r="D458" s="110" t="str">
        <f>Ferramentas!D122</f>
        <v>un</v>
      </c>
      <c r="E458" s="111">
        <f>Ferramentas!E122</f>
        <v>2</v>
      </c>
      <c r="F458" s="111">
        <f>Ferramentas!F122</f>
        <v>398</v>
      </c>
      <c r="G458" s="111">
        <f t="shared" si="25"/>
        <v>796</v>
      </c>
      <c r="H458" s="555">
        <f t="shared" ca="1" si="28"/>
        <v>0</v>
      </c>
    </row>
    <row r="459" spans="1:8" x14ac:dyDescent="0.25">
      <c r="A459" s="109" t="s">
        <v>1886</v>
      </c>
      <c r="B459" s="514">
        <f>Ferramentas!B123</f>
        <v>0</v>
      </c>
      <c r="C459" s="541" t="str">
        <f>Ferramentas!C123</f>
        <v>Bastão tensor com luva ajustável Ø 51 mm, 72,5 kV, 2,30 m</v>
      </c>
      <c r="D459" s="110" t="str">
        <f>Ferramentas!D123</f>
        <v>un</v>
      </c>
      <c r="E459" s="111">
        <f>Ferramentas!E123</f>
        <v>2</v>
      </c>
      <c r="F459" s="111">
        <f>Ferramentas!F123</f>
        <v>149.77000000000001</v>
      </c>
      <c r="G459" s="111">
        <f t="shared" si="25"/>
        <v>299.54000000000002</v>
      </c>
      <c r="H459" s="555">
        <f t="shared" ca="1" si="28"/>
        <v>0</v>
      </c>
    </row>
    <row r="460" spans="1:8" x14ac:dyDescent="0.25">
      <c r="A460" s="109" t="s">
        <v>1887</v>
      </c>
      <c r="B460" s="514">
        <f>Ferramentas!B124</f>
        <v>0</v>
      </c>
      <c r="C460" s="541" t="str">
        <f>Ferramentas!C124</f>
        <v>Bastão com gancho tipo "J" 90cm</v>
      </c>
      <c r="D460" s="110" t="str">
        <f>Ferramentas!D124</f>
        <v>un</v>
      </c>
      <c r="E460" s="111">
        <f>Ferramentas!E124</f>
        <v>2</v>
      </c>
      <c r="F460" s="111">
        <f>Ferramentas!F124</f>
        <v>149.77000000000001</v>
      </c>
      <c r="G460" s="111">
        <f t="shared" si="25"/>
        <v>299.54000000000002</v>
      </c>
      <c r="H460" s="555">
        <f t="shared" ca="1" si="28"/>
        <v>0</v>
      </c>
    </row>
    <row r="461" spans="1:8" x14ac:dyDescent="0.25">
      <c r="A461" s="109" t="s">
        <v>1888</v>
      </c>
      <c r="B461" s="514">
        <f>Ferramentas!B125</f>
        <v>0</v>
      </c>
      <c r="C461" s="541" t="str">
        <f>Ferramentas!C125</f>
        <v>Banqueta isolante, 500x500x300 mm, 40 kV</v>
      </c>
      <c r="D461" s="110" t="str">
        <f>Ferramentas!D125</f>
        <v>un</v>
      </c>
      <c r="E461" s="111">
        <f>Ferramentas!E125</f>
        <v>2</v>
      </c>
      <c r="F461" s="111">
        <f>Ferramentas!F125</f>
        <v>439.11666666666662</v>
      </c>
      <c r="G461" s="111">
        <f t="shared" si="25"/>
        <v>878.23</v>
      </c>
      <c r="H461" s="555">
        <f t="shared" ca="1" si="28"/>
        <v>0</v>
      </c>
    </row>
    <row r="462" spans="1:8" ht="25.5" x14ac:dyDescent="0.25">
      <c r="A462" s="109" t="s">
        <v>1889</v>
      </c>
      <c r="B462" s="514">
        <f>Ferramentas!B126</f>
        <v>0</v>
      </c>
      <c r="C462" s="541" t="str">
        <f>Ferramentas!C126</f>
        <v>Berço simples para cadeia de isoladores 230 kV para até 6 isoladores de até Ø 254 mm</v>
      </c>
      <c r="D462" s="110" t="str">
        <f>Ferramentas!D126</f>
        <v>un</v>
      </c>
      <c r="E462" s="111">
        <f>Ferramentas!E126</f>
        <v>2</v>
      </c>
      <c r="F462" s="111">
        <f>Ferramentas!F126</f>
        <v>54.14</v>
      </c>
      <c r="G462" s="111">
        <f t="shared" si="25"/>
        <v>108.28</v>
      </c>
      <c r="H462" s="555">
        <f t="shared" ca="1" si="28"/>
        <v>0</v>
      </c>
    </row>
    <row r="463" spans="1:8" ht="25.5" x14ac:dyDescent="0.25">
      <c r="A463" s="109" t="s">
        <v>1890</v>
      </c>
      <c r="B463" s="514" t="str">
        <f>Ferramentas!B127</f>
        <v>38374 - SINAPI</v>
      </c>
      <c r="C463" s="541" t="str">
        <f>Ferramentas!C127</f>
        <v>Balancim (Ref. RE402-0099 ou similar) para escada perfil de fibra de vidro extensiva</v>
      </c>
      <c r="D463" s="110" t="str">
        <f>Ferramentas!D127</f>
        <v>un</v>
      </c>
      <c r="E463" s="111">
        <f>Ferramentas!E127</f>
        <v>2</v>
      </c>
      <c r="F463" s="111">
        <f>Ferramentas!F127</f>
        <v>794.14</v>
      </c>
      <c r="G463" s="111">
        <f t="shared" si="25"/>
        <v>1588.28</v>
      </c>
      <c r="H463" s="555">
        <f t="shared" ca="1" si="28"/>
        <v>0</v>
      </c>
    </row>
    <row r="464" spans="1:8" x14ac:dyDescent="0.25">
      <c r="A464" s="109" t="s">
        <v>1891</v>
      </c>
      <c r="B464" s="514">
        <f>Ferramentas!B128</f>
        <v>0</v>
      </c>
      <c r="C464" s="541" t="str">
        <f>Ferramentas!C128</f>
        <v>Binóculo Profissional Ampliação 8 à 24x 50mm</v>
      </c>
      <c r="D464" s="110" t="str">
        <f>Ferramentas!D128</f>
        <v>un</v>
      </c>
      <c r="E464" s="111">
        <f>Ferramentas!E128</f>
        <v>2</v>
      </c>
      <c r="F464" s="111">
        <f>Ferramentas!F128</f>
        <v>449.51</v>
      </c>
      <c r="G464" s="111">
        <f t="shared" si="25"/>
        <v>899.02</v>
      </c>
      <c r="H464" s="555">
        <f t="shared" ca="1" si="28"/>
        <v>0</v>
      </c>
    </row>
    <row r="465" spans="1:8" x14ac:dyDescent="0.25">
      <c r="A465" s="109" t="s">
        <v>1892</v>
      </c>
      <c r="B465" s="514">
        <f>Ferramentas!B129</f>
        <v>0</v>
      </c>
      <c r="C465" s="541" t="str">
        <f>Ferramentas!C129</f>
        <v>Chave de boca ajustável 8"</v>
      </c>
      <c r="D465" s="110" t="str">
        <f>Ferramentas!D129</f>
        <v>un</v>
      </c>
      <c r="E465" s="111">
        <f>Ferramentas!E129</f>
        <v>10</v>
      </c>
      <c r="F465" s="111">
        <f>Ferramentas!F129</f>
        <v>39.644999999999996</v>
      </c>
      <c r="G465" s="111">
        <f t="shared" si="25"/>
        <v>396.45</v>
      </c>
      <c r="H465" s="555">
        <f t="shared" ca="1" si="28"/>
        <v>0</v>
      </c>
    </row>
    <row r="466" spans="1:8" x14ac:dyDescent="0.25">
      <c r="A466" s="109" t="s">
        <v>1893</v>
      </c>
      <c r="B466" s="514">
        <f>Ferramentas!B130</f>
        <v>0</v>
      </c>
      <c r="C466" s="541" t="str">
        <f>Ferramentas!C130</f>
        <v>Chave de boca ajustável 12"</v>
      </c>
      <c r="D466" s="110" t="str">
        <f>Ferramentas!D130</f>
        <v>un</v>
      </c>
      <c r="E466" s="111">
        <f>Ferramentas!E130</f>
        <v>10</v>
      </c>
      <c r="F466" s="111">
        <f>Ferramentas!F130</f>
        <v>77.989999999999995</v>
      </c>
      <c r="G466" s="111">
        <f t="shared" si="25"/>
        <v>779.9</v>
      </c>
      <c r="H466" s="555">
        <f t="shared" ca="1" si="28"/>
        <v>0</v>
      </c>
    </row>
    <row r="467" spans="1:8" x14ac:dyDescent="0.25">
      <c r="A467" s="109" t="s">
        <v>1894</v>
      </c>
      <c r="B467" s="514">
        <f>Ferramentas!B131</f>
        <v>0</v>
      </c>
      <c r="C467" s="541" t="str">
        <f>Ferramentas!C131</f>
        <v>Chave de boca ajustável 18"</v>
      </c>
      <c r="D467" s="110" t="str">
        <f>Ferramentas!D131</f>
        <v>un</v>
      </c>
      <c r="E467" s="111">
        <f>Ferramentas!E131</f>
        <v>10</v>
      </c>
      <c r="F467" s="111">
        <f>Ferramentas!F131</f>
        <v>228.89500000000001</v>
      </c>
      <c r="G467" s="111">
        <f t="shared" si="25"/>
        <v>2288.9499999999998</v>
      </c>
      <c r="H467" s="555">
        <f t="shared" ca="1" si="28"/>
        <v>0</v>
      </c>
    </row>
    <row r="468" spans="1:8" x14ac:dyDescent="0.25">
      <c r="A468" s="109" t="s">
        <v>1895</v>
      </c>
      <c r="B468" s="514" t="str">
        <f>Ferramentas!B132</f>
        <v>00425 - ORSE</v>
      </c>
      <c r="C468" s="541" t="str">
        <f>Ferramentas!C132</f>
        <v>Cadeado 40mm</v>
      </c>
      <c r="D468" s="110" t="str">
        <f>Ferramentas!D132</f>
        <v>un</v>
      </c>
      <c r="E468" s="111">
        <f>Ferramentas!E132</f>
        <v>27</v>
      </c>
      <c r="F468" s="111">
        <f>Ferramentas!F132</f>
        <v>17.850000000000001</v>
      </c>
      <c r="G468" s="111">
        <f t="shared" si="25"/>
        <v>481.95</v>
      </c>
      <c r="H468" s="555">
        <f t="shared" ca="1" si="28"/>
        <v>0</v>
      </c>
    </row>
    <row r="469" spans="1:8" ht="25.5" x14ac:dyDescent="0.25">
      <c r="A469" s="109" t="s">
        <v>1896</v>
      </c>
      <c r="B469" s="514">
        <f>Ferramentas!B133</f>
        <v>0</v>
      </c>
      <c r="C469" s="541" t="str">
        <f>Ferramentas!C133</f>
        <v>Caixa de ferramentas para eletricista NR10 com 34 peças - Equipes de Manutenção</v>
      </c>
      <c r="D469" s="110" t="str">
        <f>Ferramentas!D133</f>
        <v>un</v>
      </c>
      <c r="E469" s="111">
        <f>Ferramentas!E133</f>
        <v>6</v>
      </c>
      <c r="F469" s="111">
        <f>Ferramentas!F133</f>
        <v>77.394999999999996</v>
      </c>
      <c r="G469" s="111">
        <f t="shared" si="25"/>
        <v>464.37</v>
      </c>
      <c r="H469" s="555">
        <f t="shared" ca="1" si="28"/>
        <v>0</v>
      </c>
    </row>
    <row r="470" spans="1:8" ht="25.5" x14ac:dyDescent="0.25">
      <c r="A470" s="109" t="s">
        <v>1897</v>
      </c>
      <c r="B470" s="514">
        <f>Ferramentas!B134</f>
        <v>0</v>
      </c>
      <c r="C470" s="541" t="str">
        <f>Ferramentas!C134</f>
        <v>Caixa de ferramentas para eletricista NR10 com 34 peças para operadores EB</v>
      </c>
      <c r="D470" s="110" t="str">
        <f>Ferramentas!D134</f>
        <v>un</v>
      </c>
      <c r="E470" s="111">
        <f>Ferramentas!E134</f>
        <v>6</v>
      </c>
      <c r="F470" s="111">
        <f>Ferramentas!F134</f>
        <v>77.394999999999996</v>
      </c>
      <c r="G470" s="111">
        <f t="shared" si="25"/>
        <v>464.37</v>
      </c>
      <c r="H470" s="555">
        <f t="shared" ca="1" si="28"/>
        <v>0</v>
      </c>
    </row>
    <row r="471" spans="1:8" ht="25.5" x14ac:dyDescent="0.25">
      <c r="A471" s="109" t="s">
        <v>1898</v>
      </c>
      <c r="B471" s="514">
        <f>Ferramentas!B135</f>
        <v>0</v>
      </c>
      <c r="C471" s="541" t="str">
        <f>Ferramentas!C135</f>
        <v>Caixa de ferramentas com 40 peças (Para técnicos de automação e telecom)</v>
      </c>
      <c r="D471" s="110" t="str">
        <f>Ferramentas!D135</f>
        <v>un</v>
      </c>
      <c r="E471" s="111">
        <f>Ferramentas!E135</f>
        <v>2</v>
      </c>
      <c r="F471" s="111">
        <f>Ferramentas!F135</f>
        <v>772.39666666666665</v>
      </c>
      <c r="G471" s="111">
        <f t="shared" si="25"/>
        <v>1544.79</v>
      </c>
      <c r="H471" s="555">
        <f t="shared" ca="1" si="28"/>
        <v>0</v>
      </c>
    </row>
    <row r="472" spans="1:8" ht="25.5" x14ac:dyDescent="0.25">
      <c r="A472" s="109" t="s">
        <v>1899</v>
      </c>
      <c r="B472" s="514">
        <f>Ferramentas!B136</f>
        <v>0</v>
      </c>
      <c r="C472" s="541" t="str">
        <f>Ferramentas!C136</f>
        <v>Caixa de ferramentas tipo sanfonada, confeccionada  em chapa de aço, com rodas e puxador</v>
      </c>
      <c r="D472" s="110" t="str">
        <f>Ferramentas!D136</f>
        <v>un</v>
      </c>
      <c r="E472" s="111">
        <f>Ferramentas!E136</f>
        <v>13</v>
      </c>
      <c r="F472" s="111">
        <f>Ferramentas!F136</f>
        <v>161.94499999999999</v>
      </c>
      <c r="G472" s="111">
        <f t="shared" si="25"/>
        <v>2105.29</v>
      </c>
      <c r="H472" s="555">
        <f t="shared" ca="1" si="28"/>
        <v>0</v>
      </c>
    </row>
    <row r="473" spans="1:8" x14ac:dyDescent="0.25">
      <c r="A473" s="109" t="s">
        <v>1900</v>
      </c>
      <c r="B473" s="514">
        <f>Ferramentas!B137</f>
        <v>0</v>
      </c>
      <c r="C473" s="541" t="str">
        <f>Ferramentas!C137</f>
        <v>Câmera fotográfica digital 20MP, 5x Zoom Óptico</v>
      </c>
      <c r="D473" s="110" t="str">
        <f>Ferramentas!D137</f>
        <v>un</v>
      </c>
      <c r="E473" s="111">
        <f>Ferramentas!E137</f>
        <v>2</v>
      </c>
      <c r="F473" s="111">
        <f>Ferramentas!F137</f>
        <v>526.26666666666665</v>
      </c>
      <c r="G473" s="111">
        <f t="shared" si="25"/>
        <v>1052.53</v>
      </c>
      <c r="H473" s="555">
        <f t="shared" ca="1" si="28"/>
        <v>0</v>
      </c>
    </row>
    <row r="474" spans="1:8" ht="25.5" x14ac:dyDescent="0.25">
      <c r="A474" s="109" t="s">
        <v>1901</v>
      </c>
      <c r="B474" s="514">
        <f>Ferramentas!B138</f>
        <v>0</v>
      </c>
      <c r="C474" s="541" t="str">
        <f>Ferramentas!C138</f>
        <v>Chave com catraca 4 bocas 8x9x10x11 mm (Ref. 44637101 ou similar)</v>
      </c>
      <c r="D474" s="110" t="str">
        <f>Ferramentas!D138</f>
        <v>un</v>
      </c>
      <c r="E474" s="111">
        <f>Ferramentas!E138</f>
        <v>10</v>
      </c>
      <c r="F474" s="111">
        <f>Ferramentas!F138</f>
        <v>117.50666666666666</v>
      </c>
      <c r="G474" s="111">
        <f t="shared" si="25"/>
        <v>1175.07</v>
      </c>
      <c r="H474" s="555">
        <f t="shared" ca="1" si="28"/>
        <v>0</v>
      </c>
    </row>
    <row r="475" spans="1:8" x14ac:dyDescent="0.25">
      <c r="A475" s="109" t="s">
        <v>1902</v>
      </c>
      <c r="B475" s="514">
        <f>Ferramentas!B139</f>
        <v>0</v>
      </c>
      <c r="C475" s="541" t="str">
        <f>Ferramentas!C139</f>
        <v>Conjunto de aterramento rápido e temporário para cubículos até 35kV</v>
      </c>
      <c r="D475" s="110" t="str">
        <f>Ferramentas!D139</f>
        <v>un</v>
      </c>
      <c r="E475" s="111">
        <f>Ferramentas!E139</f>
        <v>2</v>
      </c>
      <c r="F475" s="111">
        <f>Ferramentas!F139</f>
        <v>1045</v>
      </c>
      <c r="G475" s="111">
        <f t="shared" si="25"/>
        <v>2090</v>
      </c>
      <c r="H475" s="555">
        <f t="shared" ca="1" si="28"/>
        <v>0</v>
      </c>
    </row>
    <row r="476" spans="1:8" ht="25.5" x14ac:dyDescent="0.25">
      <c r="A476" s="109" t="s">
        <v>1903</v>
      </c>
      <c r="B476" s="514">
        <f>Ferramentas!B140</f>
        <v>0</v>
      </c>
      <c r="C476" s="541" t="str">
        <f>Ferramentas!C140</f>
        <v>Conjunto de aterramento rápido e temporário para redes isoladas até 1kV</v>
      </c>
      <c r="D476" s="110" t="str">
        <f>Ferramentas!D140</f>
        <v>un</v>
      </c>
      <c r="E476" s="111">
        <f>Ferramentas!E140</f>
        <v>2</v>
      </c>
      <c r="F476" s="111">
        <f>Ferramentas!F140</f>
        <v>365</v>
      </c>
      <c r="G476" s="111">
        <f t="shared" si="25"/>
        <v>730</v>
      </c>
      <c r="H476" s="555">
        <f t="shared" ca="1" si="28"/>
        <v>0</v>
      </c>
    </row>
    <row r="477" spans="1:8" x14ac:dyDescent="0.25">
      <c r="A477" s="109" t="s">
        <v>1904</v>
      </c>
      <c r="B477" s="514">
        <f>Ferramentas!B141</f>
        <v>0</v>
      </c>
      <c r="C477" s="541" t="str">
        <f>Ferramentas!C141</f>
        <v>Conjunto de aterramento temporário para subestações até 36kV</v>
      </c>
      <c r="D477" s="110" t="str">
        <f>Ferramentas!D141</f>
        <v>un</v>
      </c>
      <c r="E477" s="111">
        <f>Ferramentas!E141</f>
        <v>2</v>
      </c>
      <c r="F477" s="111">
        <f>Ferramentas!F141</f>
        <v>934.5</v>
      </c>
      <c r="G477" s="111">
        <f t="shared" si="25"/>
        <v>1869</v>
      </c>
      <c r="H477" s="555">
        <f t="shared" ca="1" si="28"/>
        <v>0</v>
      </c>
    </row>
    <row r="478" spans="1:8" x14ac:dyDescent="0.25">
      <c r="A478" s="109" t="s">
        <v>1905</v>
      </c>
      <c r="B478" s="514">
        <f>Ferramentas!B142</f>
        <v>0</v>
      </c>
      <c r="C478" s="541" t="str">
        <f>Ferramentas!C142</f>
        <v>Conjunto de chaves básicas para eletricista com 06 peças</v>
      </c>
      <c r="D478" s="110" t="str">
        <f>Ferramentas!D142</f>
        <v>un</v>
      </c>
      <c r="E478" s="111">
        <f>Ferramentas!E142</f>
        <v>10</v>
      </c>
      <c r="F478" s="111">
        <f>Ferramentas!F142</f>
        <v>71.966666666666683</v>
      </c>
      <c r="G478" s="111">
        <f t="shared" si="25"/>
        <v>719.67</v>
      </c>
      <c r="H478" s="555">
        <f t="shared" ca="1" si="28"/>
        <v>0</v>
      </c>
    </row>
    <row r="479" spans="1:8" x14ac:dyDescent="0.25">
      <c r="A479" s="109" t="s">
        <v>1906</v>
      </c>
      <c r="B479" s="514">
        <f>Ferramentas!B143</f>
        <v>0</v>
      </c>
      <c r="C479" s="541" t="str">
        <f>Ferramentas!C143</f>
        <v>Detector de Tensão por contato 1kV</v>
      </c>
      <c r="D479" s="110" t="str">
        <f>Ferramentas!D143</f>
        <v>un</v>
      </c>
      <c r="E479" s="111">
        <f>Ferramentas!E143</f>
        <v>23</v>
      </c>
      <c r="F479" s="111">
        <f>Ferramentas!F143</f>
        <v>623.75</v>
      </c>
      <c r="G479" s="111">
        <f t="shared" si="25"/>
        <v>14346.25</v>
      </c>
      <c r="H479" s="555">
        <f t="shared" ca="1" si="28"/>
        <v>2.0000000000000001E-4</v>
      </c>
    </row>
    <row r="480" spans="1:8" x14ac:dyDescent="0.25">
      <c r="A480" s="109" t="s">
        <v>1907</v>
      </c>
      <c r="B480" s="514">
        <f>Ferramentas!B144</f>
        <v>0</v>
      </c>
      <c r="C480" s="541" t="str">
        <f>Ferramentas!C144</f>
        <v>Detector unipolar de tensão por aproximação - 10 a 40KV</v>
      </c>
      <c r="D480" s="110" t="str">
        <f>Ferramentas!D144</f>
        <v>un</v>
      </c>
      <c r="E480" s="111">
        <f>Ferramentas!E144</f>
        <v>13</v>
      </c>
      <c r="F480" s="111">
        <f>Ferramentas!F144</f>
        <v>578</v>
      </c>
      <c r="G480" s="111">
        <f t="shared" si="25"/>
        <v>7514</v>
      </c>
      <c r="H480" s="555">
        <f t="shared" ref="H480:H543" ca="1" si="29">ROUND(G480/G$8,4)</f>
        <v>1E-4</v>
      </c>
    </row>
    <row r="481" spans="1:8" x14ac:dyDescent="0.25">
      <c r="A481" s="109" t="s">
        <v>1908</v>
      </c>
      <c r="B481" s="514">
        <f>Ferramentas!B145</f>
        <v>0</v>
      </c>
      <c r="C481" s="541" t="str">
        <f>Ferramentas!C145</f>
        <v>Encerado de lona (3x2 m)</v>
      </c>
      <c r="D481" s="110" t="str">
        <f>Ferramentas!D145</f>
        <v>un</v>
      </c>
      <c r="E481" s="111">
        <f>Ferramentas!E145</f>
        <v>10</v>
      </c>
      <c r="F481" s="111">
        <f>Ferramentas!F145</f>
        <v>30.433333333333334</v>
      </c>
      <c r="G481" s="111">
        <f t="shared" si="25"/>
        <v>304.33</v>
      </c>
      <c r="H481" s="555">
        <f t="shared" ca="1" si="29"/>
        <v>0</v>
      </c>
    </row>
    <row r="482" spans="1:8" ht="25.5" x14ac:dyDescent="0.25">
      <c r="A482" s="109" t="s">
        <v>1909</v>
      </c>
      <c r="B482" s="514">
        <f>Ferramentas!B146</f>
        <v>0</v>
      </c>
      <c r="C482" s="541" t="str">
        <f>Ferramentas!C146</f>
        <v>Escada perfil "U" de fibra de vidro extensiva - altura esticada 8,40 m - 15 kV</v>
      </c>
      <c r="D482" s="110" t="str">
        <f>Ferramentas!D146</f>
        <v>un</v>
      </c>
      <c r="E482" s="111">
        <f>Ferramentas!E146</f>
        <v>10</v>
      </c>
      <c r="F482" s="111">
        <f>Ferramentas!F146</f>
        <v>918.26666666666677</v>
      </c>
      <c r="G482" s="111">
        <f t="shared" si="25"/>
        <v>9182.67</v>
      </c>
      <c r="H482" s="555">
        <f t="shared" ca="1" si="29"/>
        <v>1E-4</v>
      </c>
    </row>
    <row r="483" spans="1:8" x14ac:dyDescent="0.25">
      <c r="A483" s="109" t="s">
        <v>1910</v>
      </c>
      <c r="B483" s="514">
        <f>Ferramentas!B147</f>
        <v>0</v>
      </c>
      <c r="C483" s="541" t="str">
        <f>Ferramentas!C147</f>
        <v>Escada de fibra de vidro tipo "A" (subestações) - 10 degraus</v>
      </c>
      <c r="D483" s="110" t="str">
        <f>Ferramentas!D147</f>
        <v>un</v>
      </c>
      <c r="E483" s="111">
        <f>Ferramentas!E147</f>
        <v>2</v>
      </c>
      <c r="F483" s="111">
        <f>Ferramentas!F147</f>
        <v>808.14</v>
      </c>
      <c r="G483" s="111">
        <f t="shared" si="25"/>
        <v>1616.28</v>
      </c>
      <c r="H483" s="555">
        <f t="shared" ca="1" si="29"/>
        <v>0</v>
      </c>
    </row>
    <row r="484" spans="1:8" x14ac:dyDescent="0.25">
      <c r="A484" s="109" t="s">
        <v>1911</v>
      </c>
      <c r="B484" s="514" t="str">
        <f>Ferramentas!B148</f>
        <v>12 - SINAPI</v>
      </c>
      <c r="C484" s="541" t="str">
        <f>Ferramentas!C148</f>
        <v>Escova com cerdas de aço para condutores</v>
      </c>
      <c r="D484" s="110" t="str">
        <f>Ferramentas!D148</f>
        <v>un</v>
      </c>
      <c r="E484" s="111">
        <f>Ferramentas!E148</f>
        <v>10</v>
      </c>
      <c r="F484" s="111">
        <f>Ferramentas!F148</f>
        <v>10</v>
      </c>
      <c r="G484" s="111">
        <f t="shared" si="25"/>
        <v>100</v>
      </c>
      <c r="H484" s="555">
        <f t="shared" ca="1" si="29"/>
        <v>0</v>
      </c>
    </row>
    <row r="485" spans="1:8" x14ac:dyDescent="0.25">
      <c r="A485" s="109" t="s">
        <v>1912</v>
      </c>
      <c r="B485" s="514">
        <f>Ferramentas!B149</f>
        <v>0</v>
      </c>
      <c r="C485" s="541" t="str">
        <f>Ferramentas!C149</f>
        <v>Facão para mato, 18 pol</v>
      </c>
      <c r="D485" s="110" t="str">
        <f>Ferramentas!D149</f>
        <v>un</v>
      </c>
      <c r="E485" s="111">
        <f>Ferramentas!E149</f>
        <v>10</v>
      </c>
      <c r="F485" s="111">
        <f>Ferramentas!F149</f>
        <v>20</v>
      </c>
      <c r="G485" s="111">
        <f t="shared" si="25"/>
        <v>200</v>
      </c>
      <c r="H485" s="555">
        <f t="shared" ca="1" si="29"/>
        <v>0</v>
      </c>
    </row>
    <row r="486" spans="1:8" x14ac:dyDescent="0.25">
      <c r="A486" s="109" t="s">
        <v>1913</v>
      </c>
      <c r="B486" s="514">
        <f>Ferramentas!B150</f>
        <v>0</v>
      </c>
      <c r="C486" s="541" t="str">
        <f>Ferramentas!C150</f>
        <v>Farol de punho</v>
      </c>
      <c r="D486" s="110" t="str">
        <f>Ferramentas!D150</f>
        <v>un</v>
      </c>
      <c r="E486" s="111">
        <f>Ferramentas!E150</f>
        <v>10</v>
      </c>
      <c r="F486" s="111">
        <f>Ferramentas!F150</f>
        <v>85.48</v>
      </c>
      <c r="G486" s="111">
        <f t="shared" si="25"/>
        <v>854.8</v>
      </c>
      <c r="H486" s="555">
        <f t="shared" ca="1" si="29"/>
        <v>0</v>
      </c>
    </row>
    <row r="487" spans="1:8" ht="25.5" x14ac:dyDescent="0.25">
      <c r="A487" s="109" t="s">
        <v>1914</v>
      </c>
      <c r="B487" s="514">
        <f>Ferramentas!B151</f>
        <v>0</v>
      </c>
      <c r="C487" s="541" t="str">
        <f>Ferramentas!C151</f>
        <v>Ferramenta universal para bastão de manobra - Adaptador de ferramentas</v>
      </c>
      <c r="D487" s="110" t="str">
        <f>Ferramentas!D151</f>
        <v>un</v>
      </c>
      <c r="E487" s="111">
        <f>Ferramentas!E151</f>
        <v>2</v>
      </c>
      <c r="F487" s="111">
        <f>Ferramentas!F151</f>
        <v>69</v>
      </c>
      <c r="G487" s="111">
        <f t="shared" si="25"/>
        <v>138</v>
      </c>
      <c r="H487" s="555">
        <f t="shared" ca="1" si="29"/>
        <v>0</v>
      </c>
    </row>
    <row r="488" spans="1:8" x14ac:dyDescent="0.25">
      <c r="A488" s="109" t="s">
        <v>1915</v>
      </c>
      <c r="B488" s="514">
        <f>Ferramentas!B152</f>
        <v>0</v>
      </c>
      <c r="C488" s="541" t="str">
        <f>Ferramentas!C152</f>
        <v>Ferramenta universal para bastão de manobra - Adaptador de peças</v>
      </c>
      <c r="D488" s="110" t="str">
        <f>Ferramentas!D152</f>
        <v>un</v>
      </c>
      <c r="E488" s="111">
        <f>Ferramentas!E152</f>
        <v>2</v>
      </c>
      <c r="F488" s="111">
        <f>Ferramentas!F152</f>
        <v>49</v>
      </c>
      <c r="G488" s="111">
        <f t="shared" si="25"/>
        <v>98</v>
      </c>
      <c r="H488" s="555">
        <f t="shared" ca="1" si="29"/>
        <v>0</v>
      </c>
    </row>
    <row r="489" spans="1:8" x14ac:dyDescent="0.25">
      <c r="A489" s="109" t="s">
        <v>1916</v>
      </c>
      <c r="B489" s="514">
        <f>Ferramentas!B153</f>
        <v>0</v>
      </c>
      <c r="C489" s="541" t="str">
        <f>Ferramentas!C153</f>
        <v>Ferramenta universal para bastão de manobra - Adaptador universal</v>
      </c>
      <c r="D489" s="110" t="str">
        <f>Ferramentas!D153</f>
        <v>un</v>
      </c>
      <c r="E489" s="111">
        <f>Ferramentas!E153</f>
        <v>2</v>
      </c>
      <c r="F489" s="111">
        <f>Ferramentas!F153</f>
        <v>174</v>
      </c>
      <c r="G489" s="111">
        <f t="shared" si="25"/>
        <v>348</v>
      </c>
      <c r="H489" s="555">
        <f t="shared" ca="1" si="29"/>
        <v>0</v>
      </c>
    </row>
    <row r="490" spans="1:8" ht="25.5" x14ac:dyDescent="0.25">
      <c r="A490" s="109" t="s">
        <v>1917</v>
      </c>
      <c r="B490" s="514">
        <f>Ferramentas!B154</f>
        <v>0</v>
      </c>
      <c r="C490" s="541" t="str">
        <f>Ferramentas!C154</f>
        <v>Ferramenta universal para bastão de manobra - Cabeçote com gancho duplo</v>
      </c>
      <c r="D490" s="110" t="str">
        <f>Ferramentas!D154</f>
        <v>un</v>
      </c>
      <c r="E490" s="111">
        <f>Ferramentas!E154</f>
        <v>2</v>
      </c>
      <c r="F490" s="111">
        <f>Ferramentas!F154</f>
        <v>49</v>
      </c>
      <c r="G490" s="111">
        <f t="shared" si="25"/>
        <v>98</v>
      </c>
      <c r="H490" s="555">
        <f t="shared" ca="1" si="29"/>
        <v>0</v>
      </c>
    </row>
    <row r="491" spans="1:8" x14ac:dyDescent="0.25">
      <c r="A491" s="109" t="s">
        <v>1918</v>
      </c>
      <c r="B491" s="514">
        <f>Ferramentas!B155</f>
        <v>0</v>
      </c>
      <c r="C491" s="541" t="str">
        <f>Ferramentas!C155</f>
        <v>Ferramenta universal para bastão de manobra - Cabeçote multi-uso</v>
      </c>
      <c r="D491" s="110" t="str">
        <f>Ferramentas!D155</f>
        <v>un</v>
      </c>
      <c r="E491" s="111">
        <f>Ferramentas!E155</f>
        <v>2</v>
      </c>
      <c r="F491" s="111">
        <f>Ferramentas!F155</f>
        <v>81.5</v>
      </c>
      <c r="G491" s="111">
        <f t="shared" si="25"/>
        <v>163</v>
      </c>
      <c r="H491" s="555">
        <f t="shared" ca="1" si="29"/>
        <v>0</v>
      </c>
    </row>
    <row r="492" spans="1:8" ht="25.5" x14ac:dyDescent="0.25">
      <c r="A492" s="109" t="s">
        <v>1919</v>
      </c>
      <c r="B492" s="514">
        <f>Ferramentas!B156</f>
        <v>0</v>
      </c>
      <c r="C492" s="541" t="str">
        <f>Ferramentas!C156</f>
        <v>Ferramenta universal para bastão de manobra - Cabeçote para grampo de aterramento</v>
      </c>
      <c r="D492" s="110" t="str">
        <f>Ferramentas!D156</f>
        <v>un</v>
      </c>
      <c r="E492" s="111">
        <f>Ferramentas!E156</f>
        <v>2</v>
      </c>
      <c r="F492" s="111">
        <f>Ferramentas!F156</f>
        <v>95.85</v>
      </c>
      <c r="G492" s="111">
        <f t="shared" si="25"/>
        <v>191.7</v>
      </c>
      <c r="H492" s="555">
        <f t="shared" ca="1" si="29"/>
        <v>0</v>
      </c>
    </row>
    <row r="493" spans="1:8" x14ac:dyDescent="0.25">
      <c r="A493" s="109" t="s">
        <v>1920</v>
      </c>
      <c r="B493" s="514">
        <f>Ferramentas!B157</f>
        <v>0</v>
      </c>
      <c r="C493" s="541" t="str">
        <f>Ferramentas!C157</f>
        <v>Ferramenta universal para bastão de manobra - Chave com catraca</v>
      </c>
      <c r="D493" s="110" t="str">
        <f>Ferramentas!D157</f>
        <v>un</v>
      </c>
      <c r="E493" s="111">
        <f>Ferramentas!E157</f>
        <v>2</v>
      </c>
      <c r="F493" s="111">
        <f>Ferramentas!F157</f>
        <v>445</v>
      </c>
      <c r="G493" s="111">
        <f t="shared" si="25"/>
        <v>890</v>
      </c>
      <c r="H493" s="555">
        <f t="shared" ca="1" si="29"/>
        <v>0</v>
      </c>
    </row>
    <row r="494" spans="1:8" ht="25.5" x14ac:dyDescent="0.25">
      <c r="A494" s="109" t="s">
        <v>1921</v>
      </c>
      <c r="B494" s="514">
        <f>Ferramentas!B158</f>
        <v>0</v>
      </c>
      <c r="C494" s="541" t="str">
        <f>Ferramentas!C158</f>
        <v>Ferramenta universal para bastão de manobra - Desconector para chave fusível</v>
      </c>
      <c r="D494" s="110" t="str">
        <f>Ferramentas!D158</f>
        <v>un</v>
      </c>
      <c r="E494" s="111">
        <f>Ferramentas!E158</f>
        <v>2</v>
      </c>
      <c r="F494" s="111">
        <f>Ferramentas!F158</f>
        <v>32.07</v>
      </c>
      <c r="G494" s="111">
        <f t="shared" si="25"/>
        <v>64.14</v>
      </c>
      <c r="H494" s="555">
        <f t="shared" ca="1" si="29"/>
        <v>0</v>
      </c>
    </row>
    <row r="495" spans="1:8" ht="25.5" x14ac:dyDescent="0.25">
      <c r="A495" s="109" t="s">
        <v>1922</v>
      </c>
      <c r="B495" s="514">
        <f>Ferramentas!B159</f>
        <v>0</v>
      </c>
      <c r="C495" s="541" t="str">
        <f>Ferramentas!C159</f>
        <v>Ferramenta universal para bastão de manobra - Escova em "V" para limpeza de condutor</v>
      </c>
      <c r="D495" s="110" t="str">
        <f>Ferramentas!D159</f>
        <v>un</v>
      </c>
      <c r="E495" s="111">
        <f>Ferramentas!E159</f>
        <v>2</v>
      </c>
      <c r="F495" s="111">
        <f>Ferramentas!F159</f>
        <v>255.89</v>
      </c>
      <c r="G495" s="111">
        <f t="shared" si="25"/>
        <v>511.78</v>
      </c>
      <c r="H495" s="555">
        <f t="shared" ca="1" si="29"/>
        <v>0</v>
      </c>
    </row>
    <row r="496" spans="1:8" x14ac:dyDescent="0.25">
      <c r="A496" s="109" t="s">
        <v>1923</v>
      </c>
      <c r="B496" s="514">
        <f>Ferramentas!B160</f>
        <v>0</v>
      </c>
      <c r="C496" s="541" t="str">
        <f>Ferramentas!C160</f>
        <v>Ferramenta universal para bastão de manobra - Extrator de cartucho</v>
      </c>
      <c r="D496" s="110" t="str">
        <f>Ferramentas!D160</f>
        <v>un</v>
      </c>
      <c r="E496" s="111">
        <f>Ferramentas!E160</f>
        <v>2</v>
      </c>
      <c r="F496" s="111">
        <f>Ferramentas!F160</f>
        <v>200</v>
      </c>
      <c r="G496" s="111">
        <f t="shared" si="25"/>
        <v>400</v>
      </c>
      <c r="H496" s="555">
        <f t="shared" ca="1" si="29"/>
        <v>0</v>
      </c>
    </row>
    <row r="497" spans="1:8" ht="25.5" x14ac:dyDescent="0.25">
      <c r="A497" s="109" t="s">
        <v>1924</v>
      </c>
      <c r="B497" s="514">
        <f>Ferramentas!B161</f>
        <v>0</v>
      </c>
      <c r="C497" s="541" t="str">
        <f>Ferramentas!C161</f>
        <v>Ferramenta universal para bastão de manobra - Extrator de contrapino por impulso</v>
      </c>
      <c r="D497" s="110" t="str">
        <f>Ferramentas!D161</f>
        <v>un</v>
      </c>
      <c r="E497" s="111">
        <f>Ferramentas!E161</f>
        <v>2</v>
      </c>
      <c r="F497" s="111">
        <f>Ferramentas!F161</f>
        <v>135</v>
      </c>
      <c r="G497" s="111">
        <f t="shared" si="25"/>
        <v>270</v>
      </c>
      <c r="H497" s="555">
        <f t="shared" ca="1" si="29"/>
        <v>0</v>
      </c>
    </row>
    <row r="498" spans="1:8" x14ac:dyDescent="0.25">
      <c r="A498" s="109" t="s">
        <v>1925</v>
      </c>
      <c r="B498" s="514">
        <f>Ferramentas!B162</f>
        <v>0</v>
      </c>
      <c r="C498" s="541" t="str">
        <f>Ferramentas!C162</f>
        <v>Ferramenta universal para bastão de manobra - Gancho tração espiral</v>
      </c>
      <c r="D498" s="110" t="str">
        <f>Ferramentas!D162</f>
        <v>un</v>
      </c>
      <c r="E498" s="111">
        <f>Ferramentas!E162</f>
        <v>2</v>
      </c>
      <c r="F498" s="111">
        <f>Ferramentas!F162</f>
        <v>70</v>
      </c>
      <c r="G498" s="111">
        <f t="shared" si="25"/>
        <v>140</v>
      </c>
      <c r="H498" s="555">
        <f t="shared" ca="1" si="29"/>
        <v>0</v>
      </c>
    </row>
    <row r="499" spans="1:8" ht="25.5" x14ac:dyDescent="0.25">
      <c r="A499" s="109" t="s">
        <v>1926</v>
      </c>
      <c r="B499" s="514">
        <f>Ferramentas!B163</f>
        <v>0</v>
      </c>
      <c r="C499" s="541" t="str">
        <f>Ferramentas!C163</f>
        <v>Ferramenta universal para bastão de manobra - Garfo ajustador de concha</v>
      </c>
      <c r="D499" s="110" t="str">
        <f>Ferramentas!D163</f>
        <v>un</v>
      </c>
      <c r="E499" s="111">
        <f>Ferramentas!E163</f>
        <v>2</v>
      </c>
      <c r="F499" s="111">
        <f>Ferramentas!F163</f>
        <v>170</v>
      </c>
      <c r="G499" s="111">
        <f t="shared" si="25"/>
        <v>340</v>
      </c>
      <c r="H499" s="555">
        <f t="shared" ca="1" si="29"/>
        <v>0</v>
      </c>
    </row>
    <row r="500" spans="1:8" x14ac:dyDescent="0.25">
      <c r="A500" s="109" t="s">
        <v>1927</v>
      </c>
      <c r="B500" s="514">
        <f>Ferramentas!B164</f>
        <v>0</v>
      </c>
      <c r="C500" s="541" t="str">
        <f>Ferramentas!C164</f>
        <v>Ferramenta universal para bastão de manobra - Garra de amarração</v>
      </c>
      <c r="D500" s="110" t="str">
        <f>Ferramentas!D164</f>
        <v>un</v>
      </c>
      <c r="E500" s="111">
        <f>Ferramentas!E164</f>
        <v>2</v>
      </c>
      <c r="F500" s="111">
        <f>Ferramentas!F164</f>
        <v>115</v>
      </c>
      <c r="G500" s="111">
        <f t="shared" si="25"/>
        <v>230</v>
      </c>
      <c r="H500" s="555">
        <f t="shared" ca="1" si="29"/>
        <v>0</v>
      </c>
    </row>
    <row r="501" spans="1:8" ht="25.5" x14ac:dyDescent="0.25">
      <c r="A501" s="109" t="s">
        <v>1928</v>
      </c>
      <c r="B501" s="514">
        <f>Ferramentas!B165</f>
        <v>0</v>
      </c>
      <c r="C501" s="541" t="str">
        <f>Ferramentas!C165</f>
        <v>Ferramenta universal para bastão de manobra - Instalador de Contrapino</v>
      </c>
      <c r="D501" s="110" t="str">
        <f>Ferramentas!D165</f>
        <v>un</v>
      </c>
      <c r="E501" s="111">
        <f>Ferramentas!E165</f>
        <v>2</v>
      </c>
      <c r="F501" s="111">
        <f>Ferramentas!F165</f>
        <v>330</v>
      </c>
      <c r="G501" s="111">
        <f t="shared" si="25"/>
        <v>660</v>
      </c>
      <c r="H501" s="555">
        <f t="shared" ca="1" si="29"/>
        <v>0</v>
      </c>
    </row>
    <row r="502" spans="1:8" ht="25.5" x14ac:dyDescent="0.25">
      <c r="A502" s="109" t="s">
        <v>1929</v>
      </c>
      <c r="B502" s="514">
        <f>Ferramentas!B166</f>
        <v>0</v>
      </c>
      <c r="C502" s="541" t="str">
        <f>Ferramentas!C166</f>
        <v>Ferramenta universal para bastão de manobra - Jogo para Tensionadores Duplos - jugo duplo com corrente lado morto</v>
      </c>
      <c r="D502" s="110" t="str">
        <f>Ferramentas!D166</f>
        <v>un</v>
      </c>
      <c r="E502" s="111">
        <f>Ferramentas!E166</f>
        <v>2</v>
      </c>
      <c r="F502" s="111">
        <f>Ferramentas!F166</f>
        <v>83.03</v>
      </c>
      <c r="G502" s="111">
        <f t="shared" si="25"/>
        <v>166.06</v>
      </c>
      <c r="H502" s="555">
        <f t="shared" ca="1" si="29"/>
        <v>0</v>
      </c>
    </row>
    <row r="503" spans="1:8" ht="25.5" x14ac:dyDescent="0.25">
      <c r="A503" s="109" t="s">
        <v>1930</v>
      </c>
      <c r="B503" s="514">
        <f>Ferramentas!B167</f>
        <v>0</v>
      </c>
      <c r="C503" s="541" t="str">
        <f>Ferramentas!C167</f>
        <v>Ferramenta universal para bastão de manobra - Jogo para Tensionadores Duplos -jugo duplo lado vivo</v>
      </c>
      <c r="D503" s="110" t="str">
        <f>Ferramentas!D167</f>
        <v>un</v>
      </c>
      <c r="E503" s="111">
        <f>Ferramentas!E167</f>
        <v>2</v>
      </c>
      <c r="F503" s="111">
        <f>Ferramentas!F167</f>
        <v>86.69</v>
      </c>
      <c r="G503" s="111">
        <f t="shared" si="25"/>
        <v>173.38</v>
      </c>
      <c r="H503" s="555">
        <f t="shared" ca="1" si="29"/>
        <v>0</v>
      </c>
    </row>
    <row r="504" spans="1:8" ht="25.5" x14ac:dyDescent="0.25">
      <c r="A504" s="109" t="s">
        <v>1931</v>
      </c>
      <c r="B504" s="514">
        <f>Ferramentas!B168</f>
        <v>0</v>
      </c>
      <c r="C504" s="541" t="str">
        <f>Ferramentas!C168</f>
        <v>Ferramenta universal para bastão de manobra - Jogo para Tensionadores Simples - balancim trinangular chapa dupla</v>
      </c>
      <c r="D504" s="110" t="str">
        <f>Ferramentas!D168</f>
        <v>un</v>
      </c>
      <c r="E504" s="111">
        <f>Ferramentas!E168</f>
        <v>2</v>
      </c>
      <c r="F504" s="111">
        <f>Ferramentas!F168</f>
        <v>79.680000000000007</v>
      </c>
      <c r="G504" s="111">
        <f t="shared" si="25"/>
        <v>159.36000000000001</v>
      </c>
      <c r="H504" s="555">
        <f t="shared" ca="1" si="29"/>
        <v>0</v>
      </c>
    </row>
    <row r="505" spans="1:8" ht="25.5" x14ac:dyDescent="0.25">
      <c r="A505" s="109" t="s">
        <v>1932</v>
      </c>
      <c r="B505" s="514">
        <f>Ferramentas!B169</f>
        <v>0</v>
      </c>
      <c r="C505" s="541" t="str">
        <f>Ferramentas!C169</f>
        <v>Ferramenta universal para bastão de manobra - Sacador de contrapino em alavanca</v>
      </c>
      <c r="D505" s="110" t="str">
        <f>Ferramentas!D169</f>
        <v>un</v>
      </c>
      <c r="E505" s="111">
        <f>Ferramentas!E169</f>
        <v>2</v>
      </c>
      <c r="F505" s="111">
        <f>Ferramentas!F169</f>
        <v>158</v>
      </c>
      <c r="G505" s="111">
        <f t="shared" si="25"/>
        <v>316</v>
      </c>
      <c r="H505" s="555">
        <f t="shared" ca="1" si="29"/>
        <v>0</v>
      </c>
    </row>
    <row r="506" spans="1:8" x14ac:dyDescent="0.25">
      <c r="A506" s="109" t="s">
        <v>1933</v>
      </c>
      <c r="B506" s="514">
        <f>Ferramentas!B170</f>
        <v>0</v>
      </c>
      <c r="C506" s="541" t="str">
        <f>Ferramentas!C170</f>
        <v>Ferramenta universal para bastão de manobra - Suporte de concha</v>
      </c>
      <c r="D506" s="110" t="str">
        <f>Ferramentas!D170</f>
        <v>un</v>
      </c>
      <c r="E506" s="111">
        <f>Ferramentas!E170</f>
        <v>2</v>
      </c>
      <c r="F506" s="111">
        <f>Ferramentas!F170</f>
        <v>135</v>
      </c>
      <c r="G506" s="111">
        <f t="shared" si="25"/>
        <v>270</v>
      </c>
      <c r="H506" s="555">
        <f t="shared" ca="1" si="29"/>
        <v>0</v>
      </c>
    </row>
    <row r="507" spans="1:8" ht="25.5" x14ac:dyDescent="0.25">
      <c r="A507" s="109" t="s">
        <v>1934</v>
      </c>
      <c r="B507" s="514">
        <f>Ferramentas!B171</f>
        <v>0</v>
      </c>
      <c r="C507" s="541" t="str">
        <f>Ferramentas!C171</f>
        <v>Ferramenta universal para bastão de manobra - Suporte flexível para soquete hexagonal</v>
      </c>
      <c r="D507" s="110" t="str">
        <f>Ferramentas!D171</f>
        <v>un</v>
      </c>
      <c r="E507" s="111">
        <f>Ferramentas!E171</f>
        <v>2</v>
      </c>
      <c r="F507" s="111">
        <f>Ferramentas!F171</f>
        <v>200</v>
      </c>
      <c r="G507" s="111">
        <f t="shared" si="25"/>
        <v>400</v>
      </c>
      <c r="H507" s="555">
        <f t="shared" ca="1" si="29"/>
        <v>0</v>
      </c>
    </row>
    <row r="508" spans="1:8" x14ac:dyDescent="0.25">
      <c r="A508" s="109" t="s">
        <v>1935</v>
      </c>
      <c r="B508" s="514">
        <f>Ferramentas!B172</f>
        <v>0</v>
      </c>
      <c r="C508" s="541" t="str">
        <f>Ferramentas!C172</f>
        <v>Ferramenta universal para bastão de manobra - Tenaz multi-angular</v>
      </c>
      <c r="D508" s="110" t="str">
        <f>Ferramentas!D172</f>
        <v>un</v>
      </c>
      <c r="E508" s="111">
        <f>Ferramentas!E172</f>
        <v>2</v>
      </c>
      <c r="F508" s="111">
        <f>Ferramentas!F172</f>
        <v>210</v>
      </c>
      <c r="G508" s="111">
        <f t="shared" si="25"/>
        <v>420</v>
      </c>
      <c r="H508" s="555">
        <f t="shared" ca="1" si="29"/>
        <v>0</v>
      </c>
    </row>
    <row r="509" spans="1:8" x14ac:dyDescent="0.25">
      <c r="A509" s="109" t="s">
        <v>1936</v>
      </c>
      <c r="B509" s="514">
        <f>Ferramentas!B173</f>
        <v>0</v>
      </c>
      <c r="C509" s="541" t="str">
        <f>Ferramentas!C173</f>
        <v>Ferramenta universal para bastão de manobra - Tenaz para isolador</v>
      </c>
      <c r="D509" s="110" t="str">
        <f>Ferramentas!D173</f>
        <v>un</v>
      </c>
      <c r="E509" s="111">
        <f>Ferramentas!E173</f>
        <v>2</v>
      </c>
      <c r="F509" s="111">
        <f>Ferramentas!F173</f>
        <v>250</v>
      </c>
      <c r="G509" s="111">
        <f t="shared" si="25"/>
        <v>500</v>
      </c>
      <c r="H509" s="555">
        <f t="shared" ca="1" si="29"/>
        <v>0</v>
      </c>
    </row>
    <row r="510" spans="1:8" x14ac:dyDescent="0.25">
      <c r="A510" s="109" t="s">
        <v>1937</v>
      </c>
      <c r="B510" s="514">
        <f>Ferramentas!B174</f>
        <v>0</v>
      </c>
      <c r="C510" s="541" t="str">
        <f>Ferramentas!C174</f>
        <v>Foice 33mm (Com Cabo 110cm)</v>
      </c>
      <c r="D510" s="110" t="str">
        <f>Ferramentas!D174</f>
        <v>un</v>
      </c>
      <c r="E510" s="111">
        <f>Ferramentas!E174</f>
        <v>10</v>
      </c>
      <c r="F510" s="111">
        <f>Ferramentas!F174</f>
        <v>28.51</v>
      </c>
      <c r="G510" s="111">
        <f t="shared" si="25"/>
        <v>285.10000000000002</v>
      </c>
      <c r="H510" s="555">
        <f t="shared" ca="1" si="29"/>
        <v>0</v>
      </c>
    </row>
    <row r="511" spans="1:8" x14ac:dyDescent="0.25">
      <c r="A511" s="109" t="s">
        <v>1938</v>
      </c>
      <c r="B511" s="514">
        <f>Ferramentas!B175</f>
        <v>0</v>
      </c>
      <c r="C511" s="541" t="str">
        <f>Ferramentas!C175</f>
        <v>Fumigador para apicultura</v>
      </c>
      <c r="D511" s="110" t="str">
        <f>Ferramentas!D175</f>
        <v>un</v>
      </c>
      <c r="E511" s="111">
        <f>Ferramentas!E175</f>
        <v>10</v>
      </c>
      <c r="F511" s="111">
        <f>Ferramentas!F175</f>
        <v>122.76</v>
      </c>
      <c r="G511" s="111">
        <f t="shared" si="25"/>
        <v>1227.5999999999999</v>
      </c>
      <c r="H511" s="555">
        <f t="shared" ca="1" si="29"/>
        <v>0</v>
      </c>
    </row>
    <row r="512" spans="1:8" ht="25.5" x14ac:dyDescent="0.25">
      <c r="A512" s="109" t="s">
        <v>1939</v>
      </c>
      <c r="B512" s="514">
        <f>Ferramentas!B176</f>
        <v>0</v>
      </c>
      <c r="C512" s="541" t="str">
        <f>Ferramentas!C176</f>
        <v>Furadeira elétrica de impacto 1/2" Ø 13mm, 800W, 1050 A, 2800 rpm e 220V</v>
      </c>
      <c r="D512" s="110" t="str">
        <f>Ferramentas!D176</f>
        <v>un</v>
      </c>
      <c r="E512" s="111">
        <f>Ferramentas!E176</f>
        <v>10</v>
      </c>
      <c r="F512" s="111">
        <f>Ferramentas!F176</f>
        <v>278.93333333333334</v>
      </c>
      <c r="G512" s="111">
        <f t="shared" si="25"/>
        <v>2789.33</v>
      </c>
      <c r="H512" s="555">
        <f t="shared" ca="1" si="29"/>
        <v>0</v>
      </c>
    </row>
    <row r="513" spans="1:8" x14ac:dyDescent="0.25">
      <c r="A513" s="109" t="s">
        <v>1940</v>
      </c>
      <c r="B513" s="514">
        <f>Ferramentas!B177</f>
        <v>0</v>
      </c>
      <c r="C513" s="541" t="str">
        <f>Ferramentas!C177</f>
        <v>Grampo de aterramento com parafuso olhal T (linhas)</v>
      </c>
      <c r="D513" s="110" t="str">
        <f>Ferramentas!D177</f>
        <v>un</v>
      </c>
      <c r="E513" s="111">
        <f>Ferramentas!E177</f>
        <v>3</v>
      </c>
      <c r="F513" s="111">
        <f>Ferramentas!F177</f>
        <v>88.5</v>
      </c>
      <c r="G513" s="111">
        <f t="shared" si="25"/>
        <v>265.5</v>
      </c>
      <c r="H513" s="555">
        <f t="shared" ca="1" si="29"/>
        <v>0</v>
      </c>
    </row>
    <row r="514" spans="1:8" x14ac:dyDescent="0.25">
      <c r="A514" s="109" t="s">
        <v>1941</v>
      </c>
      <c r="B514" s="514">
        <f>Ferramentas!B178</f>
        <v>0</v>
      </c>
      <c r="C514" s="541" t="str">
        <f>Ferramentas!C178</f>
        <v>Jogo de chave canhão com 12 unidades</v>
      </c>
      <c r="D514" s="110" t="str">
        <f>Ferramentas!D178</f>
        <v>un</v>
      </c>
      <c r="E514" s="111">
        <f>Ferramentas!E178</f>
        <v>10</v>
      </c>
      <c r="F514" s="111">
        <f>Ferramentas!F178</f>
        <v>220.37666666666667</v>
      </c>
      <c r="G514" s="111">
        <f t="shared" si="25"/>
        <v>2203.77</v>
      </c>
      <c r="H514" s="555">
        <f t="shared" ca="1" si="29"/>
        <v>0</v>
      </c>
    </row>
    <row r="515" spans="1:8" ht="25.5" x14ac:dyDescent="0.25">
      <c r="A515" s="109" t="s">
        <v>1942</v>
      </c>
      <c r="B515" s="514">
        <f>Ferramentas!B179</f>
        <v>0</v>
      </c>
      <c r="C515" s="541" t="str">
        <f>Ferramentas!C179</f>
        <v>Jogo de chave combinada com 16 unidades (sextavado/boca fixa) de 1/4" a 1.1/4" (6,35 mm a 31,75 mm)</v>
      </c>
      <c r="D515" s="110" t="str">
        <f>Ferramentas!D179</f>
        <v>un</v>
      </c>
      <c r="E515" s="111">
        <f>Ferramentas!E179</f>
        <v>10</v>
      </c>
      <c r="F515" s="111">
        <f>Ferramentas!F179</f>
        <v>279.68</v>
      </c>
      <c r="G515" s="111">
        <f t="shared" si="25"/>
        <v>2796.8</v>
      </c>
      <c r="H515" s="555">
        <f t="shared" ca="1" si="29"/>
        <v>0</v>
      </c>
    </row>
    <row r="516" spans="1:8" ht="25.5" x14ac:dyDescent="0.25">
      <c r="A516" s="109" t="s">
        <v>1943</v>
      </c>
      <c r="B516" s="514">
        <f>Ferramentas!B180</f>
        <v>0</v>
      </c>
      <c r="C516" s="541" t="str">
        <f>Ferramentas!C180</f>
        <v>Jogo de soquetes estriado com encaixe 1/2" com 38 soquetes - 10-32mmn</v>
      </c>
      <c r="D516" s="110" t="str">
        <f>Ferramentas!D180</f>
        <v>un</v>
      </c>
      <c r="E516" s="111">
        <f>Ferramentas!E180</f>
        <v>10</v>
      </c>
      <c r="F516" s="111">
        <f>Ferramentas!F180</f>
        <v>856.62666666666667</v>
      </c>
      <c r="G516" s="111">
        <f t="shared" si="25"/>
        <v>8566.27</v>
      </c>
      <c r="H516" s="555">
        <f t="shared" ca="1" si="29"/>
        <v>1E-4</v>
      </c>
    </row>
    <row r="517" spans="1:8" x14ac:dyDescent="0.25">
      <c r="A517" s="109" t="s">
        <v>1944</v>
      </c>
      <c r="B517" s="514">
        <f>Ferramentas!B181</f>
        <v>0</v>
      </c>
      <c r="C517" s="541" t="str">
        <f>Ferramentas!C181</f>
        <v>Jogo tensionador simples com munhão</v>
      </c>
      <c r="D517" s="110" t="str">
        <f>Ferramentas!D181</f>
        <v>un</v>
      </c>
      <c r="E517" s="111">
        <f>Ferramentas!E181</f>
        <v>2</v>
      </c>
      <c r="F517" s="111">
        <f>Ferramentas!F181</f>
        <v>79.680000000000007</v>
      </c>
      <c r="G517" s="111">
        <f t="shared" si="25"/>
        <v>159.36000000000001</v>
      </c>
      <c r="H517" s="555">
        <f t="shared" ca="1" si="29"/>
        <v>0</v>
      </c>
    </row>
    <row r="518" spans="1:8" x14ac:dyDescent="0.25">
      <c r="A518" s="109" t="s">
        <v>1945</v>
      </c>
      <c r="B518" s="514">
        <f>Ferramentas!B182</f>
        <v>0</v>
      </c>
      <c r="C518" s="541" t="str">
        <f>Ferramentas!C182</f>
        <v>Jogo de chaves biela 12 peças tipo L 8 a 19mm</v>
      </c>
      <c r="D518" s="110" t="str">
        <f>Ferramentas!D182</f>
        <v>un</v>
      </c>
      <c r="E518" s="111">
        <f>Ferramentas!E182</f>
        <v>10</v>
      </c>
      <c r="F518" s="111">
        <f>Ferramentas!F182</f>
        <v>116.40333333333335</v>
      </c>
      <c r="G518" s="111">
        <f t="shared" si="25"/>
        <v>1164.03</v>
      </c>
      <c r="H518" s="555">
        <f t="shared" ca="1" si="29"/>
        <v>0</v>
      </c>
    </row>
    <row r="519" spans="1:8" ht="25.5" x14ac:dyDescent="0.25">
      <c r="A519" s="109" t="s">
        <v>1946</v>
      </c>
      <c r="B519" s="514">
        <f>Ferramentas!B183</f>
        <v>0</v>
      </c>
      <c r="C519" s="541" t="str">
        <f>Ferramentas!C183</f>
        <v>Jogo de chave de fenda e philips com haste protegida para eletricista com 07 peças</v>
      </c>
      <c r="D519" s="110" t="str">
        <f>Ferramentas!D183</f>
        <v>un</v>
      </c>
      <c r="E519" s="111">
        <f>Ferramentas!E183</f>
        <v>10</v>
      </c>
      <c r="F519" s="111">
        <f>Ferramentas!F183</f>
        <v>38.419999999999995</v>
      </c>
      <c r="G519" s="111">
        <f t="shared" si="25"/>
        <v>384.2</v>
      </c>
      <c r="H519" s="555">
        <f t="shared" ca="1" si="29"/>
        <v>0</v>
      </c>
    </row>
    <row r="520" spans="1:8" x14ac:dyDescent="0.25">
      <c r="A520" s="109" t="s">
        <v>1947</v>
      </c>
      <c r="B520" s="514">
        <f>Ferramentas!B184</f>
        <v>0</v>
      </c>
      <c r="C520" s="541" t="str">
        <f>Ferramentas!C184</f>
        <v>Jogo de chave de fenda para bastão</v>
      </c>
      <c r="D520" s="110" t="str">
        <f>Ferramentas!D184</f>
        <v>un</v>
      </c>
      <c r="E520" s="111">
        <f>Ferramentas!E184</f>
        <v>2</v>
      </c>
      <c r="F520" s="111">
        <f>Ferramentas!F184</f>
        <v>225.69</v>
      </c>
      <c r="G520" s="111">
        <f t="shared" si="25"/>
        <v>451.38</v>
      </c>
      <c r="H520" s="555">
        <f t="shared" ca="1" si="29"/>
        <v>0</v>
      </c>
    </row>
    <row r="521" spans="1:8" ht="25.5" x14ac:dyDescent="0.25">
      <c r="A521" s="109" t="s">
        <v>1948</v>
      </c>
      <c r="B521" s="514">
        <f>Ferramentas!B185</f>
        <v>0</v>
      </c>
      <c r="C521" s="541" t="str">
        <f>Ferramentas!C185</f>
        <v>Kit de reparo eletrônico (ferro de solda, sugador de placa de circuito impresso, componentes sobressalentes)</v>
      </c>
      <c r="D521" s="110" t="str">
        <f>Ferramentas!D185</f>
        <v>un</v>
      </c>
      <c r="E521" s="111">
        <f>Ferramentas!E185</f>
        <v>2</v>
      </c>
      <c r="F521" s="111">
        <f>Ferramentas!F185</f>
        <v>140.34</v>
      </c>
      <c r="G521" s="111">
        <f t="shared" si="25"/>
        <v>280.68</v>
      </c>
      <c r="H521" s="555">
        <f t="shared" ca="1" si="29"/>
        <v>0</v>
      </c>
    </row>
    <row r="522" spans="1:8" ht="51" x14ac:dyDescent="0.25">
      <c r="A522" s="109" t="s">
        <v>1949</v>
      </c>
      <c r="B522" s="514">
        <f>Ferramentas!B186</f>
        <v>0</v>
      </c>
      <c r="C522" s="541" t="str">
        <f>Ferramentas!C186</f>
        <v>Kit ferramenta fibra óptica (clivador +alicate decapador + alicate stripper + bolsa + 2 chaves allen + recipiente para álcool + guia) + Medidor de potência para fibra óptica (Power Meter Medidor Potência Fibra Óptica + Caneta Laser 10W)</v>
      </c>
      <c r="D522" s="110" t="str">
        <f>Ferramentas!D186</f>
        <v>un</v>
      </c>
      <c r="E522" s="111">
        <f>Ferramentas!E186</f>
        <v>2</v>
      </c>
      <c r="F522" s="111">
        <f>Ferramentas!F186</f>
        <v>436.99333333333334</v>
      </c>
      <c r="G522" s="111">
        <f t="shared" si="25"/>
        <v>873.99</v>
      </c>
      <c r="H522" s="555">
        <f t="shared" ca="1" si="29"/>
        <v>0</v>
      </c>
    </row>
    <row r="523" spans="1:8" ht="25.5" x14ac:dyDescent="0.25">
      <c r="A523" s="109" t="s">
        <v>1950</v>
      </c>
      <c r="B523" s="514">
        <f>Ferramentas!B187</f>
        <v>0</v>
      </c>
      <c r="C523" s="541" t="str">
        <f>Ferramentas!C187</f>
        <v>Kit ferramentas telecom ( tipo TRAMONTINA PRO 44970053 ou similar)</v>
      </c>
      <c r="D523" s="110" t="str">
        <f>Ferramentas!D187</f>
        <v>un</v>
      </c>
      <c r="E523" s="111">
        <f>Ferramentas!E187</f>
        <v>2</v>
      </c>
      <c r="F523" s="111">
        <f>Ferramentas!F187</f>
        <v>1564.05</v>
      </c>
      <c r="G523" s="111">
        <f t="shared" si="25"/>
        <v>3128.1</v>
      </c>
      <c r="H523" s="555">
        <f t="shared" ca="1" si="29"/>
        <v>0</v>
      </c>
    </row>
    <row r="524" spans="1:8" x14ac:dyDescent="0.25">
      <c r="A524" s="109" t="s">
        <v>1951</v>
      </c>
      <c r="B524" s="514" t="str">
        <f>Ferramentas!B188</f>
        <v>11396 - ORSE</v>
      </c>
      <c r="C524" s="541" t="str">
        <f>Ferramentas!C188</f>
        <v>Lanterna tática grande - 5.500.000 lumens</v>
      </c>
      <c r="D524" s="110" t="str">
        <f>Ferramentas!D188</f>
        <v>un</v>
      </c>
      <c r="E524" s="111">
        <f>Ferramentas!E188</f>
        <v>10</v>
      </c>
      <c r="F524" s="111">
        <f>Ferramentas!F188</f>
        <v>15</v>
      </c>
      <c r="G524" s="111">
        <f t="shared" si="25"/>
        <v>150</v>
      </c>
      <c r="H524" s="555">
        <f t="shared" ca="1" si="29"/>
        <v>0</v>
      </c>
    </row>
    <row r="525" spans="1:8" x14ac:dyDescent="0.25">
      <c r="A525" s="109" t="s">
        <v>1952</v>
      </c>
      <c r="B525" s="514">
        <f>Ferramentas!B189</f>
        <v>0</v>
      </c>
      <c r="C525" s="541" t="str">
        <f>Ferramentas!C189</f>
        <v>Lima chata murça 8" com cabo</v>
      </c>
      <c r="D525" s="110" t="str">
        <f>Ferramentas!D189</f>
        <v>un</v>
      </c>
      <c r="E525" s="111">
        <f>Ferramentas!E189</f>
        <v>1</v>
      </c>
      <c r="F525" s="111">
        <f>Ferramentas!F189</f>
        <v>43.016666666666673</v>
      </c>
      <c r="G525" s="111">
        <f t="shared" si="25"/>
        <v>43.02</v>
      </c>
      <c r="H525" s="555">
        <f t="shared" ca="1" si="29"/>
        <v>0</v>
      </c>
    </row>
    <row r="526" spans="1:8" x14ac:dyDescent="0.25">
      <c r="A526" s="109" t="s">
        <v>1953</v>
      </c>
      <c r="B526" s="514">
        <f>Ferramentas!B190</f>
        <v>0</v>
      </c>
      <c r="C526" s="541" t="str">
        <f>Ferramentas!C190</f>
        <v>Lima chata bastarda 10"</v>
      </c>
      <c r="D526" s="110" t="str">
        <f>Ferramentas!D190</f>
        <v>un</v>
      </c>
      <c r="E526" s="111">
        <f>Ferramentas!E190</f>
        <v>1</v>
      </c>
      <c r="F526" s="111">
        <f>Ferramentas!F190</f>
        <v>43.636666666666663</v>
      </c>
      <c r="G526" s="111">
        <f t="shared" si="25"/>
        <v>43.64</v>
      </c>
      <c r="H526" s="555">
        <f t="shared" ca="1" si="29"/>
        <v>0</v>
      </c>
    </row>
    <row r="527" spans="1:8" x14ac:dyDescent="0.25">
      <c r="A527" s="109" t="s">
        <v>1954</v>
      </c>
      <c r="B527" s="514">
        <f>Ferramentas!B191</f>
        <v>0</v>
      </c>
      <c r="C527" s="541" t="str">
        <f>Ferramentas!C191</f>
        <v>Luva de cobertura punho 15cm</v>
      </c>
      <c r="D527" s="110" t="str">
        <f>Ferramentas!D191</f>
        <v>un</v>
      </c>
      <c r="E527" s="111">
        <f>Ferramentas!E191</f>
        <v>13</v>
      </c>
      <c r="F527" s="111">
        <f>Ferramentas!F191</f>
        <v>25.494999999999997</v>
      </c>
      <c r="G527" s="111">
        <f t="shared" si="25"/>
        <v>331.44</v>
      </c>
      <c r="H527" s="555">
        <f t="shared" ca="1" si="29"/>
        <v>0</v>
      </c>
    </row>
    <row r="528" spans="1:8" x14ac:dyDescent="0.25">
      <c r="A528" s="109" t="s">
        <v>1955</v>
      </c>
      <c r="B528" s="514">
        <f>Ferramentas!B192</f>
        <v>0</v>
      </c>
      <c r="C528" s="541" t="str">
        <f>Ferramentas!C192</f>
        <v>Luva isolante classe 00 - 2,5kV</v>
      </c>
      <c r="D528" s="110" t="str">
        <f>Ferramentas!D192</f>
        <v>un</v>
      </c>
      <c r="E528" s="111">
        <f>Ferramentas!E192</f>
        <v>13</v>
      </c>
      <c r="F528" s="111">
        <f>Ferramentas!F192</f>
        <v>152</v>
      </c>
      <c r="G528" s="111">
        <f t="shared" si="25"/>
        <v>1976</v>
      </c>
      <c r="H528" s="555">
        <f t="shared" ca="1" si="29"/>
        <v>0</v>
      </c>
    </row>
    <row r="529" spans="1:8" x14ac:dyDescent="0.25">
      <c r="A529" s="109" t="s">
        <v>1956</v>
      </c>
      <c r="B529" s="514">
        <f>Ferramentas!B193</f>
        <v>0</v>
      </c>
      <c r="C529" s="541" t="str">
        <f>Ferramentas!C193</f>
        <v>Luva isolante classe 0 - 5kV</v>
      </c>
      <c r="D529" s="110" t="str">
        <f>Ferramentas!D193</f>
        <v>un</v>
      </c>
      <c r="E529" s="111">
        <f>Ferramentas!E193</f>
        <v>13</v>
      </c>
      <c r="F529" s="111">
        <f>Ferramentas!F193</f>
        <v>207.495</v>
      </c>
      <c r="G529" s="111">
        <f t="shared" si="25"/>
        <v>2697.44</v>
      </c>
      <c r="H529" s="555">
        <f t="shared" ca="1" si="29"/>
        <v>0</v>
      </c>
    </row>
    <row r="530" spans="1:8" x14ac:dyDescent="0.25">
      <c r="A530" s="109" t="s">
        <v>1957</v>
      </c>
      <c r="B530" s="514">
        <f>Ferramentas!B194</f>
        <v>0</v>
      </c>
      <c r="C530" s="541" t="str">
        <f>Ferramentas!C194</f>
        <v>Luva isolante classe 3 - 30kV</v>
      </c>
      <c r="D530" s="110" t="str">
        <f>Ferramentas!D194</f>
        <v>un</v>
      </c>
      <c r="E530" s="111">
        <f>Ferramentas!E194</f>
        <v>13</v>
      </c>
      <c r="F530" s="111">
        <f>Ferramentas!F194</f>
        <v>768.5</v>
      </c>
      <c r="G530" s="111">
        <f t="shared" si="25"/>
        <v>9990.5</v>
      </c>
      <c r="H530" s="555">
        <f t="shared" ca="1" si="29"/>
        <v>1E-4</v>
      </c>
    </row>
    <row r="531" spans="1:8" x14ac:dyDescent="0.25">
      <c r="A531" s="109" t="s">
        <v>1958</v>
      </c>
      <c r="B531" s="514">
        <f>Ferramentas!B195</f>
        <v>0</v>
      </c>
      <c r="C531" s="541" t="str">
        <f>Ferramentas!C195</f>
        <v>Marreta de 5kg com cabo de madeira</v>
      </c>
      <c r="D531" s="110" t="str">
        <f>Ferramentas!D195</f>
        <v>un</v>
      </c>
      <c r="E531" s="111">
        <f>Ferramentas!E195</f>
        <v>10</v>
      </c>
      <c r="F531" s="111">
        <f>Ferramentas!F195</f>
        <v>61.805</v>
      </c>
      <c r="G531" s="111">
        <f t="shared" si="25"/>
        <v>618.04999999999995</v>
      </c>
      <c r="H531" s="555">
        <f t="shared" ca="1" si="29"/>
        <v>0</v>
      </c>
    </row>
    <row r="532" spans="1:8" x14ac:dyDescent="0.25">
      <c r="A532" s="109" t="s">
        <v>1959</v>
      </c>
      <c r="B532" s="514">
        <f>Ferramentas!B196</f>
        <v>0</v>
      </c>
      <c r="C532" s="541" t="str">
        <f>Ferramentas!C196</f>
        <v>Martelete Perfurador/Rompedor Profissional 220V, 800W, 870 RPM</v>
      </c>
      <c r="D532" s="110" t="str">
        <f>Ferramentas!D196</f>
        <v>un</v>
      </c>
      <c r="E532" s="111">
        <f>Ferramentas!E196</f>
        <v>1</v>
      </c>
      <c r="F532" s="111">
        <f>Ferramentas!F196</f>
        <v>532.45000000000005</v>
      </c>
      <c r="G532" s="111">
        <f t="shared" si="25"/>
        <v>532.45000000000005</v>
      </c>
      <c r="H532" s="555">
        <f t="shared" ca="1" si="29"/>
        <v>0</v>
      </c>
    </row>
    <row r="533" spans="1:8" x14ac:dyDescent="0.25">
      <c r="A533" s="109" t="s">
        <v>1960</v>
      </c>
      <c r="B533" s="514">
        <f>Ferramentas!B197</f>
        <v>0</v>
      </c>
      <c r="C533" s="541" t="str">
        <f>Ferramentas!C197</f>
        <v>Martelo-bola 1kg</v>
      </c>
      <c r="D533" s="110" t="str">
        <f>Ferramentas!D197</f>
        <v>un</v>
      </c>
      <c r="E533" s="111">
        <f>Ferramentas!E197</f>
        <v>10</v>
      </c>
      <c r="F533" s="111">
        <f>Ferramentas!F197</f>
        <v>57.556666666666672</v>
      </c>
      <c r="G533" s="111">
        <f t="shared" si="25"/>
        <v>575.57000000000005</v>
      </c>
      <c r="H533" s="555">
        <f t="shared" ca="1" si="29"/>
        <v>0</v>
      </c>
    </row>
    <row r="534" spans="1:8" x14ac:dyDescent="0.25">
      <c r="A534" s="109" t="s">
        <v>1961</v>
      </c>
      <c r="B534" s="514">
        <f>Ferramentas!B198</f>
        <v>0</v>
      </c>
      <c r="C534" s="541" t="str">
        <f>Ferramentas!C198</f>
        <v>Martelo universal (de unha) 25mm</v>
      </c>
      <c r="D534" s="110" t="str">
        <f>Ferramentas!D198</f>
        <v>un</v>
      </c>
      <c r="E534" s="111">
        <f>Ferramentas!E198</f>
        <v>10</v>
      </c>
      <c r="F534" s="111">
        <f>Ferramentas!F198</f>
        <v>30.4</v>
      </c>
      <c r="G534" s="111">
        <f t="shared" si="25"/>
        <v>304</v>
      </c>
      <c r="H534" s="555">
        <f t="shared" ca="1" si="29"/>
        <v>0</v>
      </c>
    </row>
    <row r="535" spans="1:8" ht="25.5" x14ac:dyDescent="0.25">
      <c r="A535" s="109" t="s">
        <v>1962</v>
      </c>
      <c r="B535" s="514">
        <f>Ferramentas!B199</f>
        <v>0</v>
      </c>
      <c r="C535" s="541" t="str">
        <f>Ferramentas!C199</f>
        <v>Kit para enchimento e complementação de gás SF6, composto de adaptador, mangueira, regulador e manômetro padrão</v>
      </c>
      <c r="D535" s="110" t="str">
        <f>Ferramentas!D199</f>
        <v>un</v>
      </c>
      <c r="E535" s="111">
        <f>Ferramentas!E199</f>
        <v>1</v>
      </c>
      <c r="F535" s="111">
        <f>Ferramentas!F199</f>
        <v>765.0009</v>
      </c>
      <c r="G535" s="111">
        <f t="shared" si="25"/>
        <v>765</v>
      </c>
      <c r="H535" s="555">
        <f t="shared" ca="1" si="29"/>
        <v>0</v>
      </c>
    </row>
    <row r="536" spans="1:8" x14ac:dyDescent="0.25">
      <c r="A536" s="109" t="s">
        <v>1963</v>
      </c>
      <c r="B536" s="514">
        <f>Ferramentas!B200</f>
        <v>0</v>
      </c>
      <c r="C536" s="541" t="str">
        <f>Ferramentas!C200</f>
        <v>Pá-de-bico com cabo de madeira</v>
      </c>
      <c r="D536" s="110" t="str">
        <f>Ferramentas!D200</f>
        <v>un</v>
      </c>
      <c r="E536" s="111">
        <f>Ferramentas!E200</f>
        <v>10</v>
      </c>
      <c r="F536" s="111">
        <f>Ferramentas!F200</f>
        <v>26.55</v>
      </c>
      <c r="G536" s="111">
        <f t="shared" si="25"/>
        <v>265.5</v>
      </c>
      <c r="H536" s="555">
        <f t="shared" ca="1" si="29"/>
        <v>0</v>
      </c>
    </row>
    <row r="537" spans="1:8" x14ac:dyDescent="0.25">
      <c r="A537" s="109" t="s">
        <v>1964</v>
      </c>
      <c r="B537" s="514">
        <f>Ferramentas!B201</f>
        <v>0</v>
      </c>
      <c r="C537" s="541" t="str">
        <f>Ferramentas!C201</f>
        <v>Parafusadeira/Furadeira elétrica com fio - 220V, 400W</v>
      </c>
      <c r="D537" s="110" t="str">
        <f>Ferramentas!D201</f>
        <v>un</v>
      </c>
      <c r="E537" s="111">
        <f>Ferramentas!E201</f>
        <v>10</v>
      </c>
      <c r="F537" s="111">
        <f>Ferramentas!F201</f>
        <v>226.48666666666668</v>
      </c>
      <c r="G537" s="111">
        <f t="shared" si="25"/>
        <v>2264.87</v>
      </c>
      <c r="H537" s="555">
        <f t="shared" ca="1" si="29"/>
        <v>0</v>
      </c>
    </row>
    <row r="538" spans="1:8" ht="25.5" x14ac:dyDescent="0.25">
      <c r="A538" s="109" t="s">
        <v>1965</v>
      </c>
      <c r="B538" s="514">
        <f>Ferramentas!B202</f>
        <v>0</v>
      </c>
      <c r="C538" s="541" t="str">
        <f>Ferramentas!C202</f>
        <v>Plataforma de fibra de vidro antiderrapente  para andaime modular isolante, com conexoes em aluminio fundido 2x1m</v>
      </c>
      <c r="D538" s="110" t="str">
        <f>Ferramentas!D202</f>
        <v>un</v>
      </c>
      <c r="E538" s="111">
        <f>Ferramentas!E202</f>
        <v>2</v>
      </c>
      <c r="F538" s="111">
        <f>Ferramentas!F202</f>
        <v>152.47</v>
      </c>
      <c r="G538" s="111">
        <f t="shared" si="25"/>
        <v>304.94</v>
      </c>
      <c r="H538" s="555">
        <f t="shared" ca="1" si="29"/>
        <v>0</v>
      </c>
    </row>
    <row r="539" spans="1:8" x14ac:dyDescent="0.25">
      <c r="A539" s="109" t="s">
        <v>1966</v>
      </c>
      <c r="B539" s="514">
        <f>Ferramentas!B203</f>
        <v>0</v>
      </c>
      <c r="C539" s="541" t="str">
        <f>Ferramentas!C203</f>
        <v>Punho saca fusível NH tamanho 000 a 4, 1kV</v>
      </c>
      <c r="D539" s="110" t="str">
        <f>Ferramentas!D203</f>
        <v>un</v>
      </c>
      <c r="E539" s="111">
        <f>Ferramentas!E203</f>
        <v>10</v>
      </c>
      <c r="F539" s="111">
        <f>Ferramentas!F203</f>
        <v>58.673333333333339</v>
      </c>
      <c r="G539" s="111">
        <f t="shared" si="25"/>
        <v>586.73</v>
      </c>
      <c r="H539" s="555">
        <f t="shared" ca="1" si="29"/>
        <v>0</v>
      </c>
    </row>
    <row r="540" spans="1:8" x14ac:dyDescent="0.25">
      <c r="A540" s="109" t="s">
        <v>1967</v>
      </c>
      <c r="B540" s="514">
        <f>Ferramentas!B204</f>
        <v>0</v>
      </c>
      <c r="C540" s="541" t="str">
        <f>Ferramentas!C204</f>
        <v>Sela com extensor colar de 38mm</v>
      </c>
      <c r="D540" s="110" t="str">
        <f>Ferramentas!D204</f>
        <v>un</v>
      </c>
      <c r="E540" s="111">
        <f>Ferramentas!E204</f>
        <v>2</v>
      </c>
      <c r="F540" s="111">
        <f>Ferramentas!F204</f>
        <v>1058</v>
      </c>
      <c r="G540" s="111">
        <f t="shared" si="25"/>
        <v>2116</v>
      </c>
      <c r="H540" s="555">
        <f t="shared" ca="1" si="29"/>
        <v>0</v>
      </c>
    </row>
    <row r="541" spans="1:8" ht="25.5" x14ac:dyDescent="0.25">
      <c r="A541" s="109" t="s">
        <v>1968</v>
      </c>
      <c r="B541" s="514">
        <f>Ferramentas!B205</f>
        <v>0</v>
      </c>
      <c r="C541" s="541" t="str">
        <f>Ferramentas!C205</f>
        <v>Separador de fases horizontal 15kV  polietileno de alta densidade na cor cinza (cx 110-690 mm ; cx 66-850 mm)</v>
      </c>
      <c r="D541" s="110" t="str">
        <f>Ferramentas!D205</f>
        <v>un</v>
      </c>
      <c r="E541" s="111">
        <f>Ferramentas!E205</f>
        <v>4</v>
      </c>
      <c r="F541" s="111">
        <f>Ferramentas!F205</f>
        <v>869.12</v>
      </c>
      <c r="G541" s="111">
        <f t="shared" si="25"/>
        <v>3476.48</v>
      </c>
      <c r="H541" s="555">
        <f t="shared" ca="1" si="29"/>
        <v>1E-4</v>
      </c>
    </row>
    <row r="542" spans="1:8" x14ac:dyDescent="0.25">
      <c r="A542" s="109" t="s">
        <v>1969</v>
      </c>
      <c r="B542" s="514">
        <f>Ferramentas!B206</f>
        <v>0</v>
      </c>
      <c r="C542" s="541" t="str">
        <f>Ferramentas!C206</f>
        <v>Soprador térmico 2000W, 220V</v>
      </c>
      <c r="D542" s="110" t="str">
        <f>Ferramentas!D206</f>
        <v>un</v>
      </c>
      <c r="E542" s="111">
        <f>Ferramentas!E206</f>
        <v>1</v>
      </c>
      <c r="F542" s="111">
        <f>Ferramentas!F206</f>
        <v>187.96333333333334</v>
      </c>
      <c r="G542" s="111">
        <f t="shared" si="25"/>
        <v>187.96</v>
      </c>
      <c r="H542" s="555">
        <f t="shared" ca="1" si="29"/>
        <v>0</v>
      </c>
    </row>
    <row r="543" spans="1:8" x14ac:dyDescent="0.25">
      <c r="A543" s="109" t="s">
        <v>1970</v>
      </c>
      <c r="B543" s="514">
        <f>Ferramentas!B207</f>
        <v>0</v>
      </c>
      <c r="C543" s="541" t="str">
        <f>Ferramentas!C207</f>
        <v>Talha manual Tirfor 1.600kgf/cm² com alavanca</v>
      </c>
      <c r="D543" s="110" t="str">
        <f>Ferramentas!D207</f>
        <v>un</v>
      </c>
      <c r="E543" s="111">
        <f>Ferramentas!E207</f>
        <v>1</v>
      </c>
      <c r="F543" s="111">
        <f>Ferramentas!F207</f>
        <v>1224.425</v>
      </c>
      <c r="G543" s="111">
        <f t="shared" si="25"/>
        <v>1224.43</v>
      </c>
      <c r="H543" s="555">
        <f t="shared" ca="1" si="29"/>
        <v>0</v>
      </c>
    </row>
    <row r="544" spans="1:8" x14ac:dyDescent="0.25">
      <c r="A544" s="109" t="s">
        <v>1971</v>
      </c>
      <c r="B544" s="514">
        <f>Ferramentas!B208</f>
        <v>0</v>
      </c>
      <c r="C544" s="541" t="str">
        <f>Ferramentas!C208</f>
        <v>Testador de bastão de manobra para isolador</v>
      </c>
      <c r="D544" s="110" t="str">
        <f>Ferramentas!D208</f>
        <v>un</v>
      </c>
      <c r="E544" s="111">
        <f>Ferramentas!E208</f>
        <v>1</v>
      </c>
      <c r="F544" s="111">
        <f>Ferramentas!F208</f>
        <v>3780</v>
      </c>
      <c r="G544" s="111">
        <f t="shared" si="25"/>
        <v>3780</v>
      </c>
      <c r="H544" s="555">
        <f t="shared" ref="H544:H602" ca="1" si="30">ROUND(G544/G$8,4)</f>
        <v>1E-4</v>
      </c>
    </row>
    <row r="545" spans="1:8" x14ac:dyDescent="0.25">
      <c r="A545" s="109" t="s">
        <v>1972</v>
      </c>
      <c r="B545" s="514">
        <f>Ferramentas!B209</f>
        <v>0</v>
      </c>
      <c r="C545" s="541" t="str">
        <f>Ferramentas!C209</f>
        <v>Teste de Bateria Digital com Impressora Térmica Embutida</v>
      </c>
      <c r="D545" s="110" t="str">
        <f>Ferramentas!D209</f>
        <v>un</v>
      </c>
      <c r="E545" s="111">
        <f>Ferramentas!E209</f>
        <v>6</v>
      </c>
      <c r="F545" s="111">
        <f>Ferramentas!F209</f>
        <v>1102.3833333333334</v>
      </c>
      <c r="G545" s="111">
        <f t="shared" si="25"/>
        <v>6614.3</v>
      </c>
      <c r="H545" s="555">
        <f t="shared" ca="1" si="30"/>
        <v>1E-4</v>
      </c>
    </row>
    <row r="546" spans="1:8" x14ac:dyDescent="0.25">
      <c r="A546" s="109" t="s">
        <v>1973</v>
      </c>
      <c r="B546" s="514">
        <f>Ferramentas!B210</f>
        <v>0</v>
      </c>
      <c r="C546" s="541" t="str">
        <f>Ferramentas!C210</f>
        <v>Testador Teste Crimpagem Cabo Rede Lan Rj45 Rj11</v>
      </c>
      <c r="D546" s="110" t="str">
        <f>Ferramentas!D210</f>
        <v>un</v>
      </c>
      <c r="E546" s="111">
        <f>Ferramentas!E210</f>
        <v>2</v>
      </c>
      <c r="F546" s="111">
        <f>Ferramentas!F210</f>
        <v>69.296666666666667</v>
      </c>
      <c r="G546" s="111">
        <f t="shared" si="25"/>
        <v>138.59</v>
      </c>
      <c r="H546" s="555">
        <f t="shared" ca="1" si="30"/>
        <v>0</v>
      </c>
    </row>
    <row r="547" spans="1:8" x14ac:dyDescent="0.25">
      <c r="A547" s="109" t="s">
        <v>1974</v>
      </c>
      <c r="B547" s="514"/>
      <c r="C547" s="541" t="str">
        <f>Ferramentas!C213</f>
        <v>FERRAMENTAS - CIVIL</v>
      </c>
      <c r="D547" s="110"/>
      <c r="E547" s="111"/>
      <c r="F547" s="111"/>
      <c r="G547" s="111">
        <f>SUBTOTAL(109,G548:G602)</f>
        <v>75508.930000000008</v>
      </c>
      <c r="H547" s="555">
        <f t="shared" ca="1" si="30"/>
        <v>1.1000000000000001E-3</v>
      </c>
    </row>
    <row r="548" spans="1:8" x14ac:dyDescent="0.25">
      <c r="A548" s="109" t="s">
        <v>1975</v>
      </c>
      <c r="B548" s="514">
        <f>Ferramentas!B214</f>
        <v>0</v>
      </c>
      <c r="C548" s="541" t="str">
        <f>Ferramentas!C214</f>
        <v xml:space="preserve"> Alavanca para construção civil</v>
      </c>
      <c r="D548" s="110" t="str">
        <f>Ferramentas!D214</f>
        <v>un</v>
      </c>
      <c r="E548" s="111">
        <f>Ferramentas!E214</f>
        <v>30</v>
      </c>
      <c r="F548" s="111">
        <f>Ferramentas!F214</f>
        <v>160.80000000000001</v>
      </c>
      <c r="G548" s="111">
        <f t="shared" ref="G548:G555" si="31">ROUND(E548*F548,2)</f>
        <v>4824</v>
      </c>
      <c r="H548" s="555">
        <f t="shared" ca="1" si="30"/>
        <v>1E-4</v>
      </c>
    </row>
    <row r="549" spans="1:8" x14ac:dyDescent="0.25">
      <c r="A549" s="109" t="s">
        <v>1976</v>
      </c>
      <c r="B549" s="514">
        <f>Ferramentas!B215</f>
        <v>0</v>
      </c>
      <c r="C549" s="541" t="str">
        <f>Ferramentas!C215</f>
        <v xml:space="preserve"> Ansinho </v>
      </c>
      <c r="D549" s="110" t="str">
        <f>Ferramentas!D215</f>
        <v>un</v>
      </c>
      <c r="E549" s="111">
        <f>Ferramentas!E215</f>
        <v>30</v>
      </c>
      <c r="F549" s="111">
        <f>Ferramentas!F215</f>
        <v>16.53</v>
      </c>
      <c r="G549" s="111">
        <f t="shared" si="31"/>
        <v>495.9</v>
      </c>
      <c r="H549" s="555">
        <f t="shared" ca="1" si="30"/>
        <v>0</v>
      </c>
    </row>
    <row r="550" spans="1:8" x14ac:dyDescent="0.25">
      <c r="A550" s="109" t="s">
        <v>1781</v>
      </c>
      <c r="B550" s="514" t="str">
        <f>Ferramentas!B216</f>
        <v>10585 - ORSE</v>
      </c>
      <c r="C550" s="541" t="str">
        <f>Ferramentas!C216</f>
        <v>Arco de Serra manual (com serra)</v>
      </c>
      <c r="D550" s="110" t="str">
        <f>Ferramentas!D216</f>
        <v>un</v>
      </c>
      <c r="E550" s="111">
        <f>Ferramentas!E216</f>
        <v>12</v>
      </c>
      <c r="F550" s="111">
        <f>Ferramentas!F216</f>
        <v>21.25</v>
      </c>
      <c r="G550" s="111">
        <f t="shared" si="31"/>
        <v>255</v>
      </c>
      <c r="H550" s="555">
        <f t="shared" ca="1" si="30"/>
        <v>0</v>
      </c>
    </row>
    <row r="551" spans="1:8" x14ac:dyDescent="0.25">
      <c r="A551" s="109" t="s">
        <v>1977</v>
      </c>
      <c r="B551" s="514" t="str">
        <f>Ferramentas!B217</f>
        <v>10 - SINAPI</v>
      </c>
      <c r="C551" s="541" t="str">
        <f>Ferramentas!C217</f>
        <v xml:space="preserve"> Balde 10 l </v>
      </c>
      <c r="D551" s="110" t="str">
        <f>Ferramentas!D217</f>
        <v>un</v>
      </c>
      <c r="E551" s="111">
        <f>Ferramentas!E217</f>
        <v>60</v>
      </c>
      <c r="F551" s="111">
        <f>Ferramentas!F217</f>
        <v>10.220000000000001</v>
      </c>
      <c r="G551" s="111">
        <f t="shared" si="31"/>
        <v>613.20000000000005</v>
      </c>
      <c r="H551" s="555">
        <f t="shared" ca="1" si="30"/>
        <v>0</v>
      </c>
    </row>
    <row r="552" spans="1:8" x14ac:dyDescent="0.25">
      <c r="A552" s="109" t="s">
        <v>1978</v>
      </c>
      <c r="B552" s="514">
        <f>Ferramentas!B218</f>
        <v>0</v>
      </c>
      <c r="C552" s="541" t="str">
        <f>Ferramentas!C218</f>
        <v>Binóculo Profissional Ampliação 8 à 24x 50mm</v>
      </c>
      <c r="D552" s="110" t="str">
        <f>Ferramentas!D218</f>
        <v>un</v>
      </c>
      <c r="E552" s="111">
        <f>Ferramentas!E218</f>
        <v>10</v>
      </c>
      <c r="F552" s="111">
        <f>Ferramentas!F218</f>
        <v>449.51</v>
      </c>
      <c r="G552" s="111">
        <f t="shared" si="31"/>
        <v>4495.1000000000004</v>
      </c>
      <c r="H552" s="555">
        <f t="shared" ca="1" si="30"/>
        <v>1E-4</v>
      </c>
    </row>
    <row r="553" spans="1:8" x14ac:dyDescent="0.25">
      <c r="A553" s="109" t="s">
        <v>1979</v>
      </c>
      <c r="B553" s="514">
        <f>Ferramentas!B219</f>
        <v>0</v>
      </c>
      <c r="C553" s="541" t="str">
        <f>Ferramentas!C219</f>
        <v>Câmera fotográfica digital 20MP, 5x Zoom Óptico</v>
      </c>
      <c r="D553" s="110" t="str">
        <f>Ferramentas!D219</f>
        <v>un</v>
      </c>
      <c r="E553" s="111">
        <f>Ferramentas!E219</f>
        <v>6</v>
      </c>
      <c r="F553" s="111">
        <f>Ferramentas!F219</f>
        <v>526.26666666666665</v>
      </c>
      <c r="G553" s="111">
        <f t="shared" si="31"/>
        <v>3157.6</v>
      </c>
      <c r="H553" s="555">
        <f t="shared" ca="1" si="30"/>
        <v>0</v>
      </c>
    </row>
    <row r="554" spans="1:8" x14ac:dyDescent="0.25">
      <c r="A554" s="109" t="s">
        <v>1980</v>
      </c>
      <c r="B554" s="514">
        <f>Ferramentas!B220</f>
        <v>0</v>
      </c>
      <c r="C554" s="541" t="str">
        <f>Ferramentas!C220</f>
        <v xml:space="preserve"> Carrinho para transporte de motor de popa </v>
      </c>
      <c r="D554" s="110" t="str">
        <f>Ferramentas!D220</f>
        <v>un</v>
      </c>
      <c r="E554" s="111">
        <f>Ferramentas!E220</f>
        <v>12</v>
      </c>
      <c r="F554" s="111">
        <f>Ferramentas!F220</f>
        <v>270</v>
      </c>
      <c r="G554" s="111">
        <f t="shared" si="31"/>
        <v>3240</v>
      </c>
      <c r="H554" s="555">
        <f t="shared" ca="1" si="30"/>
        <v>0</v>
      </c>
    </row>
    <row r="555" spans="1:8" x14ac:dyDescent="0.25">
      <c r="A555" s="109" t="s">
        <v>1981</v>
      </c>
      <c r="B555" s="514" t="str">
        <f>Ferramentas!B221</f>
        <v>2711 - SINAPI</v>
      </c>
      <c r="C555" s="541" t="str">
        <f>Ferramentas!C221</f>
        <v xml:space="preserve"> Carro de mão </v>
      </c>
      <c r="D555" s="110" t="str">
        <f>Ferramentas!D221</f>
        <v>un</v>
      </c>
      <c r="E555" s="111">
        <f>Ferramentas!E221</f>
        <v>120</v>
      </c>
      <c r="F555" s="111">
        <f>Ferramentas!F221</f>
        <v>119.45</v>
      </c>
      <c r="G555" s="111">
        <f t="shared" si="31"/>
        <v>14334</v>
      </c>
      <c r="H555" s="555">
        <f t="shared" ca="1" si="30"/>
        <v>2.0000000000000001E-4</v>
      </c>
    </row>
    <row r="556" spans="1:8" x14ac:dyDescent="0.25">
      <c r="A556" s="109" t="s">
        <v>1982</v>
      </c>
      <c r="B556" s="514">
        <f>Ferramentas!B222</f>
        <v>0</v>
      </c>
      <c r="C556" s="541" t="str">
        <f>Ferramentas!C222</f>
        <v xml:space="preserve"> Cavador articulado </v>
      </c>
      <c r="D556" s="110" t="str">
        <f>Ferramentas!D222</f>
        <v>un</v>
      </c>
      <c r="E556" s="111">
        <f>Ferramentas!E222</f>
        <v>30</v>
      </c>
      <c r="F556" s="111">
        <f>Ferramentas!F222</f>
        <v>24.39</v>
      </c>
      <c r="G556" s="111">
        <f t="shared" ref="G556:G618" si="32">ROUND(E556*F556,2)</f>
        <v>731.7</v>
      </c>
      <c r="H556" s="555">
        <f t="shared" ca="1" si="30"/>
        <v>0</v>
      </c>
    </row>
    <row r="557" spans="1:8" x14ac:dyDescent="0.25">
      <c r="A557" s="109" t="s">
        <v>1983</v>
      </c>
      <c r="B557" s="514">
        <f>Ferramentas!B223</f>
        <v>0</v>
      </c>
      <c r="C557" s="541" t="str">
        <f>Ferramentas!C223</f>
        <v xml:space="preserve"> Chibanca </v>
      </c>
      <c r="D557" s="110" t="str">
        <f>Ferramentas!D223</f>
        <v>un</v>
      </c>
      <c r="E557" s="111">
        <f>Ferramentas!E223</f>
        <v>105</v>
      </c>
      <c r="F557" s="111">
        <f>Ferramentas!F223</f>
        <v>34.49</v>
      </c>
      <c r="G557" s="111">
        <f t="shared" si="32"/>
        <v>3621.45</v>
      </c>
      <c r="H557" s="555">
        <f t="shared" ca="1" si="30"/>
        <v>1E-4</v>
      </c>
    </row>
    <row r="558" spans="1:8" x14ac:dyDescent="0.25">
      <c r="A558" s="109" t="s">
        <v>1984</v>
      </c>
      <c r="B558" s="514">
        <f>Ferramentas!B224</f>
        <v>0</v>
      </c>
      <c r="C558" s="541" t="str">
        <f>Ferramentas!C224</f>
        <v xml:space="preserve"> Colher de pedreiro nº 9 </v>
      </c>
      <c r="D558" s="110" t="str">
        <f>Ferramentas!D224</f>
        <v>un</v>
      </c>
      <c r="E558" s="111">
        <f>Ferramentas!E224</f>
        <v>5</v>
      </c>
      <c r="F558" s="111">
        <f>Ferramentas!F224</f>
        <v>15.32</v>
      </c>
      <c r="G558" s="111">
        <f t="shared" si="32"/>
        <v>76.599999999999994</v>
      </c>
      <c r="H558" s="555">
        <f t="shared" ca="1" si="30"/>
        <v>0</v>
      </c>
    </row>
    <row r="559" spans="1:8" x14ac:dyDescent="0.25">
      <c r="A559" s="109" t="s">
        <v>1985</v>
      </c>
      <c r="B559" s="514">
        <f>Ferramentas!B225</f>
        <v>0</v>
      </c>
      <c r="C559" s="541" t="str">
        <f>Ferramentas!C225</f>
        <v xml:space="preserve"> Conjunto de ferramentas básicas para encanador </v>
      </c>
      <c r="D559" s="110" t="str">
        <f>Ferramentas!D225</f>
        <v>un</v>
      </c>
      <c r="E559" s="111">
        <f>Ferramentas!E225</f>
        <v>3</v>
      </c>
      <c r="F559" s="111">
        <f>Ferramentas!F225</f>
        <v>229.9</v>
      </c>
      <c r="G559" s="111">
        <f t="shared" si="32"/>
        <v>689.7</v>
      </c>
      <c r="H559" s="555">
        <f t="shared" ca="1" si="30"/>
        <v>0</v>
      </c>
    </row>
    <row r="560" spans="1:8" x14ac:dyDescent="0.25">
      <c r="A560" s="109" t="s">
        <v>1986</v>
      </c>
      <c r="B560" s="514">
        <f>Ferramentas!B226</f>
        <v>0</v>
      </c>
      <c r="C560" s="541" t="str">
        <f>Ferramentas!C226</f>
        <v xml:space="preserve"> Conjunto de ferramentas básicas para pedreiro </v>
      </c>
      <c r="D560" s="110" t="str">
        <f>Ferramentas!D226</f>
        <v>un</v>
      </c>
      <c r="E560" s="111">
        <f>Ferramentas!E226</f>
        <v>5</v>
      </c>
      <c r="F560" s="111">
        <f>Ferramentas!F226</f>
        <v>252.17</v>
      </c>
      <c r="G560" s="111">
        <f t="shared" si="32"/>
        <v>1260.8499999999999</v>
      </c>
      <c r="H560" s="555">
        <f t="shared" ca="1" si="30"/>
        <v>0</v>
      </c>
    </row>
    <row r="561" spans="1:8" x14ac:dyDescent="0.25">
      <c r="A561" s="109" t="s">
        <v>1987</v>
      </c>
      <c r="B561" s="514">
        <f>Ferramentas!B227</f>
        <v>0</v>
      </c>
      <c r="C561" s="541" t="str">
        <f>Ferramentas!C227</f>
        <v xml:space="preserve"> Corda de bombeiro 12mm em nylon trançado (rolo de 100 m) </v>
      </c>
      <c r="D561" s="110" t="str">
        <f>Ferramentas!D227</f>
        <v>un</v>
      </c>
      <c r="E561" s="111">
        <f>Ferramentas!E227</f>
        <v>9</v>
      </c>
      <c r="F561" s="111">
        <f>Ferramentas!F227</f>
        <v>4.66</v>
      </c>
      <c r="G561" s="111">
        <f t="shared" si="32"/>
        <v>41.94</v>
      </c>
      <c r="H561" s="555">
        <f t="shared" ca="1" si="30"/>
        <v>0</v>
      </c>
    </row>
    <row r="562" spans="1:8" x14ac:dyDescent="0.25">
      <c r="A562" s="109" t="s">
        <v>1988</v>
      </c>
      <c r="B562" s="514">
        <f>Ferramentas!B228</f>
        <v>0</v>
      </c>
      <c r="C562" s="541" t="str">
        <f>Ferramentas!C228</f>
        <v xml:space="preserve"> Desempenadeira de aço dentada </v>
      </c>
      <c r="D562" s="110" t="str">
        <f>Ferramentas!D228</f>
        <v>un</v>
      </c>
      <c r="E562" s="111">
        <f>Ferramentas!E228</f>
        <v>9</v>
      </c>
      <c r="F562" s="111">
        <f>Ferramentas!F228</f>
        <v>11.31</v>
      </c>
      <c r="G562" s="111">
        <f t="shared" si="32"/>
        <v>101.79</v>
      </c>
      <c r="H562" s="555">
        <f t="shared" ca="1" si="30"/>
        <v>0</v>
      </c>
    </row>
    <row r="563" spans="1:8" x14ac:dyDescent="0.25">
      <c r="A563" s="109" t="s">
        <v>1989</v>
      </c>
      <c r="B563" s="514">
        <f>Ferramentas!B229</f>
        <v>0</v>
      </c>
      <c r="C563" s="541" t="str">
        <f>Ferramentas!C229</f>
        <v xml:space="preserve"> Desempenadeira de aço lisa </v>
      </c>
      <c r="D563" s="110" t="str">
        <f>Ferramentas!D229</f>
        <v>un</v>
      </c>
      <c r="E563" s="111">
        <f>Ferramentas!E229</f>
        <v>9</v>
      </c>
      <c r="F563" s="111">
        <f>Ferramentas!F229</f>
        <v>15.78</v>
      </c>
      <c r="G563" s="111">
        <f t="shared" si="32"/>
        <v>142.02000000000001</v>
      </c>
      <c r="H563" s="555">
        <f t="shared" ca="1" si="30"/>
        <v>0</v>
      </c>
    </row>
    <row r="564" spans="1:8" x14ac:dyDescent="0.25">
      <c r="A564" s="109" t="s">
        <v>1990</v>
      </c>
      <c r="B564" s="514">
        <f>Ferramentas!B230</f>
        <v>0</v>
      </c>
      <c r="C564" s="541" t="str">
        <f>Ferramentas!C230</f>
        <v xml:space="preserve"> Disco corte abrasivo 18" </v>
      </c>
      <c r="D564" s="110" t="str">
        <f>Ferramentas!D230</f>
        <v>un</v>
      </c>
      <c r="E564" s="111">
        <f>Ferramentas!E230</f>
        <v>6</v>
      </c>
      <c r="F564" s="111">
        <f>Ferramentas!F230</f>
        <v>7</v>
      </c>
      <c r="G564" s="111">
        <f t="shared" si="32"/>
        <v>42</v>
      </c>
      <c r="H564" s="555">
        <f t="shared" ca="1" si="30"/>
        <v>0</v>
      </c>
    </row>
    <row r="565" spans="1:8" x14ac:dyDescent="0.25">
      <c r="A565" s="109" t="s">
        <v>1991</v>
      </c>
      <c r="B565" s="514" t="str">
        <f>Ferramentas!B231</f>
        <v>38403 - SINAPI</v>
      </c>
      <c r="C565" s="541" t="str">
        <f>Ferramentas!C231</f>
        <v xml:space="preserve"> Enxada estreita de 240 x 230 mm, sem cabo </v>
      </c>
      <c r="D565" s="110" t="str">
        <f>Ferramentas!D231</f>
        <v>un</v>
      </c>
      <c r="E565" s="111">
        <f>Ferramentas!E231</f>
        <v>105</v>
      </c>
      <c r="F565" s="111">
        <f>Ferramentas!F231</f>
        <v>29.59</v>
      </c>
      <c r="G565" s="111">
        <f t="shared" si="32"/>
        <v>3106.95</v>
      </c>
      <c r="H565" s="555">
        <f t="shared" ca="1" si="30"/>
        <v>0</v>
      </c>
    </row>
    <row r="566" spans="1:8" x14ac:dyDescent="0.25">
      <c r="A566" s="109" t="s">
        <v>1992</v>
      </c>
      <c r="B566" s="514" t="str">
        <f>Ferramentas!B232</f>
        <v>38477 - SINAPI</v>
      </c>
      <c r="C566" s="541" t="str">
        <f>Ferramentas!C232</f>
        <v xml:space="preserve"> Escada articulada multifuncional 16 degraus </v>
      </c>
      <c r="D566" s="110" t="str">
        <f>Ferramentas!D232</f>
        <v>un</v>
      </c>
      <c r="E566" s="111">
        <f>Ferramentas!E232</f>
        <v>12</v>
      </c>
      <c r="F566" s="111">
        <f>Ferramentas!F232</f>
        <v>629.83000000000004</v>
      </c>
      <c r="G566" s="111">
        <f t="shared" si="32"/>
        <v>7557.96</v>
      </c>
      <c r="H566" s="555">
        <f t="shared" ca="1" si="30"/>
        <v>1E-4</v>
      </c>
    </row>
    <row r="567" spans="1:8" x14ac:dyDescent="0.25">
      <c r="A567" s="109" t="s">
        <v>1993</v>
      </c>
      <c r="B567" s="514" t="str">
        <f>Ferramentas!B233</f>
        <v>12 - SINAPI</v>
      </c>
      <c r="C567" s="541" t="str">
        <f>Ferramentas!C233</f>
        <v xml:space="preserve">Escova de aco, com cabo, *4 x 15* fileiras de cerdas </v>
      </c>
      <c r="D567" s="110" t="str">
        <f>Ferramentas!D233</f>
        <v>un</v>
      </c>
      <c r="E567" s="111">
        <f>Ferramentas!E233</f>
        <v>12</v>
      </c>
      <c r="F567" s="111">
        <f>Ferramentas!F233</f>
        <v>10</v>
      </c>
      <c r="G567" s="111">
        <f t="shared" si="32"/>
        <v>120</v>
      </c>
      <c r="H567" s="555">
        <f t="shared" ca="1" si="30"/>
        <v>0</v>
      </c>
    </row>
    <row r="568" spans="1:8" x14ac:dyDescent="0.25">
      <c r="A568" s="109" t="s">
        <v>1994</v>
      </c>
      <c r="B568" s="514" t="str">
        <f>Ferramentas!B234</f>
        <v>38367 - SINAPI</v>
      </c>
      <c r="C568" s="541" t="str">
        <f>Ferramentas!C234</f>
        <v xml:space="preserve">Espátula aço inox, 8cm - cabo de madeira </v>
      </c>
      <c r="D568" s="110" t="str">
        <f>Ferramentas!D234</f>
        <v>un</v>
      </c>
      <c r="E568" s="111">
        <f>Ferramentas!E234</f>
        <v>12</v>
      </c>
      <c r="F568" s="111">
        <f>Ferramentas!F234</f>
        <v>11.95</v>
      </c>
      <c r="G568" s="111">
        <f t="shared" si="32"/>
        <v>143.4</v>
      </c>
      <c r="H568" s="555">
        <f t="shared" ca="1" si="30"/>
        <v>0</v>
      </c>
    </row>
    <row r="569" spans="1:8" x14ac:dyDescent="0.25">
      <c r="A569" s="109" t="s">
        <v>1995</v>
      </c>
      <c r="B569" s="514" t="str">
        <f>Ferramentas!B235</f>
        <v>38368 - SINAPI</v>
      </c>
      <c r="C569" s="541" t="str">
        <f>Ferramentas!C235</f>
        <v xml:space="preserve">Espátula de plástico lisa, largura 10 cm </v>
      </c>
      <c r="D569" s="110" t="str">
        <f>Ferramentas!D235</f>
        <v>un</v>
      </c>
      <c r="E569" s="111">
        <f>Ferramentas!E235</f>
        <v>12</v>
      </c>
      <c r="F569" s="111">
        <f>Ferramentas!F235</f>
        <v>7.37</v>
      </c>
      <c r="G569" s="111">
        <f t="shared" si="32"/>
        <v>88.44</v>
      </c>
      <c r="H569" s="555">
        <f t="shared" ca="1" si="30"/>
        <v>0</v>
      </c>
    </row>
    <row r="570" spans="1:8" x14ac:dyDescent="0.25">
      <c r="A570" s="109" t="s">
        <v>1996</v>
      </c>
      <c r="B570" s="514">
        <f>Ferramentas!B236</f>
        <v>0</v>
      </c>
      <c r="C570" s="541" t="str">
        <f>Ferramentas!C236</f>
        <v xml:space="preserve"> Esponja de limpeza </v>
      </c>
      <c r="D570" s="110" t="str">
        <f>Ferramentas!D236</f>
        <v>un</v>
      </c>
      <c r="E570" s="111">
        <f>Ferramentas!E236</f>
        <v>105</v>
      </c>
      <c r="F570" s="111">
        <f>Ferramentas!F236</f>
        <v>1.02</v>
      </c>
      <c r="G570" s="111">
        <f t="shared" si="32"/>
        <v>107.1</v>
      </c>
      <c r="H570" s="555">
        <f t="shared" ca="1" si="30"/>
        <v>0</v>
      </c>
    </row>
    <row r="571" spans="1:8" x14ac:dyDescent="0.25">
      <c r="A571" s="109" t="s">
        <v>1997</v>
      </c>
      <c r="B571" s="514" t="str">
        <f>Ferramentas!B237</f>
        <v>38380 - SINAPI</v>
      </c>
      <c r="C571" s="541" t="str">
        <f>Ferramentas!C237</f>
        <v xml:space="preserve">Esquadro 90º x 30cm (12") </v>
      </c>
      <c r="D571" s="110" t="str">
        <f>Ferramentas!D237</f>
        <v>un</v>
      </c>
      <c r="E571" s="111">
        <f>Ferramentas!E237</f>
        <v>6</v>
      </c>
      <c r="F571" s="111">
        <f>Ferramentas!F237</f>
        <v>18.98</v>
      </c>
      <c r="G571" s="111">
        <f t="shared" si="32"/>
        <v>113.88</v>
      </c>
      <c r="H571" s="555">
        <f t="shared" ca="1" si="30"/>
        <v>0</v>
      </c>
    </row>
    <row r="572" spans="1:8" x14ac:dyDescent="0.25">
      <c r="A572" s="109" t="s">
        <v>1998</v>
      </c>
      <c r="B572" s="514">
        <f>Ferramentas!B238</f>
        <v>0</v>
      </c>
      <c r="C572" s="541" t="str">
        <f>Ferramentas!C238</f>
        <v xml:space="preserve"> Estrovenga </v>
      </c>
      <c r="D572" s="110" t="str">
        <f>Ferramentas!D238</f>
        <v>un</v>
      </c>
      <c r="E572" s="111">
        <f>Ferramentas!E238</f>
        <v>105</v>
      </c>
      <c r="F572" s="111">
        <f>Ferramentas!F238</f>
        <v>21.24</v>
      </c>
      <c r="G572" s="111">
        <f t="shared" si="32"/>
        <v>2230.1999999999998</v>
      </c>
      <c r="H572" s="555">
        <f t="shared" ca="1" si="30"/>
        <v>0</v>
      </c>
    </row>
    <row r="573" spans="1:8" x14ac:dyDescent="0.25">
      <c r="A573" s="109" t="s">
        <v>1999</v>
      </c>
      <c r="B573" s="514">
        <f>Ferramentas!B239</f>
        <v>0</v>
      </c>
      <c r="C573" s="541" t="str">
        <f>Ferramentas!C239</f>
        <v>Facão para mato, 18 pol</v>
      </c>
      <c r="D573" s="110" t="str">
        <f>Ferramentas!D239</f>
        <v>un</v>
      </c>
      <c r="E573" s="111">
        <f>Ferramentas!E239</f>
        <v>107</v>
      </c>
      <c r="F573" s="111">
        <f>Ferramentas!F239</f>
        <v>20</v>
      </c>
      <c r="G573" s="111">
        <f t="shared" si="32"/>
        <v>2140</v>
      </c>
      <c r="H573" s="555">
        <f t="shared" ca="1" si="30"/>
        <v>0</v>
      </c>
    </row>
    <row r="574" spans="1:8" x14ac:dyDescent="0.25">
      <c r="A574" s="109" t="s">
        <v>2000</v>
      </c>
      <c r="B574" s="514">
        <f>Ferramentas!B240</f>
        <v>0</v>
      </c>
      <c r="C574" s="541" t="str">
        <f>Ferramentas!C240</f>
        <v>Foice 33mm</v>
      </c>
      <c r="D574" s="110" t="str">
        <f>Ferramentas!D240</f>
        <v>un</v>
      </c>
      <c r="E574" s="111">
        <f>Ferramentas!E240</f>
        <v>107</v>
      </c>
      <c r="F574" s="111">
        <f>Ferramentas!F240</f>
        <v>13.75</v>
      </c>
      <c r="G574" s="111">
        <f t="shared" si="32"/>
        <v>1471.25</v>
      </c>
      <c r="H574" s="555">
        <f t="shared" ca="1" si="30"/>
        <v>0</v>
      </c>
    </row>
    <row r="575" spans="1:8" x14ac:dyDescent="0.25">
      <c r="A575" s="109" t="s">
        <v>2001</v>
      </c>
      <c r="B575" s="514">
        <f>Ferramentas!B241</f>
        <v>0</v>
      </c>
      <c r="C575" s="541" t="str">
        <f>Ferramentas!C241</f>
        <v xml:space="preserve"> Fumigador para apicultura </v>
      </c>
      <c r="D575" s="110" t="str">
        <f>Ferramentas!D241</f>
        <v>un</v>
      </c>
      <c r="E575" s="111">
        <f>Ferramentas!E241</f>
        <v>15</v>
      </c>
      <c r="F575" s="111">
        <f>Ferramentas!F241</f>
        <v>122.76</v>
      </c>
      <c r="G575" s="111">
        <f t="shared" si="32"/>
        <v>1841.4</v>
      </c>
      <c r="H575" s="555">
        <f t="shared" ca="1" si="30"/>
        <v>0</v>
      </c>
    </row>
    <row r="576" spans="1:8" x14ac:dyDescent="0.25">
      <c r="A576" s="109" t="s">
        <v>2002</v>
      </c>
      <c r="B576" s="514">
        <f>Ferramentas!B242</f>
        <v>0</v>
      </c>
      <c r="C576" s="541" t="str">
        <f>Ferramentas!C242</f>
        <v xml:space="preserve"> Lanterna grande - 10 Million </v>
      </c>
      <c r="D576" s="110" t="str">
        <f>Ferramentas!D242</f>
        <v>un</v>
      </c>
      <c r="E576" s="111">
        <f>Ferramentas!E242</f>
        <v>12</v>
      </c>
      <c r="F576" s="111">
        <f>Ferramentas!F242</f>
        <v>49.4</v>
      </c>
      <c r="G576" s="111">
        <f t="shared" si="32"/>
        <v>592.79999999999995</v>
      </c>
      <c r="H576" s="555">
        <f t="shared" ca="1" si="30"/>
        <v>0</v>
      </c>
    </row>
    <row r="577" spans="1:8" x14ac:dyDescent="0.25">
      <c r="A577" s="109" t="s">
        <v>2003</v>
      </c>
      <c r="B577" s="514">
        <f>Ferramentas!B243</f>
        <v>0</v>
      </c>
      <c r="C577" s="541" t="str">
        <f>Ferramentas!C243</f>
        <v xml:space="preserve"> Machado </v>
      </c>
      <c r="D577" s="110" t="str">
        <f>Ferramentas!D243</f>
        <v>un</v>
      </c>
      <c r="E577" s="111">
        <f>Ferramentas!E243</f>
        <v>45</v>
      </c>
      <c r="F577" s="111">
        <f>Ferramentas!F243</f>
        <v>38.9</v>
      </c>
      <c r="G577" s="111">
        <f t="shared" si="32"/>
        <v>1750.5</v>
      </c>
      <c r="H577" s="555">
        <f t="shared" ca="1" si="30"/>
        <v>0</v>
      </c>
    </row>
    <row r="578" spans="1:8" x14ac:dyDescent="0.25">
      <c r="A578" s="109" t="s">
        <v>2004</v>
      </c>
      <c r="B578" s="514">
        <f>Ferramentas!B244</f>
        <v>0</v>
      </c>
      <c r="C578" s="541" t="str">
        <f>Ferramentas!C244</f>
        <v xml:space="preserve"> Mangueira de ¾ 50 MTS </v>
      </c>
      <c r="D578" s="110" t="str">
        <f>Ferramentas!D244</f>
        <v>un</v>
      </c>
      <c r="E578" s="111">
        <f>Ferramentas!E244</f>
        <v>15</v>
      </c>
      <c r="F578" s="111">
        <f>Ferramentas!F244</f>
        <v>2.73</v>
      </c>
      <c r="G578" s="111">
        <f t="shared" si="32"/>
        <v>40.950000000000003</v>
      </c>
      <c r="H578" s="555">
        <f t="shared" ca="1" si="30"/>
        <v>0</v>
      </c>
    </row>
    <row r="579" spans="1:8" x14ac:dyDescent="0.25">
      <c r="A579" s="109" t="s">
        <v>2005</v>
      </c>
      <c r="B579" s="514">
        <f>Ferramentas!B245</f>
        <v>0</v>
      </c>
      <c r="C579" s="541" t="str">
        <f>Ferramentas!C245</f>
        <v xml:space="preserve"> Mangueira de nível </v>
      </c>
      <c r="D579" s="110" t="str">
        <f>Ferramentas!D245</f>
        <v>un</v>
      </c>
      <c r="E579" s="111">
        <f>Ferramentas!E245</f>
        <v>18</v>
      </c>
      <c r="F579" s="111">
        <f>Ferramentas!F245</f>
        <v>1.1100000000000001</v>
      </c>
      <c r="G579" s="111">
        <f t="shared" si="32"/>
        <v>19.98</v>
      </c>
      <c r="H579" s="555">
        <f t="shared" ca="1" si="30"/>
        <v>0</v>
      </c>
    </row>
    <row r="580" spans="1:8" x14ac:dyDescent="0.25">
      <c r="A580" s="109" t="s">
        <v>2006</v>
      </c>
      <c r="B580" s="514" t="str">
        <f>Ferramentas!B246</f>
        <v>11269 - ORSE</v>
      </c>
      <c r="C580" s="541" t="str">
        <f>Ferramentas!C246</f>
        <v xml:space="preserve"> Marreta de 1/2 kg com cabo </v>
      </c>
      <c r="D580" s="110" t="str">
        <f>Ferramentas!D246</f>
        <v>un</v>
      </c>
      <c r="E580" s="111">
        <f>Ferramentas!E246</f>
        <v>12</v>
      </c>
      <c r="F580" s="111">
        <f>Ferramentas!F246</f>
        <v>12.5</v>
      </c>
      <c r="G580" s="111">
        <f t="shared" si="32"/>
        <v>150</v>
      </c>
      <c r="H580" s="555">
        <f t="shared" ca="1" si="30"/>
        <v>0</v>
      </c>
    </row>
    <row r="581" spans="1:8" x14ac:dyDescent="0.25">
      <c r="A581" s="109" t="s">
        <v>2007</v>
      </c>
      <c r="B581" s="514">
        <f>Ferramentas!B247</f>
        <v>0</v>
      </c>
      <c r="C581" s="541" t="str">
        <f>Ferramentas!C247</f>
        <v xml:space="preserve"> Marreta de 2kg </v>
      </c>
      <c r="D581" s="110" t="str">
        <f>Ferramentas!D247</f>
        <v>un</v>
      </c>
      <c r="E581" s="111">
        <f>Ferramentas!E247</f>
        <v>12</v>
      </c>
      <c r="F581" s="111">
        <f>Ferramentas!F247</f>
        <v>32.405000000000001</v>
      </c>
      <c r="G581" s="111">
        <f t="shared" si="32"/>
        <v>388.86</v>
      </c>
      <c r="H581" s="555">
        <f t="shared" ca="1" si="30"/>
        <v>0</v>
      </c>
    </row>
    <row r="582" spans="1:8" x14ac:dyDescent="0.25">
      <c r="A582" s="109" t="s">
        <v>2008</v>
      </c>
      <c r="B582" s="514">
        <f>Ferramentas!B248</f>
        <v>0</v>
      </c>
      <c r="C582" s="541" t="str">
        <f>Ferramentas!C248</f>
        <v>Marreta de 5kg com cabo de madeira</v>
      </c>
      <c r="D582" s="110" t="str">
        <f>Ferramentas!D248</f>
        <v>un</v>
      </c>
      <c r="E582" s="111">
        <f>Ferramentas!E248</f>
        <v>12</v>
      </c>
      <c r="F582" s="111">
        <f>Ferramentas!F248</f>
        <v>61.805</v>
      </c>
      <c r="G582" s="111">
        <f t="shared" si="32"/>
        <v>741.66</v>
      </c>
      <c r="H582" s="555">
        <f t="shared" ca="1" si="30"/>
        <v>0</v>
      </c>
    </row>
    <row r="583" spans="1:8" x14ac:dyDescent="0.25">
      <c r="A583" s="109" t="s">
        <v>2009</v>
      </c>
      <c r="B583" s="514">
        <f>Ferramentas!B249</f>
        <v>0</v>
      </c>
      <c r="C583" s="541" t="str">
        <f>Ferramentas!C249</f>
        <v xml:space="preserve"> Martelo com unha </v>
      </c>
      <c r="D583" s="110" t="str">
        <f>Ferramentas!D249</f>
        <v>un</v>
      </c>
      <c r="E583" s="111">
        <f>Ferramentas!E249</f>
        <v>12</v>
      </c>
      <c r="F583" s="111">
        <f>Ferramentas!F249</f>
        <v>25.43</v>
      </c>
      <c r="G583" s="111">
        <f t="shared" si="32"/>
        <v>305.16000000000003</v>
      </c>
      <c r="H583" s="555">
        <f t="shared" ca="1" si="30"/>
        <v>0</v>
      </c>
    </row>
    <row r="584" spans="1:8" x14ac:dyDescent="0.25">
      <c r="A584" s="109" t="s">
        <v>2010</v>
      </c>
      <c r="B584" s="514">
        <f>Ferramentas!B250</f>
        <v>0</v>
      </c>
      <c r="C584" s="541" t="str">
        <f>Ferramentas!C250</f>
        <v xml:space="preserve"> Martelo de borracha 32 Cm</v>
      </c>
      <c r="D584" s="110" t="str">
        <f>Ferramentas!D250</f>
        <v>un</v>
      </c>
      <c r="E584" s="111">
        <f>Ferramentas!E250</f>
        <v>5</v>
      </c>
      <c r="F584" s="111">
        <f>Ferramentas!F250</f>
        <v>100.90000000000002</v>
      </c>
      <c r="G584" s="111">
        <f t="shared" si="32"/>
        <v>504.5</v>
      </c>
      <c r="H584" s="555">
        <f t="shared" ca="1" si="30"/>
        <v>0</v>
      </c>
    </row>
    <row r="585" spans="1:8" x14ac:dyDescent="0.25">
      <c r="A585" s="109" t="s">
        <v>2011</v>
      </c>
      <c r="B585" s="514">
        <f>Ferramentas!B251</f>
        <v>0</v>
      </c>
      <c r="C585" s="541" t="str">
        <f>Ferramentas!C251</f>
        <v xml:space="preserve"> Nível c/ bolha ajustável de inclinação, bolha fixa e prumo – 250mm </v>
      </c>
      <c r="D585" s="110" t="str">
        <f>Ferramentas!D251</f>
        <v>un</v>
      </c>
      <c r="E585" s="111">
        <f>Ferramentas!E251</f>
        <v>5</v>
      </c>
      <c r="F585" s="111">
        <f>Ferramentas!F251</f>
        <v>23.06</v>
      </c>
      <c r="G585" s="111">
        <f t="shared" si="32"/>
        <v>115.3</v>
      </c>
      <c r="H585" s="555">
        <f t="shared" ca="1" si="30"/>
        <v>0</v>
      </c>
    </row>
    <row r="586" spans="1:8" x14ac:dyDescent="0.25">
      <c r="A586" s="109" t="s">
        <v>2012</v>
      </c>
      <c r="B586" s="514">
        <f>Ferramentas!B252</f>
        <v>0</v>
      </c>
      <c r="C586" s="541" t="str">
        <f>Ferramentas!C252</f>
        <v xml:space="preserve"> Nível de bolha de madeira </v>
      </c>
      <c r="D586" s="110" t="str">
        <f>Ferramentas!D252</f>
        <v>un</v>
      </c>
      <c r="E586" s="111">
        <f>Ferramentas!E252</f>
        <v>5</v>
      </c>
      <c r="F586" s="111">
        <f>Ferramentas!F252</f>
        <v>14.73</v>
      </c>
      <c r="G586" s="111">
        <f t="shared" si="32"/>
        <v>73.650000000000006</v>
      </c>
      <c r="H586" s="555">
        <f t="shared" ca="1" si="30"/>
        <v>0</v>
      </c>
    </row>
    <row r="587" spans="1:8" x14ac:dyDescent="0.25">
      <c r="A587" s="109" t="s">
        <v>2013</v>
      </c>
      <c r="B587" s="514">
        <f>Ferramentas!B253</f>
        <v>0</v>
      </c>
      <c r="C587" s="541" t="str">
        <f>Ferramentas!C253</f>
        <v xml:space="preserve"> Pá quadrada </v>
      </c>
      <c r="D587" s="110" t="str">
        <f>Ferramentas!D253</f>
        <v>un</v>
      </c>
      <c r="E587" s="111">
        <f>Ferramentas!E253</f>
        <v>105</v>
      </c>
      <c r="F587" s="111">
        <f>Ferramentas!F253</f>
        <v>35.65</v>
      </c>
      <c r="G587" s="111">
        <f t="shared" si="32"/>
        <v>3743.25</v>
      </c>
      <c r="H587" s="555">
        <f t="shared" ca="1" si="30"/>
        <v>1E-4</v>
      </c>
    </row>
    <row r="588" spans="1:8" x14ac:dyDescent="0.25">
      <c r="A588" s="109" t="s">
        <v>2014</v>
      </c>
      <c r="B588" s="514">
        <f>Ferramentas!B254</f>
        <v>0</v>
      </c>
      <c r="C588" s="541" t="str">
        <f>Ferramentas!C254</f>
        <v xml:space="preserve"> Pé-de-cabra </v>
      </c>
      <c r="D588" s="110" t="str">
        <f>Ferramentas!D254</f>
        <v>un</v>
      </c>
      <c r="E588" s="111">
        <f>Ferramentas!E254</f>
        <v>30</v>
      </c>
      <c r="F588" s="111">
        <f>Ferramentas!F254</f>
        <v>22.99</v>
      </c>
      <c r="G588" s="111">
        <f t="shared" si="32"/>
        <v>689.7</v>
      </c>
      <c r="H588" s="555">
        <f t="shared" ca="1" si="30"/>
        <v>0</v>
      </c>
    </row>
    <row r="589" spans="1:8" x14ac:dyDescent="0.25">
      <c r="A589" s="109" t="s">
        <v>2015</v>
      </c>
      <c r="B589" s="514">
        <f>Ferramentas!B255</f>
        <v>0</v>
      </c>
      <c r="C589" s="541" t="str">
        <f>Ferramentas!C255</f>
        <v xml:space="preserve"> Picareta com cabo </v>
      </c>
      <c r="D589" s="110" t="str">
        <f>Ferramentas!D255</f>
        <v>un</v>
      </c>
      <c r="E589" s="111">
        <f>Ferramentas!E255</f>
        <v>105</v>
      </c>
      <c r="F589" s="111">
        <f>Ferramentas!F255</f>
        <v>38.5</v>
      </c>
      <c r="G589" s="111">
        <f t="shared" si="32"/>
        <v>4042.5</v>
      </c>
      <c r="H589" s="555">
        <f t="shared" ca="1" si="30"/>
        <v>1E-4</v>
      </c>
    </row>
    <row r="590" spans="1:8" x14ac:dyDescent="0.25">
      <c r="A590" s="109" t="s">
        <v>2016</v>
      </c>
      <c r="B590" s="514">
        <f>Ferramentas!B256</f>
        <v>0</v>
      </c>
      <c r="C590" s="541" t="str">
        <f>Ferramentas!C256</f>
        <v xml:space="preserve"> Pistola para pintura </v>
      </c>
      <c r="D590" s="110" t="str">
        <f>Ferramentas!D256</f>
        <v>un</v>
      </c>
      <c r="E590" s="111">
        <f>Ferramentas!E256</f>
        <v>5</v>
      </c>
      <c r="F590" s="111">
        <f>Ferramentas!F256</f>
        <v>196.05</v>
      </c>
      <c r="G590" s="111">
        <f t="shared" si="32"/>
        <v>980.25</v>
      </c>
      <c r="H590" s="555">
        <f t="shared" ca="1" si="30"/>
        <v>0</v>
      </c>
    </row>
    <row r="591" spans="1:8" x14ac:dyDescent="0.25">
      <c r="A591" s="109" t="s">
        <v>2017</v>
      </c>
      <c r="B591" s="514">
        <f>Ferramentas!B257</f>
        <v>0</v>
      </c>
      <c r="C591" s="541" t="str">
        <f>Ferramentas!C257</f>
        <v xml:space="preserve"> Ponteiro de aço </v>
      </c>
      <c r="D591" s="110" t="str">
        <f>Ferramentas!D257</f>
        <v>un</v>
      </c>
      <c r="E591" s="111">
        <f>Ferramentas!E257</f>
        <v>30</v>
      </c>
      <c r="F591" s="111">
        <f>Ferramentas!F257</f>
        <v>9.49</v>
      </c>
      <c r="G591" s="111">
        <f t="shared" si="32"/>
        <v>284.7</v>
      </c>
      <c r="H591" s="555">
        <f t="shared" ca="1" si="30"/>
        <v>0</v>
      </c>
    </row>
    <row r="592" spans="1:8" x14ac:dyDescent="0.25">
      <c r="A592" s="109" t="s">
        <v>2018</v>
      </c>
      <c r="B592" s="514" t="str">
        <f>Ferramentas!B258</f>
        <v>38377 - SINAPI</v>
      </c>
      <c r="C592" s="541" t="str">
        <f>Ferramentas!C258</f>
        <v xml:space="preserve"> Prumo de centro </v>
      </c>
      <c r="D592" s="110" t="str">
        <f>Ferramentas!D258</f>
        <v>un</v>
      </c>
      <c r="E592" s="111">
        <f>Ferramentas!E258</f>
        <v>5</v>
      </c>
      <c r="F592" s="111">
        <f>Ferramentas!F258</f>
        <v>24.01</v>
      </c>
      <c r="G592" s="111">
        <f t="shared" si="32"/>
        <v>120.05</v>
      </c>
      <c r="H592" s="555">
        <f t="shared" ca="1" si="30"/>
        <v>0</v>
      </c>
    </row>
    <row r="593" spans="1:8" x14ac:dyDescent="0.25">
      <c r="A593" s="109" t="s">
        <v>2019</v>
      </c>
      <c r="B593" s="514" t="str">
        <f>Ferramentas!B259</f>
        <v>38376 - SINAPI</v>
      </c>
      <c r="C593" s="541" t="str">
        <f>Ferramentas!C259</f>
        <v xml:space="preserve"> Prumo de parede </v>
      </c>
      <c r="D593" s="110" t="str">
        <f>Ferramentas!D259</f>
        <v>un</v>
      </c>
      <c r="E593" s="111">
        <f>Ferramentas!E259</f>
        <v>5</v>
      </c>
      <c r="F593" s="111">
        <f>Ferramentas!F259</f>
        <v>27.38</v>
      </c>
      <c r="G593" s="111">
        <f t="shared" si="32"/>
        <v>136.9</v>
      </c>
      <c r="H593" s="555">
        <f t="shared" ca="1" si="30"/>
        <v>0</v>
      </c>
    </row>
    <row r="594" spans="1:8" x14ac:dyDescent="0.25">
      <c r="A594" s="109" t="s">
        <v>2020</v>
      </c>
      <c r="B594" s="514">
        <f>Ferramentas!B260</f>
        <v>0</v>
      </c>
      <c r="C594" s="541" t="str">
        <f>Ferramentas!C260</f>
        <v xml:space="preserve"> Rastelo (ASG) </v>
      </c>
      <c r="D594" s="110" t="str">
        <f>Ferramentas!D260</f>
        <v>un</v>
      </c>
      <c r="E594" s="111">
        <f>Ferramentas!E260</f>
        <v>30</v>
      </c>
      <c r="F594" s="111">
        <f>Ferramentas!F260</f>
        <v>14.86</v>
      </c>
      <c r="G594" s="111">
        <f t="shared" si="32"/>
        <v>445.8</v>
      </c>
      <c r="H594" s="555">
        <f t="shared" ca="1" si="30"/>
        <v>0</v>
      </c>
    </row>
    <row r="595" spans="1:8" ht="38.25" x14ac:dyDescent="0.25">
      <c r="A595" s="109" t="s">
        <v>2021</v>
      </c>
      <c r="B595" s="514">
        <f>Ferramentas!B261</f>
        <v>0</v>
      </c>
      <c r="C595" s="541" t="str">
        <f>Ferramentas!C261</f>
        <v xml:space="preserve">Refletor redondo em alumínio anodizado para lâmpada vapor de mercúrio/sódio, corpo em aluminio com pintura epoxi, para lâmpada E-27 de 300 W, com suporte redondo e alça regulável para fixação. </v>
      </c>
      <c r="D595" s="110" t="str">
        <f>Ferramentas!D261</f>
        <v>un</v>
      </c>
      <c r="E595" s="111">
        <f>Ferramentas!E261</f>
        <v>30</v>
      </c>
      <c r="F595" s="111">
        <f>Ferramentas!F261</f>
        <v>41.5</v>
      </c>
      <c r="G595" s="111">
        <f t="shared" si="32"/>
        <v>1245</v>
      </c>
      <c r="H595" s="555">
        <f t="shared" ca="1" si="30"/>
        <v>0</v>
      </c>
    </row>
    <row r="596" spans="1:8" x14ac:dyDescent="0.25">
      <c r="A596" s="109" t="s">
        <v>2022</v>
      </c>
      <c r="B596" s="514">
        <f>Ferramentas!B262</f>
        <v>0</v>
      </c>
      <c r="C596" s="541" t="str">
        <f>Ferramentas!C262</f>
        <v xml:space="preserve"> Régua de alumínio - 2,00m </v>
      </c>
      <c r="D596" s="110" t="str">
        <f>Ferramentas!D262</f>
        <v>un</v>
      </c>
      <c r="E596" s="111">
        <f>Ferramentas!E262</f>
        <v>5</v>
      </c>
      <c r="F596" s="111">
        <f>Ferramentas!F262</f>
        <v>27.26</v>
      </c>
      <c r="G596" s="111">
        <f t="shared" si="32"/>
        <v>136.30000000000001</v>
      </c>
      <c r="H596" s="555">
        <f t="shared" ca="1" si="30"/>
        <v>0</v>
      </c>
    </row>
    <row r="597" spans="1:8" x14ac:dyDescent="0.25">
      <c r="A597" s="109" t="s">
        <v>2023</v>
      </c>
      <c r="B597" s="514">
        <f>Ferramentas!B263</f>
        <v>0</v>
      </c>
      <c r="C597" s="541" t="str">
        <f>Ferramentas!C263</f>
        <v xml:space="preserve"> Serrote 40cm </v>
      </c>
      <c r="D597" s="110" t="str">
        <f>Ferramentas!D263</f>
        <v>un</v>
      </c>
      <c r="E597" s="111">
        <f>Ferramentas!E263</f>
        <v>12</v>
      </c>
      <c r="F597" s="111">
        <f>Ferramentas!F263</f>
        <v>24.36</v>
      </c>
      <c r="G597" s="111">
        <f t="shared" si="32"/>
        <v>292.32</v>
      </c>
      <c r="H597" s="555">
        <f t="shared" ca="1" si="30"/>
        <v>0</v>
      </c>
    </row>
    <row r="598" spans="1:8" x14ac:dyDescent="0.25">
      <c r="A598" s="109" t="s">
        <v>2024</v>
      </c>
      <c r="B598" s="514">
        <f>Ferramentas!B264</f>
        <v>0</v>
      </c>
      <c r="C598" s="541" t="str">
        <f>Ferramentas!C264</f>
        <v xml:space="preserve"> Talhadeira de aço chato 10" </v>
      </c>
      <c r="D598" s="110" t="str">
        <f>Ferramentas!D264</f>
        <v>un</v>
      </c>
      <c r="E598" s="111">
        <f>Ferramentas!E264</f>
        <v>30</v>
      </c>
      <c r="F598" s="111">
        <f>Ferramentas!F264</f>
        <v>14.55</v>
      </c>
      <c r="G598" s="111">
        <f t="shared" si="32"/>
        <v>436.5</v>
      </c>
      <c r="H598" s="555">
        <f t="shared" ca="1" si="30"/>
        <v>0</v>
      </c>
    </row>
    <row r="599" spans="1:8" x14ac:dyDescent="0.25">
      <c r="A599" s="109" t="s">
        <v>2025</v>
      </c>
      <c r="B599" s="514">
        <f>Ferramentas!B265</f>
        <v>0</v>
      </c>
      <c r="C599" s="541" t="str">
        <f>Ferramentas!C265</f>
        <v xml:space="preserve"> Torqueza </v>
      </c>
      <c r="D599" s="110" t="str">
        <f>Ferramentas!D265</f>
        <v>un</v>
      </c>
      <c r="E599" s="111">
        <f>Ferramentas!E265</f>
        <v>15</v>
      </c>
      <c r="F599" s="111">
        <f>Ferramentas!F265</f>
        <v>25.25</v>
      </c>
      <c r="G599" s="111">
        <f t="shared" si="32"/>
        <v>378.75</v>
      </c>
      <c r="H599" s="555">
        <f t="shared" ca="1" si="30"/>
        <v>0</v>
      </c>
    </row>
    <row r="600" spans="1:8" x14ac:dyDescent="0.25">
      <c r="A600" s="109" t="s">
        <v>2026</v>
      </c>
      <c r="B600" s="514">
        <f>Ferramentas!B266</f>
        <v>0</v>
      </c>
      <c r="C600" s="541" t="str">
        <f>Ferramentas!C266</f>
        <v>Trena Metálica 8 m</v>
      </c>
      <c r="D600" s="110" t="str">
        <f>Ferramentas!D266</f>
        <v>un</v>
      </c>
      <c r="E600" s="111">
        <f>Ferramentas!E266</f>
        <v>20</v>
      </c>
      <c r="F600" s="111">
        <f>Ferramentas!F266</f>
        <v>31.37</v>
      </c>
      <c r="G600" s="111">
        <f t="shared" si="32"/>
        <v>627.4</v>
      </c>
      <c r="H600" s="555">
        <f t="shared" ca="1" si="30"/>
        <v>0</v>
      </c>
    </row>
    <row r="601" spans="1:8" x14ac:dyDescent="0.25">
      <c r="A601" s="109" t="s">
        <v>2027</v>
      </c>
      <c r="B601" s="514">
        <f>Ferramentas!B267</f>
        <v>0</v>
      </c>
      <c r="C601" s="541" t="str">
        <f>Ferramentas!C267</f>
        <v xml:space="preserve"> Trena de Fita 20m </v>
      </c>
      <c r="D601" s="110" t="str">
        <f>Ferramentas!D267</f>
        <v>un</v>
      </c>
      <c r="E601" s="111">
        <f>Ferramentas!E267</f>
        <v>3</v>
      </c>
      <c r="F601" s="111">
        <f>Ferramentas!F267</f>
        <v>35.9</v>
      </c>
      <c r="G601" s="111">
        <f t="shared" si="32"/>
        <v>107.7</v>
      </c>
      <c r="H601" s="555">
        <f t="shared" ca="1" si="30"/>
        <v>0</v>
      </c>
    </row>
    <row r="602" spans="1:8" x14ac:dyDescent="0.25">
      <c r="A602" s="109" t="s">
        <v>2028</v>
      </c>
      <c r="B602" s="514">
        <f>Ferramentas!B268</f>
        <v>0</v>
      </c>
      <c r="C602" s="541" t="str">
        <f>Ferramentas!C268</f>
        <v xml:space="preserve"> Trena de Fita 50m </v>
      </c>
      <c r="D602" s="110" t="str">
        <f>Ferramentas!D268</f>
        <v>un</v>
      </c>
      <c r="E602" s="111">
        <f>Ferramentas!E268</f>
        <v>3</v>
      </c>
      <c r="F602" s="111">
        <f>Ferramentas!F268</f>
        <v>38.340000000000003</v>
      </c>
      <c r="G602" s="111">
        <f t="shared" si="32"/>
        <v>115.02</v>
      </c>
      <c r="H602" s="555">
        <f t="shared" ca="1" si="30"/>
        <v>0</v>
      </c>
    </row>
    <row r="603" spans="1:8" x14ac:dyDescent="0.25">
      <c r="A603" s="109"/>
      <c r="B603" s="514"/>
      <c r="C603" s="541"/>
      <c r="D603" s="110"/>
      <c r="E603" s="111"/>
      <c r="F603" s="111"/>
      <c r="G603" s="111"/>
      <c r="H603" s="551"/>
    </row>
    <row r="604" spans="1:8" x14ac:dyDescent="0.25">
      <c r="A604" s="109" t="s">
        <v>608</v>
      </c>
      <c r="B604" s="514"/>
      <c r="C604" s="541" t="str">
        <f>Equipamentos!C13</f>
        <v>EQUIPAMENTOS</v>
      </c>
      <c r="D604" s="110"/>
      <c r="E604" s="111"/>
      <c r="F604" s="111"/>
      <c r="G604" s="111">
        <f>SUBTOTAL(109,G605:G727)</f>
        <v>13664858.779999994</v>
      </c>
      <c r="H604" s="555">
        <f t="shared" ref="H604:H665" ca="1" si="33">ROUND(G604/G$8,4)</f>
        <v>0.19689999999999999</v>
      </c>
    </row>
    <row r="605" spans="1:8" x14ac:dyDescent="0.25">
      <c r="A605" s="109" t="s">
        <v>2029</v>
      </c>
      <c r="B605" s="514"/>
      <c r="C605" s="541" t="str">
        <f>Equipamentos!C15</f>
        <v>EQUIPAMENTOS - MECÂNICA</v>
      </c>
      <c r="D605" s="110"/>
      <c r="E605" s="111"/>
      <c r="F605" s="111"/>
      <c r="G605" s="111">
        <f>SUBTOTAL(109,G606:G649)</f>
        <v>92643.74</v>
      </c>
      <c r="H605" s="555">
        <f t="shared" ca="1" si="33"/>
        <v>1.2999999999999999E-3</v>
      </c>
    </row>
    <row r="606" spans="1:8" x14ac:dyDescent="0.25">
      <c r="A606" s="109" t="s">
        <v>2030</v>
      </c>
      <c r="B606" s="514" t="str">
        <f>Equipamentos!B16</f>
        <v>COT_AFER</v>
      </c>
      <c r="C606" s="541" t="str">
        <f>Equipamentos!C16</f>
        <v xml:space="preserve">Aferidor de manômetro de 0 a 150 bar </v>
      </c>
      <c r="D606" s="110" t="str">
        <f>Equipamentos!D16</f>
        <v>un x mês</v>
      </c>
      <c r="E606" s="111">
        <f>Equipamentos!E16</f>
        <v>12</v>
      </c>
      <c r="F606" s="111">
        <f>Equipamentos!F16</f>
        <v>382.30555555555554</v>
      </c>
      <c r="G606" s="111">
        <f t="shared" si="32"/>
        <v>4587.67</v>
      </c>
      <c r="H606" s="555">
        <f t="shared" ca="1" si="33"/>
        <v>1E-4</v>
      </c>
    </row>
    <row r="607" spans="1:8" x14ac:dyDescent="0.25">
      <c r="A607" s="109" t="s">
        <v>2031</v>
      </c>
      <c r="B607" s="514" t="str">
        <f>Equipamentos!B17</f>
        <v>COT_ALMO_FLEX</v>
      </c>
      <c r="C607" s="541" t="str">
        <f>Equipamentos!C17</f>
        <v>Almotolia de bico flexível 500ml</v>
      </c>
      <c r="D607" s="110" t="str">
        <f>Equipamentos!D17</f>
        <v>un x mês</v>
      </c>
      <c r="E607" s="111">
        <f>Equipamentos!E17</f>
        <v>36</v>
      </c>
      <c r="F607" s="111">
        <f>Equipamentos!F17</f>
        <v>2.6751851851851853</v>
      </c>
      <c r="G607" s="111">
        <f t="shared" si="32"/>
        <v>96.31</v>
      </c>
      <c r="H607" s="555">
        <f t="shared" ca="1" si="33"/>
        <v>0</v>
      </c>
    </row>
    <row r="608" spans="1:8" x14ac:dyDescent="0.25">
      <c r="A608" s="109" t="s">
        <v>2032</v>
      </c>
      <c r="B608" s="514" t="str">
        <f>Equipamentos!B18</f>
        <v>COT_ALMO_RIG</v>
      </c>
      <c r="C608" s="541" t="str">
        <f>Equipamentos!C18</f>
        <v>Almotolia de bico rígido 500ml</v>
      </c>
      <c r="D608" s="110" t="str">
        <f>Equipamentos!D18</f>
        <v>un x mês</v>
      </c>
      <c r="E608" s="111">
        <f>Equipamentos!E18</f>
        <v>36</v>
      </c>
      <c r="F608" s="111">
        <f>Equipamentos!F18</f>
        <v>1.8862962962962959</v>
      </c>
      <c r="G608" s="111">
        <f t="shared" si="32"/>
        <v>67.91</v>
      </c>
      <c r="H608" s="555">
        <f t="shared" ca="1" si="33"/>
        <v>0</v>
      </c>
    </row>
    <row r="609" spans="1:8" ht="25.5" x14ac:dyDescent="0.25">
      <c r="A609" s="109" t="s">
        <v>2033</v>
      </c>
      <c r="B609" s="514" t="str">
        <f>Equipamentos!B19</f>
        <v>COT_ANDA</v>
      </c>
      <c r="C609" s="541" t="str">
        <f>Equipamentos!C19</f>
        <v>Andaime metálico tipo fachadeiro Dim: Largura= 1,20m / Altura por peça= 2,00m. (Altura Total=10m - 5 peças por conjunto)</v>
      </c>
      <c r="D609" s="110" t="str">
        <f>Equipamentos!D19</f>
        <v>m²</v>
      </c>
      <c r="E609" s="111">
        <f>Equipamentos!E19</f>
        <v>144</v>
      </c>
      <c r="F609" s="111">
        <f>Equipamentos!F19</f>
        <v>2.99</v>
      </c>
      <c r="G609" s="111">
        <f t="shared" si="32"/>
        <v>430.56</v>
      </c>
      <c r="H609" s="555">
        <f t="shared" ca="1" si="33"/>
        <v>0</v>
      </c>
    </row>
    <row r="610" spans="1:8" x14ac:dyDescent="0.25">
      <c r="A610" s="109" t="s">
        <v>2034</v>
      </c>
      <c r="B610" s="514" t="str">
        <f>Equipamentos!B20</f>
        <v>COT_BANC_OFIC</v>
      </c>
      <c r="C610" s="541" t="str">
        <f>Equipamentos!C20</f>
        <v xml:space="preserve">Bancada para oficina (Dim: 1,2m x 2,5m) </v>
      </c>
      <c r="D610" s="110" t="str">
        <f>Equipamentos!D20</f>
        <v>un x mês</v>
      </c>
      <c r="E610" s="111">
        <f>Equipamentos!E20</f>
        <v>72</v>
      </c>
      <c r="F610" s="111">
        <f>Equipamentos!F20</f>
        <v>58.701481481481487</v>
      </c>
      <c r="G610" s="111">
        <f t="shared" si="32"/>
        <v>4226.51</v>
      </c>
      <c r="H610" s="555">
        <f t="shared" ca="1" si="33"/>
        <v>1E-4</v>
      </c>
    </row>
    <row r="611" spans="1:8" x14ac:dyDescent="0.25">
      <c r="A611" s="109" t="s">
        <v>2035</v>
      </c>
      <c r="B611" s="514" t="str">
        <f>Equipamentos!B21</f>
        <v>COT_BOMB_GRAX</v>
      </c>
      <c r="C611" s="541" t="str">
        <f>Equipamentos!C21</f>
        <v xml:space="preserve">Bomba de graxa manual 5kg </v>
      </c>
      <c r="D611" s="110" t="str">
        <f>Equipamentos!D21</f>
        <v>un x mês</v>
      </c>
      <c r="E611" s="111">
        <f>Equipamentos!E21</f>
        <v>36</v>
      </c>
      <c r="F611" s="111">
        <f>Equipamentos!F21</f>
        <v>14.312222222222223</v>
      </c>
      <c r="G611" s="111">
        <f t="shared" si="32"/>
        <v>515.24</v>
      </c>
      <c r="H611" s="555">
        <f t="shared" ca="1" si="33"/>
        <v>0</v>
      </c>
    </row>
    <row r="612" spans="1:8" ht="25.5" x14ac:dyDescent="0.25">
      <c r="A612" s="109" t="s">
        <v>2036</v>
      </c>
      <c r="B612" s="514" t="str">
        <f>Equipamentos!B22</f>
        <v>13914 - SINAPI/PE</v>
      </c>
      <c r="C612" s="541" t="str">
        <f>Equipamentos!C22</f>
        <v xml:space="preserve">Talha Manual de Corrente com Alavanca 1,5 t Elevação 1,5m (Catraca 1,5 ton) </v>
      </c>
      <c r="D612" s="110" t="str">
        <f>Equipamentos!D22</f>
        <v>un x mês</v>
      </c>
      <c r="E612" s="111">
        <f>Equipamentos!E22</f>
        <v>12</v>
      </c>
      <c r="F612" s="111">
        <f>Equipamentos!F22</f>
        <v>43.13</v>
      </c>
      <c r="G612" s="111">
        <f t="shared" si="32"/>
        <v>517.55999999999995</v>
      </c>
      <c r="H612" s="555">
        <f t="shared" ca="1" si="33"/>
        <v>0</v>
      </c>
    </row>
    <row r="613" spans="1:8" x14ac:dyDescent="0.25">
      <c r="A613" s="109" t="s">
        <v>2037</v>
      </c>
      <c r="B613" s="514" t="str">
        <f>Equipamentos!B23</f>
        <v>COT_CHAV_46</v>
      </c>
      <c r="C613" s="541" t="str">
        <f>Equipamentos!C23</f>
        <v xml:space="preserve">Chave de impacto 46mm boca/estria </v>
      </c>
      <c r="D613" s="110" t="str">
        <f>Equipamentos!D23</f>
        <v>un x mês</v>
      </c>
      <c r="E613" s="111">
        <f>Equipamentos!E23</f>
        <v>24</v>
      </c>
      <c r="F613" s="111">
        <f>Equipamentos!F23</f>
        <v>6.8411111111111111</v>
      </c>
      <c r="G613" s="111">
        <f t="shared" si="32"/>
        <v>164.19</v>
      </c>
      <c r="H613" s="555">
        <f t="shared" ca="1" si="33"/>
        <v>0</v>
      </c>
    </row>
    <row r="614" spans="1:8" x14ac:dyDescent="0.25">
      <c r="A614" s="109" t="s">
        <v>2038</v>
      </c>
      <c r="B614" s="514" t="str">
        <f>Equipamentos!B24</f>
        <v>COT_CHAV_55</v>
      </c>
      <c r="C614" s="541" t="str">
        <f>Equipamentos!C24</f>
        <v xml:space="preserve">Chave de impacto 55mm boca/estria </v>
      </c>
      <c r="D614" s="110" t="str">
        <f>Equipamentos!D24</f>
        <v>un x mês</v>
      </c>
      <c r="E614" s="111">
        <f>Equipamentos!E24</f>
        <v>24</v>
      </c>
      <c r="F614" s="111">
        <f>Equipamentos!F24</f>
        <v>12.591481481481482</v>
      </c>
      <c r="G614" s="111">
        <f t="shared" si="32"/>
        <v>302.2</v>
      </c>
      <c r="H614" s="555">
        <f t="shared" ca="1" si="33"/>
        <v>0</v>
      </c>
    </row>
    <row r="615" spans="1:8" x14ac:dyDescent="0.25">
      <c r="A615" s="109" t="s">
        <v>2039</v>
      </c>
      <c r="B615" s="514" t="str">
        <f>Equipamentos!B25</f>
        <v>COT_CHAV_60</v>
      </c>
      <c r="C615" s="541" t="str">
        <f>Equipamentos!C25</f>
        <v xml:space="preserve">Chave de impacto 60mm boca/estria </v>
      </c>
      <c r="D615" s="110" t="str">
        <f>Equipamentos!D25</f>
        <v>un x mês</v>
      </c>
      <c r="E615" s="111">
        <f>Equipamentos!E25</f>
        <v>24</v>
      </c>
      <c r="F615" s="111">
        <f>Equipamentos!F25</f>
        <v>13.599444444444442</v>
      </c>
      <c r="G615" s="111">
        <f t="shared" si="32"/>
        <v>326.39</v>
      </c>
      <c r="H615" s="555">
        <f t="shared" ca="1" si="33"/>
        <v>0</v>
      </c>
    </row>
    <row r="616" spans="1:8" x14ac:dyDescent="0.25">
      <c r="A616" s="109" t="s">
        <v>2040</v>
      </c>
      <c r="B616" s="514" t="str">
        <f>Equipamentos!B26</f>
        <v>COT_CHAV_65</v>
      </c>
      <c r="C616" s="541" t="str">
        <f>Equipamentos!C26</f>
        <v xml:space="preserve">Chave de impacto 65mm boca/estria </v>
      </c>
      <c r="D616" s="110" t="str">
        <f>Equipamentos!D26</f>
        <v>un x mês</v>
      </c>
      <c r="E616" s="111">
        <f>Equipamentos!E26</f>
        <v>24</v>
      </c>
      <c r="F616" s="111">
        <f>Equipamentos!F26</f>
        <v>24.81722222222222</v>
      </c>
      <c r="G616" s="111">
        <f t="shared" si="32"/>
        <v>595.61</v>
      </c>
      <c r="H616" s="555">
        <f t="shared" ca="1" si="33"/>
        <v>0</v>
      </c>
    </row>
    <row r="617" spans="1:8" x14ac:dyDescent="0.25">
      <c r="A617" s="109" t="s">
        <v>2041</v>
      </c>
      <c r="B617" s="514" t="str">
        <f>Equipamentos!B27</f>
        <v>COT_CHAV_70</v>
      </c>
      <c r="C617" s="541" t="str">
        <f>Equipamentos!C27</f>
        <v xml:space="preserve">Chave de impacto 70mm boca/estria </v>
      </c>
      <c r="D617" s="110" t="str">
        <f>Equipamentos!D27</f>
        <v>un x mês</v>
      </c>
      <c r="E617" s="111">
        <f>Equipamentos!E27</f>
        <v>24</v>
      </c>
      <c r="F617" s="111">
        <f>Equipamentos!F27</f>
        <v>22.496296296296297</v>
      </c>
      <c r="G617" s="111">
        <f t="shared" si="32"/>
        <v>539.91</v>
      </c>
      <c r="H617" s="555">
        <f t="shared" ca="1" si="33"/>
        <v>0</v>
      </c>
    </row>
    <row r="618" spans="1:8" x14ac:dyDescent="0.25">
      <c r="A618" s="109" t="s">
        <v>2042</v>
      </c>
      <c r="B618" s="514" t="str">
        <f>Equipamentos!B28</f>
        <v>COT_CHAV_75</v>
      </c>
      <c r="C618" s="541" t="str">
        <f>Equipamentos!C28</f>
        <v>Chave de impacto 75mm boca/estria</v>
      </c>
      <c r="D618" s="110" t="str">
        <f>Equipamentos!D28</f>
        <v>un x mês</v>
      </c>
      <c r="E618" s="111">
        <f>Equipamentos!E28</f>
        <v>48</v>
      </c>
      <c r="F618" s="111">
        <f>Equipamentos!F28</f>
        <v>37.027592592592597</v>
      </c>
      <c r="G618" s="111">
        <f t="shared" si="32"/>
        <v>1777.32</v>
      </c>
      <c r="H618" s="555">
        <f t="shared" ca="1" si="33"/>
        <v>0</v>
      </c>
    </row>
    <row r="619" spans="1:8" x14ac:dyDescent="0.25">
      <c r="A619" s="109" t="s">
        <v>2043</v>
      </c>
      <c r="B619" s="514" t="str">
        <f>Equipamentos!B29</f>
        <v>COT_CHAV_85</v>
      </c>
      <c r="C619" s="541" t="str">
        <f>Equipamentos!C29</f>
        <v>Chave de impacto 85mm boca/estria</v>
      </c>
      <c r="D619" s="110" t="str">
        <f>Equipamentos!D29</f>
        <v>un x mês</v>
      </c>
      <c r="E619" s="111">
        <f>Equipamentos!E29</f>
        <v>48</v>
      </c>
      <c r="F619" s="111">
        <f>Equipamentos!F29</f>
        <v>62.664444444444449</v>
      </c>
      <c r="G619" s="111">
        <f t="shared" ref="G619:G676" si="34">ROUND(E619*F619,2)</f>
        <v>3007.89</v>
      </c>
      <c r="H619" s="555">
        <f t="shared" ca="1" si="33"/>
        <v>0</v>
      </c>
    </row>
    <row r="620" spans="1:8" ht="25.5" x14ac:dyDescent="0.25">
      <c r="A620" s="109" t="s">
        <v>2044</v>
      </c>
      <c r="B620" s="514" t="str">
        <f>Equipamentos!B30</f>
        <v>COT_CINT_3T</v>
      </c>
      <c r="C620" s="541" t="str">
        <f>Equipamentos!C30</f>
        <v>Cinta para elevação de carga (comprimento: 3m / capacidade de carga: 3t)</v>
      </c>
      <c r="D620" s="110" t="str">
        <f>Equipamentos!D30</f>
        <v>un x mês</v>
      </c>
      <c r="E620" s="111">
        <f>Equipamentos!E30</f>
        <v>18</v>
      </c>
      <c r="F620" s="111">
        <f>Equipamentos!F30</f>
        <v>6.4644444444444442</v>
      </c>
      <c r="G620" s="111">
        <f t="shared" si="34"/>
        <v>116.36</v>
      </c>
      <c r="H620" s="555">
        <f t="shared" ca="1" si="33"/>
        <v>0</v>
      </c>
    </row>
    <row r="621" spans="1:8" ht="25.5" x14ac:dyDescent="0.25">
      <c r="A621" s="109" t="s">
        <v>2045</v>
      </c>
      <c r="B621" s="514" t="str">
        <f>Equipamentos!B31</f>
        <v>COT_CINT_20T</v>
      </c>
      <c r="C621" s="541" t="str">
        <f>Equipamentos!C31</f>
        <v>Cinta para elevação de carga  (comprimento: 6m / capacidade de carga: 20t)</v>
      </c>
      <c r="D621" s="110" t="str">
        <f>Equipamentos!D31</f>
        <v>un x mês</v>
      </c>
      <c r="E621" s="111">
        <f>Equipamentos!E31</f>
        <v>18</v>
      </c>
      <c r="F621" s="111">
        <f>Equipamentos!F31</f>
        <v>69.444444444444443</v>
      </c>
      <c r="G621" s="111">
        <f t="shared" si="34"/>
        <v>1250</v>
      </c>
      <c r="H621" s="555">
        <f t="shared" ca="1" si="33"/>
        <v>0</v>
      </c>
    </row>
    <row r="622" spans="1:8" x14ac:dyDescent="0.25">
      <c r="A622" s="109" t="s">
        <v>2046</v>
      </c>
      <c r="B622" s="514" t="str">
        <f>Equipamentos!B32</f>
        <v>COT_CORT</v>
      </c>
      <c r="C622" s="541" t="str">
        <f>Equipamentos!C32</f>
        <v>Cortador a frio para tubos - Cortador Tubo Ferro Ferrari 1/8" - 2"</v>
      </c>
      <c r="D622" s="110" t="str">
        <f>Equipamentos!D32</f>
        <v>un x mês</v>
      </c>
      <c r="E622" s="111">
        <f>Equipamentos!E32</f>
        <v>24</v>
      </c>
      <c r="F622" s="111">
        <f>Equipamentos!F32</f>
        <v>19.653703703703702</v>
      </c>
      <c r="G622" s="111">
        <f t="shared" si="34"/>
        <v>471.69</v>
      </c>
      <c r="H622" s="555">
        <f t="shared" ca="1" si="33"/>
        <v>0</v>
      </c>
    </row>
    <row r="623" spans="1:8" x14ac:dyDescent="0.25">
      <c r="A623" s="109" t="s">
        <v>2047</v>
      </c>
      <c r="B623" s="514" t="str">
        <f>Equipamentos!B33</f>
        <v>COT_CURV</v>
      </c>
      <c r="C623" s="541" t="str">
        <f>Equipamentos!C33</f>
        <v>Curvador de tubos (Até 1”) - Curvador e Dobrador De Tubos Manual</v>
      </c>
      <c r="D623" s="110" t="str">
        <f>Equipamentos!D33</f>
        <v>un x mês</v>
      </c>
      <c r="E623" s="111">
        <f>Equipamentos!E33</f>
        <v>24</v>
      </c>
      <c r="F623" s="111">
        <f>Equipamentos!F33</f>
        <v>78.407037037037028</v>
      </c>
      <c r="G623" s="111">
        <f t="shared" si="34"/>
        <v>1881.77</v>
      </c>
      <c r="H623" s="555">
        <f t="shared" ca="1" si="33"/>
        <v>0</v>
      </c>
    </row>
    <row r="624" spans="1:8" x14ac:dyDescent="0.25">
      <c r="A624" s="109" t="s">
        <v>2048</v>
      </c>
      <c r="B624" s="514" t="str">
        <f>Equipamentos!B34</f>
        <v>38476 - SINAPI/PE</v>
      </c>
      <c r="C624" s="541" t="str">
        <f>Equipamentos!C34</f>
        <v xml:space="preserve">Escada de abrir com 2 x 8 degraus (2,40m) em alumínio </v>
      </c>
      <c r="D624" s="110" t="str">
        <f>Equipamentos!D34</f>
        <v>un x mês</v>
      </c>
      <c r="E624" s="111">
        <f>Equipamentos!E34</f>
        <v>48</v>
      </c>
      <c r="F624" s="111">
        <f>Equipamentos!F34</f>
        <v>13.59</v>
      </c>
      <c r="G624" s="111">
        <f t="shared" si="34"/>
        <v>652.32000000000005</v>
      </c>
      <c r="H624" s="555">
        <f t="shared" ca="1" si="33"/>
        <v>0</v>
      </c>
    </row>
    <row r="625" spans="1:8" ht="25.5" x14ac:dyDescent="0.25">
      <c r="A625" s="109" t="s">
        <v>2049</v>
      </c>
      <c r="B625" s="514" t="str">
        <f>Equipamentos!B35</f>
        <v>38477 - SINAPI/PE</v>
      </c>
      <c r="C625" s="541" t="str">
        <f>Equipamentos!C35</f>
        <v xml:space="preserve">Escada de marinheiro extensível em duraluníno com 10 x 20 degraus (3,00m / 6,00m) </v>
      </c>
      <c r="D625" s="110" t="str">
        <f>Equipamentos!D35</f>
        <v>un x mês</v>
      </c>
      <c r="E625" s="111">
        <f>Equipamentos!E35</f>
        <v>36</v>
      </c>
      <c r="F625" s="111">
        <f>Equipamentos!F35</f>
        <v>38.49</v>
      </c>
      <c r="G625" s="111">
        <f t="shared" si="34"/>
        <v>1385.64</v>
      </c>
      <c r="H625" s="555">
        <f t="shared" ca="1" si="33"/>
        <v>0</v>
      </c>
    </row>
    <row r="626" spans="1:8" x14ac:dyDescent="0.25">
      <c r="A626" s="109" t="s">
        <v>2050</v>
      </c>
      <c r="B626" s="514" t="str">
        <f>Equipamentos!B36</f>
        <v>COT_ESCA_07</v>
      </c>
      <c r="C626" s="541" t="str">
        <f>Equipamentos!C36</f>
        <v xml:space="preserve">Escada metálica de 07 degraus </v>
      </c>
      <c r="D626" s="110" t="str">
        <f>Equipamentos!D36</f>
        <v>un x mês</v>
      </c>
      <c r="E626" s="111">
        <f>Equipamentos!E36</f>
        <v>36</v>
      </c>
      <c r="F626" s="111">
        <f>Equipamentos!F36</f>
        <v>6.8944444444444448</v>
      </c>
      <c r="G626" s="111">
        <f t="shared" si="34"/>
        <v>248.2</v>
      </c>
      <c r="H626" s="555">
        <f t="shared" ca="1" si="33"/>
        <v>0</v>
      </c>
    </row>
    <row r="627" spans="1:8" x14ac:dyDescent="0.25">
      <c r="A627" s="109" t="s">
        <v>2051</v>
      </c>
      <c r="B627" s="514" t="str">
        <f>Equipamentos!B37</f>
        <v>COT_ESCA_16</v>
      </c>
      <c r="C627" s="541" t="str">
        <f>Equipamentos!C37</f>
        <v>Escada articulada multifuncional 4x4 16 degraus</v>
      </c>
      <c r="D627" s="110" t="str">
        <f>Equipamentos!D37</f>
        <v>un x mês</v>
      </c>
      <c r="E627" s="111">
        <f>Equipamentos!E37</f>
        <v>12</v>
      </c>
      <c r="F627" s="111">
        <f>Equipamentos!F37</f>
        <v>19.143518518518519</v>
      </c>
      <c r="G627" s="111">
        <f t="shared" si="34"/>
        <v>229.72</v>
      </c>
      <c r="H627" s="555">
        <f t="shared" ca="1" si="33"/>
        <v>0</v>
      </c>
    </row>
    <row r="628" spans="1:8" x14ac:dyDescent="0.25">
      <c r="A628" s="109" t="s">
        <v>2052</v>
      </c>
      <c r="B628" s="514" t="str">
        <f>Equipamentos!B38</f>
        <v>COT_ESME</v>
      </c>
      <c r="C628" s="541" t="str">
        <f>Equipamentos!C38</f>
        <v xml:space="preserve">Esmerilhadeira angular de 4 ½” </v>
      </c>
      <c r="D628" s="110" t="str">
        <f>Equipamentos!D38</f>
        <v>un x mês</v>
      </c>
      <c r="E628" s="111">
        <f>Equipamentos!E38</f>
        <v>24</v>
      </c>
      <c r="F628" s="111">
        <f>Equipamentos!F38</f>
        <v>8.4977777777777774</v>
      </c>
      <c r="G628" s="111">
        <f t="shared" si="34"/>
        <v>203.95</v>
      </c>
      <c r="H628" s="555">
        <f t="shared" ca="1" si="33"/>
        <v>0</v>
      </c>
    </row>
    <row r="629" spans="1:8" x14ac:dyDescent="0.25">
      <c r="A629" s="109" t="s">
        <v>2053</v>
      </c>
      <c r="B629" s="514" t="str">
        <f>Equipamentos!B39</f>
        <v>11359 - SINAPI/PE</v>
      </c>
      <c r="C629" s="541" t="str">
        <f>Equipamentos!C39</f>
        <v xml:space="preserve">Esmerilhadeira angular de 7” </v>
      </c>
      <c r="D629" s="110" t="str">
        <f>Equipamentos!D39</f>
        <v>un x mês</v>
      </c>
      <c r="E629" s="111">
        <f>Equipamentos!E39</f>
        <v>24</v>
      </c>
      <c r="F629" s="111">
        <f>Equipamentos!F39</f>
        <v>35.6</v>
      </c>
      <c r="G629" s="111">
        <f t="shared" si="34"/>
        <v>854.4</v>
      </c>
      <c r="H629" s="555">
        <f t="shared" ca="1" si="33"/>
        <v>0</v>
      </c>
    </row>
    <row r="630" spans="1:8" x14ac:dyDescent="0.25">
      <c r="A630" s="109" t="s">
        <v>2054</v>
      </c>
      <c r="B630" s="514" t="str">
        <f>Equipamentos!B40</f>
        <v>I9378 - SEINFRA/CE</v>
      </c>
      <c r="C630" s="541" t="str">
        <f>Equipamentos!C40</f>
        <v>Furadeira Manual 650W 1050 – 1450 RPM 220V Ø 13mm</v>
      </c>
      <c r="D630" s="110" t="str">
        <f>Equipamentos!D40</f>
        <v>un x mês</v>
      </c>
      <c r="E630" s="111">
        <f>Equipamentos!E40</f>
        <v>24</v>
      </c>
      <c r="F630" s="111">
        <f>Equipamentos!F40</f>
        <v>14.08</v>
      </c>
      <c r="G630" s="111">
        <f t="shared" si="34"/>
        <v>337.92</v>
      </c>
      <c r="H630" s="555">
        <f t="shared" ca="1" si="33"/>
        <v>0</v>
      </c>
    </row>
    <row r="631" spans="1:8" x14ac:dyDescent="0.25">
      <c r="A631" s="109" t="s">
        <v>2055</v>
      </c>
      <c r="B631" s="514" t="str">
        <f>Equipamentos!B41</f>
        <v>COT_INDU</v>
      </c>
      <c r="C631" s="541" t="str">
        <f>Equipamentos!C41</f>
        <v xml:space="preserve">Indutor elétrico para aquecimento de rolamentos (JM 500) </v>
      </c>
      <c r="D631" s="110" t="str">
        <f>Equipamentos!D41</f>
        <v>un x mês</v>
      </c>
      <c r="E631" s="111">
        <f>Equipamentos!E41</f>
        <v>12</v>
      </c>
      <c r="F631" s="111">
        <f>Equipamentos!F41</f>
        <v>2012.1599999999999</v>
      </c>
      <c r="G631" s="111">
        <f t="shared" si="34"/>
        <v>24145.919999999998</v>
      </c>
      <c r="H631" s="555">
        <f t="shared" ca="1" si="33"/>
        <v>2.9999999999999997E-4</v>
      </c>
    </row>
    <row r="632" spans="1:8" x14ac:dyDescent="0.25">
      <c r="A632" s="109" t="s">
        <v>2056</v>
      </c>
      <c r="B632" s="514" t="str">
        <f>Equipamentos!B42</f>
        <v>COT_LIXA</v>
      </c>
      <c r="C632" s="541" t="str">
        <f>Equipamentos!C42</f>
        <v xml:space="preserve">Lixadeira 4 1/2" </v>
      </c>
      <c r="D632" s="110" t="str">
        <f>Equipamentos!D42</f>
        <v>un x mês</v>
      </c>
      <c r="E632" s="111">
        <f>Equipamentos!E42</f>
        <v>24</v>
      </c>
      <c r="F632" s="111">
        <f>Equipamentos!F42</f>
        <v>21.661481481481484</v>
      </c>
      <c r="G632" s="111">
        <f t="shared" si="34"/>
        <v>519.88</v>
      </c>
      <c r="H632" s="555">
        <f t="shared" ca="1" si="33"/>
        <v>0</v>
      </c>
    </row>
    <row r="633" spans="1:8" ht="25.5" x14ac:dyDescent="0.25">
      <c r="A633" s="109" t="s">
        <v>2057</v>
      </c>
      <c r="B633" s="514" t="str">
        <f>Equipamentos!B43</f>
        <v>COT_MACA_20T</v>
      </c>
      <c r="C633" s="541" t="str">
        <f>Equipamentos!C43</f>
        <v>Macaco de comando a distância 20 t - Macaco Hidráulico 20 Toneladas Tipo Garrafa</v>
      </c>
      <c r="D633" s="110" t="str">
        <f>Equipamentos!D43</f>
        <v>un x mês</v>
      </c>
      <c r="E633" s="111">
        <f>Equipamentos!E43</f>
        <v>24</v>
      </c>
      <c r="F633" s="111">
        <f>Equipamentos!F43</f>
        <v>10.920370370370371</v>
      </c>
      <c r="G633" s="111">
        <f t="shared" si="34"/>
        <v>262.08999999999997</v>
      </c>
      <c r="H633" s="555">
        <f t="shared" ca="1" si="33"/>
        <v>0</v>
      </c>
    </row>
    <row r="634" spans="1:8" ht="25.5" x14ac:dyDescent="0.25">
      <c r="A634" s="109" t="s">
        <v>2058</v>
      </c>
      <c r="B634" s="514" t="str">
        <f>Equipamentos!B44</f>
        <v>COT_MACA_50T</v>
      </c>
      <c r="C634" s="541" t="str">
        <f>Equipamentos!C44</f>
        <v>Macaco de comando a distância 50 t - Macaco Hidráulico 50 Toneladas Tipo Garrafa</v>
      </c>
      <c r="D634" s="110" t="str">
        <f>Equipamentos!D44</f>
        <v>un x mês</v>
      </c>
      <c r="E634" s="111">
        <f>Equipamentos!E44</f>
        <v>24</v>
      </c>
      <c r="F634" s="111">
        <f>Equipamentos!F44</f>
        <v>39.440555555555555</v>
      </c>
      <c r="G634" s="111">
        <f t="shared" si="34"/>
        <v>946.57</v>
      </c>
      <c r="H634" s="555">
        <f t="shared" ca="1" si="33"/>
        <v>0</v>
      </c>
    </row>
    <row r="635" spans="1:8" ht="25.5" x14ac:dyDescent="0.25">
      <c r="A635" s="109" t="s">
        <v>2059</v>
      </c>
      <c r="B635" s="514" t="str">
        <f>Equipamentos!B45</f>
        <v>COT_MACA_2T</v>
      </c>
      <c r="C635" s="541" t="str">
        <f>Equipamentos!C45</f>
        <v>Macaco tipo elevador capacidade de 2 t - Macaco Hidráulico 2 Toneladas tipo Garrafa</v>
      </c>
      <c r="D635" s="110" t="str">
        <f>Equipamentos!D45</f>
        <v>un x mês</v>
      </c>
      <c r="E635" s="111">
        <f>Equipamentos!E45</f>
        <v>24</v>
      </c>
      <c r="F635" s="111">
        <f>Equipamentos!F45</f>
        <v>3.088703703703704</v>
      </c>
      <c r="G635" s="111">
        <f t="shared" si="34"/>
        <v>74.13</v>
      </c>
      <c r="H635" s="555">
        <f t="shared" ca="1" si="33"/>
        <v>0</v>
      </c>
    </row>
    <row r="636" spans="1:8" ht="25.5" x14ac:dyDescent="0.25">
      <c r="A636" s="109" t="s">
        <v>2060</v>
      </c>
      <c r="B636" s="514" t="str">
        <f>Equipamentos!B46</f>
        <v>COT_MACA_GIR</v>
      </c>
      <c r="C636" s="541" t="str">
        <f>Equipamentos!C46</f>
        <v>Macaco tipo girafa de 2 t - Guincho Hidráulico 2 Toneladas com Prolongador</v>
      </c>
      <c r="D636" s="110" t="str">
        <f>Equipamentos!D46</f>
        <v>un x mês</v>
      </c>
      <c r="E636" s="111">
        <f>Equipamentos!E46</f>
        <v>24</v>
      </c>
      <c r="F636" s="111">
        <f>Equipamentos!F46</f>
        <v>109.81425925925925</v>
      </c>
      <c r="G636" s="111">
        <f t="shared" si="34"/>
        <v>2635.54</v>
      </c>
      <c r="H636" s="555">
        <f t="shared" ca="1" si="33"/>
        <v>0</v>
      </c>
    </row>
    <row r="637" spans="1:8" x14ac:dyDescent="0.25">
      <c r="A637" s="109" t="s">
        <v>2061</v>
      </c>
      <c r="B637" s="514" t="str">
        <f>Equipamentos!B47</f>
        <v>40403 - SINAPI/PE</v>
      </c>
      <c r="C637" s="541" t="str">
        <f>Equipamentos!C47</f>
        <v>Máquina de solda elétrica de 250 A com kit.</v>
      </c>
      <c r="D637" s="110" t="str">
        <f>Equipamentos!D47</f>
        <v>un x mês</v>
      </c>
      <c r="E637" s="111">
        <f>Equipamentos!E47</f>
        <v>24</v>
      </c>
      <c r="F637" s="111">
        <f>Equipamentos!F47</f>
        <v>25.21</v>
      </c>
      <c r="G637" s="111">
        <f t="shared" si="34"/>
        <v>605.04</v>
      </c>
      <c r="H637" s="555">
        <f t="shared" ca="1" si="33"/>
        <v>0</v>
      </c>
    </row>
    <row r="638" spans="1:8" x14ac:dyDescent="0.25">
      <c r="A638" s="109" t="s">
        <v>2062</v>
      </c>
      <c r="B638" s="514" t="str">
        <f>Equipamentos!B48</f>
        <v>COT_MORS</v>
      </c>
      <c r="C638" s="541" t="str">
        <f>Equipamentos!C48</f>
        <v xml:space="preserve">Morsa para bancada nº 08 </v>
      </c>
      <c r="D638" s="110" t="str">
        <f>Equipamentos!D48</f>
        <v>un x mês</v>
      </c>
      <c r="E638" s="111">
        <f>Equipamentos!E48</f>
        <v>72</v>
      </c>
      <c r="F638" s="111">
        <f>Equipamentos!F48</f>
        <v>15.273888888888889</v>
      </c>
      <c r="G638" s="111">
        <f t="shared" si="34"/>
        <v>1099.72</v>
      </c>
      <c r="H638" s="555">
        <f t="shared" ca="1" si="33"/>
        <v>0</v>
      </c>
    </row>
    <row r="639" spans="1:8" ht="25.5" x14ac:dyDescent="0.25">
      <c r="A639" s="109" t="s">
        <v>2063</v>
      </c>
      <c r="B639" s="514" t="str">
        <f>Equipamentos!B49</f>
        <v>E9630-DNIT/PE</v>
      </c>
      <c r="C639" s="541" t="str">
        <f>Equipamentos!C49</f>
        <v>Conjunto Motor bomba 7,5 CV, 380 V, Q=75,6 m3/h e H=17 mca. (Poço de rebaixamento da EBV-3)</v>
      </c>
      <c r="D639" s="110" t="str">
        <f>Equipamentos!D49</f>
        <v>un x mês</v>
      </c>
      <c r="E639" s="111">
        <f>Equipamentos!E49</f>
        <v>12</v>
      </c>
      <c r="F639" s="111">
        <f>Equipamentos!F49</f>
        <v>87.89</v>
      </c>
      <c r="G639" s="111">
        <f t="shared" si="34"/>
        <v>1054.68</v>
      </c>
      <c r="H639" s="555">
        <f t="shared" ca="1" si="33"/>
        <v>0</v>
      </c>
    </row>
    <row r="640" spans="1:8" ht="25.5" x14ac:dyDescent="0.25">
      <c r="A640" s="109" t="s">
        <v>2064</v>
      </c>
      <c r="B640" s="514" t="str">
        <f>Equipamentos!B50</f>
        <v>COT_BOMB_SUB</v>
      </c>
      <c r="C640" s="541" t="str">
        <f>Equipamentos!C50</f>
        <v>Bomba Submersível 5 Cv Trifásica 380V, Q=2 - 52 m3/h e H= 3-25 mca.(Poço de rebaixamento do Res. de areias (Estrutura de Controle)</v>
      </c>
      <c r="D640" s="110" t="str">
        <f>Equipamentos!D50</f>
        <v>un x mês</v>
      </c>
      <c r="E640" s="111">
        <f>Equipamentos!E50</f>
        <v>12</v>
      </c>
      <c r="F640" s="111">
        <f>Equipamentos!F50</f>
        <v>905.89027777777778</v>
      </c>
      <c r="G640" s="111">
        <f t="shared" si="34"/>
        <v>10870.68</v>
      </c>
      <c r="H640" s="555">
        <f t="shared" ca="1" si="33"/>
        <v>2.0000000000000001E-4</v>
      </c>
    </row>
    <row r="641" spans="1:8" x14ac:dyDescent="0.25">
      <c r="A641" s="109" t="s">
        <v>2065</v>
      </c>
      <c r="B641" s="514" t="str">
        <f>Equipamentos!B51</f>
        <v>COT_MOTO_ESMER</v>
      </c>
      <c r="C641" s="541" t="str">
        <f>Equipamentos!C51</f>
        <v xml:space="preserve">Motoesmeril de 1cv - 3.500 RPM </v>
      </c>
      <c r="D641" s="110" t="str">
        <f>Equipamentos!D51</f>
        <v>un x mês</v>
      </c>
      <c r="E641" s="111">
        <f>Equipamentos!E51</f>
        <v>72</v>
      </c>
      <c r="F641" s="111">
        <f>Equipamentos!F51</f>
        <v>34.413611111111109</v>
      </c>
      <c r="G641" s="111">
        <f t="shared" si="34"/>
        <v>2477.7800000000002</v>
      </c>
      <c r="H641" s="555">
        <f t="shared" ca="1" si="33"/>
        <v>0</v>
      </c>
    </row>
    <row r="642" spans="1:8" x14ac:dyDescent="0.25">
      <c r="A642" s="109" t="s">
        <v>2066</v>
      </c>
      <c r="B642" s="514" t="str">
        <f>Equipamentos!B52</f>
        <v>COT_MULT</v>
      </c>
      <c r="C642" s="541" t="str">
        <f>Equipamentos!C52</f>
        <v>Multiplicador de Torque Manual 2700 N.m/2000 lb.ft CDI GA190</v>
      </c>
      <c r="D642" s="110" t="str">
        <f>Equipamentos!D52</f>
        <v>un x mês</v>
      </c>
      <c r="E642" s="111">
        <f>Equipamentos!E52</f>
        <v>12</v>
      </c>
      <c r="F642" s="111">
        <f>Equipamentos!F52</f>
        <v>517.34944444444454</v>
      </c>
      <c r="G642" s="111">
        <f t="shared" si="34"/>
        <v>6208.19</v>
      </c>
      <c r="H642" s="555">
        <f t="shared" ca="1" si="33"/>
        <v>1E-4</v>
      </c>
    </row>
    <row r="643" spans="1:8" x14ac:dyDescent="0.25">
      <c r="A643" s="109" t="s">
        <v>2067</v>
      </c>
      <c r="B643" s="514" t="str">
        <f>Equipamentos!B53</f>
        <v>7252 - SINAPI/PE</v>
      </c>
      <c r="C643" s="541" t="str">
        <f>Equipamentos!C53</f>
        <v xml:space="preserve">Nível de precisão  </v>
      </c>
      <c r="D643" s="110" t="str">
        <f>Equipamentos!D53</f>
        <v>un x mês</v>
      </c>
      <c r="E643" s="111">
        <f>Equipamentos!E53</f>
        <v>12</v>
      </c>
      <c r="F643" s="111">
        <f>Equipamentos!F53</f>
        <v>357.28</v>
      </c>
      <c r="G643" s="111">
        <f t="shared" si="34"/>
        <v>4287.3599999999997</v>
      </c>
      <c r="H643" s="555">
        <f t="shared" ca="1" si="33"/>
        <v>1E-4</v>
      </c>
    </row>
    <row r="644" spans="1:8" x14ac:dyDescent="0.25">
      <c r="A644" s="109" t="s">
        <v>2068</v>
      </c>
      <c r="B644" s="514" t="str">
        <f>Equipamentos!B54</f>
        <v>COT_PARA</v>
      </c>
      <c r="C644" s="541" t="str">
        <f>Equipamentos!C54</f>
        <v xml:space="preserve">Parafusadeira elétrica a bateria </v>
      </c>
      <c r="D644" s="110" t="str">
        <f>Equipamentos!D54</f>
        <v>un x mês</v>
      </c>
      <c r="E644" s="111">
        <f>Equipamentos!E54</f>
        <v>24</v>
      </c>
      <c r="F644" s="111">
        <f>Equipamentos!F54</f>
        <v>19.775925925925929</v>
      </c>
      <c r="G644" s="111">
        <f t="shared" si="34"/>
        <v>474.62</v>
      </c>
      <c r="H644" s="555">
        <f t="shared" ca="1" si="33"/>
        <v>0</v>
      </c>
    </row>
    <row r="645" spans="1:8" x14ac:dyDescent="0.25">
      <c r="A645" s="109" t="s">
        <v>2069</v>
      </c>
      <c r="B645" s="514" t="str">
        <f>Equipamentos!B55</f>
        <v>COT_PREN</v>
      </c>
      <c r="C645" s="541" t="str">
        <f>Equipamentos!C55</f>
        <v xml:space="preserve">Prensa hidráulica de 10 ton </v>
      </c>
      <c r="D645" s="110" t="str">
        <f>Equipamentos!D55</f>
        <v>un x mês</v>
      </c>
      <c r="E645" s="111">
        <f>Equipamentos!E55</f>
        <v>24</v>
      </c>
      <c r="F645" s="111">
        <f>Equipamentos!F55</f>
        <v>30.551666666666662</v>
      </c>
      <c r="G645" s="111">
        <f t="shared" si="34"/>
        <v>733.24</v>
      </c>
      <c r="H645" s="555">
        <f t="shared" ca="1" si="33"/>
        <v>0</v>
      </c>
    </row>
    <row r="646" spans="1:8" x14ac:dyDescent="0.25">
      <c r="A646" s="109" t="s">
        <v>2070</v>
      </c>
      <c r="B646" s="514" t="str">
        <f>Equipamentos!B56</f>
        <v>E9207-DNIT/PE</v>
      </c>
      <c r="C646" s="541" t="str">
        <f>Equipamentos!C56</f>
        <v xml:space="preserve">Retífica elétrica </v>
      </c>
      <c r="D646" s="110" t="str">
        <f>Equipamentos!D56</f>
        <v>un x mês</v>
      </c>
      <c r="E646" s="111">
        <f>Equipamentos!E56</f>
        <v>24</v>
      </c>
      <c r="F646" s="111">
        <f>Equipamentos!F56</f>
        <v>93.67</v>
      </c>
      <c r="G646" s="111">
        <f t="shared" si="34"/>
        <v>2248.08</v>
      </c>
      <c r="H646" s="555">
        <f t="shared" ca="1" si="33"/>
        <v>0</v>
      </c>
    </row>
    <row r="647" spans="1:8" ht="25.5" x14ac:dyDescent="0.25">
      <c r="A647" s="109" t="s">
        <v>2071</v>
      </c>
      <c r="B647" s="514" t="str">
        <f>Equipamentos!B57</f>
        <v>E9748-DNIT/PE</v>
      </c>
      <c r="C647" s="541" t="str">
        <f>Equipamentos!C57</f>
        <v>Rosqueadeira ( para tubos de ½” a 4”) -Rosqueadeira Elétrica 1/2 A 4 Pol. 750w 220v-Br Motors-Brr124bsp</v>
      </c>
      <c r="D647" s="110" t="str">
        <f>Equipamentos!D57</f>
        <v>un x mês</v>
      </c>
      <c r="E647" s="111">
        <f>Equipamentos!E57</f>
        <v>12</v>
      </c>
      <c r="F647" s="111">
        <f>Equipamentos!F57</f>
        <v>79.02</v>
      </c>
      <c r="G647" s="111">
        <f t="shared" si="34"/>
        <v>948.24</v>
      </c>
      <c r="H647" s="555">
        <f t="shared" ca="1" si="33"/>
        <v>0</v>
      </c>
    </row>
    <row r="648" spans="1:8" x14ac:dyDescent="0.25">
      <c r="A648" s="109" t="s">
        <v>2072</v>
      </c>
      <c r="B648" s="514" t="str">
        <f>Equipamentos!B58</f>
        <v>10809 - SINAPI/PE</v>
      </c>
      <c r="C648" s="541" t="str">
        <f>Equipamentos!C58</f>
        <v>Talha capacidade 3t</v>
      </c>
      <c r="D648" s="110" t="str">
        <f>Equipamentos!D58</f>
        <v>un x mês</v>
      </c>
      <c r="E648" s="111">
        <f>Equipamentos!E58</f>
        <v>24</v>
      </c>
      <c r="F648" s="111">
        <f>Equipamentos!F58</f>
        <v>195.36</v>
      </c>
      <c r="G648" s="111">
        <f t="shared" si="34"/>
        <v>4688.6400000000003</v>
      </c>
      <c r="H648" s="555">
        <f t="shared" ca="1" si="33"/>
        <v>1E-4</v>
      </c>
    </row>
    <row r="649" spans="1:8" x14ac:dyDescent="0.25">
      <c r="A649" s="109" t="s">
        <v>2073</v>
      </c>
      <c r="B649" s="514" t="str">
        <f>Equipamentos!B59</f>
        <v>COT_TIFO</v>
      </c>
      <c r="C649" s="541" t="str">
        <f>Equipamentos!C59</f>
        <v>Tifor 3t</v>
      </c>
      <c r="D649" s="110" t="str">
        <f>Equipamentos!D59</f>
        <v>un x mês</v>
      </c>
      <c r="E649" s="111">
        <f>Equipamentos!E59</f>
        <v>24</v>
      </c>
      <c r="F649" s="111">
        <f>Equipamentos!F59</f>
        <v>149.00425925925927</v>
      </c>
      <c r="G649" s="111">
        <f t="shared" si="34"/>
        <v>3576.1</v>
      </c>
      <c r="H649" s="555">
        <f t="shared" ca="1" si="33"/>
        <v>1E-4</v>
      </c>
    </row>
    <row r="650" spans="1:8" x14ac:dyDescent="0.25">
      <c r="A650" s="109" t="s">
        <v>2627</v>
      </c>
      <c r="B650" s="514"/>
      <c r="C650" s="541" t="str">
        <f>Equipamentos!C62</f>
        <v>EQUIPAMENTOS - ELÉTRICA</v>
      </c>
      <c r="D650" s="110"/>
      <c r="E650" s="111"/>
      <c r="F650" s="111"/>
      <c r="G650" s="111">
        <f>SUBTOTAL(109,G651:G661)</f>
        <v>42949.440000000002</v>
      </c>
      <c r="H650" s="555">
        <f t="shared" ca="1" si="33"/>
        <v>5.9999999999999995E-4</v>
      </c>
    </row>
    <row r="651" spans="1:8" ht="25.5" x14ac:dyDescent="0.25">
      <c r="A651" s="109" t="s">
        <v>2626</v>
      </c>
      <c r="B651" s="514" t="str">
        <f>Equipamentos!B63</f>
        <v>COT_ANAL</v>
      </c>
      <c r="C651" s="541" t="str">
        <f>Equipamentos!C63</f>
        <v xml:space="preserve">Analisador de grandezas elétricas trifásico, display LCD colorido 5,6", TRMS 1.000 V, corrente 3.000A </v>
      </c>
      <c r="D651" s="110" t="str">
        <f>Equipamentos!D63</f>
        <v>un x mês</v>
      </c>
      <c r="E651" s="111">
        <f>Equipamentos!E63</f>
        <v>12</v>
      </c>
      <c r="F651" s="111">
        <f>Equipamentos!F63</f>
        <v>2485.67</v>
      </c>
      <c r="G651" s="111">
        <f t="shared" si="34"/>
        <v>29828.04</v>
      </c>
      <c r="H651" s="555">
        <f t="shared" ca="1" si="33"/>
        <v>4.0000000000000002E-4</v>
      </c>
    </row>
    <row r="652" spans="1:8" x14ac:dyDescent="0.25">
      <c r="A652" s="109" t="s">
        <v>2628</v>
      </c>
      <c r="B652" s="514" t="str">
        <f>Equipamentos!B64</f>
        <v>COT_BANC_TESTE</v>
      </c>
      <c r="C652" s="541" t="str">
        <f>Equipamentos!C64</f>
        <v xml:space="preserve">Bancada de teste, amperimetro 150A, voltímetro 40V </v>
      </c>
      <c r="D652" s="110" t="str">
        <f>Equipamentos!D64</f>
        <v>un x mês</v>
      </c>
      <c r="E652" s="111">
        <f>Equipamentos!E64</f>
        <v>12</v>
      </c>
      <c r="F652" s="111">
        <f>Equipamentos!F64</f>
        <v>13.76</v>
      </c>
      <c r="G652" s="111">
        <f t="shared" si="34"/>
        <v>165.12</v>
      </c>
      <c r="H652" s="555">
        <f t="shared" ca="1" si="33"/>
        <v>0</v>
      </c>
    </row>
    <row r="653" spans="1:8" x14ac:dyDescent="0.25">
      <c r="A653" s="109" t="s">
        <v>2629</v>
      </c>
      <c r="B653" s="514" t="str">
        <f>Equipamentos!B65</f>
        <v>COT_BANC_PROT</v>
      </c>
      <c r="C653" s="541" t="str">
        <f>Equipamentos!C65</f>
        <v xml:space="preserve">Bancada protegida contra eletricidade estática </v>
      </c>
      <c r="D653" s="110" t="str">
        <f>Equipamentos!D65</f>
        <v>un x mês</v>
      </c>
      <c r="E653" s="111">
        <f>Equipamentos!E65</f>
        <v>12</v>
      </c>
      <c r="F653" s="111">
        <f>Equipamentos!F65</f>
        <v>61.09</v>
      </c>
      <c r="G653" s="111">
        <f t="shared" si="34"/>
        <v>733.08</v>
      </c>
      <c r="H653" s="555">
        <f t="shared" ca="1" si="33"/>
        <v>0</v>
      </c>
    </row>
    <row r="654" spans="1:8" ht="25.5" x14ac:dyDescent="0.25">
      <c r="A654" s="109" t="s">
        <v>2630</v>
      </c>
      <c r="B654" s="514" t="str">
        <f>Equipamentos!B66</f>
        <v>COT_DATA</v>
      </c>
      <c r="C654" s="541" t="str">
        <f>Equipamentos!C66</f>
        <v xml:space="preserve">Data Logger de 4 a 20 mA (verificação de intermitência em instrumentação) </v>
      </c>
      <c r="D654" s="110" t="str">
        <f>Equipamentos!D66</f>
        <v>un x mês</v>
      </c>
      <c r="E654" s="111">
        <f>Equipamentos!E66</f>
        <v>12</v>
      </c>
      <c r="F654" s="111">
        <f>Equipamentos!F66</f>
        <v>31.96</v>
      </c>
      <c r="G654" s="111">
        <f t="shared" si="34"/>
        <v>383.52</v>
      </c>
      <c r="H654" s="555">
        <f t="shared" ca="1" si="33"/>
        <v>0</v>
      </c>
    </row>
    <row r="655" spans="1:8" x14ac:dyDescent="0.25">
      <c r="A655" s="109" t="s">
        <v>2631</v>
      </c>
      <c r="B655" s="514" t="str">
        <f>Equipamentos!B67</f>
        <v>13761 - SINAPI/PE</v>
      </c>
      <c r="C655" s="541" t="str">
        <f>Equipamentos!C67</f>
        <v xml:space="preserve">Estação de solda com temperatura ajustável e proteção antiestático </v>
      </c>
      <c r="D655" s="110" t="str">
        <f>Equipamentos!D67</f>
        <v>un x mês</v>
      </c>
      <c r="E655" s="111">
        <f>Equipamentos!E67</f>
        <v>12</v>
      </c>
      <c r="F655" s="111">
        <f>Equipamentos!F67</f>
        <v>136.53</v>
      </c>
      <c r="G655" s="111">
        <f t="shared" si="34"/>
        <v>1638.36</v>
      </c>
      <c r="H655" s="555">
        <f t="shared" ca="1" si="33"/>
        <v>0</v>
      </c>
    </row>
    <row r="656" spans="1:8" x14ac:dyDescent="0.25">
      <c r="A656" s="109" t="s">
        <v>2632</v>
      </c>
      <c r="B656" s="514" t="str">
        <f>Equipamentos!B68</f>
        <v>10236 - ORSE/SE</v>
      </c>
      <c r="C656" s="541" t="str">
        <f>Equipamentos!C68</f>
        <v xml:space="preserve">Fonte de alimentação com tensão variável de 0 a 30Vcc de 3 A </v>
      </c>
      <c r="D656" s="110" t="str">
        <f>Equipamentos!D68</f>
        <v>un x mês</v>
      </c>
      <c r="E656" s="111">
        <f>Equipamentos!E68</f>
        <v>12</v>
      </c>
      <c r="F656" s="111">
        <f>Equipamentos!F68</f>
        <v>10.01</v>
      </c>
      <c r="G656" s="111">
        <f t="shared" si="34"/>
        <v>120.12</v>
      </c>
      <c r="H656" s="555">
        <f t="shared" ca="1" si="33"/>
        <v>0</v>
      </c>
    </row>
    <row r="657" spans="1:8" x14ac:dyDescent="0.25">
      <c r="A657" s="109" t="s">
        <v>2633</v>
      </c>
      <c r="B657" s="514" t="str">
        <f>Equipamentos!B69</f>
        <v>COT_FONT</v>
      </c>
      <c r="C657" s="541" t="str">
        <f>Equipamentos!C69</f>
        <v xml:space="preserve">Fonte de bancada 12 V </v>
      </c>
      <c r="D657" s="110" t="str">
        <f>Equipamentos!D69</f>
        <v>un x mês</v>
      </c>
      <c r="E657" s="111">
        <f>Equipamentos!E69</f>
        <v>12</v>
      </c>
      <c r="F657" s="111">
        <f>Equipamentos!F69</f>
        <v>12.13</v>
      </c>
      <c r="G657" s="111">
        <f t="shared" si="34"/>
        <v>145.56</v>
      </c>
      <c r="H657" s="555">
        <f t="shared" ca="1" si="33"/>
        <v>0</v>
      </c>
    </row>
    <row r="658" spans="1:8" x14ac:dyDescent="0.25">
      <c r="A658" s="109" t="s">
        <v>2634</v>
      </c>
      <c r="B658" s="514" t="str">
        <f>Equipamentos!B70</f>
        <v>I9378 - SEINFRA/CE</v>
      </c>
      <c r="C658" s="541" t="str">
        <f>Equipamentos!C70</f>
        <v>Furadeira Manual 650W 1050 – 1450 RPM 220V Ø 13mm</v>
      </c>
      <c r="D658" s="110" t="str">
        <f>Equipamentos!D70</f>
        <v>un x mês</v>
      </c>
      <c r="E658" s="111">
        <f>Equipamentos!E70</f>
        <v>12</v>
      </c>
      <c r="F658" s="111">
        <f>Equipamentos!F70</f>
        <v>14.08</v>
      </c>
      <c r="G658" s="111">
        <f t="shared" si="34"/>
        <v>168.96</v>
      </c>
      <c r="H658" s="555">
        <f t="shared" ca="1" si="33"/>
        <v>0</v>
      </c>
    </row>
    <row r="659" spans="1:8" ht="25.5" x14ac:dyDescent="0.25">
      <c r="A659" s="109" t="s">
        <v>2635</v>
      </c>
      <c r="B659" s="514" t="str">
        <f>Equipamentos!B71</f>
        <v>COT_GERA</v>
      </c>
      <c r="C659" s="541" t="str">
        <f>Equipamentos!C71</f>
        <v xml:space="preserve">Gerador de corrente e tensão de 0 a 20 mA e 0 a 10V, precisão de 0,1% </v>
      </c>
      <c r="D659" s="110" t="str">
        <f>Equipamentos!D71</f>
        <v>un x mês</v>
      </c>
      <c r="E659" s="111">
        <f>Equipamentos!E71</f>
        <v>12</v>
      </c>
      <c r="F659" s="111">
        <f>Equipamentos!F71</f>
        <v>47.27</v>
      </c>
      <c r="G659" s="111">
        <f t="shared" si="34"/>
        <v>567.24</v>
      </c>
      <c r="H659" s="555">
        <f t="shared" ca="1" si="33"/>
        <v>0</v>
      </c>
    </row>
    <row r="660" spans="1:8" ht="25.5" x14ac:dyDescent="0.25">
      <c r="A660" s="109" t="s">
        <v>2636</v>
      </c>
      <c r="B660" s="514" t="str">
        <f>Equipamentos!B72</f>
        <v xml:space="preserve">COT_KIT </v>
      </c>
      <c r="C660" s="541" t="str">
        <f>Equipamentos!C72</f>
        <v xml:space="preserve">Kit para enchimento e complementação para gás SF6, composto de adaptador ,regulador, mangueira e manômetro padrão </v>
      </c>
      <c r="D660" s="110" t="str">
        <f>Equipamentos!D72</f>
        <v>un x mês</v>
      </c>
      <c r="E660" s="111">
        <f>Equipamentos!E72</f>
        <v>12</v>
      </c>
      <c r="F660" s="111">
        <f>Equipamentos!F72</f>
        <v>542.9</v>
      </c>
      <c r="G660" s="111">
        <f t="shared" si="34"/>
        <v>6514.8</v>
      </c>
      <c r="H660" s="555">
        <f t="shared" ca="1" si="33"/>
        <v>1E-4</v>
      </c>
    </row>
    <row r="661" spans="1:8" ht="25.5" x14ac:dyDescent="0.25">
      <c r="A661" s="109" t="s">
        <v>2637</v>
      </c>
      <c r="B661" s="514" t="str">
        <f>Equipamentos!B73</f>
        <v xml:space="preserve">COT_TTR </v>
      </c>
      <c r="C661" s="541" t="str">
        <f>Equipamentos!C73</f>
        <v xml:space="preserve">TTR - medidor digital de relação de espiras, escala de medição 0,8000:1 a 8.000,0: 1 </v>
      </c>
      <c r="D661" s="110" t="str">
        <f>Equipamentos!D73</f>
        <v>un x mês</v>
      </c>
      <c r="E661" s="111">
        <f>Equipamentos!E73</f>
        <v>12</v>
      </c>
      <c r="F661" s="111">
        <f>Equipamentos!F73</f>
        <v>223.72</v>
      </c>
      <c r="G661" s="111">
        <f t="shared" si="34"/>
        <v>2684.64</v>
      </c>
      <c r="H661" s="555">
        <f t="shared" ca="1" si="33"/>
        <v>0</v>
      </c>
    </row>
    <row r="662" spans="1:8" x14ac:dyDescent="0.25">
      <c r="A662" s="109" t="s">
        <v>2638</v>
      </c>
      <c r="B662" s="514"/>
      <c r="C662" s="541" t="str">
        <f>Equipamentos!C76</f>
        <v>EQUIPAMENTOS - CIVIL</v>
      </c>
      <c r="D662" s="110"/>
      <c r="E662" s="111"/>
      <c r="F662" s="111"/>
      <c r="G662" s="111">
        <f>SUBTOTAL(109,G663:G727)</f>
        <v>13529265.599999994</v>
      </c>
      <c r="H662" s="555">
        <f t="shared" ca="1" si="33"/>
        <v>0.19500000000000001</v>
      </c>
    </row>
    <row r="663" spans="1:8" x14ac:dyDescent="0.25">
      <c r="A663" s="109" t="s">
        <v>2639</v>
      </c>
      <c r="B663" s="514"/>
      <c r="C663" s="541" t="str">
        <f>Equipamentos!C77</f>
        <v>MANUTENÇÃO</v>
      </c>
      <c r="D663" s="110"/>
      <c r="E663" s="111"/>
      <c r="F663" s="111"/>
      <c r="G663" s="111">
        <f>SUBTOTAL(109,G664:G717)</f>
        <v>10860153.959999997</v>
      </c>
      <c r="H663" s="555">
        <f t="shared" ca="1" si="33"/>
        <v>0.1565</v>
      </c>
    </row>
    <row r="664" spans="1:8" ht="51" x14ac:dyDescent="0.25">
      <c r="A664" s="109" t="s">
        <v>2640</v>
      </c>
      <c r="B664" s="514" t="str">
        <f>Equipamentos!B78</f>
        <v>4085 - SINAPI/PE</v>
      </c>
      <c r="C664" s="541" t="str">
        <f>Equipamentos!C78</f>
        <v>Bomba elétrica submersa para drenagem 5cv Flyght 3" 12.3 m³/h (acompanhada com os mangotes, incluindo quadro de comando compatível com o modelo de bomba, 250 m de cabo flexível trifásico, isolado, tensão 600 V/1000 V, em conformidade com NBR 7288).</v>
      </c>
      <c r="D664" s="110" t="str">
        <f>Equipamentos!D78</f>
        <v>un x mês</v>
      </c>
      <c r="E664" s="111">
        <f>Equipamentos!E78</f>
        <v>24</v>
      </c>
      <c r="F664" s="111">
        <f>Equipamentos!F78</f>
        <v>561.44000000000005</v>
      </c>
      <c r="G664" s="111">
        <f t="shared" si="34"/>
        <v>13474.56</v>
      </c>
      <c r="H664" s="555">
        <f t="shared" ca="1" si="33"/>
        <v>2.0000000000000001E-4</v>
      </c>
    </row>
    <row r="665" spans="1:8" ht="25.5" x14ac:dyDescent="0.25">
      <c r="A665" s="109" t="s">
        <v>2641</v>
      </c>
      <c r="B665" s="514" t="str">
        <f>Equipamentos!B79</f>
        <v>COT_ANDA</v>
      </c>
      <c r="C665" s="541" t="str">
        <f>Equipamentos!C79</f>
        <v>Andaime metálico tipo fachadeiro Dim: Largura= 1,20m / Altura por peça= 2,00m. (Altura Total=10m - 5 peças por conjunto)</v>
      </c>
      <c r="D665" s="110" t="str">
        <f>Equipamentos!D79</f>
        <v>m²</v>
      </c>
      <c r="E665" s="111">
        <f>Equipamentos!E79</f>
        <v>144</v>
      </c>
      <c r="F665" s="111">
        <f>Equipamentos!F79</f>
        <v>2.99</v>
      </c>
      <c r="G665" s="111">
        <f t="shared" si="34"/>
        <v>430.56</v>
      </c>
      <c r="H665" s="555">
        <f t="shared" ca="1" si="33"/>
        <v>0</v>
      </c>
    </row>
    <row r="666" spans="1:8" ht="25.5" x14ac:dyDescent="0.25">
      <c r="A666" s="109" t="s">
        <v>2642</v>
      </c>
      <c r="B666" s="514" t="str">
        <f>Equipamentos!B80</f>
        <v>COT_BETO</v>
      </c>
      <c r="C666" s="541" t="str">
        <f>Equipamentos!C80</f>
        <v>Betoneira, capacidade nominal 400 l, capacidade de mistura 310 l, motor a diesel potência 5 cv, sem carregador.</v>
      </c>
      <c r="D666" s="110" t="str">
        <f>Equipamentos!D80</f>
        <v>un x mês</v>
      </c>
      <c r="E666" s="111">
        <f>Equipamentos!E80</f>
        <v>36</v>
      </c>
      <c r="F666" s="111">
        <f>Equipamentos!F80</f>
        <v>271.98</v>
      </c>
      <c r="G666" s="111">
        <f t="shared" si="34"/>
        <v>9791.2800000000007</v>
      </c>
      <c r="H666" s="555">
        <f t="shared" ref="H666:H727" ca="1" si="35">ROUND(G666/G$8,4)</f>
        <v>1E-4</v>
      </c>
    </row>
    <row r="667" spans="1:8" ht="25.5" x14ac:dyDescent="0.25">
      <c r="A667" s="109" t="s">
        <v>2643</v>
      </c>
      <c r="B667" s="514" t="str">
        <f>Equipamentos!B81</f>
        <v>36398 - SINAPI/PE</v>
      </c>
      <c r="C667" s="541" t="str">
        <f>Equipamentos!C81</f>
        <v>Betoneira, capacidade nominal 600 l, capacidade de mistura 440 l,  motor a diesel potência 10 cv, com carregador.</v>
      </c>
      <c r="D667" s="110" t="str">
        <f>Equipamentos!D81</f>
        <v>un x mês</v>
      </c>
      <c r="E667" s="111">
        <f>Equipamentos!E81</f>
        <v>36</v>
      </c>
      <c r="F667" s="111">
        <f>Equipamentos!F81</f>
        <v>1128.77</v>
      </c>
      <c r="G667" s="111">
        <f t="shared" si="34"/>
        <v>40635.72</v>
      </c>
      <c r="H667" s="555">
        <f t="shared" ca="1" si="35"/>
        <v>5.9999999999999995E-4</v>
      </c>
    </row>
    <row r="668" spans="1:8" x14ac:dyDescent="0.25">
      <c r="A668" s="109" t="s">
        <v>2644</v>
      </c>
      <c r="B668" s="514" t="str">
        <f>Equipamentos!B82</f>
        <v>746 - SINAPI/PE</v>
      </c>
      <c r="C668" s="541" t="str">
        <f>Equipamentos!C82</f>
        <v>Lavadora de alta pressão a diesel, partida elétrica, motor de 10 hp</v>
      </c>
      <c r="D668" s="110" t="str">
        <f>Equipamentos!D82</f>
        <v>un x mês</v>
      </c>
      <c r="E668" s="111">
        <f>Equipamentos!E82</f>
        <v>12</v>
      </c>
      <c r="F668" s="111">
        <f>Equipamentos!F82</f>
        <v>134.44</v>
      </c>
      <c r="G668" s="111">
        <f t="shared" si="34"/>
        <v>1613.28</v>
      </c>
      <c r="H668" s="555">
        <f t="shared" ca="1" si="35"/>
        <v>0</v>
      </c>
    </row>
    <row r="669" spans="1:8" ht="38.25" x14ac:dyDescent="0.25">
      <c r="A669" s="109" t="s">
        <v>2645</v>
      </c>
      <c r="B669" s="514" t="str">
        <f>Equipamentos!B83</f>
        <v>COT_BOMB_DRAGA</v>
      </c>
      <c r="C669" s="541" t="str">
        <f>Equipamentos!C83</f>
        <v>Bomba draga autoescorvante 3”x 3” , motor: 4 tempos, potência: 6,5cv, cilindrada: 196 cm³, ignição eletrônica, consumo aproximadamente: 1,7 l/h, capacidade do tanque: 3,6 l.</v>
      </c>
      <c r="D669" s="110" t="str">
        <f>Equipamentos!D83</f>
        <v>un x mês</v>
      </c>
      <c r="E669" s="111">
        <f>Equipamentos!E83</f>
        <v>24</v>
      </c>
      <c r="F669" s="111">
        <f>Equipamentos!F83</f>
        <v>51.68</v>
      </c>
      <c r="G669" s="111">
        <f t="shared" si="34"/>
        <v>1240.32</v>
      </c>
      <c r="H669" s="555">
        <f t="shared" ca="1" si="35"/>
        <v>0</v>
      </c>
    </row>
    <row r="670" spans="1:8" ht="51" x14ac:dyDescent="0.25">
      <c r="A670" s="109" t="s">
        <v>2646</v>
      </c>
      <c r="B670" s="514" t="str">
        <f>Equipamentos!B84</f>
        <v>COT_BOMB_4CV</v>
      </c>
      <c r="C670" s="541" t="str">
        <f>Equipamentos!C84</f>
        <v>Locação de bomba submersível para drenagem e esgotamento, motor elétrico trifásico, potência de  4 cv, diâmetro de recalque de 3". Faixa de operação: Q= 60 m³/h (± 1 m³/h) e AMT=2 m; Q= 11 m³/h (± 1 m³/h) e AMT = 23 m (± 1 m).</v>
      </c>
      <c r="D670" s="110" t="str">
        <f>Equipamentos!D84</f>
        <v>un x mês</v>
      </c>
      <c r="E670" s="111">
        <f>Equipamentos!E84</f>
        <v>24</v>
      </c>
      <c r="F670" s="111">
        <f>Equipamentos!F84</f>
        <v>394.24</v>
      </c>
      <c r="G670" s="111">
        <f t="shared" si="34"/>
        <v>9461.76</v>
      </c>
      <c r="H670" s="555">
        <f t="shared" ca="1" si="35"/>
        <v>1E-4</v>
      </c>
    </row>
    <row r="671" spans="1:8" ht="51" x14ac:dyDescent="0.25">
      <c r="A671" s="109" t="s">
        <v>2647</v>
      </c>
      <c r="B671" s="514" t="str">
        <f>Equipamentos!B85</f>
        <v>COT_BOMBA_2CV</v>
      </c>
      <c r="C671" s="541" t="str">
        <f>Equipamentos!C85</f>
        <v>Locação de bomba submersível para drenagem e esgotamento, motor elétrico trifásico, potência de 2 cv, diâmetro de recalque de  2". Faixa de operação: Q= 35 m³/h (± 3 m³/h) e AMT=2 m; Q=13 m³/h (± 3 m³/h) e AMT = 17 m (± 3 m).</v>
      </c>
      <c r="D671" s="110" t="str">
        <f>Equipamentos!D85</f>
        <v>un x mês</v>
      </c>
      <c r="E671" s="111">
        <f>Equipamentos!E85</f>
        <v>24</v>
      </c>
      <c r="F671" s="111">
        <f>Equipamentos!F85</f>
        <v>281.60000000000002</v>
      </c>
      <c r="G671" s="111">
        <f t="shared" si="34"/>
        <v>6758.4</v>
      </c>
      <c r="H671" s="555">
        <f t="shared" ca="1" si="35"/>
        <v>1E-4</v>
      </c>
    </row>
    <row r="672" spans="1:8" x14ac:dyDescent="0.25">
      <c r="A672" s="109" t="s">
        <v>2648</v>
      </c>
      <c r="B672" s="514" t="str">
        <f>Equipamentos!B86</f>
        <v>E9579-DNIT/PE</v>
      </c>
      <c r="C672" s="541" t="str">
        <f>Equipamentos!C86</f>
        <v>Caminhão basculante, capacidade de carga  15,0 t e volume 10,0 m³ .</v>
      </c>
      <c r="D672" s="110" t="str">
        <f>Equipamentos!D86</f>
        <v>un x mês</v>
      </c>
      <c r="E672" s="111">
        <f>Equipamentos!E86</f>
        <v>36</v>
      </c>
      <c r="F672" s="111">
        <f>Equipamentos!F86</f>
        <v>27066.880000000001</v>
      </c>
      <c r="G672" s="111">
        <f t="shared" si="34"/>
        <v>974407.68000000005</v>
      </c>
      <c r="H672" s="555">
        <f t="shared" ca="1" si="35"/>
        <v>1.4E-2</v>
      </c>
    </row>
    <row r="673" spans="1:8" x14ac:dyDescent="0.25">
      <c r="A673" s="109" t="s">
        <v>2649</v>
      </c>
      <c r="B673" s="514" t="str">
        <f>Equipamentos!B87</f>
        <v>E9506-DNIT/PE</v>
      </c>
      <c r="C673" s="541" t="str">
        <f>Equipamentos!C87</f>
        <v>Caminhao basculante, capacidade de carga  9,0 t e volume 6,0 m³ .</v>
      </c>
      <c r="D673" s="110" t="str">
        <f>Equipamentos!D87</f>
        <v>un x mês</v>
      </c>
      <c r="E673" s="111">
        <f>Equipamentos!E87</f>
        <v>36</v>
      </c>
      <c r="F673" s="111">
        <f>Equipamentos!F87</f>
        <v>18897.68</v>
      </c>
      <c r="G673" s="111">
        <f t="shared" si="34"/>
        <v>680316.48</v>
      </c>
      <c r="H673" s="555">
        <f t="shared" ca="1" si="35"/>
        <v>9.7999999999999997E-3</v>
      </c>
    </row>
    <row r="674" spans="1:8" x14ac:dyDescent="0.25">
      <c r="A674" s="109" t="s">
        <v>2650</v>
      </c>
      <c r="B674" s="514" t="str">
        <f>Equipamentos!B88</f>
        <v>E9592-DNIT/PE</v>
      </c>
      <c r="C674" s="541" t="str">
        <f>Equipamentos!C88</f>
        <v>Caminhão Carroceria - de madeira, capacidade de carga 15,0 t</v>
      </c>
      <c r="D674" s="110" t="str">
        <f>Equipamentos!D88</f>
        <v>un x mês</v>
      </c>
      <c r="E674" s="111">
        <f>Equipamentos!E88</f>
        <v>36</v>
      </c>
      <c r="F674" s="111">
        <f>Equipamentos!F88</f>
        <v>26713.26</v>
      </c>
      <c r="G674" s="111">
        <f t="shared" si="34"/>
        <v>961677.36</v>
      </c>
      <c r="H674" s="555">
        <f t="shared" ca="1" si="35"/>
        <v>1.3899999999999999E-2</v>
      </c>
    </row>
    <row r="675" spans="1:8" ht="63.75" x14ac:dyDescent="0.25">
      <c r="A675" s="109" t="s">
        <v>2651</v>
      </c>
      <c r="B675" s="514" t="str">
        <f>Equipamentos!B89</f>
        <v>COT_CAMI</v>
      </c>
      <c r="C675" s="541" t="str">
        <f>Equipamentos!C89</f>
        <v>Caminhão Comboio para lubrificação e abastecimento (melosa), convencional totalmente equipado (Capacidade de Combustível: 5.000 l, Capacidade de Lubrificante: 500 l, Capacidade de Graxa: 200 kg, Capacidade de Água: 300 l, Recipiente para Óleo Usado: 200 l, Compressor de Ar e Bomba- d’agua).</v>
      </c>
      <c r="D675" s="110" t="str">
        <f>Equipamentos!D89</f>
        <v>un x mês</v>
      </c>
      <c r="E675" s="111">
        <f>Equipamentos!E89</f>
        <v>12</v>
      </c>
      <c r="F675" s="111">
        <f>Equipamentos!F89</f>
        <v>11000</v>
      </c>
      <c r="G675" s="111">
        <f t="shared" si="34"/>
        <v>132000</v>
      </c>
      <c r="H675" s="555">
        <f t="shared" ca="1" si="35"/>
        <v>1.9E-3</v>
      </c>
    </row>
    <row r="676" spans="1:8" x14ac:dyDescent="0.25">
      <c r="A676" s="109" t="s">
        <v>2652</v>
      </c>
      <c r="B676" s="514" t="str">
        <f>Equipamentos!B90</f>
        <v>E9686-DNIT/PE</v>
      </c>
      <c r="C676" s="541" t="str">
        <f>Equipamentos!C90</f>
        <v>Caminhão guindauto com capacidade de carga até 10,0 t.</v>
      </c>
      <c r="D676" s="110" t="str">
        <f>Equipamentos!D90</f>
        <v>un x mês</v>
      </c>
      <c r="E676" s="111">
        <f>Equipamentos!E90</f>
        <v>36</v>
      </c>
      <c r="F676" s="111">
        <f>Equipamentos!F90</f>
        <v>31555.23</v>
      </c>
      <c r="G676" s="111">
        <f t="shared" si="34"/>
        <v>1135988.28</v>
      </c>
      <c r="H676" s="555">
        <f t="shared" ca="1" si="35"/>
        <v>1.6400000000000001E-2</v>
      </c>
    </row>
    <row r="677" spans="1:8" x14ac:dyDescent="0.25">
      <c r="A677" s="109" t="s">
        <v>2653</v>
      </c>
      <c r="B677" s="514" t="str">
        <f>Equipamentos!B91</f>
        <v>E9605-DNIT/PE</v>
      </c>
      <c r="C677" s="541" t="str">
        <f>Equipamentos!C91</f>
        <v>Caminhão tanque, capacidade de volume  6000 l e potência 136,0 hp .</v>
      </c>
      <c r="D677" s="110" t="str">
        <f>Equipamentos!D91</f>
        <v>un x mês</v>
      </c>
      <c r="E677" s="111">
        <f>Equipamentos!E91</f>
        <v>36</v>
      </c>
      <c r="F677" s="111">
        <f>Equipamentos!F91</f>
        <v>26310.2</v>
      </c>
      <c r="G677" s="111">
        <f t="shared" ref="G677:G737" si="36">ROUND(E677*F677,2)</f>
        <v>947167.2</v>
      </c>
      <c r="H677" s="555">
        <f t="shared" ca="1" si="35"/>
        <v>1.37E-2</v>
      </c>
    </row>
    <row r="678" spans="1:8" ht="25.5" x14ac:dyDescent="0.25">
      <c r="A678" s="109" t="s">
        <v>2654</v>
      </c>
      <c r="B678" s="514" t="str">
        <f>Equipamentos!B92</f>
        <v>4262 - SINAPI/PE</v>
      </c>
      <c r="C678" s="541" t="str">
        <f>Equipamentos!C92</f>
        <v>Pá carregadeira sobre rodas, potência líquida 128 hp, capacidade da caçamba de 1,7 a 2,8 m³, peso operacional de 11.632 kg.</v>
      </c>
      <c r="D678" s="110" t="str">
        <f>Equipamentos!D92</f>
        <v>un x mês</v>
      </c>
      <c r="E678" s="111">
        <f>Equipamentos!E92</f>
        <v>24</v>
      </c>
      <c r="F678" s="111">
        <f>Equipamentos!F92</f>
        <v>22405.040000000001</v>
      </c>
      <c r="G678" s="111">
        <f t="shared" si="36"/>
        <v>537720.96</v>
      </c>
      <c r="H678" s="555">
        <f t="shared" ca="1" si="35"/>
        <v>7.7000000000000002E-3</v>
      </c>
    </row>
    <row r="679" spans="1:8" ht="25.5" x14ac:dyDescent="0.25">
      <c r="A679" s="109" t="s">
        <v>2655</v>
      </c>
      <c r="B679" s="514" t="str">
        <f>Equipamentos!B93</f>
        <v>E9666-DNIT/PE</v>
      </c>
      <c r="C679" s="541" t="str">
        <f>Equipamentos!C93</f>
        <v>Transportes de máquinas e equipamentos por caminhão cavalo mecânico com carreta-prancha capacidade 20t</v>
      </c>
      <c r="D679" s="110" t="str">
        <f>Equipamentos!D93</f>
        <v>un x mês</v>
      </c>
      <c r="E679" s="111">
        <f>Equipamentos!E93</f>
        <v>12</v>
      </c>
      <c r="F679" s="111">
        <f>Equipamentos!F93</f>
        <v>40372.36</v>
      </c>
      <c r="G679" s="111">
        <f t="shared" si="36"/>
        <v>484468.32</v>
      </c>
      <c r="H679" s="555">
        <f t="shared" ca="1" si="35"/>
        <v>7.0000000000000001E-3</v>
      </c>
    </row>
    <row r="680" spans="1:8" ht="51" x14ac:dyDescent="0.25">
      <c r="A680" s="109" t="s">
        <v>2656</v>
      </c>
      <c r="B680" s="514" t="str">
        <f>Equipamentos!B94</f>
        <v>E9107-DNIT/PE</v>
      </c>
      <c r="C680" s="541" t="str">
        <f>Equipamentos!C94</f>
        <v>Compactador de solo a percussão (soquete), com motor gasolina de 4 tempos, peso entre 55 e 65 kg, força de impacto de 1.000 a 1.500 kgf, frequência de 600 a 700 golpes por minuto,velocidade de trabalho entre 10 e 15 m/min, potência entre 2 e 3 hp.</v>
      </c>
      <c r="D680" s="110" t="str">
        <f>Equipamentos!D94</f>
        <v>un x mês</v>
      </c>
      <c r="E680" s="111">
        <f>Equipamentos!E94</f>
        <v>108</v>
      </c>
      <c r="F680" s="111">
        <f>Equipamentos!F94</f>
        <v>740.54</v>
      </c>
      <c r="G680" s="111">
        <f t="shared" si="36"/>
        <v>79978.320000000007</v>
      </c>
      <c r="H680" s="555">
        <f t="shared" ca="1" si="35"/>
        <v>1.1999999999999999E-3</v>
      </c>
    </row>
    <row r="681" spans="1:8" ht="63.75" x14ac:dyDescent="0.25">
      <c r="A681" s="109" t="s">
        <v>2657</v>
      </c>
      <c r="B681" s="514" t="str">
        <f>Equipamentos!B95</f>
        <v>E9556-DNIT/PE</v>
      </c>
      <c r="C681" s="541" t="str">
        <f>Equipamentos!C95</f>
        <v>Compactador de solo, tipo placa vibratória reversível, com motor a diesel, peso entre 700 e 820 kg, força centrífuga entre 6.200 e 10.000 kgf, largura de trabalho entre 650 e 720 mm, frequência de vibração entre 3.000 e 3.500 rpm, velocidade de trabalho entre 25 e 30 m/min, potência entre 13,0 e 15,0 hp.</v>
      </c>
      <c r="D681" s="110" t="str">
        <f>Equipamentos!D95</f>
        <v>un x mês</v>
      </c>
      <c r="E681" s="111">
        <f>Equipamentos!E95</f>
        <v>60</v>
      </c>
      <c r="F681" s="111">
        <f>Equipamentos!F95</f>
        <v>1197.68</v>
      </c>
      <c r="G681" s="111">
        <f t="shared" si="36"/>
        <v>71860.800000000003</v>
      </c>
      <c r="H681" s="555">
        <f t="shared" ca="1" si="35"/>
        <v>1E-3</v>
      </c>
    </row>
    <row r="682" spans="1:8" ht="25.5" x14ac:dyDescent="0.25">
      <c r="A682" s="109" t="s">
        <v>2658</v>
      </c>
      <c r="B682" s="514" t="str">
        <f>Equipamentos!B96</f>
        <v>E9513-DNIT/PE</v>
      </c>
      <c r="C682" s="541" t="str">
        <f>Equipamentos!C96</f>
        <v>Compressor de ar rebocável, vazão 400 pcm, pressão efetiva de trabalho 102 psi, motor diesel, potência 110 cv.</v>
      </c>
      <c r="D682" s="110" t="str">
        <f>Equipamentos!D96</f>
        <v>un x mês</v>
      </c>
      <c r="E682" s="111">
        <f>Equipamentos!E96</f>
        <v>12</v>
      </c>
      <c r="F682" s="111">
        <f>Equipamentos!F96</f>
        <v>12214.86</v>
      </c>
      <c r="G682" s="111">
        <f t="shared" si="36"/>
        <v>146578.32</v>
      </c>
      <c r="H682" s="555">
        <f t="shared" ca="1" si="35"/>
        <v>2.0999999999999999E-3</v>
      </c>
    </row>
    <row r="683" spans="1:8" ht="25.5" x14ac:dyDescent="0.25">
      <c r="A683" s="109" t="s">
        <v>2659</v>
      </c>
      <c r="B683" s="514" t="str">
        <f>Equipamentos!B97</f>
        <v>E9661-DNIT/PE</v>
      </c>
      <c r="C683" s="541" t="str">
        <f>Equipamentos!C97</f>
        <v>Compressor de ar rebocável, vazão 189 pcm, pressão efetiva de trabalho 102 psi, motor diesel, potência  63 cv.</v>
      </c>
      <c r="D683" s="110" t="str">
        <f>Equipamentos!D97</f>
        <v>un x mês</v>
      </c>
      <c r="E683" s="111">
        <f>Equipamentos!E97</f>
        <v>12</v>
      </c>
      <c r="F683" s="111">
        <f>Equipamentos!F97</f>
        <v>7084.65</v>
      </c>
      <c r="G683" s="111">
        <f t="shared" si="36"/>
        <v>85015.8</v>
      </c>
      <c r="H683" s="555">
        <f t="shared" ca="1" si="35"/>
        <v>1.1999999999999999E-3</v>
      </c>
    </row>
    <row r="684" spans="1:8" ht="38.25" x14ac:dyDescent="0.25">
      <c r="A684" s="109" t="s">
        <v>2660</v>
      </c>
      <c r="B684" s="514" t="str">
        <f>Equipamentos!B98</f>
        <v>COT_CONJ_160</v>
      </c>
      <c r="C684" s="541" t="str">
        <f>Equipamentos!C98</f>
        <v xml:space="preserve">Conjunto motorbomba com 160 kW de potência no motor elétrico (25 mca x 0,5 m³/s) para esgotamento, com respectivos mangotes de sucção e descarga a serem especificados em função dos diâmetros. </v>
      </c>
      <c r="D684" s="110" t="str">
        <f>Equipamentos!D98</f>
        <v>un x mês</v>
      </c>
      <c r="E684" s="111">
        <f>Equipamentos!E98</f>
        <v>12</v>
      </c>
      <c r="F684" s="111">
        <f>Equipamentos!F98</f>
        <v>24444.44</v>
      </c>
      <c r="G684" s="111">
        <f t="shared" si="36"/>
        <v>293333.28000000003</v>
      </c>
      <c r="H684" s="555">
        <f t="shared" ca="1" si="35"/>
        <v>4.1999999999999997E-3</v>
      </c>
    </row>
    <row r="685" spans="1:8" ht="38.25" x14ac:dyDescent="0.25">
      <c r="A685" s="109" t="s">
        <v>2661</v>
      </c>
      <c r="B685" s="514" t="str">
        <f>Equipamentos!B99</f>
        <v>COT_CONJ_30</v>
      </c>
      <c r="C685" s="541" t="str">
        <f>Equipamentos!C99</f>
        <v xml:space="preserve">Conjunto motorbomba com 30 kW de potência no motor elétrico (25 mca x 0,1 m³/s) para esgotamento, com respectivos mangotes de sucção e descarga a serem especificados em função dos diâmetros. </v>
      </c>
      <c r="D685" s="110" t="str">
        <f>Equipamentos!D99</f>
        <v>un x mês</v>
      </c>
      <c r="E685" s="111">
        <f>Equipamentos!E99</f>
        <v>12</v>
      </c>
      <c r="F685" s="111">
        <f>Equipamentos!F99</f>
        <v>3361.11</v>
      </c>
      <c r="G685" s="111">
        <f t="shared" si="36"/>
        <v>40333.32</v>
      </c>
      <c r="H685" s="555">
        <f t="shared" ca="1" si="35"/>
        <v>5.9999999999999995E-4</v>
      </c>
    </row>
    <row r="686" spans="1:8" ht="38.25" x14ac:dyDescent="0.25">
      <c r="A686" s="109" t="s">
        <v>2662</v>
      </c>
      <c r="B686" s="514" t="str">
        <f>Equipamentos!B100</f>
        <v>E9528-DNIT/PE</v>
      </c>
      <c r="C686" s="541" t="str">
        <f>Equipamentos!C100</f>
        <v>Empilhadeira sobre pneus com torre de três estágios, 4,80 m de elevação, com deslocador lateral dos garfos, motor glp 2.4 l, capacidade nominal de carga de 2,5 t.</v>
      </c>
      <c r="D686" s="110" t="str">
        <f>Equipamentos!D100</f>
        <v>un x mês</v>
      </c>
      <c r="E686" s="111">
        <f>Equipamentos!E100</f>
        <v>12</v>
      </c>
      <c r="F686" s="111">
        <f>Equipamentos!F100</f>
        <v>10919.41</v>
      </c>
      <c r="G686" s="111">
        <f t="shared" si="36"/>
        <v>131032.92</v>
      </c>
      <c r="H686" s="555">
        <f t="shared" ca="1" si="35"/>
        <v>1.9E-3</v>
      </c>
    </row>
    <row r="687" spans="1:8" ht="25.5" x14ac:dyDescent="0.25">
      <c r="A687" s="109" t="s">
        <v>2663</v>
      </c>
      <c r="B687" s="514" t="str">
        <f>Equipamentos!B101</f>
        <v>E9017-DNIT/PE</v>
      </c>
      <c r="C687" s="541" t="str">
        <f>Equipamentos!C101</f>
        <v>Escavadeira hidráulica sobre esteiras, caçamba 0,62 m³, peso operacional 12,61 t, potência líquida 95 hp.</v>
      </c>
      <c r="D687" s="110" t="str">
        <f>Equipamentos!D101</f>
        <v>un x mês</v>
      </c>
      <c r="E687" s="111">
        <f>Equipamentos!E101</f>
        <v>12</v>
      </c>
      <c r="F687" s="111">
        <f>Equipamentos!F101</f>
        <v>21365.96</v>
      </c>
      <c r="G687" s="111">
        <f t="shared" si="36"/>
        <v>256391.52</v>
      </c>
      <c r="H687" s="555">
        <f t="shared" ca="1" si="35"/>
        <v>3.7000000000000002E-3</v>
      </c>
    </row>
    <row r="688" spans="1:8" ht="25.5" x14ac:dyDescent="0.25">
      <c r="A688" s="109" t="s">
        <v>2664</v>
      </c>
      <c r="B688" s="514" t="str">
        <f>Equipamentos!B102</f>
        <v>COT_ESCAV</v>
      </c>
      <c r="C688" s="541" t="str">
        <f>Equipamentos!C102</f>
        <v>Escavadeira hidráulica sobre esteiras, caçamba  0,80 m³, peso operacional 17 t, potência bruta 111 hp.</v>
      </c>
      <c r="D688" s="110" t="str">
        <f>Equipamentos!D102</f>
        <v>un x mês</v>
      </c>
      <c r="E688" s="111">
        <f>Equipamentos!E102</f>
        <v>24</v>
      </c>
      <c r="F688" s="111">
        <f>Equipamentos!F102</f>
        <v>22831.67</v>
      </c>
      <c r="G688" s="111">
        <f t="shared" si="36"/>
        <v>547960.07999999996</v>
      </c>
      <c r="H688" s="555">
        <f t="shared" ca="1" si="35"/>
        <v>7.9000000000000008E-3</v>
      </c>
    </row>
    <row r="689" spans="1:8" ht="25.5" x14ac:dyDescent="0.25">
      <c r="A689" s="109" t="s">
        <v>2665</v>
      </c>
      <c r="B689" s="514" t="str">
        <f>Equipamentos!B103</f>
        <v>E9521-DNIT/PE</v>
      </c>
      <c r="C689" s="541" t="str">
        <f>Equipamentos!C103</f>
        <v xml:space="preserve">Grupo gerador de 4 KVA, 220v, trifásico, silenciado, com 100 metros de cabos e 01 QTA. </v>
      </c>
      <c r="D689" s="110" t="str">
        <f>Equipamentos!D103</f>
        <v>un x mês</v>
      </c>
      <c r="E689" s="111">
        <f>Equipamentos!E103</f>
        <v>24</v>
      </c>
      <c r="F689" s="111">
        <f>Equipamentos!F103</f>
        <v>485.72</v>
      </c>
      <c r="G689" s="111">
        <f t="shared" si="36"/>
        <v>11657.28</v>
      </c>
      <c r="H689" s="555">
        <f t="shared" ca="1" si="35"/>
        <v>2.0000000000000001E-4</v>
      </c>
    </row>
    <row r="690" spans="1:8" ht="25.5" x14ac:dyDescent="0.25">
      <c r="A690" s="109" t="s">
        <v>2666</v>
      </c>
      <c r="B690" s="514" t="str">
        <f>Equipamentos!B104</f>
        <v>E9066-DNIT/PE</v>
      </c>
      <c r="C690" s="541" t="str">
        <f>Equipamentos!C104</f>
        <v xml:space="preserve">Grupo gerador de 10 KVA, 220v, trifásico, silenciado, com 100 metros de cabos e 01 QTA. </v>
      </c>
      <c r="D690" s="110" t="str">
        <f>Equipamentos!D104</f>
        <v>un x mês</v>
      </c>
      <c r="E690" s="111">
        <f>Equipamentos!E104</f>
        <v>24</v>
      </c>
      <c r="F690" s="111">
        <f>Equipamentos!F104</f>
        <v>1699.46</v>
      </c>
      <c r="G690" s="111">
        <f t="shared" si="36"/>
        <v>40787.040000000001</v>
      </c>
      <c r="H690" s="555">
        <f t="shared" ca="1" si="35"/>
        <v>5.9999999999999995E-4</v>
      </c>
    </row>
    <row r="691" spans="1:8" ht="38.25" x14ac:dyDescent="0.25">
      <c r="A691" s="109" t="s">
        <v>2667</v>
      </c>
      <c r="B691" s="514" t="str">
        <f>Equipamentos!B105</f>
        <v>COT_GRUP_15KVA</v>
      </c>
      <c r="C691" s="541" t="str">
        <f>Equipamentos!C105</f>
        <v>Grupo gerador, potência nominal 15 kVA (emergência), incluindo instalação, cabeamento, base de concreto e demais materiais necessários.</v>
      </c>
      <c r="D691" s="110" t="str">
        <f>Equipamentos!D105</f>
        <v>un x mês</v>
      </c>
      <c r="E691" s="111">
        <f>Equipamentos!E105</f>
        <v>24</v>
      </c>
      <c r="F691" s="111">
        <f>Equipamentos!F105</f>
        <v>3831.28</v>
      </c>
      <c r="G691" s="111">
        <f t="shared" si="36"/>
        <v>91950.720000000001</v>
      </c>
      <c r="H691" s="555">
        <f t="shared" ca="1" si="35"/>
        <v>1.2999999999999999E-3</v>
      </c>
    </row>
    <row r="692" spans="1:8" ht="25.5" x14ac:dyDescent="0.25">
      <c r="A692" s="109" t="s">
        <v>2668</v>
      </c>
      <c r="B692" s="514" t="str">
        <f>Equipamentos!B106</f>
        <v>E9066-DNIT/PE</v>
      </c>
      <c r="C692" s="541" t="str">
        <f>Equipamentos!C106</f>
        <v xml:space="preserve">Grupo gerador de 15 kVA, 220V, trifásico, silenciado, com 100 metros de cabos e 01 QTA. </v>
      </c>
      <c r="D692" s="110" t="str">
        <f>Equipamentos!D106</f>
        <v>un x mês</v>
      </c>
      <c r="E692" s="111">
        <f>Equipamentos!E106</f>
        <v>12</v>
      </c>
      <c r="F692" s="111">
        <f>Equipamentos!F106</f>
        <v>1699.46</v>
      </c>
      <c r="G692" s="111">
        <f t="shared" si="36"/>
        <v>20393.52</v>
      </c>
      <c r="H692" s="555">
        <f t="shared" ca="1" si="35"/>
        <v>2.9999999999999997E-4</v>
      </c>
    </row>
    <row r="693" spans="1:8" ht="25.5" x14ac:dyDescent="0.25">
      <c r="A693" s="109" t="s">
        <v>2669</v>
      </c>
      <c r="B693" s="514" t="str">
        <f>Equipamentos!B107</f>
        <v>36500 - SINAPI/PE</v>
      </c>
      <c r="C693" s="541" t="str">
        <f>Equipamentos!C107</f>
        <v>Locação de grupo gerador acima de 125 até 180 kVA, motor diesel, rebocável, acionamento manual.</v>
      </c>
      <c r="D693" s="110" t="str">
        <f>Equipamentos!D107</f>
        <v>un x mês</v>
      </c>
      <c r="E693" s="111">
        <f>Equipamentos!E107</f>
        <v>12</v>
      </c>
      <c r="F693" s="111">
        <f>Equipamentos!F107</f>
        <v>4017.78</v>
      </c>
      <c r="G693" s="111">
        <f t="shared" si="36"/>
        <v>48213.36</v>
      </c>
      <c r="H693" s="555">
        <f t="shared" ca="1" si="35"/>
        <v>6.9999999999999999E-4</v>
      </c>
    </row>
    <row r="694" spans="1:8" ht="25.5" x14ac:dyDescent="0.25">
      <c r="A694" s="109" t="s">
        <v>2670</v>
      </c>
      <c r="B694" s="514" t="str">
        <f>Equipamentos!B108</f>
        <v>39593 - SINAPI/PE</v>
      </c>
      <c r="C694" s="541" t="str">
        <f>Equipamentos!C108</f>
        <v>Grupo gerador diesel, com carenagem, potência standart entre 250 e 260 kVA, velocidade de 1800 rpm, frequência de 60 Hz.</v>
      </c>
      <c r="D694" s="110" t="str">
        <f>Equipamentos!D108</f>
        <v>un x mês</v>
      </c>
      <c r="E694" s="111">
        <f>Equipamentos!E108</f>
        <v>12</v>
      </c>
      <c r="F694" s="111">
        <f>Equipamentos!F108</f>
        <v>7848.25</v>
      </c>
      <c r="G694" s="111">
        <f t="shared" si="36"/>
        <v>94179</v>
      </c>
      <c r="H694" s="555">
        <f t="shared" ca="1" si="35"/>
        <v>1.4E-3</v>
      </c>
    </row>
    <row r="695" spans="1:8" ht="38.25" x14ac:dyDescent="0.25">
      <c r="A695" s="109" t="s">
        <v>2671</v>
      </c>
      <c r="B695" s="514" t="str">
        <f>Equipamentos!B109</f>
        <v>COT_PLAT</v>
      </c>
      <c r="C695" s="541" t="str">
        <f>Equipamentos!C109</f>
        <v>Plataforma Aérea, altura de trabalho 16,0 m, capacidade de carga 227 kg, fonte de energia: diesel, painel de controle na base e na plataforma, altura arriada: 2,0 m.</v>
      </c>
      <c r="D695" s="110" t="str">
        <f>Equipamentos!D109</f>
        <v>un x mês</v>
      </c>
      <c r="E695" s="111">
        <f>Equipamentos!E109</f>
        <v>24</v>
      </c>
      <c r="F695" s="111">
        <f>Equipamentos!F109</f>
        <v>4606.6099999999997</v>
      </c>
      <c r="G695" s="111">
        <f t="shared" si="36"/>
        <v>110558.64</v>
      </c>
      <c r="H695" s="555">
        <f t="shared" ca="1" si="35"/>
        <v>1.6000000000000001E-3</v>
      </c>
    </row>
    <row r="696" spans="1:8" ht="38.25" x14ac:dyDescent="0.25">
      <c r="A696" s="109" t="s">
        <v>2672</v>
      </c>
      <c r="B696" s="514" t="str">
        <f>Equipamentos!B110</f>
        <v>40269 - SINAPI/PE</v>
      </c>
      <c r="C696" s="541" t="str">
        <f>Equipamentos!C110</f>
        <v>Serra circular de bancada, modelo pica-pau, diâmetro de 350 mm. Características do motor: trifásico, potência de 5 hp, frequência de 60 H.</v>
      </c>
      <c r="D696" s="110" t="str">
        <f>Equipamentos!D110</f>
        <v>un x mês</v>
      </c>
      <c r="E696" s="111">
        <f>Equipamentos!E110</f>
        <v>36</v>
      </c>
      <c r="F696" s="111">
        <f>Equipamentos!F110</f>
        <v>215.81</v>
      </c>
      <c r="G696" s="111">
        <f t="shared" si="36"/>
        <v>7769.16</v>
      </c>
      <c r="H696" s="555">
        <f t="shared" ca="1" si="35"/>
        <v>1E-4</v>
      </c>
    </row>
    <row r="697" spans="1:8" x14ac:dyDescent="0.25">
      <c r="A697" s="109" t="s">
        <v>2673</v>
      </c>
      <c r="B697" s="514" t="str">
        <f>Equipamentos!B111</f>
        <v>40403 - SINAPI/PE</v>
      </c>
      <c r="C697" s="541" t="str">
        <f>Equipamentos!C111</f>
        <v>Máquina de solda elétrica de 250 A com kit.</v>
      </c>
      <c r="D697" s="110" t="str">
        <f>Equipamentos!D111</f>
        <v>un x mês</v>
      </c>
      <c r="E697" s="111">
        <f>Equipamentos!E111</f>
        <v>36</v>
      </c>
      <c r="F697" s="111">
        <f>Equipamentos!F111</f>
        <v>25.21</v>
      </c>
      <c r="G697" s="111">
        <f t="shared" si="36"/>
        <v>907.56</v>
      </c>
      <c r="H697" s="555">
        <f t="shared" ca="1" si="35"/>
        <v>0</v>
      </c>
    </row>
    <row r="698" spans="1:8" x14ac:dyDescent="0.25">
      <c r="A698" s="109" t="s">
        <v>2674</v>
      </c>
      <c r="B698" s="514" t="str">
        <f>Equipamentos!B112</f>
        <v>E9568-DNIT/PE</v>
      </c>
      <c r="C698" s="541" t="str">
        <f>Equipamentos!C112</f>
        <v>Furadeira elétrica profissional.</v>
      </c>
      <c r="D698" s="110" t="str">
        <f>Equipamentos!D112</f>
        <v>un x mês</v>
      </c>
      <c r="E698" s="111">
        <f>Equipamentos!E112</f>
        <v>36</v>
      </c>
      <c r="F698" s="111">
        <f>Equipamentos!F112</f>
        <v>24.11</v>
      </c>
      <c r="G698" s="111">
        <f t="shared" si="36"/>
        <v>867.96</v>
      </c>
      <c r="H698" s="555">
        <f t="shared" ca="1" si="35"/>
        <v>0</v>
      </c>
    </row>
    <row r="699" spans="1:8" ht="25.5" x14ac:dyDescent="0.25">
      <c r="A699" s="109" t="s">
        <v>2675</v>
      </c>
      <c r="B699" s="514" t="str">
        <f>Equipamentos!B113</f>
        <v>13192 - SINAPI/PE</v>
      </c>
      <c r="C699" s="541" t="str">
        <f>Equipamentos!C113</f>
        <v>Lixadeira elétrica angular para concreto, potência 1.400 W, prato diamantado de 5''.</v>
      </c>
      <c r="D699" s="110" t="str">
        <f>Equipamentos!D113</f>
        <v>un x mês</v>
      </c>
      <c r="E699" s="111">
        <f>Equipamentos!E113</f>
        <v>36</v>
      </c>
      <c r="F699" s="111">
        <f>Equipamentos!F113</f>
        <v>221.91</v>
      </c>
      <c r="G699" s="111">
        <f t="shared" si="36"/>
        <v>7988.76</v>
      </c>
      <c r="H699" s="555">
        <f t="shared" ca="1" si="35"/>
        <v>1E-4</v>
      </c>
    </row>
    <row r="700" spans="1:8" ht="25.5" x14ac:dyDescent="0.25">
      <c r="A700" s="109" t="s">
        <v>2676</v>
      </c>
      <c r="B700" s="514" t="str">
        <f>Equipamentos!B114</f>
        <v>14619 - SINAPI/PE</v>
      </c>
      <c r="C700" s="541" t="str">
        <f>Equipamentos!C114</f>
        <v>Máquina para corte com disco abrasivo de diâmetro de 18'' (450 mm), com motor elétrico trifásico de 10 cv.</v>
      </c>
      <c r="D700" s="110" t="str">
        <f>Equipamentos!D114</f>
        <v>un x mês</v>
      </c>
      <c r="E700" s="111">
        <f>Equipamentos!E114</f>
        <v>36</v>
      </c>
      <c r="F700" s="111">
        <f>Equipamentos!F114</f>
        <v>627.27</v>
      </c>
      <c r="G700" s="111">
        <f t="shared" si="36"/>
        <v>22581.72</v>
      </c>
      <c r="H700" s="555">
        <f t="shared" ca="1" si="35"/>
        <v>2.9999999999999997E-4</v>
      </c>
    </row>
    <row r="701" spans="1:8" x14ac:dyDescent="0.25">
      <c r="A701" s="109" t="s">
        <v>2677</v>
      </c>
      <c r="B701" s="514" t="str">
        <f>Equipamentos!B115</f>
        <v>40703 - SINAPI/PE</v>
      </c>
      <c r="C701" s="541" t="str">
        <f>Equipamentos!C115</f>
        <v>Martelete rompedor 33 kg.</v>
      </c>
      <c r="D701" s="110" t="str">
        <f>Equipamentos!D115</f>
        <v>un x mês</v>
      </c>
      <c r="E701" s="111">
        <f>Equipamentos!E115</f>
        <v>36</v>
      </c>
      <c r="F701" s="111">
        <f>Equipamentos!F115</f>
        <v>353.93</v>
      </c>
      <c r="G701" s="111">
        <f t="shared" si="36"/>
        <v>12741.48</v>
      </c>
      <c r="H701" s="555">
        <f t="shared" ca="1" si="35"/>
        <v>2.0000000000000001E-4</v>
      </c>
    </row>
    <row r="702" spans="1:8" ht="25.5" x14ac:dyDescent="0.25">
      <c r="A702" s="109" t="s">
        <v>2678</v>
      </c>
      <c r="B702" s="514" t="str">
        <f>Equipamentos!B116</f>
        <v>36533 - SINAPI/PE</v>
      </c>
      <c r="C702" s="541" t="str">
        <f>Equipamentos!C116</f>
        <v>Martelo demolidor pneumático manual, com redução de vibração, peso de 31,5 kg.</v>
      </c>
      <c r="D702" s="110" t="str">
        <f>Equipamentos!D116</f>
        <v>un x mês</v>
      </c>
      <c r="E702" s="111">
        <f>Equipamentos!E116</f>
        <v>36</v>
      </c>
      <c r="F702" s="111">
        <f>Equipamentos!F116</f>
        <v>759.32</v>
      </c>
      <c r="G702" s="111">
        <f t="shared" si="36"/>
        <v>27335.52</v>
      </c>
      <c r="H702" s="555">
        <f t="shared" ca="1" si="35"/>
        <v>4.0000000000000002E-4</v>
      </c>
    </row>
    <row r="703" spans="1:8" ht="25.5" x14ac:dyDescent="0.25">
      <c r="A703" s="109" t="s">
        <v>2679</v>
      </c>
      <c r="B703" s="514" t="str">
        <f>Equipamentos!B117</f>
        <v>37514 - SINAPI/PE</v>
      </c>
      <c r="C703" s="541" t="str">
        <f>Equipamentos!C117</f>
        <v>Minicarregadeira sobre rodas, potência líquida de 47 hp, capacidade nominal de operação de 646 kg.</v>
      </c>
      <c r="D703" s="110" t="str">
        <f>Equipamentos!D117</f>
        <v>un x mês</v>
      </c>
      <c r="E703" s="111">
        <f>Equipamentos!E117</f>
        <v>24</v>
      </c>
      <c r="F703" s="111">
        <f>Equipamentos!F117</f>
        <v>8853.6299999999992</v>
      </c>
      <c r="G703" s="111">
        <f t="shared" si="36"/>
        <v>212487.12</v>
      </c>
      <c r="H703" s="555">
        <f t="shared" ca="1" si="35"/>
        <v>3.0999999999999999E-3</v>
      </c>
    </row>
    <row r="704" spans="1:8" ht="25.5" x14ac:dyDescent="0.25">
      <c r="A704" s="109" t="s">
        <v>2680</v>
      </c>
      <c r="B704" s="514" t="str">
        <f>Equipamentos!B118</f>
        <v>4090 - SINAPI/PE</v>
      </c>
      <c r="C704" s="541" t="str">
        <f>Equipamentos!C118</f>
        <v>Motoniveladora com escarificador (potência básica líquida -primeira marcha- 125 hp , peso bruto 13.843 kg, largura da lâmina de 3,7 m)</v>
      </c>
      <c r="D704" s="110" t="str">
        <f>Equipamentos!D118</f>
        <v>un x mês</v>
      </c>
      <c r="E704" s="111">
        <f>Equipamentos!E118</f>
        <v>24</v>
      </c>
      <c r="F704" s="111">
        <f>Equipamentos!F118</f>
        <v>16713.89</v>
      </c>
      <c r="G704" s="111">
        <f t="shared" si="36"/>
        <v>401133.36</v>
      </c>
      <c r="H704" s="555">
        <f t="shared" ca="1" si="35"/>
        <v>5.7999999999999996E-3</v>
      </c>
    </row>
    <row r="705" spans="1:8" x14ac:dyDescent="0.25">
      <c r="A705" s="109" t="s">
        <v>2681</v>
      </c>
      <c r="B705" s="514" t="str">
        <f>Equipamentos!B119</f>
        <v>13955 - SINAPI/PE</v>
      </c>
      <c r="C705" s="541" t="str">
        <f>Equipamentos!C119</f>
        <v>Motoserra portátil com motor a gosolina de 60 cc.</v>
      </c>
      <c r="D705" s="110" t="str">
        <f>Equipamentos!D119</f>
        <v>un x mês</v>
      </c>
      <c r="E705" s="111">
        <f>Equipamentos!E119</f>
        <v>36</v>
      </c>
      <c r="F705" s="111">
        <f>Equipamentos!F119</f>
        <v>151.49</v>
      </c>
      <c r="G705" s="111">
        <f t="shared" si="36"/>
        <v>5453.64</v>
      </c>
      <c r="H705" s="555">
        <f t="shared" ca="1" si="35"/>
        <v>1E-4</v>
      </c>
    </row>
    <row r="706" spans="1:8" ht="25.5" x14ac:dyDescent="0.25">
      <c r="A706" s="109" t="s">
        <v>2682</v>
      </c>
      <c r="B706" s="514" t="str">
        <f>Equipamentos!B120</f>
        <v>4778 - SINAPI/PE</v>
      </c>
      <c r="C706" s="541" t="str">
        <f>Equipamentos!C120</f>
        <v>Perfuratriz pneumática manual de peso médio, 18 kg, comprimento de curso de 6 m, diâmetro do pistão de 5,5 cm</v>
      </c>
      <c r="D706" s="110" t="str">
        <f>Equipamentos!D120</f>
        <v>un x mês</v>
      </c>
      <c r="E706" s="111">
        <f>Equipamentos!E120</f>
        <v>12</v>
      </c>
      <c r="F706" s="111">
        <f>Equipamentos!F120</f>
        <v>475.2</v>
      </c>
      <c r="G706" s="111">
        <f t="shared" si="36"/>
        <v>5702.4</v>
      </c>
      <c r="H706" s="555">
        <f t="shared" ca="1" si="35"/>
        <v>1E-4</v>
      </c>
    </row>
    <row r="707" spans="1:8" ht="51" x14ac:dyDescent="0.25">
      <c r="A707" s="109" t="s">
        <v>2683</v>
      </c>
      <c r="B707" s="514" t="str">
        <f>Equipamentos!B121</f>
        <v>E9526-DNIT/PE</v>
      </c>
      <c r="C707" s="541" t="str">
        <f>Equipamentos!C121</f>
        <v>Retroescavadeira sobre rodas com carregadeira, tração 4x4, potência líquida 72 hp, peso operacional mínimo de 7.140 kg, capacidade mínima da carregadeira de 0,79 m³ e da retroescavadeira mínima de 0,18 m³, profundidade de escavação máxima de 4,50 m.</v>
      </c>
      <c r="D707" s="110" t="str">
        <f>Equipamentos!D121</f>
        <v>un x mês</v>
      </c>
      <c r="E707" s="111">
        <f>Equipamentos!E121</f>
        <v>72</v>
      </c>
      <c r="F707" s="111">
        <f>Equipamentos!F121</f>
        <v>15169.35</v>
      </c>
      <c r="G707" s="111">
        <f t="shared" si="36"/>
        <v>1092193.2</v>
      </c>
      <c r="H707" s="555">
        <f t="shared" ca="1" si="35"/>
        <v>1.5699999999999999E-2</v>
      </c>
    </row>
    <row r="708" spans="1:8" x14ac:dyDescent="0.25">
      <c r="A708" s="109" t="s">
        <v>2684</v>
      </c>
      <c r="B708" s="514" t="str">
        <f>Equipamentos!B122</f>
        <v>10664 - SINAPI/PE</v>
      </c>
      <c r="C708" s="541" t="str">
        <f>Equipamentos!C122</f>
        <v>Roçadeira deslocável, largura de trabalho de 1,3 m.</v>
      </c>
      <c r="D708" s="110" t="str">
        <f>Equipamentos!D122</f>
        <v>un x mês</v>
      </c>
      <c r="E708" s="111">
        <f>Equipamentos!E122</f>
        <v>12</v>
      </c>
      <c r="F708" s="111">
        <f>Equipamentos!F122</f>
        <v>420.18</v>
      </c>
      <c r="G708" s="111">
        <f t="shared" si="36"/>
        <v>5042.16</v>
      </c>
      <c r="H708" s="555">
        <f t="shared" ca="1" si="35"/>
        <v>1E-4</v>
      </c>
    </row>
    <row r="709" spans="1:8" x14ac:dyDescent="0.25">
      <c r="A709" s="109" t="s">
        <v>2685</v>
      </c>
      <c r="B709" s="514" t="str">
        <f>Equipamentos!B123</f>
        <v>10559 - SINAPI/PE</v>
      </c>
      <c r="C709" s="541" t="str">
        <f>Equipamentos!C123</f>
        <v>Roçadeira costal com motor a gasolina de  32 cc.</v>
      </c>
      <c r="D709" s="110" t="str">
        <f>Equipamentos!D123</f>
        <v>un x mês</v>
      </c>
      <c r="E709" s="111">
        <f>Equipamentos!E123</f>
        <v>72</v>
      </c>
      <c r="F709" s="111">
        <f>Equipamentos!F123</f>
        <v>154.6</v>
      </c>
      <c r="G709" s="111">
        <f t="shared" si="36"/>
        <v>11131.2</v>
      </c>
      <c r="H709" s="555">
        <f t="shared" ca="1" si="35"/>
        <v>2.0000000000000001E-4</v>
      </c>
    </row>
    <row r="710" spans="1:8" ht="38.25" x14ac:dyDescent="0.25">
      <c r="A710" s="109" t="s">
        <v>2686</v>
      </c>
      <c r="B710" s="514" t="str">
        <f>Equipamentos!B124</f>
        <v>E9685-DNIT/PE</v>
      </c>
      <c r="C710" s="541" t="str">
        <f>Equipamentos!C124</f>
        <v>Rolo compactador pé-de-carneiro vibratório, potência 125 hp, peso operacional sem/com lastro 11,95/13,30 t, impacto dinâmico 38,5/22,5 t, largura de trabalho 2,15 m.</v>
      </c>
      <c r="D710" s="110" t="str">
        <f>Equipamentos!D124</f>
        <v>un x mês</v>
      </c>
      <c r="E710" s="111">
        <f>Equipamentos!E124</f>
        <v>24</v>
      </c>
      <c r="F710" s="111">
        <f>Equipamentos!F124</f>
        <v>20161.64</v>
      </c>
      <c r="G710" s="111">
        <f t="shared" si="36"/>
        <v>483879.36</v>
      </c>
      <c r="H710" s="555">
        <f t="shared" ca="1" si="35"/>
        <v>7.0000000000000001E-3</v>
      </c>
    </row>
    <row r="711" spans="1:8" x14ac:dyDescent="0.25">
      <c r="A711" s="109" t="s">
        <v>2687</v>
      </c>
      <c r="B711" s="514" t="str">
        <f>Equipamentos!B125</f>
        <v>COT_TORR</v>
      </c>
      <c r="C711" s="541" t="str">
        <f>Equipamentos!C125</f>
        <v>Torre de iluminação 4000 W</v>
      </c>
      <c r="D711" s="110" t="str">
        <f>Equipamentos!D125</f>
        <v>un x mês</v>
      </c>
      <c r="E711" s="111">
        <f>Equipamentos!E125</f>
        <v>36</v>
      </c>
      <c r="F711" s="111">
        <f>Equipamentos!F125</f>
        <v>1500</v>
      </c>
      <c r="G711" s="111">
        <f t="shared" si="36"/>
        <v>54000</v>
      </c>
      <c r="H711" s="555">
        <f t="shared" ca="1" si="35"/>
        <v>8.0000000000000004E-4</v>
      </c>
    </row>
    <row r="712" spans="1:8" x14ac:dyDescent="0.25">
      <c r="A712" s="109" t="s">
        <v>2688</v>
      </c>
      <c r="B712" s="514" t="str">
        <f>Equipamentos!B126</f>
        <v>36511 - SINAPI/PE</v>
      </c>
      <c r="C712" s="541" t="str">
        <f>Equipamentos!C126</f>
        <v>Trator Agrícola para reboque de máquina roçadeira</v>
      </c>
      <c r="D712" s="110" t="str">
        <f>Equipamentos!D126</f>
        <v>un x mês</v>
      </c>
      <c r="E712" s="111">
        <f>Equipamentos!E126</f>
        <v>12</v>
      </c>
      <c r="F712" s="111">
        <f>Equipamentos!F126</f>
        <v>11440.46</v>
      </c>
      <c r="G712" s="111">
        <f t="shared" si="36"/>
        <v>137285.51999999999</v>
      </c>
      <c r="H712" s="555">
        <f t="shared" ca="1" si="35"/>
        <v>2E-3</v>
      </c>
    </row>
    <row r="713" spans="1:8" ht="25.5" x14ac:dyDescent="0.25">
      <c r="A713" s="109" t="s">
        <v>2689</v>
      </c>
      <c r="B713" s="514" t="str">
        <f>Equipamentos!B127</f>
        <v>E9540-DNIT/PE</v>
      </c>
      <c r="C713" s="541" t="str">
        <f>Equipamentos!C127</f>
        <v>Trator de esteiras, potência de 150 hp, peso operacional de 16,7 t, com roda motriz elevada e lâmina com contato de 3,18 m³.</v>
      </c>
      <c r="D713" s="110" t="str">
        <f>Equipamentos!D127</f>
        <v>un x mês</v>
      </c>
      <c r="E713" s="111">
        <f>Equipamentos!E127</f>
        <v>12</v>
      </c>
      <c r="F713" s="111">
        <f>Equipamentos!F127</f>
        <v>29717.759999999998</v>
      </c>
      <c r="G713" s="111">
        <f t="shared" si="36"/>
        <v>356613.12</v>
      </c>
      <c r="H713" s="555">
        <f t="shared" ca="1" si="35"/>
        <v>5.1000000000000004E-3</v>
      </c>
    </row>
    <row r="714" spans="1:8" x14ac:dyDescent="0.25">
      <c r="A714" s="109" t="s">
        <v>2690</v>
      </c>
      <c r="B714" s="514" t="str">
        <f>Equipamentos!B128</f>
        <v>39628 - SINAPI/PE</v>
      </c>
      <c r="C714" s="541" t="str">
        <f>Equipamentos!C128</f>
        <v>Motor a diesel para vibrador de imersão de 4,7 cv.</v>
      </c>
      <c r="D714" s="110" t="str">
        <f>Equipamentos!D128</f>
        <v>un x mês</v>
      </c>
      <c r="E714" s="111">
        <f>Equipamentos!E128</f>
        <v>12</v>
      </c>
      <c r="F714" s="111">
        <f>Equipamentos!F128</f>
        <v>150.91999999999999</v>
      </c>
      <c r="G714" s="111">
        <f t="shared" si="36"/>
        <v>1811.04</v>
      </c>
      <c r="H714" s="555">
        <f t="shared" ca="1" si="35"/>
        <v>0</v>
      </c>
    </row>
    <row r="715" spans="1:8" ht="25.5" x14ac:dyDescent="0.25">
      <c r="A715" s="109" t="s">
        <v>2691</v>
      </c>
      <c r="B715" s="514" t="str">
        <f>Equipamentos!B129</f>
        <v>39399 - SINAPI/PE</v>
      </c>
      <c r="C715" s="541" t="str">
        <f>Equipamentos!C129</f>
        <v>Vibrador de imersão, com ponteira de 35 mm, mangote de 5 m, sem motor.</v>
      </c>
      <c r="D715" s="110" t="str">
        <f>Equipamentos!D129</f>
        <v>un x mês</v>
      </c>
      <c r="E715" s="111">
        <f>Equipamentos!E129</f>
        <v>36</v>
      </c>
      <c r="F715" s="111">
        <f>Equipamentos!F129</f>
        <v>49.18</v>
      </c>
      <c r="G715" s="111">
        <f t="shared" si="36"/>
        <v>1770.48</v>
      </c>
      <c r="H715" s="555">
        <f t="shared" ca="1" si="35"/>
        <v>0</v>
      </c>
    </row>
    <row r="716" spans="1:8" ht="25.5" x14ac:dyDescent="0.25">
      <c r="A716" s="109" t="s">
        <v>2692</v>
      </c>
      <c r="B716" s="514" t="str">
        <f>Equipamentos!B130</f>
        <v>39400 - SINAPI/PE</v>
      </c>
      <c r="C716" s="541" t="str">
        <f>Equipamentos!C130</f>
        <v>Vibrador de imersão, com ponteira de 45 mm, mangote de 5 m, sem motor.</v>
      </c>
      <c r="D716" s="110" t="str">
        <f>Equipamentos!D130</f>
        <v>un x mês</v>
      </c>
      <c r="E716" s="111">
        <f>Equipamentos!E130</f>
        <v>36</v>
      </c>
      <c r="F716" s="111">
        <f>Equipamentos!F130</f>
        <v>53.46</v>
      </c>
      <c r="G716" s="111">
        <f t="shared" si="36"/>
        <v>1924.56</v>
      </c>
      <c r="H716" s="555">
        <f t="shared" ca="1" si="35"/>
        <v>0</v>
      </c>
    </row>
    <row r="717" spans="1:8" ht="25.5" x14ac:dyDescent="0.25">
      <c r="A717" s="109" t="s">
        <v>2693</v>
      </c>
      <c r="B717" s="514" t="str">
        <f>Equipamentos!B131</f>
        <v>39401 - SINAPI/PE</v>
      </c>
      <c r="C717" s="541" t="str">
        <f>Equipamentos!C131</f>
        <v>Vibrador de imersão, com ponteira de 60 mm, mangote de 5 m, sem motor.</v>
      </c>
      <c r="D717" s="110" t="str">
        <f>Equipamentos!D131</f>
        <v>un x mês</v>
      </c>
      <c r="E717" s="111">
        <f>Equipamentos!E131</f>
        <v>36</v>
      </c>
      <c r="F717" s="111">
        <f>Equipamentos!F131</f>
        <v>59.96</v>
      </c>
      <c r="G717" s="111">
        <f t="shared" si="36"/>
        <v>2158.56</v>
      </c>
      <c r="H717" s="555">
        <f t="shared" ca="1" si="35"/>
        <v>0</v>
      </c>
    </row>
    <row r="718" spans="1:8" x14ac:dyDescent="0.25">
      <c r="A718" s="109" t="s">
        <v>2694</v>
      </c>
      <c r="B718" s="514"/>
      <c r="C718" s="541" t="str">
        <f>Equipamentos!C134</f>
        <v>SEGURANÇA DE BARRAGEM</v>
      </c>
      <c r="D718" s="110"/>
      <c r="E718" s="111"/>
      <c r="F718" s="111"/>
      <c r="G718" s="111">
        <f>SUBTOTAL(109,G719:G727)</f>
        <v>2669111.6399999997</v>
      </c>
      <c r="H718" s="555">
        <f t="shared" ca="1" si="35"/>
        <v>3.85E-2</v>
      </c>
    </row>
    <row r="719" spans="1:8" ht="25.5" x14ac:dyDescent="0.25">
      <c r="A719" s="109" t="s">
        <v>2695</v>
      </c>
      <c r="B719" s="514" t="str">
        <f>Equipamentos!B135</f>
        <v>E9763-DNIT/PE</v>
      </c>
      <c r="C719" s="541" t="str">
        <f>Equipamentos!C135</f>
        <v xml:space="preserve">Grupo Gerador - 32,0 kVA, 220 V, trifásico, silenciado, com 100 metros de cabos e 01 QTA. </v>
      </c>
      <c r="D719" s="110" t="str">
        <f>Equipamentos!D135</f>
        <v>un x mês</v>
      </c>
      <c r="E719" s="111">
        <f>Equipamentos!E135</f>
        <v>12</v>
      </c>
      <c r="F719" s="111">
        <f>Equipamentos!F135</f>
        <v>4094.6</v>
      </c>
      <c r="G719" s="111">
        <f t="shared" si="36"/>
        <v>49135.199999999997</v>
      </c>
      <c r="H719" s="555">
        <f t="shared" ca="1" si="35"/>
        <v>6.9999999999999999E-4</v>
      </c>
    </row>
    <row r="720" spans="1:8" ht="25.5" x14ac:dyDescent="0.25">
      <c r="A720" s="109" t="s">
        <v>2696</v>
      </c>
      <c r="B720" s="514" t="str">
        <f>Equipamentos!B136</f>
        <v>4090 - SINAPI/PE</v>
      </c>
      <c r="C720" s="541" t="str">
        <f>Equipamentos!C136</f>
        <v>Motoniveladora com escarificador (potência básica líquida -primeira marcha- 125 hp , peso bruto 13.843 kg, largura da lâmina de 3,7 m)</v>
      </c>
      <c r="D720" s="110" t="str">
        <f>Equipamentos!D136</f>
        <v>un x mês</v>
      </c>
      <c r="E720" s="111">
        <f>Equipamentos!E136</f>
        <v>12</v>
      </c>
      <c r="F720" s="111">
        <f>Equipamentos!F136</f>
        <v>16713.89</v>
      </c>
      <c r="G720" s="111">
        <f t="shared" si="36"/>
        <v>200566.68</v>
      </c>
      <c r="H720" s="555">
        <f t="shared" ca="1" si="35"/>
        <v>2.8999999999999998E-3</v>
      </c>
    </row>
    <row r="721" spans="1:8" ht="25.5" x14ac:dyDescent="0.25">
      <c r="A721" s="109" t="s">
        <v>2697</v>
      </c>
      <c r="B721" s="514" t="str">
        <f>Equipamentos!B137</f>
        <v>E9017-DNIT/PE</v>
      </c>
      <c r="C721" s="541" t="str">
        <f>Equipamentos!C137</f>
        <v>Escavadeira hidráulica sobre esteiras, caçamba 0,62 m³, peso operacional 12,61 t, potência líquida 95 hp.</v>
      </c>
      <c r="D721" s="110" t="str">
        <f>Equipamentos!D137</f>
        <v>un x mês</v>
      </c>
      <c r="E721" s="111">
        <f>Equipamentos!E137</f>
        <v>12</v>
      </c>
      <c r="F721" s="111">
        <f>Equipamentos!F137</f>
        <v>21365.96</v>
      </c>
      <c r="G721" s="111">
        <f t="shared" si="36"/>
        <v>256391.52</v>
      </c>
      <c r="H721" s="555">
        <f t="shared" ca="1" si="35"/>
        <v>3.7000000000000002E-3</v>
      </c>
    </row>
    <row r="722" spans="1:8" ht="25.5" x14ac:dyDescent="0.25">
      <c r="A722" s="109" t="s">
        <v>2698</v>
      </c>
      <c r="B722" s="514" t="str">
        <f>Equipamentos!B138</f>
        <v>E9540-DNIT/PE</v>
      </c>
      <c r="C722" s="541" t="str">
        <f>Equipamentos!C138</f>
        <v>Trator de esteiras, potência de 150 hp, peso operacional de 16,7 t, com roda motriz elevada e lâmina com contato de 3,18 m³.</v>
      </c>
      <c r="D722" s="110" t="str">
        <f>Equipamentos!D138</f>
        <v>un x mês</v>
      </c>
      <c r="E722" s="111">
        <f>Equipamentos!E138</f>
        <v>12</v>
      </c>
      <c r="F722" s="111">
        <f>Equipamentos!F138</f>
        <v>29717.759999999998</v>
      </c>
      <c r="G722" s="111">
        <f t="shared" si="36"/>
        <v>356613.12</v>
      </c>
      <c r="H722" s="555">
        <f t="shared" ca="1" si="35"/>
        <v>5.1000000000000004E-3</v>
      </c>
    </row>
    <row r="723" spans="1:8" ht="25.5" x14ac:dyDescent="0.25">
      <c r="A723" s="109" t="s">
        <v>2699</v>
      </c>
      <c r="B723" s="514" t="str">
        <f>Equipamentos!B139</f>
        <v>E9666-DNIT/PE</v>
      </c>
      <c r="C723" s="541" t="str">
        <f>Equipamentos!C139</f>
        <v>Cavalo Mecânico com Reboque M. Benz Randon LS-1634/45 29,5 t, ou similar</v>
      </c>
      <c r="D723" s="110" t="str">
        <f>Equipamentos!D139</f>
        <v>un x mês</v>
      </c>
      <c r="E723" s="111">
        <f>Equipamentos!E139</f>
        <v>12</v>
      </c>
      <c r="F723" s="111">
        <f>Equipamentos!F139</f>
        <v>40372.36</v>
      </c>
      <c r="G723" s="111">
        <f t="shared" si="36"/>
        <v>484468.32</v>
      </c>
      <c r="H723" s="555">
        <f t="shared" ca="1" si="35"/>
        <v>7.0000000000000001E-3</v>
      </c>
    </row>
    <row r="724" spans="1:8" ht="38.25" x14ac:dyDescent="0.25">
      <c r="A724" s="109" t="s">
        <v>2700</v>
      </c>
      <c r="B724" s="514" t="str">
        <f>Equipamentos!B140</f>
        <v>E9685-DNIT/PE</v>
      </c>
      <c r="C724" s="541" t="str">
        <f>Equipamentos!C140</f>
        <v>Rolo compactador pé-de-carneiro vibratório, potência 125 hp, peso operacional sem/com lastro 11,95/13,30 t, impacto dinâmico 38,5/22,5 t, largura de trabalho 2,15 m.</v>
      </c>
      <c r="D724" s="110" t="str">
        <f>Equipamentos!D140</f>
        <v>un x mês</v>
      </c>
      <c r="E724" s="111">
        <f>Equipamentos!E140</f>
        <v>12</v>
      </c>
      <c r="F724" s="111">
        <f>Equipamentos!F140</f>
        <v>20161.64</v>
      </c>
      <c r="G724" s="111">
        <f t="shared" si="36"/>
        <v>241939.68</v>
      </c>
      <c r="H724" s="555">
        <f t="shared" ca="1" si="35"/>
        <v>3.5000000000000001E-3</v>
      </c>
    </row>
    <row r="725" spans="1:8" ht="38.25" x14ac:dyDescent="0.25">
      <c r="A725" s="109" t="s">
        <v>2701</v>
      </c>
      <c r="B725" s="514" t="str">
        <f>Equipamentos!B141</f>
        <v>E9043-DNIT/PE</v>
      </c>
      <c r="C725" s="541" t="str">
        <f>Equipamentos!C141</f>
        <v>Barco tipo Alumínio, 7 m de comprimento, Alumínio soldado, reforçado, borda sem corrimão, chapa de Alumínio 2,00 cm, boca 1,50 cm, borda 0,60 cm (inclusive barqueiro)</v>
      </c>
      <c r="D725" s="110" t="str">
        <f>Equipamentos!D141</f>
        <v>un x mês</v>
      </c>
      <c r="E725" s="111">
        <f>Equipamentos!E141</f>
        <v>144</v>
      </c>
      <c r="F725" s="111">
        <f>Equipamentos!F141</f>
        <v>6012.19</v>
      </c>
      <c r="G725" s="111">
        <f t="shared" si="36"/>
        <v>865755.36</v>
      </c>
      <c r="H725" s="555">
        <f t="shared" ca="1" si="35"/>
        <v>1.2500000000000001E-2</v>
      </c>
    </row>
    <row r="726" spans="1:8" x14ac:dyDescent="0.25">
      <c r="A726" s="109" t="s">
        <v>2702</v>
      </c>
      <c r="B726" s="514" t="str">
        <f>Equipamentos!B142</f>
        <v>A9382-DNIT/PE</v>
      </c>
      <c r="C726" s="541" t="str">
        <f>Equipamentos!C142</f>
        <v>Carreta Reboque (para embarcação)</v>
      </c>
      <c r="D726" s="110" t="str">
        <f>Equipamentos!D142</f>
        <v>un x mês</v>
      </c>
      <c r="E726" s="111">
        <f>Equipamentos!E142</f>
        <v>144</v>
      </c>
      <c r="F726" s="111">
        <f>Equipamentos!F142</f>
        <v>1137.8599999999999</v>
      </c>
      <c r="G726" s="111">
        <f t="shared" si="36"/>
        <v>163851.84</v>
      </c>
      <c r="H726" s="555">
        <f t="shared" ca="1" si="35"/>
        <v>2.3999999999999998E-3</v>
      </c>
    </row>
    <row r="727" spans="1:8" ht="63.75" x14ac:dyDescent="0.25">
      <c r="A727" s="109" t="s">
        <v>2703</v>
      </c>
      <c r="B727" s="514" t="str">
        <f>Equipamentos!B143</f>
        <v>COT_MOTO_POP</v>
      </c>
      <c r="C727" s="541" t="str">
        <f>Equipamentos!C143</f>
        <v>Motor popa, tipo partida manual, potência 15 hp, aplicação barco Alumínio, características adicionais: válvulas automáticas descompressão, refrigerado a ar, quantidade marchas 2 und, quantidade cilíndro 2 und, capacidade tanque 23 l, tipo motor: 2 tempos, velocidade: 4.500 a 5.800 rpm.</v>
      </c>
      <c r="D727" s="110" t="str">
        <f>Equipamentos!D143</f>
        <v>un x mês</v>
      </c>
      <c r="E727" s="111">
        <f>Equipamentos!E143</f>
        <v>144</v>
      </c>
      <c r="F727" s="111">
        <f>Equipamentos!F143</f>
        <v>349.93</v>
      </c>
      <c r="G727" s="111">
        <f t="shared" si="36"/>
        <v>50389.919999999998</v>
      </c>
      <c r="H727" s="555">
        <f t="shared" ca="1" si="35"/>
        <v>6.9999999999999999E-4</v>
      </c>
    </row>
    <row r="728" spans="1:8" x14ac:dyDescent="0.25">
      <c r="A728" s="109"/>
      <c r="B728" s="514"/>
      <c r="C728" s="541"/>
      <c r="D728" s="110"/>
      <c r="E728" s="111"/>
      <c r="F728" s="111"/>
      <c r="G728" s="111"/>
      <c r="H728" s="551"/>
    </row>
    <row r="729" spans="1:8" x14ac:dyDescent="0.25">
      <c r="A729" s="109" t="s">
        <v>611</v>
      </c>
      <c r="B729" s="514"/>
      <c r="C729" s="541" t="str">
        <f>Instrumentos!C13</f>
        <v>INSTRUMENTOS</v>
      </c>
      <c r="D729" s="110"/>
      <c r="E729" s="111"/>
      <c r="F729" s="111"/>
      <c r="G729" s="111">
        <f>SUBTOTAL(109,G730:G766)</f>
        <v>389614.27999999985</v>
      </c>
      <c r="H729" s="555">
        <f t="shared" ref="H729:H766" ca="1" si="37">ROUND(G729/G$8,4)</f>
        <v>5.5999999999999999E-3</v>
      </c>
    </row>
    <row r="730" spans="1:8" x14ac:dyDescent="0.25">
      <c r="A730" s="109" t="s">
        <v>2074</v>
      </c>
      <c r="B730" s="514"/>
      <c r="C730" s="541" t="str">
        <f>Instrumentos!C15</f>
        <v>INSTRUMENTOS - MECÂNICA</v>
      </c>
      <c r="D730" s="110"/>
      <c r="E730" s="111"/>
      <c r="F730" s="111"/>
      <c r="G730" s="111">
        <f>SUBTOTAL(109,G731:G743)</f>
        <v>26330.280000000002</v>
      </c>
      <c r="H730" s="555">
        <f t="shared" ca="1" si="37"/>
        <v>4.0000000000000002E-4</v>
      </c>
    </row>
    <row r="731" spans="1:8" x14ac:dyDescent="0.25">
      <c r="A731" s="109" t="s">
        <v>2075</v>
      </c>
      <c r="B731" s="514">
        <f>Instrumentos!B16</f>
        <v>0</v>
      </c>
      <c r="C731" s="541" t="str">
        <f>Instrumentos!C16</f>
        <v>Analisador de vibração VIB 496FFY VIBOTRON</v>
      </c>
      <c r="D731" s="110" t="str">
        <f>Instrumentos!D16</f>
        <v>un x mês</v>
      </c>
      <c r="E731" s="111">
        <f>Instrumentos!E16</f>
        <v>12</v>
      </c>
      <c r="F731" s="111">
        <f>Instrumentos!F16</f>
        <v>461.43</v>
      </c>
      <c r="G731" s="111">
        <f t="shared" si="36"/>
        <v>5537.16</v>
      </c>
      <c r="H731" s="555">
        <f t="shared" ca="1" si="37"/>
        <v>1E-4</v>
      </c>
    </row>
    <row r="732" spans="1:8" x14ac:dyDescent="0.25">
      <c r="A732" s="109" t="s">
        <v>2076</v>
      </c>
      <c r="B732" s="514">
        <f>Instrumentos!B17</f>
        <v>0</v>
      </c>
      <c r="C732" s="541" t="str">
        <f>Instrumentos!C17</f>
        <v>Base magnética para relógio comparador</v>
      </c>
      <c r="D732" s="110" t="str">
        <f>Instrumentos!D17</f>
        <v>un x mês</v>
      </c>
      <c r="E732" s="111">
        <f>Instrumentos!E17</f>
        <v>48</v>
      </c>
      <c r="F732" s="111">
        <f>Instrumentos!F17</f>
        <v>17.66</v>
      </c>
      <c r="G732" s="111">
        <f t="shared" si="36"/>
        <v>847.68</v>
      </c>
      <c r="H732" s="555">
        <f t="shared" ca="1" si="37"/>
        <v>0</v>
      </c>
    </row>
    <row r="733" spans="1:8" x14ac:dyDescent="0.25">
      <c r="A733" s="109" t="s">
        <v>2077</v>
      </c>
      <c r="B733" s="514">
        <f>Instrumentos!B18</f>
        <v>0</v>
      </c>
      <c r="C733" s="541" t="str">
        <f>Instrumentos!C18</f>
        <v>Estetoscópio Kent</v>
      </c>
      <c r="D733" s="110" t="str">
        <f>Instrumentos!D18</f>
        <v>un x mês</v>
      </c>
      <c r="E733" s="111">
        <f>Instrumentos!E18</f>
        <v>24</v>
      </c>
      <c r="F733" s="111">
        <f>Instrumentos!F18</f>
        <v>2.2400000000000002</v>
      </c>
      <c r="G733" s="111">
        <f t="shared" si="36"/>
        <v>53.76</v>
      </c>
      <c r="H733" s="555">
        <f t="shared" ca="1" si="37"/>
        <v>0</v>
      </c>
    </row>
    <row r="734" spans="1:8" x14ac:dyDescent="0.25">
      <c r="A734" s="109" t="s">
        <v>2078</v>
      </c>
      <c r="B734" s="514">
        <f>Instrumentos!B19</f>
        <v>0</v>
      </c>
      <c r="C734" s="541" t="str">
        <f>Instrumentos!C19</f>
        <v>Micrômetro 100 à 200 externo</v>
      </c>
      <c r="D734" s="110" t="str">
        <f>Instrumentos!D19</f>
        <v>un x mês</v>
      </c>
      <c r="E734" s="111">
        <f>Instrumentos!E19</f>
        <v>24</v>
      </c>
      <c r="F734" s="111">
        <f>Instrumentos!F19</f>
        <v>82.03</v>
      </c>
      <c r="G734" s="111">
        <f t="shared" si="36"/>
        <v>1968.72</v>
      </c>
      <c r="H734" s="555">
        <f t="shared" ca="1" si="37"/>
        <v>0</v>
      </c>
    </row>
    <row r="735" spans="1:8" x14ac:dyDescent="0.25">
      <c r="A735" s="109" t="s">
        <v>2079</v>
      </c>
      <c r="B735" s="514">
        <f>Instrumentos!B20</f>
        <v>0</v>
      </c>
      <c r="C735" s="541" t="str">
        <f>Instrumentos!C20</f>
        <v>Micrômetro externo 0 – 100mm</v>
      </c>
      <c r="D735" s="110" t="str">
        <f>Instrumentos!D20</f>
        <v>un x mês</v>
      </c>
      <c r="E735" s="111">
        <f>Instrumentos!E20</f>
        <v>24</v>
      </c>
      <c r="F735" s="111">
        <f>Instrumentos!F20</f>
        <v>95.75</v>
      </c>
      <c r="G735" s="111">
        <f t="shared" si="36"/>
        <v>2298</v>
      </c>
      <c r="H735" s="555">
        <f t="shared" ca="1" si="37"/>
        <v>0</v>
      </c>
    </row>
    <row r="736" spans="1:8" x14ac:dyDescent="0.25">
      <c r="A736" s="109" t="s">
        <v>2080</v>
      </c>
      <c r="B736" s="514">
        <f>Instrumentos!B21</f>
        <v>0</v>
      </c>
      <c r="C736" s="541" t="str">
        <f>Instrumentos!C21</f>
        <v>Micrômetro interno 50 – 800mm</v>
      </c>
      <c r="D736" s="110" t="str">
        <f>Instrumentos!D21</f>
        <v>un x mês</v>
      </c>
      <c r="E736" s="111">
        <f>Instrumentos!E21</f>
        <v>24</v>
      </c>
      <c r="F736" s="111">
        <f>Instrumentos!F21</f>
        <v>153.01</v>
      </c>
      <c r="G736" s="111">
        <f t="shared" si="36"/>
        <v>3672.24</v>
      </c>
      <c r="H736" s="555">
        <f t="shared" ca="1" si="37"/>
        <v>1E-4</v>
      </c>
    </row>
    <row r="737" spans="1:8" x14ac:dyDescent="0.25">
      <c r="A737" s="109" t="s">
        <v>2081</v>
      </c>
      <c r="B737" s="514">
        <f>Instrumentos!B22</f>
        <v>0</v>
      </c>
      <c r="C737" s="541" t="str">
        <f>Instrumentos!C22</f>
        <v>Nível ótico (Topcon AT-B2) ou similar</v>
      </c>
      <c r="D737" s="110" t="str">
        <f>Instrumentos!D22</f>
        <v>un x mês</v>
      </c>
      <c r="E737" s="111">
        <f>Instrumentos!E22</f>
        <v>12</v>
      </c>
      <c r="F737" s="111">
        <f>Instrumentos!F22</f>
        <v>57.62</v>
      </c>
      <c r="G737" s="111">
        <f t="shared" si="36"/>
        <v>691.44</v>
      </c>
      <c r="H737" s="555">
        <f t="shared" ca="1" si="37"/>
        <v>0</v>
      </c>
    </row>
    <row r="738" spans="1:8" x14ac:dyDescent="0.25">
      <c r="A738" s="109" t="s">
        <v>2082</v>
      </c>
      <c r="B738" s="514">
        <f>Instrumentos!B23</f>
        <v>0</v>
      </c>
      <c r="C738" s="541" t="str">
        <f>Instrumentos!C23</f>
        <v>Paquímetro digital 0 – 150mm/0,01mm</v>
      </c>
      <c r="D738" s="110" t="str">
        <f>Instrumentos!D23</f>
        <v>un x mês</v>
      </c>
      <c r="E738" s="111">
        <f>Instrumentos!E23</f>
        <v>24</v>
      </c>
      <c r="F738" s="111">
        <f>Instrumentos!F23</f>
        <v>27.4</v>
      </c>
      <c r="G738" s="111">
        <f t="shared" ref="G738:G751" si="38">ROUND(E738*F738,2)</f>
        <v>657.6</v>
      </c>
      <c r="H738" s="555">
        <f t="shared" ca="1" si="37"/>
        <v>0</v>
      </c>
    </row>
    <row r="739" spans="1:8" x14ac:dyDescent="0.25">
      <c r="A739" s="109" t="s">
        <v>2083</v>
      </c>
      <c r="B739" s="514">
        <f>Instrumentos!B24</f>
        <v>0</v>
      </c>
      <c r="C739" s="541" t="str">
        <f>Instrumentos!C24</f>
        <v>Paquímetro universal 0 - 650mm/0,02mm</v>
      </c>
      <c r="D739" s="110" t="str">
        <f>Instrumentos!D24</f>
        <v>un x mês</v>
      </c>
      <c r="E739" s="111">
        <f>Instrumentos!E24</f>
        <v>24</v>
      </c>
      <c r="F739" s="111">
        <f>Instrumentos!F24</f>
        <v>164.04</v>
      </c>
      <c r="G739" s="111">
        <f t="shared" si="38"/>
        <v>3936.96</v>
      </c>
      <c r="H739" s="555">
        <f t="shared" ca="1" si="37"/>
        <v>1E-4</v>
      </c>
    </row>
    <row r="740" spans="1:8" x14ac:dyDescent="0.25">
      <c r="A740" s="109" t="s">
        <v>2084</v>
      </c>
      <c r="B740" s="514">
        <f>Instrumentos!B25</f>
        <v>0</v>
      </c>
      <c r="C740" s="541" t="str">
        <f>Instrumentos!C25</f>
        <v>Relógio comparador 0 – 10/0,01mm digital</v>
      </c>
      <c r="D740" s="110" t="str">
        <f>Instrumentos!D25</f>
        <v>un x mês</v>
      </c>
      <c r="E740" s="111">
        <f>Instrumentos!E25</f>
        <v>48</v>
      </c>
      <c r="F740" s="111">
        <f>Instrumentos!F25</f>
        <v>94.16</v>
      </c>
      <c r="G740" s="111">
        <f t="shared" si="38"/>
        <v>4519.68</v>
      </c>
      <c r="H740" s="555">
        <f t="shared" ca="1" si="37"/>
        <v>1E-4</v>
      </c>
    </row>
    <row r="741" spans="1:8" x14ac:dyDescent="0.25">
      <c r="A741" s="109" t="s">
        <v>2085</v>
      </c>
      <c r="B741" s="514">
        <f>Instrumentos!B26</f>
        <v>0</v>
      </c>
      <c r="C741" s="541" t="str">
        <f>Instrumentos!C26</f>
        <v>Tacômetro digital 0,1 - 1,0 RPM DT - 2234 A</v>
      </c>
      <c r="D741" s="110" t="str">
        <f>Instrumentos!D26</f>
        <v>un x mês</v>
      </c>
      <c r="E741" s="111">
        <f>Instrumentos!E26</f>
        <v>12</v>
      </c>
      <c r="F741" s="111">
        <f>Instrumentos!F26</f>
        <v>24.74</v>
      </c>
      <c r="G741" s="111">
        <f t="shared" si="38"/>
        <v>296.88</v>
      </c>
      <c r="H741" s="555">
        <f t="shared" ca="1" si="37"/>
        <v>0</v>
      </c>
    </row>
    <row r="742" spans="1:8" x14ac:dyDescent="0.25">
      <c r="A742" s="109" t="s">
        <v>2086</v>
      </c>
      <c r="B742" s="514">
        <f>Instrumentos!B27</f>
        <v>0</v>
      </c>
      <c r="C742" s="541" t="str">
        <f>Instrumentos!C27</f>
        <v>Termômetro mira laser escala de -20 a 500ºC</v>
      </c>
      <c r="D742" s="110" t="str">
        <f>Instrumentos!D27</f>
        <v>un x mês</v>
      </c>
      <c r="E742" s="111">
        <f>Instrumentos!E27</f>
        <v>12</v>
      </c>
      <c r="F742" s="111">
        <f>Instrumentos!F27</f>
        <v>58.99</v>
      </c>
      <c r="G742" s="111">
        <f t="shared" si="38"/>
        <v>707.88</v>
      </c>
      <c r="H742" s="555">
        <f t="shared" ca="1" si="37"/>
        <v>0</v>
      </c>
    </row>
    <row r="743" spans="1:8" ht="38.25" x14ac:dyDescent="0.25">
      <c r="A743" s="109" t="s">
        <v>2087</v>
      </c>
      <c r="B743" s="514">
        <f>Instrumentos!B28</f>
        <v>0</v>
      </c>
      <c r="C743" s="541" t="str">
        <f>Instrumentos!C28</f>
        <v xml:space="preserve">Termovisor, com resolução Infravermelha de 120 x 90, Sensibilidade Térmica menor que 0,10 ºC, frequência da imagem de 9 Hz e faixa de temperatura –20 a 250 °C. </v>
      </c>
      <c r="D743" s="110" t="str">
        <f>Instrumentos!D28</f>
        <v>un x mês</v>
      </c>
      <c r="E743" s="111">
        <f>Instrumentos!E28</f>
        <v>12</v>
      </c>
      <c r="F743" s="111">
        <f>Instrumentos!F28</f>
        <v>95.19</v>
      </c>
      <c r="G743" s="111">
        <f t="shared" si="38"/>
        <v>1142.28</v>
      </c>
      <c r="H743" s="555">
        <f t="shared" ca="1" si="37"/>
        <v>0</v>
      </c>
    </row>
    <row r="744" spans="1:8" x14ac:dyDescent="0.25">
      <c r="A744" s="109" t="s">
        <v>2088</v>
      </c>
      <c r="B744" s="514"/>
      <c r="C744" s="541" t="str">
        <f>Instrumentos!C31</f>
        <v>INSTRUMENTOS - ELÉTRICA</v>
      </c>
      <c r="D744" s="110"/>
      <c r="E744" s="111"/>
      <c r="F744" s="111"/>
      <c r="G744" s="111">
        <f>SUBTOTAL(109,G745:G762)</f>
        <v>298489.6399999999</v>
      </c>
      <c r="H744" s="555">
        <f t="shared" ca="1" si="37"/>
        <v>4.3E-3</v>
      </c>
    </row>
    <row r="745" spans="1:8" ht="25.5" x14ac:dyDescent="0.25">
      <c r="A745" s="109" t="s">
        <v>2089</v>
      </c>
      <c r="B745" s="514">
        <f>Instrumentos!B32</f>
        <v>0</v>
      </c>
      <c r="C745" s="541" t="str">
        <f>Instrumentos!C32</f>
        <v>Alicate Amperímetro (mod. 381 CA/CC True-rms 1000V CAT III (ou similar)</v>
      </c>
      <c r="D745" s="110" t="str">
        <f>Instrumentos!D32</f>
        <v>un x mês</v>
      </c>
      <c r="E745" s="111">
        <f>Instrumentos!E32</f>
        <v>156</v>
      </c>
      <c r="F745" s="111">
        <f>Instrumentos!F32</f>
        <v>233.47083333333336</v>
      </c>
      <c r="G745" s="111">
        <f t="shared" si="38"/>
        <v>36421.449999999997</v>
      </c>
      <c r="H745" s="555">
        <f t="shared" ca="1" si="37"/>
        <v>5.0000000000000001E-4</v>
      </c>
    </row>
    <row r="746" spans="1:8" x14ac:dyDescent="0.25">
      <c r="A746" s="109" t="s">
        <v>2090</v>
      </c>
      <c r="B746" s="514">
        <f>Instrumentos!B33</f>
        <v>0</v>
      </c>
      <c r="C746" s="541" t="str">
        <f>Instrumentos!C33</f>
        <v>Alicate amperímetro CA/CC de 600V, digital, CAT III FLUKE 305</v>
      </c>
      <c r="D746" s="110" t="str">
        <f>Instrumentos!D33</f>
        <v>un x mês</v>
      </c>
      <c r="E746" s="111">
        <f>Instrumentos!E33</f>
        <v>120</v>
      </c>
      <c r="F746" s="111">
        <f>Instrumentos!F33</f>
        <v>20.548888888888886</v>
      </c>
      <c r="G746" s="111">
        <f t="shared" si="38"/>
        <v>2465.87</v>
      </c>
      <c r="H746" s="555">
        <f t="shared" ca="1" si="37"/>
        <v>0</v>
      </c>
    </row>
    <row r="747" spans="1:8" x14ac:dyDescent="0.25">
      <c r="A747" s="109" t="s">
        <v>2091</v>
      </c>
      <c r="B747" s="514">
        <f>Instrumentos!B34</f>
        <v>0</v>
      </c>
      <c r="C747" s="541" t="str">
        <f>Instrumentos!C34</f>
        <v xml:space="preserve">Alicate Medidor de qualidade de energia (mod. Fluke 345 ou  similar) </v>
      </c>
      <c r="D747" s="110" t="str">
        <f>Instrumentos!D34</f>
        <v>un x mês</v>
      </c>
      <c r="E747" s="111">
        <f>Instrumentos!E34</f>
        <v>24</v>
      </c>
      <c r="F747" s="111">
        <f>Instrumentos!F34</f>
        <v>1087.1404444444443</v>
      </c>
      <c r="G747" s="111">
        <f t="shared" si="38"/>
        <v>26091.37</v>
      </c>
      <c r="H747" s="555">
        <f t="shared" ca="1" si="37"/>
        <v>4.0000000000000002E-4</v>
      </c>
    </row>
    <row r="748" spans="1:8" ht="25.5" x14ac:dyDescent="0.25">
      <c r="A748" s="109" t="s">
        <v>2092</v>
      </c>
      <c r="B748" s="514">
        <f>Instrumentos!B35</f>
        <v>0</v>
      </c>
      <c r="C748" s="541" t="str">
        <f>Instrumentos!C35</f>
        <v xml:space="preserve">Calibrador de processos multifunção digital (mod. Fluke 725 ou  similar) </v>
      </c>
      <c r="D748" s="110" t="str">
        <f>Instrumentos!D35</f>
        <v>un x mês</v>
      </c>
      <c r="E748" s="111">
        <f>Instrumentos!E35</f>
        <v>24</v>
      </c>
      <c r="F748" s="111">
        <f>Instrumentos!F35</f>
        <v>1889.9222222222222</v>
      </c>
      <c r="G748" s="111">
        <f t="shared" si="38"/>
        <v>45358.13</v>
      </c>
      <c r="H748" s="555">
        <f t="shared" ca="1" si="37"/>
        <v>6.9999999999999999E-4</v>
      </c>
    </row>
    <row r="749" spans="1:8" x14ac:dyDescent="0.25">
      <c r="A749" s="109" t="s">
        <v>2093</v>
      </c>
      <c r="B749" s="514">
        <f>Instrumentos!B36</f>
        <v>0</v>
      </c>
      <c r="C749" s="541" t="str">
        <f>Instrumentos!C36</f>
        <v xml:space="preserve">Fasímetro, digital, categoria IV, 40~700Vca, 600V </v>
      </c>
      <c r="D749" s="110" t="str">
        <f>Instrumentos!D36</f>
        <v>un x mês</v>
      </c>
      <c r="E749" s="111">
        <f>Instrumentos!E36</f>
        <v>120</v>
      </c>
      <c r="F749" s="111">
        <f>Instrumentos!F36</f>
        <v>49.562888888888885</v>
      </c>
      <c r="G749" s="111">
        <f t="shared" si="38"/>
        <v>5947.55</v>
      </c>
      <c r="H749" s="555">
        <f t="shared" ca="1" si="37"/>
        <v>1E-4</v>
      </c>
    </row>
    <row r="750" spans="1:8" x14ac:dyDescent="0.25">
      <c r="A750" s="109" t="s">
        <v>2094</v>
      </c>
      <c r="B750" s="514">
        <f>Instrumentos!B37</f>
        <v>0</v>
      </c>
      <c r="C750" s="541" t="str">
        <f>Instrumentos!C37</f>
        <v xml:space="preserve">Freqüencímetro gitital de bancada , 1GHz de 8 dígitos </v>
      </c>
      <c r="D750" s="110" t="str">
        <f>Instrumentos!D37</f>
        <v>un x mês</v>
      </c>
      <c r="E750" s="111">
        <f>Instrumentos!E37</f>
        <v>12</v>
      </c>
      <c r="F750" s="111">
        <f>Instrumentos!F37</f>
        <v>56.482777777777777</v>
      </c>
      <c r="G750" s="111">
        <f t="shared" si="38"/>
        <v>677.79</v>
      </c>
      <c r="H750" s="555">
        <f t="shared" ca="1" si="37"/>
        <v>0</v>
      </c>
    </row>
    <row r="751" spans="1:8" x14ac:dyDescent="0.25">
      <c r="A751" s="109" t="s">
        <v>2095</v>
      </c>
      <c r="B751" s="514">
        <f>Instrumentos!B38</f>
        <v>0</v>
      </c>
      <c r="C751" s="541" t="str">
        <f>Instrumentos!C38</f>
        <v xml:space="preserve">Medidor de distância, laser, amplitude de medição 1mm a 80m </v>
      </c>
      <c r="D751" s="110" t="str">
        <f>Instrumentos!D38</f>
        <v>un x mês</v>
      </c>
      <c r="E751" s="111">
        <f>Instrumentos!E38</f>
        <v>12</v>
      </c>
      <c r="F751" s="111">
        <f>Instrumentos!F38</f>
        <v>52.215185185185184</v>
      </c>
      <c r="G751" s="111">
        <f t="shared" si="38"/>
        <v>626.58000000000004</v>
      </c>
      <c r="H751" s="555">
        <f t="shared" ca="1" si="37"/>
        <v>0</v>
      </c>
    </row>
    <row r="752" spans="1:8" ht="25.5" x14ac:dyDescent="0.25">
      <c r="A752" s="109" t="s">
        <v>2096</v>
      </c>
      <c r="B752" s="514">
        <f>Instrumentos!B39</f>
        <v>0</v>
      </c>
      <c r="C752" s="541" t="str">
        <f>Instrumentos!C39</f>
        <v xml:space="preserve">Medidor de resistência de aterramento e resistividade do solo (Faixa de medição de 0,02Ω a 300KΩ; Alcance de até 2 K Ω) com 02 pinças </v>
      </c>
      <c r="D752" s="110" t="str">
        <f>Instrumentos!D39</f>
        <v>un x mês</v>
      </c>
      <c r="E752" s="111">
        <f>Instrumentos!E39</f>
        <v>12</v>
      </c>
      <c r="F752" s="111">
        <f>Instrumentos!F39</f>
        <v>206.22499999999999</v>
      </c>
      <c r="G752" s="111">
        <f t="shared" si="25"/>
        <v>2474.6999999999998</v>
      </c>
      <c r="H752" s="555">
        <f t="shared" ca="1" si="37"/>
        <v>0</v>
      </c>
    </row>
    <row r="753" spans="1:8" x14ac:dyDescent="0.25">
      <c r="A753" s="109" t="s">
        <v>2097</v>
      </c>
      <c r="B753" s="514">
        <f>Instrumentos!B40</f>
        <v>0</v>
      </c>
      <c r="C753" s="541" t="str">
        <f>Instrumentos!C40</f>
        <v xml:space="preserve">Medidor de vazão portátil tipo Clamp-on </v>
      </c>
      <c r="D753" s="110" t="str">
        <f>Instrumentos!D40</f>
        <v>un x mês</v>
      </c>
      <c r="E753" s="111">
        <f>Instrumentos!E40</f>
        <v>12</v>
      </c>
      <c r="F753" s="111">
        <f>Instrumentos!F40</f>
        <v>953.82</v>
      </c>
      <c r="G753" s="111">
        <f t="shared" si="22"/>
        <v>11445.84</v>
      </c>
      <c r="H753" s="555">
        <f t="shared" ca="1" si="37"/>
        <v>2.0000000000000001E-4</v>
      </c>
    </row>
    <row r="754" spans="1:8" x14ac:dyDescent="0.25">
      <c r="A754" s="109" t="s">
        <v>2098</v>
      </c>
      <c r="B754" s="514">
        <f>Instrumentos!B41</f>
        <v>0</v>
      </c>
      <c r="C754" s="541" t="str">
        <f>Instrumentos!C41</f>
        <v xml:space="preserve">Megôhmetro digital de 5 kV, alcance de até 1 TΩ, Interface USB, IP54 </v>
      </c>
      <c r="D754" s="110" t="str">
        <f>Instrumentos!D41</f>
        <v>un x mês</v>
      </c>
      <c r="E754" s="111">
        <f>Instrumentos!E41</f>
        <v>24</v>
      </c>
      <c r="F754" s="111">
        <f>Instrumentos!F41</f>
        <v>147.86833333333331</v>
      </c>
      <c r="G754" s="111">
        <f t="shared" ref="G754:G779" si="39">ROUND(E754*F754,2)</f>
        <v>3548.84</v>
      </c>
      <c r="H754" s="555">
        <f t="shared" ca="1" si="37"/>
        <v>1E-4</v>
      </c>
    </row>
    <row r="755" spans="1:8" ht="38.25" x14ac:dyDescent="0.25">
      <c r="A755" s="109" t="s">
        <v>2099</v>
      </c>
      <c r="B755" s="514">
        <f>Instrumentos!B42</f>
        <v>0</v>
      </c>
      <c r="C755" s="541" t="str">
        <f>Instrumentos!C42</f>
        <v>Multímetro digital, tensão DC/AC 50,000 mV a 1000V, 0,4% (True/RMS), frequencia 99,999Hz a 999,99KHz  "FLUKE-87-V" com pontas prova TWIST GUARD</v>
      </c>
      <c r="D755" s="110" t="str">
        <f>Instrumentos!D42</f>
        <v>un x mês</v>
      </c>
      <c r="E755" s="111">
        <f>Instrumentos!E42</f>
        <v>156</v>
      </c>
      <c r="F755" s="111">
        <f>Instrumentos!F42</f>
        <v>158.06166666666664</v>
      </c>
      <c r="G755" s="111">
        <f t="shared" si="39"/>
        <v>24657.62</v>
      </c>
      <c r="H755" s="555">
        <f t="shared" ca="1" si="37"/>
        <v>4.0000000000000002E-4</v>
      </c>
    </row>
    <row r="756" spans="1:8" ht="25.5" x14ac:dyDescent="0.25">
      <c r="A756" s="109" t="s">
        <v>2100</v>
      </c>
      <c r="B756" s="514">
        <f>Instrumentos!B43</f>
        <v>0</v>
      </c>
      <c r="C756" s="541" t="str">
        <f>Instrumentos!C43</f>
        <v xml:space="preserve">Multímetro digital para teste de equipotencialização (medições de baixas resistências), 100V, 10A, 0,1 Ω a 50 Ω </v>
      </c>
      <c r="D756" s="110" t="str">
        <f>Instrumentos!D43</f>
        <v>un x mês</v>
      </c>
      <c r="E756" s="111">
        <f>Instrumentos!E43</f>
        <v>156</v>
      </c>
      <c r="F756" s="111">
        <f>Instrumentos!F43</f>
        <v>638.05537037037038</v>
      </c>
      <c r="G756" s="111">
        <f t="shared" si="39"/>
        <v>99536.639999999999</v>
      </c>
      <c r="H756" s="555">
        <f t="shared" ca="1" si="37"/>
        <v>1.4E-3</v>
      </c>
    </row>
    <row r="757" spans="1:8" ht="25.5" x14ac:dyDescent="0.25">
      <c r="A757" s="109" t="s">
        <v>2101</v>
      </c>
      <c r="B757" s="514">
        <f>Instrumentos!B44</f>
        <v>0</v>
      </c>
      <c r="C757" s="541" t="str">
        <f>Instrumentos!C44</f>
        <v xml:space="preserve">Osciloscópio portátil com frequência de trabalho de 100Mhz, LCD Colorido 7”,  CAT II 600V </v>
      </c>
      <c r="D757" s="110" t="str">
        <f>Instrumentos!D44</f>
        <v>un x mês</v>
      </c>
      <c r="E757" s="111">
        <f>Instrumentos!E44</f>
        <v>12</v>
      </c>
      <c r="F757" s="111">
        <f>Instrumentos!F44</f>
        <v>1264.753611111111</v>
      </c>
      <c r="G757" s="111">
        <f t="shared" si="39"/>
        <v>15177.04</v>
      </c>
      <c r="H757" s="555">
        <f t="shared" ca="1" si="37"/>
        <v>2.0000000000000001E-4</v>
      </c>
    </row>
    <row r="758" spans="1:8" ht="25.5" x14ac:dyDescent="0.25">
      <c r="A758" s="109" t="s">
        <v>2102</v>
      </c>
      <c r="B758" s="514">
        <f>Instrumentos!B45</f>
        <v>0</v>
      </c>
      <c r="C758" s="541" t="str">
        <f>Instrumentos!C45</f>
        <v xml:space="preserve">Power Meter (Medidor Potência Fibra Óptica) potência 1310 nm, 1490 nm e 1550 nm  + Caneta Laser 10w </v>
      </c>
      <c r="D758" s="110" t="str">
        <f>Instrumentos!D45</f>
        <v>un x mês</v>
      </c>
      <c r="E758" s="111">
        <f>Instrumentos!E45</f>
        <v>24</v>
      </c>
      <c r="F758" s="111">
        <f>Instrumentos!F45</f>
        <v>23.267962962962962</v>
      </c>
      <c r="G758" s="111">
        <f t="shared" si="39"/>
        <v>558.42999999999995</v>
      </c>
      <c r="H758" s="555">
        <f t="shared" ca="1" si="37"/>
        <v>0</v>
      </c>
    </row>
    <row r="759" spans="1:8" x14ac:dyDescent="0.25">
      <c r="A759" s="109" t="s">
        <v>2103</v>
      </c>
      <c r="B759" s="514">
        <f>Instrumentos!B46</f>
        <v>0</v>
      </c>
      <c r="C759" s="541" t="str">
        <f>Instrumentos!C46</f>
        <v xml:space="preserve">Termômetro mira laser escala de -30ºC a 500ºc </v>
      </c>
      <c r="D759" s="110" t="str">
        <f>Instrumentos!D46</f>
        <v>un x mês</v>
      </c>
      <c r="E759" s="111">
        <f>Instrumentos!E46</f>
        <v>156</v>
      </c>
      <c r="F759" s="111">
        <f>Instrumentos!F46</f>
        <v>31.886851851851855</v>
      </c>
      <c r="G759" s="111">
        <f t="shared" si="39"/>
        <v>4974.3500000000004</v>
      </c>
      <c r="H759" s="555">
        <f t="shared" ca="1" si="37"/>
        <v>1E-4</v>
      </c>
    </row>
    <row r="760" spans="1:8" ht="25.5" x14ac:dyDescent="0.25">
      <c r="A760" s="109" t="s">
        <v>2104</v>
      </c>
      <c r="B760" s="514">
        <f>Instrumentos!B47</f>
        <v>0</v>
      </c>
      <c r="C760" s="541" t="str">
        <f>Instrumentos!C47</f>
        <v xml:space="preserve">Termovisor -20ºC a 350ºC, com camera de 5 megapixels, visor LCD de 3,5 polegadas </v>
      </c>
      <c r="D760" s="110" t="str">
        <f>Instrumentos!D47</f>
        <v>un x mês</v>
      </c>
      <c r="E760" s="111">
        <f>Instrumentos!E47</f>
        <v>12</v>
      </c>
      <c r="F760" s="111">
        <f>Instrumentos!F47</f>
        <v>217.2213888888889</v>
      </c>
      <c r="G760" s="111">
        <f t="shared" si="39"/>
        <v>2606.66</v>
      </c>
      <c r="H760" s="555">
        <f t="shared" ca="1" si="37"/>
        <v>0</v>
      </c>
    </row>
    <row r="761" spans="1:8" ht="25.5" x14ac:dyDescent="0.25">
      <c r="A761" s="109" t="s">
        <v>2105</v>
      </c>
      <c r="B761" s="514">
        <f>Instrumentos!B48</f>
        <v>0</v>
      </c>
      <c r="C761" s="541" t="str">
        <f>Instrumentos!C48</f>
        <v xml:space="preserve">Testador de cabos RJ45 / 11, frequencia 200kHz, display LCD 3 ½ digitos, 600V </v>
      </c>
      <c r="D761" s="110" t="str">
        <f>Instrumentos!D48</f>
        <v>un x mês</v>
      </c>
      <c r="E761" s="111">
        <f>Instrumentos!E48</f>
        <v>24</v>
      </c>
      <c r="F761" s="111">
        <f>Instrumentos!F48</f>
        <v>20.587777777777777</v>
      </c>
      <c r="G761" s="111">
        <f t="shared" si="39"/>
        <v>494.11</v>
      </c>
      <c r="H761" s="555">
        <f t="shared" ca="1" si="37"/>
        <v>0</v>
      </c>
    </row>
    <row r="762" spans="1:8" ht="25.5" x14ac:dyDescent="0.25">
      <c r="A762" s="109" t="s">
        <v>2106</v>
      </c>
      <c r="B762" s="514">
        <f>Instrumentos!B49</f>
        <v>0</v>
      </c>
      <c r="C762" s="541" t="str">
        <f>Instrumentos!C49</f>
        <v xml:space="preserve">Verificador elétrico de tensão 1000V, sem contato com cabo (mod. T6-1000 Fluke ou similar) </v>
      </c>
      <c r="D762" s="110" t="str">
        <f>Instrumentos!D49</f>
        <v>un x mês</v>
      </c>
      <c r="E762" s="111">
        <f>Instrumentos!E49</f>
        <v>156</v>
      </c>
      <c r="F762" s="111">
        <f>Instrumentos!F49</f>
        <v>98.888888888888886</v>
      </c>
      <c r="G762" s="111">
        <f t="shared" si="39"/>
        <v>15426.67</v>
      </c>
      <c r="H762" s="555">
        <f t="shared" ca="1" si="37"/>
        <v>2.0000000000000001E-4</v>
      </c>
    </row>
    <row r="763" spans="1:8" x14ac:dyDescent="0.25">
      <c r="A763" s="109" t="s">
        <v>2107</v>
      </c>
      <c r="B763" s="514"/>
      <c r="C763" s="541" t="str">
        <f>Instrumentos!C52</f>
        <v>INSTRUMENTOS - CIVIL</v>
      </c>
      <c r="D763" s="110"/>
      <c r="E763" s="111"/>
      <c r="F763" s="111"/>
      <c r="G763" s="111">
        <f>SUBTOTAL(109,G764:G766)</f>
        <v>64794.36</v>
      </c>
      <c r="H763" s="555">
        <f t="shared" ca="1" si="37"/>
        <v>8.9999999999999998E-4</v>
      </c>
    </row>
    <row r="764" spans="1:8" ht="38.25" x14ac:dyDescent="0.25">
      <c r="A764" s="109" t="s">
        <v>2108</v>
      </c>
      <c r="B764" s="514">
        <f>Instrumentos!B53</f>
        <v>0</v>
      </c>
      <c r="C764" s="541" t="str">
        <f>Instrumentos!C53</f>
        <v>GPS Geodésico portátil com visor 65K de cores legível sob luz solar, à prova d'água, geocaching informatizado e recurso de mapeamento ampliados.</v>
      </c>
      <c r="D764" s="110" t="str">
        <f>Instrumentos!D53</f>
        <v>un x mês</v>
      </c>
      <c r="E764" s="111">
        <f>Instrumentos!E53</f>
        <v>108</v>
      </c>
      <c r="F764" s="111">
        <f>Instrumentos!F53</f>
        <v>72.17</v>
      </c>
      <c r="G764" s="111">
        <f t="shared" si="39"/>
        <v>7794.36</v>
      </c>
      <c r="H764" s="555">
        <f t="shared" ca="1" si="37"/>
        <v>1E-4</v>
      </c>
    </row>
    <row r="765" spans="1:8" ht="51" x14ac:dyDescent="0.25">
      <c r="A765" s="109" t="s">
        <v>2109</v>
      </c>
      <c r="B765" s="514">
        <f>Instrumentos!B54</f>
        <v>0</v>
      </c>
      <c r="C765" s="541" t="str">
        <f>Instrumentos!C54</f>
        <v>Estação Total com leitura direta de 1 segundo e precisão de 2". Prumo óptico na alidade. Interface com principais softwares do mercado, à prova d'água e poeira conforme norma internacional: IEC529. Com kit completo, inclusive tripé com pernas extensíveis.</v>
      </c>
      <c r="D765" s="110" t="str">
        <f>Instrumentos!D54</f>
        <v>un x mês</v>
      </c>
      <c r="E765" s="111">
        <f>Instrumentos!E54</f>
        <v>12</v>
      </c>
      <c r="F765" s="111">
        <f>Instrumentos!F54</f>
        <v>4500</v>
      </c>
      <c r="G765" s="111">
        <f t="shared" si="39"/>
        <v>54000</v>
      </c>
      <c r="H765" s="555">
        <f t="shared" ca="1" si="37"/>
        <v>8.0000000000000004E-4</v>
      </c>
    </row>
    <row r="766" spans="1:8" ht="38.25" x14ac:dyDescent="0.25">
      <c r="A766" s="109" t="s">
        <v>2110</v>
      </c>
      <c r="B766" s="514">
        <f>Instrumentos!B55</f>
        <v>0</v>
      </c>
      <c r="C766" s="541" t="str">
        <f>Instrumentos!C55</f>
        <v>Nível automático com precisão de ± 1,0 mm/km duplo de nivelamento, aumento de imagem 32 vezes, limbo horizontal com escala de 1º, abertura da objetiva 45 mm, foco mínimo 1,60 m. Com tripé e mira.</v>
      </c>
      <c r="D766" s="110" t="str">
        <f>Instrumentos!D55</f>
        <v>un x mês</v>
      </c>
      <c r="E766" s="111">
        <f>Instrumentos!E55</f>
        <v>12</v>
      </c>
      <c r="F766" s="111">
        <f>Instrumentos!F55</f>
        <v>250</v>
      </c>
      <c r="G766" s="111">
        <f t="shared" si="39"/>
        <v>3000</v>
      </c>
      <c r="H766" s="555">
        <f t="shared" ca="1" si="37"/>
        <v>0</v>
      </c>
    </row>
    <row r="767" spans="1:8" x14ac:dyDescent="0.25">
      <c r="A767" s="109"/>
      <c r="B767" s="514"/>
      <c r="C767" s="541"/>
      <c r="D767" s="110"/>
      <c r="E767" s="111"/>
      <c r="F767" s="111"/>
      <c r="G767" s="111"/>
      <c r="H767" s="551"/>
    </row>
    <row r="768" spans="1:8" x14ac:dyDescent="0.25">
      <c r="A768" s="109" t="s">
        <v>620</v>
      </c>
      <c r="B768" s="514"/>
      <c r="C768" s="541" t="str">
        <f>Radios_Comunicadores!C13</f>
        <v>SISTEMA DE RÁDIO COMUNICAÇÃO</v>
      </c>
      <c r="D768" s="110"/>
      <c r="E768" s="111"/>
      <c r="F768" s="111"/>
      <c r="G768" s="111">
        <f>SUBTOTAL(109,G769:G773)</f>
        <v>238897.59</v>
      </c>
      <c r="H768" s="555">
        <f t="shared" ref="H768:H773" ca="1" si="40">ROUND(G768/G$8,4)</f>
        <v>3.3999999999999998E-3</v>
      </c>
    </row>
    <row r="769" spans="1:8" x14ac:dyDescent="0.25">
      <c r="A769" s="109" t="s">
        <v>1415</v>
      </c>
      <c r="B769" s="514">
        <f>Radios_Comunicadores!B14</f>
        <v>0</v>
      </c>
      <c r="C769" s="541" t="str">
        <f>Radios_Comunicadores!C14</f>
        <v>Sistema de repetidoras VHF interligadas com link UHF - 4 antenas</v>
      </c>
      <c r="D769" s="110" t="str">
        <f>Radios_Comunicadores!D14</f>
        <v>un x mês</v>
      </c>
      <c r="E769" s="111">
        <f>Radios_Comunicadores!E14</f>
        <v>12</v>
      </c>
      <c r="F769" s="111">
        <f>Radios_Comunicadores!F14</f>
        <v>10176.030000000001</v>
      </c>
      <c r="G769" s="111">
        <f t="shared" si="39"/>
        <v>122112.36</v>
      </c>
      <c r="H769" s="555">
        <f t="shared" ca="1" si="40"/>
        <v>1.8E-3</v>
      </c>
    </row>
    <row r="770" spans="1:8" x14ac:dyDescent="0.25">
      <c r="A770" s="109" t="s">
        <v>1416</v>
      </c>
      <c r="B770" s="514">
        <f>Radios_Comunicadores!B15</f>
        <v>0</v>
      </c>
      <c r="C770" s="541" t="str">
        <f>Radios_Comunicadores!C15</f>
        <v>Rádio VHF portátil EP 450 (Reservatórios)</v>
      </c>
      <c r="D770" s="110" t="str">
        <f>Radios_Comunicadores!D15</f>
        <v>un x mês</v>
      </c>
      <c r="E770" s="111">
        <f>Radios_Comunicadores!E15</f>
        <v>156</v>
      </c>
      <c r="F770" s="111">
        <f>Radios_Comunicadores!F15</f>
        <v>84.79</v>
      </c>
      <c r="G770" s="111">
        <f t="shared" si="39"/>
        <v>13227.24</v>
      </c>
      <c r="H770" s="555">
        <f t="shared" ca="1" si="40"/>
        <v>2.0000000000000001E-4</v>
      </c>
    </row>
    <row r="771" spans="1:8" x14ac:dyDescent="0.25">
      <c r="A771" s="109" t="s">
        <v>1417</v>
      </c>
      <c r="B771" s="514">
        <f>Radios_Comunicadores!B16</f>
        <v>0</v>
      </c>
      <c r="C771" s="541" t="str">
        <f>Radios_Comunicadores!C16</f>
        <v>Rádio VHF móvel digital para viatura</v>
      </c>
      <c r="D771" s="110" t="str">
        <f>Radios_Comunicadores!D16</f>
        <v>un x mês</v>
      </c>
      <c r="E771" s="111">
        <f>Radios_Comunicadores!E16</f>
        <v>468</v>
      </c>
      <c r="F771" s="111">
        <f>Radios_Comunicadores!F16</f>
        <v>150.75</v>
      </c>
      <c r="G771" s="111">
        <f t="shared" si="39"/>
        <v>70551</v>
      </c>
      <c r="H771" s="555">
        <f t="shared" ca="1" si="40"/>
        <v>1E-3</v>
      </c>
    </row>
    <row r="772" spans="1:8" ht="25.5" x14ac:dyDescent="0.25">
      <c r="A772" s="109" t="s">
        <v>2111</v>
      </c>
      <c r="B772" s="514">
        <f>Radios_Comunicadores!B17</f>
        <v>0</v>
      </c>
      <c r="C772" s="541" t="str">
        <f>Radios_Comunicadores!C17</f>
        <v>Rádio VHF para instalação nas EB's, SE´s e Canteiros, composto por rádio base e sistema irradiante</v>
      </c>
      <c r="D772" s="110" t="str">
        <f>Radios_Comunicadores!D17</f>
        <v>un x mês</v>
      </c>
      <c r="E772" s="111">
        <f>Radios_Comunicadores!E17</f>
        <v>180</v>
      </c>
      <c r="F772" s="111">
        <f>Radios_Comunicadores!F17</f>
        <v>179.01</v>
      </c>
      <c r="G772" s="111">
        <f t="shared" si="39"/>
        <v>32221.8</v>
      </c>
      <c r="H772" s="555">
        <f t="shared" ca="1" si="40"/>
        <v>5.0000000000000001E-4</v>
      </c>
    </row>
    <row r="773" spans="1:8" ht="25.5" x14ac:dyDescent="0.25">
      <c r="A773" s="109" t="s">
        <v>2112</v>
      </c>
      <c r="B773" s="514">
        <f>Radios_Comunicadores!B18</f>
        <v>0</v>
      </c>
      <c r="C773" s="541" t="str">
        <f>Radios_Comunicadores!C18</f>
        <v>Serviço de instalação e configuração de sistema de repetidoras e infraestrutura</v>
      </c>
      <c r="D773" s="110" t="str">
        <f>Radios_Comunicadores!D18</f>
        <v>un x mês</v>
      </c>
      <c r="E773" s="111">
        <f>Radios_Comunicadores!E18</f>
        <v>1</v>
      </c>
      <c r="F773" s="111">
        <f>Radios_Comunicadores!F18</f>
        <v>785.18722222222232</v>
      </c>
      <c r="G773" s="111">
        <f t="shared" si="39"/>
        <v>785.19</v>
      </c>
      <c r="H773" s="555">
        <f t="shared" ca="1" si="40"/>
        <v>0</v>
      </c>
    </row>
    <row r="774" spans="1:8" x14ac:dyDescent="0.25">
      <c r="A774" s="109"/>
      <c r="B774" s="514"/>
      <c r="C774" s="541"/>
      <c r="D774" s="110"/>
      <c r="E774" s="111"/>
      <c r="F774" s="111"/>
      <c r="G774" s="111"/>
      <c r="H774" s="551"/>
    </row>
    <row r="775" spans="1:8" x14ac:dyDescent="0.25">
      <c r="A775" s="109" t="s">
        <v>621</v>
      </c>
      <c r="B775" s="514"/>
      <c r="C775" s="541" t="s">
        <v>2114</v>
      </c>
      <c r="D775" s="110"/>
      <c r="E775" s="111"/>
      <c r="F775" s="111"/>
      <c r="G775" s="111">
        <f ca="1">SUBTOTAL(109,G776)</f>
        <v>346946.4</v>
      </c>
      <c r="H775" s="555">
        <f ca="1">ROUND(G775/G$8,4)</f>
        <v>5.0000000000000001E-3</v>
      </c>
    </row>
    <row r="776" spans="1:8" ht="51" x14ac:dyDescent="0.25">
      <c r="A776" s="109" t="s">
        <v>1013</v>
      </c>
      <c r="B776" s="514"/>
      <c r="C776" s="541" t="str">
        <f>"Despesas previamente reembolsáveis (aquisição de componentes e peças de reposição e contratação de serviços especializados não contemplados na planilha orçamentária), previamente autorizadas pela FISCALIZAÇÃO (Demanda - "&amp;TEXT(E776,"#0,00%")&amp;" do valor do CONTRATO)"</f>
        <v>Despesas previamente reembolsáveis (aquisição de componentes e peças de reposição e contratação de serviços especializados não contemplados na planilha orçamentária), previamente autorizadas pela FISCALIZAÇÃO (Demanda - 0,50% do valor do CONTRATO)</v>
      </c>
      <c r="D776" s="110" t="s">
        <v>446</v>
      </c>
      <c r="E776" s="548">
        <v>5.0000000000000001E-3</v>
      </c>
      <c r="F776" s="111">
        <f ca="1">G8</f>
        <v>69389279.810000032</v>
      </c>
      <c r="G776" s="111">
        <f ca="1">ROUND(E776*F776,2)</f>
        <v>346946.4</v>
      </c>
      <c r="H776" s="555">
        <f ca="1">ROUND(G776/G$8,4)</f>
        <v>5.0000000000000001E-3</v>
      </c>
    </row>
    <row r="777" spans="1:8" x14ac:dyDescent="0.25">
      <c r="A777" s="109"/>
      <c r="B777" s="514"/>
      <c r="C777" s="541"/>
      <c r="D777" s="110"/>
      <c r="E777" s="111"/>
      <c r="F777" s="111"/>
      <c r="G777" s="111"/>
      <c r="H777" s="551"/>
    </row>
    <row r="778" spans="1:8" x14ac:dyDescent="0.25">
      <c r="A778" s="109" t="s">
        <v>623</v>
      </c>
      <c r="B778" s="514"/>
      <c r="C778" s="541" t="s">
        <v>540</v>
      </c>
      <c r="D778" s="110"/>
      <c r="E778" s="111"/>
      <c r="F778" s="111"/>
      <c r="G778" s="111">
        <f ca="1">SUBTOTAL(109,G779:G781)</f>
        <v>14598437.379999999</v>
      </c>
      <c r="H778" s="555">
        <f t="shared" ref="H778:H779" ca="1" si="41">ROUND(G778/G$8,4)</f>
        <v>0.2104</v>
      </c>
    </row>
    <row r="779" spans="1:8" x14ac:dyDescent="0.25">
      <c r="A779" s="109" t="s">
        <v>1010</v>
      </c>
      <c r="B779" s="514"/>
      <c r="C779" s="541" t="str">
        <f>"Custo de Administração (Taxa de "&amp;TEXT(E779,"#0,00%")&amp;" da mão de obra)"</f>
        <v>Custo de Administração (Taxa de 10,00% da mão de obra)</v>
      </c>
      <c r="D779" s="110" t="s">
        <v>446</v>
      </c>
      <c r="E779" s="547">
        <f>ROUND('Custos Administração'!C22,2)</f>
        <v>0.1</v>
      </c>
      <c r="F779" s="111">
        <f ca="1">SUMIF(C11:C774,Mao_de_Obra!C$13,G11:G774)</f>
        <v>30708604.920000017</v>
      </c>
      <c r="G779" s="111">
        <f t="shared" ca="1" si="39"/>
        <v>3070860.49</v>
      </c>
      <c r="H779" s="555">
        <f t="shared" ca="1" si="41"/>
        <v>4.4299999999999999E-2</v>
      </c>
    </row>
    <row r="780" spans="1:8" x14ac:dyDescent="0.25">
      <c r="A780" s="109" t="s">
        <v>1011</v>
      </c>
      <c r="B780" s="514"/>
      <c r="C780" s="541" t="str">
        <f>"Remuneração de Escritório (Taxa de "&amp;TEXT(E780,"#0,00%")&amp;" dos custos diretos)"</f>
        <v>Remuneração de Escritório (Taxa de 3,00% dos custos diretos)</v>
      </c>
      <c r="D780" s="110" t="s">
        <v>446</v>
      </c>
      <c r="E780" s="111">
        <v>0.03</v>
      </c>
      <c r="F780" s="111">
        <f ca="1">SUBTOTAL(109,G12:G777)</f>
        <v>54790842.430000022</v>
      </c>
      <c r="G780" s="111">
        <f ca="1">ROUND(E780*F780,2)</f>
        <v>1643725.27</v>
      </c>
      <c r="H780" s="555">
        <f ca="1">ROUND(G780/G$8,4)</f>
        <v>2.3699999999999999E-2</v>
      </c>
    </row>
    <row r="781" spans="1:8" ht="25.5" x14ac:dyDescent="0.25">
      <c r="A781" s="109" t="s">
        <v>1012</v>
      </c>
      <c r="B781" s="514"/>
      <c r="C781" s="541" t="str">
        <f>"Despesas Fiscais ("&amp;TEXT(E781,"#0,00%")&amp;" dos Custos Diretos + Custo de Administração + Remuneração de Escritório)"</f>
        <v>Despesas Fiscais (16,61% dos Custos Diretos + Custo de Administração + Remuneração de Escritório)</v>
      </c>
      <c r="D781" s="110" t="s">
        <v>446</v>
      </c>
      <c r="E781" s="549">
        <f>'Despesas Fiscais'!C22</f>
        <v>0.1661</v>
      </c>
      <c r="F781" s="111">
        <f ca="1">SUBTOTAL(109,G12:G780)</f>
        <v>59505428.190000027</v>
      </c>
      <c r="G781" s="111">
        <f ca="1">ROUND(E781*F781,2)</f>
        <v>9883851.6199999992</v>
      </c>
      <c r="H781" s="555">
        <f ca="1">ROUND(G781/G$8,4)</f>
        <v>0.1424</v>
      </c>
    </row>
    <row r="782" spans="1:8" x14ac:dyDescent="0.25">
      <c r="A782" s="552"/>
      <c r="B782" s="515"/>
      <c r="C782" s="543"/>
      <c r="D782" s="553"/>
      <c r="E782" s="112"/>
      <c r="F782" s="112"/>
      <c r="G782" s="112"/>
      <c r="H782" s="554"/>
    </row>
    <row r="783" spans="1:8" ht="13.5" thickBot="1" x14ac:dyDescent="0.3"/>
    <row r="784" spans="1:8" x14ac:dyDescent="0.25">
      <c r="A784" s="704" t="s">
        <v>422</v>
      </c>
      <c r="B784" s="705"/>
      <c r="C784" s="705"/>
      <c r="D784" s="705"/>
      <c r="E784" s="705"/>
      <c r="F784" s="706"/>
      <c r="G784" s="704" t="s">
        <v>423</v>
      </c>
      <c r="H784" s="706"/>
    </row>
    <row r="785" spans="1:8" ht="13.5" thickBot="1" x14ac:dyDescent="0.3">
      <c r="A785" s="701"/>
      <c r="B785" s="702"/>
      <c r="C785" s="702"/>
      <c r="D785" s="702"/>
      <c r="E785" s="702"/>
      <c r="F785" s="703"/>
      <c r="G785" s="701"/>
      <c r="H785" s="703"/>
    </row>
    <row r="786" spans="1:8" x14ac:dyDescent="0.25">
      <c r="A786" s="704" t="s">
        <v>424</v>
      </c>
      <c r="B786" s="705"/>
      <c r="C786" s="705"/>
      <c r="D786" s="705"/>
      <c r="E786" s="705"/>
      <c r="F786" s="706"/>
      <c r="G786" s="704" t="s">
        <v>425</v>
      </c>
      <c r="H786" s="706"/>
    </row>
    <row r="787" spans="1:8" ht="13.5" thickBot="1" x14ac:dyDescent="0.3">
      <c r="A787" s="701"/>
      <c r="B787" s="702"/>
      <c r="C787" s="702"/>
      <c r="D787" s="702"/>
      <c r="E787" s="702"/>
      <c r="F787" s="703"/>
      <c r="G787" s="701"/>
      <c r="H787" s="703"/>
    </row>
    <row r="788" spans="1:8" x14ac:dyDescent="0.25">
      <c r="A788" s="704" t="s">
        <v>426</v>
      </c>
      <c r="B788" s="705"/>
      <c r="C788" s="705"/>
      <c r="D788" s="705"/>
      <c r="E788" s="705"/>
      <c r="F788" s="705"/>
      <c r="G788" s="705"/>
      <c r="H788" s="706"/>
    </row>
    <row r="789" spans="1:8" x14ac:dyDescent="0.25">
      <c r="A789" s="695"/>
      <c r="B789" s="696"/>
      <c r="C789" s="696"/>
      <c r="D789" s="696"/>
      <c r="E789" s="696"/>
      <c r="F789" s="696"/>
      <c r="G789" s="696"/>
      <c r="H789" s="697"/>
    </row>
    <row r="790" spans="1:8" ht="13.5" thickBot="1" x14ac:dyDescent="0.3">
      <c r="A790" s="698"/>
      <c r="B790" s="699"/>
      <c r="C790" s="699"/>
      <c r="D790" s="699"/>
      <c r="E790" s="699"/>
      <c r="F790" s="699"/>
      <c r="G790" s="699"/>
      <c r="H790" s="700"/>
    </row>
  </sheetData>
  <sheetProtection autoFilter="0"/>
  <autoFilter ref="A11:H782"/>
  <mergeCells count="17">
    <mergeCell ref="G8:H8"/>
    <mergeCell ref="A8:E8"/>
    <mergeCell ref="C1:H1"/>
    <mergeCell ref="C2:H2"/>
    <mergeCell ref="C3:H3"/>
    <mergeCell ref="A5:H6"/>
    <mergeCell ref="A784:F784"/>
    <mergeCell ref="G784:H784"/>
    <mergeCell ref="A785:F785"/>
    <mergeCell ref="G785:H785"/>
    <mergeCell ref="A786:F786"/>
    <mergeCell ref="G786:H786"/>
    <mergeCell ref="A789:H789"/>
    <mergeCell ref="A790:H790"/>
    <mergeCell ref="A787:F787"/>
    <mergeCell ref="G787:H787"/>
    <mergeCell ref="A788:H788"/>
  </mergeCells>
  <phoneticPr fontId="25" type="noConversion"/>
  <conditionalFormatting sqref="A19:G21 B26:G32 B33:F33 A26:A52 B34:G42 B195:G205 A195:A352 B351:H351 A782:H782 B56:G106 A109:G110 A178:H178 A172:G177 A186:H186 A179:G185 A191:H191 A187:G190 A192:G194 B237:G350 A353:G602 B352:G352 A767:H767 A729:G766 A774:H774 A768:G773 A775:G775 A778:G781 A171:H171 A108:H108 H54:H106 B111:G155 H109:H155 B156:H170 A111:A170 A603:H728">
    <cfRule type="expression" dxfId="42" priority="76" stopIfTrue="1">
      <formula>OR(AND(LEN($A19)&lt;=3,RIGHT($A19,1)="."),AND($A19="",$C19&lt;&gt;"",$D19=""))</formula>
    </cfRule>
    <cfRule type="expression" dxfId="41" priority="77" stopIfTrue="1">
      <formula>AND(LEN($A19)&lt;=6,RIGHT($A19,1)=".")</formula>
    </cfRule>
    <cfRule type="expression" dxfId="40" priority="78">
      <formula>RIGHT($A19,1)="."</formula>
    </cfRule>
  </conditionalFormatting>
  <conditionalFormatting sqref="A12:H13 A14:G17">
    <cfRule type="expression" dxfId="39" priority="73" stopIfTrue="1">
      <formula>OR(AND(LEN($A12)&lt;=3,RIGHT($A12,1)="."),AND($A12="",$C12&lt;&gt;"",$D12=""))</formula>
    </cfRule>
    <cfRule type="expression" dxfId="38" priority="74" stopIfTrue="1">
      <formula>AND(LEN($A12)&lt;=6,RIGHT($A12,1)=".")</formula>
    </cfRule>
    <cfRule type="expression" dxfId="37" priority="75">
      <formula>RIGHT($A12,1)="."</formula>
    </cfRule>
  </conditionalFormatting>
  <conditionalFormatting sqref="A18:F18">
    <cfRule type="expression" dxfId="36" priority="70" stopIfTrue="1">
      <formula>OR(AND(LEN($A18)&lt;=3,RIGHT($A18,1)="."),AND($A18="",$C18&lt;&gt;"",$D18=""))</formula>
    </cfRule>
    <cfRule type="expression" dxfId="35" priority="71" stopIfTrue="1">
      <formula>AND(LEN($A18)&lt;=6,RIGHT($A18,1)=".")</formula>
    </cfRule>
    <cfRule type="expression" dxfId="34" priority="72">
      <formula>RIGHT($A18,1)="."</formula>
    </cfRule>
  </conditionalFormatting>
  <conditionalFormatting sqref="G18">
    <cfRule type="expression" dxfId="33" priority="67" stopIfTrue="1">
      <formula>OR(AND(LEN($A18)&lt;=3,RIGHT($A18,1)="."),AND($A18="",$C18&lt;&gt;"",$D18=""))</formula>
    </cfRule>
    <cfRule type="expression" dxfId="32" priority="68" stopIfTrue="1">
      <formula>AND(LEN($A18)&lt;=6,RIGHT($A18,1)=".")</formula>
    </cfRule>
    <cfRule type="expression" dxfId="31" priority="69">
      <formula>RIGHT($A18,1)="."</formula>
    </cfRule>
  </conditionalFormatting>
  <conditionalFormatting sqref="A22:H22 A23:G25">
    <cfRule type="expression" dxfId="30" priority="64" stopIfTrue="1">
      <formula>OR(AND(LEN($A22)&lt;=3,RIGHT($A22,1)="."),AND($A22="",$C22&lt;&gt;"",$D22=""))</formula>
    </cfRule>
    <cfRule type="expression" dxfId="29" priority="65" stopIfTrue="1">
      <formula>AND(LEN($A22)&lt;=6,RIGHT($A22,1)=".")</formula>
    </cfRule>
    <cfRule type="expression" dxfId="28" priority="66">
      <formula>RIGHT($A22,1)="."</formula>
    </cfRule>
  </conditionalFormatting>
  <conditionalFormatting sqref="B44:G52 B43:F43 A53:H53 A54:G55 A56:A106">
    <cfRule type="expression" dxfId="27" priority="61" stopIfTrue="1">
      <formula>OR(AND(LEN($A43)&lt;=3,RIGHT($A43,1)="."),AND($A43="",$C43&lt;&gt;"",$D43=""))</formula>
    </cfRule>
    <cfRule type="expression" dxfId="26" priority="62" stopIfTrue="1">
      <formula>AND(LEN($A43)&lt;=6,RIGHT($A43,1)=".")</formula>
    </cfRule>
    <cfRule type="expression" dxfId="25" priority="63">
      <formula>RIGHT($A43,1)="."</formula>
    </cfRule>
  </conditionalFormatting>
  <conditionalFormatting sqref="G33">
    <cfRule type="expression" dxfId="24" priority="58" stopIfTrue="1">
      <formula>OR(AND(LEN($A33)&lt;=3,RIGHT($A33,1)="."),AND($A33="",$C33&lt;&gt;"",$D33=""))</formula>
    </cfRule>
    <cfRule type="expression" dxfId="23" priority="59" stopIfTrue="1">
      <formula>AND(LEN($A33)&lt;=6,RIGHT($A33,1)=".")</formula>
    </cfRule>
    <cfRule type="expression" dxfId="22" priority="60">
      <formula>RIGHT($A33,1)="."</formula>
    </cfRule>
  </conditionalFormatting>
  <conditionalFormatting sqref="G43">
    <cfRule type="expression" dxfId="21" priority="55" stopIfTrue="1">
      <formula>OR(AND(LEN($A43)&lt;=3,RIGHT($A43,1)="."),AND($A43="",$C43&lt;&gt;"",$D43=""))</formula>
    </cfRule>
    <cfRule type="expression" dxfId="20" priority="56" stopIfTrue="1">
      <formula>AND(LEN($A43)&lt;=6,RIGHT($A43,1)=".")</formula>
    </cfRule>
    <cfRule type="expression" dxfId="19" priority="57">
      <formula>RIGHT($A43,1)="."</formula>
    </cfRule>
  </conditionalFormatting>
  <conditionalFormatting sqref="B206:G236">
    <cfRule type="expression" dxfId="18" priority="43" stopIfTrue="1">
      <formula>OR(AND(LEN($A206)&lt;=3,RIGHT($A206,1)="."),AND($A206="",$C206&lt;&gt;"",$D206=""))</formula>
    </cfRule>
    <cfRule type="expression" dxfId="17" priority="44" stopIfTrue="1">
      <formula>AND(LEN($A206)&lt;=6,RIGHT($A206,1)=".")</formula>
    </cfRule>
    <cfRule type="expression" dxfId="16" priority="45">
      <formula>RIGHT($A206,1)="."</formula>
    </cfRule>
  </conditionalFormatting>
  <conditionalFormatting sqref="A777:H777">
    <cfRule type="expression" dxfId="15" priority="19" stopIfTrue="1">
      <formula>OR(AND(LEN($A777)&lt;=3,RIGHT($A777,1)="."),AND($A777="",$C777&lt;&gt;"",$D777=""))</formula>
    </cfRule>
    <cfRule type="expression" dxfId="14" priority="20" stopIfTrue="1">
      <formula>AND(LEN($A777)&lt;=6,RIGHT($A777,1)=".")</formula>
    </cfRule>
    <cfRule type="expression" dxfId="13" priority="21">
      <formula>RIGHT($A777,1)="."</formula>
    </cfRule>
  </conditionalFormatting>
  <conditionalFormatting sqref="A776:G776">
    <cfRule type="expression" dxfId="12" priority="16" stopIfTrue="1">
      <formula>OR(AND(LEN($A776)&lt;=3,RIGHT($A776,1)="."),AND($A776="",$C776&lt;&gt;"",$D776=""))</formula>
    </cfRule>
    <cfRule type="expression" dxfId="11" priority="17" stopIfTrue="1">
      <formula>AND(LEN($A776)&lt;=6,RIGHT($A776,1)=".")</formula>
    </cfRule>
    <cfRule type="expression" dxfId="10" priority="18">
      <formula>RIGHT($A776,1)="."</formula>
    </cfRule>
  </conditionalFormatting>
  <conditionalFormatting sqref="H778:H781 H775:H776 H768:H773 H729:H766 H352:H602 H192:H350 H187:H190 H179:H185 H172:H177 H23:H52 H14:H21">
    <cfRule type="expression" dxfId="9" priority="13" stopIfTrue="1">
      <formula>OR(AND(LEN($A14)&lt;=3,RIGHT($A14,1)="."),AND($A14="",$C14&lt;&gt;"",$D14=""))</formula>
    </cfRule>
    <cfRule type="expression" dxfId="8" priority="14" stopIfTrue="1">
      <formula>AND(LEN($A14)&lt;=6,RIGHT($A14,1)=".")</formula>
    </cfRule>
    <cfRule type="expression" dxfId="7" priority="15">
      <formula>RIGHT($A14,1)="."</formula>
    </cfRule>
  </conditionalFormatting>
  <conditionalFormatting sqref="B107:H107">
    <cfRule type="expression" dxfId="6" priority="4" stopIfTrue="1">
      <formula>OR(AND(LEN($A107)&lt;=3,RIGHT($A107,1)="."),AND($A107="",$C107&lt;&gt;"",$D107=""))</formula>
    </cfRule>
    <cfRule type="expression" dxfId="5" priority="5" stopIfTrue="1">
      <formula>AND(LEN($A107)&lt;=6,RIGHT($A107,1)=".")</formula>
    </cfRule>
    <cfRule type="expression" dxfId="4" priority="6">
      <formula>RIGHT($A107,1)="."</formula>
    </cfRule>
  </conditionalFormatting>
  <conditionalFormatting sqref="A107">
    <cfRule type="expression" dxfId="3" priority="1" stopIfTrue="1">
      <formula>OR(AND(LEN($A107)&lt;=3,RIGHT($A107,1)="."),AND($A107="",$C107&lt;&gt;"",$D107=""))</formula>
    </cfRule>
    <cfRule type="expression" dxfId="2" priority="2" stopIfTrue="1">
      <formula>AND(LEN($A107)&lt;=6,RIGHT($A107,1)=".")</formula>
    </cfRule>
    <cfRule type="expression" dxfId="1" priority="3">
      <formula>RIGHT($A107,1)="."</formula>
    </cfRule>
  </conditionalFormatting>
  <printOptions horizontalCentered="1"/>
  <pageMargins left="0.59055118110236227" right="0.59055118110236227" top="0.78740157480314965" bottom="0.59055118110236227" header="0.19685039370078741" footer="0.19685039370078741"/>
  <pageSetup paperSize="9" scale="57" fitToHeight="1000" orientation="portrait" horizontalDpi="4294967294" verticalDpi="4294967294" r:id="rId1"/>
  <headerFooter>
    <oddFooter>&amp;R&amp;"Arial,Normal"&amp;8&amp;F
Página &amp;P de &amp;N</oddFooter>
  </headerFooter>
  <rowBreaks count="12" manualBreakCount="12">
    <brk id="53" max="7" man="1"/>
    <brk id="108" max="7" man="1"/>
    <brk id="171" max="7" man="1"/>
    <brk id="191" max="7" man="1"/>
    <brk id="248" max="7" man="1"/>
    <brk id="303" max="7" man="1"/>
    <brk id="351" max="7" man="1"/>
    <brk id="435" max="7" man="1"/>
    <brk id="546" max="7" man="1"/>
    <brk id="603" max="7" man="1"/>
    <brk id="661" max="7" man="1"/>
    <brk id="743" max="7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L39" sqref="L39"/>
    </sheetView>
  </sheetViews>
  <sheetFormatPr defaultColWidth="9.140625" defaultRowHeight="12.75" x14ac:dyDescent="0.25"/>
  <cols>
    <col min="1" max="1" width="8.7109375" style="235" customWidth="1"/>
    <col min="2" max="2" width="14.7109375" style="481" customWidth="1"/>
    <col min="3" max="3" width="60.7109375" style="236" customWidth="1"/>
    <col min="4" max="4" width="14.7109375" style="21" customWidth="1"/>
    <col min="5" max="6" width="14.7109375" style="237" customWidth="1"/>
    <col min="7" max="7" width="14.7109375" style="238" customWidth="1"/>
    <col min="8" max="16384" width="9.140625" style="21"/>
  </cols>
  <sheetData>
    <row r="1" spans="1:7" s="89" customFormat="1" x14ac:dyDescent="0.25">
      <c r="A1" s="117"/>
      <c r="B1" s="495"/>
      <c r="C1" s="726" t="s">
        <v>1117</v>
      </c>
      <c r="D1" s="726"/>
      <c r="E1" s="726"/>
      <c r="F1" s="726"/>
      <c r="G1" s="726"/>
    </row>
    <row r="2" spans="1:7" s="89" customFormat="1" x14ac:dyDescent="0.25">
      <c r="A2" s="90"/>
      <c r="B2" s="428"/>
      <c r="C2" s="728" t="s">
        <v>1118</v>
      </c>
      <c r="D2" s="728"/>
      <c r="E2" s="728"/>
      <c r="F2" s="728"/>
      <c r="G2" s="728"/>
    </row>
    <row r="3" spans="1:7" s="89" customFormat="1" ht="13.5" thickBot="1" x14ac:dyDescent="0.3">
      <c r="A3" s="118"/>
      <c r="B3" s="429"/>
      <c r="C3" s="729" t="s">
        <v>1116</v>
      </c>
      <c r="D3" s="729"/>
      <c r="E3" s="729"/>
      <c r="F3" s="729"/>
      <c r="G3" s="729"/>
    </row>
    <row r="4" spans="1:7" s="78" customFormat="1" ht="13.9" thickBot="1" x14ac:dyDescent="0.35">
      <c r="A4" s="486"/>
      <c r="B4" s="491"/>
    </row>
    <row r="5" spans="1:7" s="78" customFormat="1" x14ac:dyDescent="0.25">
      <c r="A5" s="690" t="s">
        <v>1119</v>
      </c>
      <c r="B5" s="690"/>
      <c r="C5" s="690"/>
      <c r="D5" s="690"/>
      <c r="E5" s="690"/>
      <c r="F5" s="690"/>
      <c r="G5" s="690"/>
    </row>
    <row r="6" spans="1:7" s="78" customFormat="1" ht="13.5" thickBot="1" x14ac:dyDescent="0.3">
      <c r="A6" s="691"/>
      <c r="B6" s="691"/>
      <c r="C6" s="691"/>
      <c r="D6" s="691"/>
      <c r="E6" s="691"/>
      <c r="F6" s="691"/>
      <c r="G6" s="691"/>
    </row>
    <row r="7" spans="1:7" s="78" customFormat="1" ht="13.9" thickBot="1" x14ac:dyDescent="0.35">
      <c r="B7" s="72"/>
      <c r="C7" s="70"/>
      <c r="D7" s="72"/>
      <c r="E7" s="72"/>
    </row>
    <row r="8" spans="1:7" ht="13.5" thickBot="1" x14ac:dyDescent="0.3">
      <c r="A8" s="686" t="s">
        <v>1610</v>
      </c>
      <c r="B8" s="687"/>
      <c r="C8" s="687"/>
      <c r="D8" s="687"/>
      <c r="E8" s="687"/>
      <c r="F8" s="687"/>
      <c r="G8" s="688"/>
    </row>
    <row r="9" spans="1:7" s="196" customFormat="1" ht="13.15" x14ac:dyDescent="0.3">
      <c r="B9" s="209"/>
      <c r="E9" s="197"/>
      <c r="F9" s="197"/>
      <c r="G9" s="197"/>
    </row>
    <row r="10" spans="1:7" s="209" customFormat="1" ht="13.9" thickBot="1" x14ac:dyDescent="0.35">
      <c r="A10" s="193"/>
      <c r="B10" s="193"/>
      <c r="C10" s="193"/>
      <c r="D10" s="194"/>
      <c r="E10" s="194"/>
      <c r="F10" s="197"/>
    </row>
    <row r="11" spans="1:7" ht="13.5" thickBot="1" x14ac:dyDescent="0.3">
      <c r="A11" s="791" t="s">
        <v>363</v>
      </c>
      <c r="B11" s="791" t="s">
        <v>1466</v>
      </c>
      <c r="C11" s="730" t="s">
        <v>366</v>
      </c>
      <c r="D11" s="791" t="s">
        <v>410</v>
      </c>
      <c r="E11" s="830" t="s">
        <v>364</v>
      </c>
      <c r="F11" s="830" t="s">
        <v>413</v>
      </c>
      <c r="G11" s="830"/>
    </row>
    <row r="12" spans="1:7" ht="13.5" thickBot="1" x14ac:dyDescent="0.3">
      <c r="A12" s="791"/>
      <c r="B12" s="791"/>
      <c r="C12" s="730"/>
      <c r="D12" s="791"/>
      <c r="E12" s="830"/>
      <c r="F12" s="489" t="s">
        <v>412</v>
      </c>
      <c r="G12" s="489" t="s">
        <v>411</v>
      </c>
    </row>
    <row r="13" spans="1:7" ht="13.9" thickBot="1" x14ac:dyDescent="0.35">
      <c r="A13" s="252"/>
      <c r="B13" s="487"/>
      <c r="C13" s="998" t="str">
        <f>A8</f>
        <v>MANUTENÇÃO DE CANTEIRO - ESCRITÓRIO</v>
      </c>
      <c r="D13" s="999"/>
      <c r="E13" s="999"/>
      <c r="F13" s="999"/>
      <c r="G13" s="1000"/>
    </row>
    <row r="14" spans="1:7" ht="13.9" thickBot="1" x14ac:dyDescent="0.35"/>
    <row r="15" spans="1:7" ht="13.5" thickBot="1" x14ac:dyDescent="0.3">
      <c r="A15" s="252" t="s">
        <v>360</v>
      </c>
      <c r="B15" s="487"/>
      <c r="C15" s="998" t="s">
        <v>2180</v>
      </c>
      <c r="D15" s="999"/>
      <c r="E15" s="999"/>
      <c r="F15" s="999"/>
      <c r="G15" s="1000"/>
    </row>
    <row r="16" spans="1:7" s="78" customFormat="1" x14ac:dyDescent="0.25">
      <c r="A16" s="175" t="s">
        <v>124</v>
      </c>
      <c r="B16" s="137"/>
      <c r="C16" s="249" t="s">
        <v>1567</v>
      </c>
      <c r="D16" s="138" t="s">
        <v>187</v>
      </c>
      <c r="E16" s="139">
        <v>125</v>
      </c>
      <c r="F16" s="139">
        <v>1.7</v>
      </c>
      <c r="G16" s="139">
        <f t="shared" ref="G16:G70" si="0">ROUND(E16*F16,2)</f>
        <v>212.5</v>
      </c>
    </row>
    <row r="17" spans="1:7" s="78" customFormat="1" x14ac:dyDescent="0.25">
      <c r="A17" s="176" t="s">
        <v>125</v>
      </c>
      <c r="B17" s="502"/>
      <c r="C17" s="250" t="s">
        <v>1568</v>
      </c>
      <c r="D17" s="142" t="s">
        <v>1125</v>
      </c>
      <c r="E17" s="144">
        <v>623</v>
      </c>
      <c r="F17" s="144">
        <v>5.0666666666666664</v>
      </c>
      <c r="G17" s="144">
        <f t="shared" si="0"/>
        <v>3156.53</v>
      </c>
    </row>
    <row r="18" spans="1:7" s="78" customFormat="1" x14ac:dyDescent="0.25">
      <c r="A18" s="176" t="s">
        <v>126</v>
      </c>
      <c r="B18" s="502" t="s">
        <v>2287</v>
      </c>
      <c r="C18" s="250" t="s">
        <v>1569</v>
      </c>
      <c r="D18" s="142" t="s">
        <v>1125</v>
      </c>
      <c r="E18" s="144">
        <v>52</v>
      </c>
      <c r="F18" s="144">
        <v>2.62</v>
      </c>
      <c r="G18" s="144">
        <f t="shared" si="0"/>
        <v>136.24</v>
      </c>
    </row>
    <row r="19" spans="1:7" s="78" customFormat="1" x14ac:dyDescent="0.25">
      <c r="A19" s="176" t="s">
        <v>127</v>
      </c>
      <c r="B19" s="502"/>
      <c r="C19" s="250" t="s">
        <v>822</v>
      </c>
      <c r="D19" s="142" t="s">
        <v>234</v>
      </c>
      <c r="E19" s="144">
        <v>52</v>
      </c>
      <c r="F19" s="144">
        <v>3.23</v>
      </c>
      <c r="G19" s="144">
        <f t="shared" si="0"/>
        <v>167.96</v>
      </c>
    </row>
    <row r="20" spans="1:7" s="78" customFormat="1" x14ac:dyDescent="0.25">
      <c r="A20" s="176" t="s">
        <v>128</v>
      </c>
      <c r="B20" s="502"/>
      <c r="C20" s="250" t="s">
        <v>1570</v>
      </c>
      <c r="D20" s="142" t="s">
        <v>1125</v>
      </c>
      <c r="E20" s="144">
        <v>3</v>
      </c>
      <c r="F20" s="144">
        <v>55.99666666666667</v>
      </c>
      <c r="G20" s="144">
        <f t="shared" si="0"/>
        <v>167.99</v>
      </c>
    </row>
    <row r="21" spans="1:7" s="78" customFormat="1" x14ac:dyDescent="0.25">
      <c r="A21" s="176" t="s">
        <v>129</v>
      </c>
      <c r="B21" s="502"/>
      <c r="C21" s="250" t="s">
        <v>1571</v>
      </c>
      <c r="D21" s="142" t="s">
        <v>1125</v>
      </c>
      <c r="E21" s="144">
        <v>156</v>
      </c>
      <c r="F21" s="144">
        <v>4.38</v>
      </c>
      <c r="G21" s="144">
        <f t="shared" si="0"/>
        <v>683.28</v>
      </c>
    </row>
    <row r="22" spans="1:7" s="78" customFormat="1" x14ac:dyDescent="0.25">
      <c r="A22" s="176" t="s">
        <v>130</v>
      </c>
      <c r="B22" s="502"/>
      <c r="C22" s="250" t="s">
        <v>1572</v>
      </c>
      <c r="D22" s="142" t="s">
        <v>1125</v>
      </c>
      <c r="E22" s="144">
        <v>63</v>
      </c>
      <c r="F22" s="144">
        <v>0.96666666666666667</v>
      </c>
      <c r="G22" s="144">
        <f t="shared" si="0"/>
        <v>60.9</v>
      </c>
    </row>
    <row r="23" spans="1:7" s="78" customFormat="1" x14ac:dyDescent="0.25">
      <c r="A23" s="176" t="s">
        <v>131</v>
      </c>
      <c r="B23" s="502"/>
      <c r="C23" s="250" t="s">
        <v>1573</v>
      </c>
      <c r="D23" s="142" t="s">
        <v>1125</v>
      </c>
      <c r="E23" s="144">
        <v>125</v>
      </c>
      <c r="F23" s="144">
        <v>0.84666666666666668</v>
      </c>
      <c r="G23" s="144">
        <f t="shared" si="0"/>
        <v>105.83</v>
      </c>
    </row>
    <row r="24" spans="1:7" s="78" customFormat="1" x14ac:dyDescent="0.25">
      <c r="A24" s="176" t="s">
        <v>132</v>
      </c>
      <c r="B24" s="502"/>
      <c r="C24" s="250" t="s">
        <v>1574</v>
      </c>
      <c r="D24" s="142" t="s">
        <v>1125</v>
      </c>
      <c r="E24" s="144">
        <v>249</v>
      </c>
      <c r="F24" s="144">
        <v>0.84666666666666668</v>
      </c>
      <c r="G24" s="144">
        <f t="shared" si="0"/>
        <v>210.82</v>
      </c>
    </row>
    <row r="25" spans="1:7" s="78" customFormat="1" x14ac:dyDescent="0.25">
      <c r="A25" s="176" t="s">
        <v>133</v>
      </c>
      <c r="B25" s="502"/>
      <c r="C25" s="250" t="s">
        <v>1575</v>
      </c>
      <c r="D25" s="142" t="s">
        <v>1125</v>
      </c>
      <c r="E25" s="144">
        <v>249</v>
      </c>
      <c r="F25" s="144">
        <v>169.17999999999998</v>
      </c>
      <c r="G25" s="144">
        <f t="shared" si="0"/>
        <v>42125.82</v>
      </c>
    </row>
    <row r="26" spans="1:7" s="78" customFormat="1" x14ac:dyDescent="0.25">
      <c r="A26" s="176" t="s">
        <v>134</v>
      </c>
      <c r="B26" s="502"/>
      <c r="C26" s="250" t="s">
        <v>1576</v>
      </c>
      <c r="D26" s="142" t="s">
        <v>1125</v>
      </c>
      <c r="E26" s="144">
        <v>42</v>
      </c>
      <c r="F26" s="144">
        <v>56.493333333333339</v>
      </c>
      <c r="G26" s="144">
        <f t="shared" si="0"/>
        <v>2372.7199999999998</v>
      </c>
    </row>
    <row r="27" spans="1:7" s="78" customFormat="1" x14ac:dyDescent="0.25">
      <c r="A27" s="176" t="s">
        <v>135</v>
      </c>
      <c r="B27" s="502"/>
      <c r="C27" s="250" t="s">
        <v>1577</v>
      </c>
      <c r="D27" s="142" t="s">
        <v>1125</v>
      </c>
      <c r="E27" s="144">
        <v>32</v>
      </c>
      <c r="F27" s="144">
        <v>2.3333333333333335</v>
      </c>
      <c r="G27" s="144">
        <f t="shared" si="0"/>
        <v>74.67</v>
      </c>
    </row>
    <row r="28" spans="1:7" s="78" customFormat="1" x14ac:dyDescent="0.25">
      <c r="A28" s="176" t="s">
        <v>136</v>
      </c>
      <c r="B28" s="502"/>
      <c r="C28" s="250" t="s">
        <v>1026</v>
      </c>
      <c r="D28" s="142" t="s">
        <v>1136</v>
      </c>
      <c r="E28" s="144">
        <v>28</v>
      </c>
      <c r="F28" s="144">
        <v>2.5</v>
      </c>
      <c r="G28" s="144">
        <f t="shared" si="0"/>
        <v>70</v>
      </c>
    </row>
    <row r="29" spans="1:7" s="78" customFormat="1" x14ac:dyDescent="0.25">
      <c r="A29" s="176" t="s">
        <v>137</v>
      </c>
      <c r="B29" s="502"/>
      <c r="C29" s="250" t="s">
        <v>1027</v>
      </c>
      <c r="D29" s="142" t="s">
        <v>1136</v>
      </c>
      <c r="E29" s="144">
        <v>28</v>
      </c>
      <c r="F29" s="144">
        <v>2.5</v>
      </c>
      <c r="G29" s="144">
        <f t="shared" si="0"/>
        <v>70</v>
      </c>
    </row>
    <row r="30" spans="1:7" s="78" customFormat="1" x14ac:dyDescent="0.25">
      <c r="A30" s="176" t="s">
        <v>138</v>
      </c>
      <c r="B30" s="502"/>
      <c r="C30" s="250" t="s">
        <v>1028</v>
      </c>
      <c r="D30" s="142" t="s">
        <v>1136</v>
      </c>
      <c r="E30" s="144">
        <v>28</v>
      </c>
      <c r="F30" s="144">
        <v>2.4333333333333331</v>
      </c>
      <c r="G30" s="144">
        <f t="shared" si="0"/>
        <v>68.13</v>
      </c>
    </row>
    <row r="31" spans="1:7" s="78" customFormat="1" x14ac:dyDescent="0.25">
      <c r="A31" s="176" t="s">
        <v>139</v>
      </c>
      <c r="B31" s="502"/>
      <c r="C31" s="250" t="s">
        <v>1029</v>
      </c>
      <c r="D31" s="142" t="s">
        <v>1136</v>
      </c>
      <c r="E31" s="144">
        <v>28</v>
      </c>
      <c r="F31" s="144">
        <v>2.5666666666666669</v>
      </c>
      <c r="G31" s="144">
        <f t="shared" si="0"/>
        <v>71.87</v>
      </c>
    </row>
    <row r="32" spans="1:7" s="78" customFormat="1" ht="13.15" x14ac:dyDescent="0.3">
      <c r="A32" s="176" t="s">
        <v>140</v>
      </c>
      <c r="B32" s="502" t="s">
        <v>2325</v>
      </c>
      <c r="C32" s="250" t="s">
        <v>2324</v>
      </c>
      <c r="D32" s="142" t="s">
        <v>187</v>
      </c>
      <c r="E32" s="144">
        <v>5</v>
      </c>
      <c r="F32" s="144">
        <v>14.06</v>
      </c>
      <c r="G32" s="144">
        <f t="shared" si="0"/>
        <v>70.3</v>
      </c>
    </row>
    <row r="33" spans="1:7" s="78" customFormat="1" x14ac:dyDescent="0.25">
      <c r="A33" s="176" t="s">
        <v>141</v>
      </c>
      <c r="B33" s="502"/>
      <c r="C33" s="250" t="s">
        <v>1578</v>
      </c>
      <c r="D33" s="142" t="s">
        <v>1125</v>
      </c>
      <c r="E33" s="144">
        <v>102</v>
      </c>
      <c r="F33" s="144">
        <v>3.3933333333333331</v>
      </c>
      <c r="G33" s="144">
        <f t="shared" si="0"/>
        <v>346.12</v>
      </c>
    </row>
    <row r="34" spans="1:7" s="78" customFormat="1" x14ac:dyDescent="0.25">
      <c r="A34" s="176" t="s">
        <v>142</v>
      </c>
      <c r="B34" s="502"/>
      <c r="C34" s="250" t="s">
        <v>1579</v>
      </c>
      <c r="D34" s="142" t="s">
        <v>1125</v>
      </c>
      <c r="E34" s="144">
        <v>102</v>
      </c>
      <c r="F34" s="144">
        <v>1.7366666666666666</v>
      </c>
      <c r="G34" s="144">
        <f t="shared" si="0"/>
        <v>177.14</v>
      </c>
    </row>
    <row r="35" spans="1:7" s="78" customFormat="1" x14ac:dyDescent="0.25">
      <c r="A35" s="176" t="s">
        <v>143</v>
      </c>
      <c r="B35" s="502"/>
      <c r="C35" s="250" t="s">
        <v>1580</v>
      </c>
      <c r="D35" s="142" t="s">
        <v>1125</v>
      </c>
      <c r="E35" s="144">
        <v>47</v>
      </c>
      <c r="F35" s="144">
        <v>2.5</v>
      </c>
      <c r="G35" s="144">
        <f t="shared" si="0"/>
        <v>117.5</v>
      </c>
    </row>
    <row r="36" spans="1:7" s="78" customFormat="1" x14ac:dyDescent="0.25">
      <c r="A36" s="176" t="s">
        <v>144</v>
      </c>
      <c r="B36" s="502"/>
      <c r="C36" s="250" t="s">
        <v>1581</v>
      </c>
      <c r="D36" s="142" t="s">
        <v>1125</v>
      </c>
      <c r="E36" s="144">
        <v>262</v>
      </c>
      <c r="F36" s="144">
        <v>5.5</v>
      </c>
      <c r="G36" s="144">
        <f t="shared" si="0"/>
        <v>1441</v>
      </c>
    </row>
    <row r="37" spans="1:7" s="78" customFormat="1" ht="13.15" x14ac:dyDescent="0.3">
      <c r="A37" s="176" t="s">
        <v>184</v>
      </c>
      <c r="B37" s="502" t="s">
        <v>2326</v>
      </c>
      <c r="C37" s="250" t="s">
        <v>1582</v>
      </c>
      <c r="D37" s="142" t="s">
        <v>234</v>
      </c>
      <c r="E37" s="144">
        <f>11*5</f>
        <v>55</v>
      </c>
      <c r="F37" s="144">
        <v>2.83</v>
      </c>
      <c r="G37" s="144">
        <f t="shared" si="0"/>
        <v>155.65</v>
      </c>
    </row>
    <row r="38" spans="1:7" s="78" customFormat="1" x14ac:dyDescent="0.25">
      <c r="A38" s="176" t="s">
        <v>145</v>
      </c>
      <c r="B38" s="502"/>
      <c r="C38" s="250" t="s">
        <v>1583</v>
      </c>
      <c r="D38" s="142" t="s">
        <v>1125</v>
      </c>
      <c r="E38" s="144">
        <v>327</v>
      </c>
      <c r="F38" s="144">
        <v>1.1000000000000001</v>
      </c>
      <c r="G38" s="144">
        <f t="shared" si="0"/>
        <v>359.7</v>
      </c>
    </row>
    <row r="39" spans="1:7" s="78" customFormat="1" x14ac:dyDescent="0.25">
      <c r="A39" s="176" t="s">
        <v>146</v>
      </c>
      <c r="B39" s="502"/>
      <c r="C39" s="250" t="s">
        <v>1584</v>
      </c>
      <c r="D39" s="142" t="s">
        <v>1125</v>
      </c>
      <c r="E39" s="144">
        <v>131</v>
      </c>
      <c r="F39" s="144">
        <v>0.4</v>
      </c>
      <c r="G39" s="144">
        <f t="shared" si="0"/>
        <v>52.4</v>
      </c>
    </row>
    <row r="40" spans="1:7" s="78" customFormat="1" x14ac:dyDescent="0.25">
      <c r="A40" s="176" t="s">
        <v>147</v>
      </c>
      <c r="B40" s="502"/>
      <c r="C40" s="250" t="s">
        <v>1585</v>
      </c>
      <c r="D40" s="142" t="s">
        <v>1125</v>
      </c>
      <c r="E40" s="144">
        <v>327</v>
      </c>
      <c r="F40" s="144">
        <v>0.1</v>
      </c>
      <c r="G40" s="144">
        <f t="shared" si="0"/>
        <v>32.700000000000003</v>
      </c>
    </row>
    <row r="41" spans="1:7" s="78" customFormat="1" x14ac:dyDescent="0.25">
      <c r="A41" s="176" t="s">
        <v>148</v>
      </c>
      <c r="B41" s="502"/>
      <c r="C41" s="250" t="s">
        <v>1067</v>
      </c>
      <c r="D41" s="142" t="s">
        <v>1125</v>
      </c>
      <c r="E41" s="144">
        <v>327</v>
      </c>
      <c r="F41" s="144">
        <v>0.15</v>
      </c>
      <c r="G41" s="144">
        <f t="shared" si="0"/>
        <v>49.05</v>
      </c>
    </row>
    <row r="42" spans="1:7" s="78" customFormat="1" x14ac:dyDescent="0.25">
      <c r="A42" s="176" t="s">
        <v>149</v>
      </c>
      <c r="B42" s="502"/>
      <c r="C42" s="250" t="s">
        <v>1586</v>
      </c>
      <c r="D42" s="142" t="s">
        <v>1125</v>
      </c>
      <c r="E42" s="144">
        <v>104</v>
      </c>
      <c r="F42" s="144">
        <v>0.5</v>
      </c>
      <c r="G42" s="144">
        <f t="shared" si="0"/>
        <v>52</v>
      </c>
    </row>
    <row r="43" spans="1:7" s="78" customFormat="1" x14ac:dyDescent="0.25">
      <c r="A43" s="176" t="s">
        <v>150</v>
      </c>
      <c r="B43" s="502"/>
      <c r="C43" s="250" t="s">
        <v>1587</v>
      </c>
      <c r="D43" s="142" t="s">
        <v>1125</v>
      </c>
      <c r="E43" s="144">
        <v>104</v>
      </c>
      <c r="F43" s="144">
        <v>0.5</v>
      </c>
      <c r="G43" s="144">
        <f t="shared" si="0"/>
        <v>52</v>
      </c>
    </row>
    <row r="44" spans="1:7" s="78" customFormat="1" x14ac:dyDescent="0.25">
      <c r="A44" s="176" t="s">
        <v>151</v>
      </c>
      <c r="B44" s="502"/>
      <c r="C44" s="250" t="s">
        <v>1588</v>
      </c>
      <c r="D44" s="142" t="s">
        <v>1125</v>
      </c>
      <c r="E44" s="144">
        <v>104</v>
      </c>
      <c r="F44" s="144">
        <v>0.65</v>
      </c>
      <c r="G44" s="144">
        <f t="shared" si="0"/>
        <v>67.599999999999994</v>
      </c>
    </row>
    <row r="45" spans="1:7" s="78" customFormat="1" x14ac:dyDescent="0.25">
      <c r="A45" s="176" t="s">
        <v>152</v>
      </c>
      <c r="B45" s="502"/>
      <c r="C45" s="250" t="s">
        <v>327</v>
      </c>
      <c r="D45" s="142" t="s">
        <v>1125</v>
      </c>
      <c r="E45" s="144">
        <v>11</v>
      </c>
      <c r="F45" s="144">
        <v>2.8666666666666667</v>
      </c>
      <c r="G45" s="144">
        <f t="shared" si="0"/>
        <v>31.53</v>
      </c>
    </row>
    <row r="46" spans="1:7" s="78" customFormat="1" x14ac:dyDescent="0.25">
      <c r="A46" s="176" t="s">
        <v>153</v>
      </c>
      <c r="B46" s="502"/>
      <c r="C46" s="250" t="s">
        <v>329</v>
      </c>
      <c r="D46" s="142" t="s">
        <v>1125</v>
      </c>
      <c r="E46" s="144">
        <v>42</v>
      </c>
      <c r="F46" s="144">
        <v>9</v>
      </c>
      <c r="G46" s="144">
        <f t="shared" si="0"/>
        <v>378</v>
      </c>
    </row>
    <row r="47" spans="1:7" s="78" customFormat="1" x14ac:dyDescent="0.25">
      <c r="A47" s="176" t="s">
        <v>154</v>
      </c>
      <c r="B47" s="502"/>
      <c r="C47" s="250" t="s">
        <v>1589</v>
      </c>
      <c r="D47" s="142" t="s">
        <v>1125</v>
      </c>
      <c r="E47" s="144">
        <v>42</v>
      </c>
      <c r="F47" s="144">
        <v>2.8333333333333335</v>
      </c>
      <c r="G47" s="144">
        <f t="shared" si="0"/>
        <v>119</v>
      </c>
    </row>
    <row r="48" spans="1:7" s="78" customFormat="1" ht="13.15" x14ac:dyDescent="0.3">
      <c r="A48" s="176" t="s">
        <v>155</v>
      </c>
      <c r="B48" s="502" t="s">
        <v>2327</v>
      </c>
      <c r="C48" s="250" t="s">
        <v>1590</v>
      </c>
      <c r="D48" s="142" t="s">
        <v>1125</v>
      </c>
      <c r="E48" s="144">
        <v>21</v>
      </c>
      <c r="F48" s="144">
        <f>0.33*50</f>
        <v>16.5</v>
      </c>
      <c r="G48" s="144">
        <f t="shared" si="0"/>
        <v>346.5</v>
      </c>
    </row>
    <row r="49" spans="1:7" s="78" customFormat="1" x14ac:dyDescent="0.25">
      <c r="A49" s="176" t="s">
        <v>156</v>
      </c>
      <c r="B49" s="502"/>
      <c r="C49" s="250" t="s">
        <v>1591</v>
      </c>
      <c r="D49" s="142" t="s">
        <v>1125</v>
      </c>
      <c r="E49" s="144">
        <v>16</v>
      </c>
      <c r="F49" s="144">
        <v>2.9299999999999997</v>
      </c>
      <c r="G49" s="144">
        <f t="shared" si="0"/>
        <v>46.88</v>
      </c>
    </row>
    <row r="50" spans="1:7" s="78" customFormat="1" x14ac:dyDescent="0.25">
      <c r="A50" s="176" t="s">
        <v>157</v>
      </c>
      <c r="B50" s="502"/>
      <c r="C50" s="250" t="s">
        <v>334</v>
      </c>
      <c r="D50" s="142" t="s">
        <v>1125</v>
      </c>
      <c r="E50" s="144">
        <v>63</v>
      </c>
      <c r="F50" s="144">
        <v>48</v>
      </c>
      <c r="G50" s="144">
        <f t="shared" si="0"/>
        <v>3024</v>
      </c>
    </row>
    <row r="51" spans="1:7" s="78" customFormat="1" x14ac:dyDescent="0.25">
      <c r="A51" s="176" t="s">
        <v>158</v>
      </c>
      <c r="B51" s="502"/>
      <c r="C51" s="250" t="s">
        <v>1592</v>
      </c>
      <c r="D51" s="142" t="s">
        <v>1125</v>
      </c>
      <c r="E51" s="144">
        <v>13</v>
      </c>
      <c r="F51" s="144">
        <v>5</v>
      </c>
      <c r="G51" s="144">
        <f t="shared" si="0"/>
        <v>65</v>
      </c>
    </row>
    <row r="52" spans="1:7" s="78" customFormat="1" x14ac:dyDescent="0.25">
      <c r="A52" s="176" t="s">
        <v>159</v>
      </c>
      <c r="B52" s="502"/>
      <c r="C52" s="250" t="s">
        <v>1593</v>
      </c>
      <c r="D52" s="142" t="s">
        <v>1125</v>
      </c>
      <c r="E52" s="144">
        <v>7</v>
      </c>
      <c r="F52" s="144">
        <v>16.333333333333332</v>
      </c>
      <c r="G52" s="144">
        <f t="shared" si="0"/>
        <v>114.33</v>
      </c>
    </row>
    <row r="53" spans="1:7" s="78" customFormat="1" x14ac:dyDescent="0.25">
      <c r="A53" s="176" t="s">
        <v>160</v>
      </c>
      <c r="B53" s="502"/>
      <c r="C53" s="250" t="s">
        <v>1594</v>
      </c>
      <c r="D53" s="142" t="s">
        <v>1125</v>
      </c>
      <c r="E53" s="144">
        <v>75</v>
      </c>
      <c r="F53" s="144">
        <v>0.8666666666666667</v>
      </c>
      <c r="G53" s="144">
        <f t="shared" si="0"/>
        <v>65</v>
      </c>
    </row>
    <row r="54" spans="1:7" s="78" customFormat="1" x14ac:dyDescent="0.25">
      <c r="A54" s="176" t="s">
        <v>161</v>
      </c>
      <c r="B54" s="502"/>
      <c r="C54" s="250" t="s">
        <v>1596</v>
      </c>
      <c r="D54" s="142" t="s">
        <v>1125</v>
      </c>
      <c r="E54" s="144">
        <v>19</v>
      </c>
      <c r="F54" s="144">
        <v>15.5</v>
      </c>
      <c r="G54" s="144">
        <f t="shared" si="0"/>
        <v>294.5</v>
      </c>
    </row>
    <row r="55" spans="1:7" s="78" customFormat="1" x14ac:dyDescent="0.25">
      <c r="A55" s="176" t="s">
        <v>162</v>
      </c>
      <c r="B55" s="502"/>
      <c r="C55" s="250" t="s">
        <v>1595</v>
      </c>
      <c r="D55" s="142" t="s">
        <v>1125</v>
      </c>
      <c r="E55" s="144">
        <v>78</v>
      </c>
      <c r="F55" s="144">
        <v>2.3333333333333335</v>
      </c>
      <c r="G55" s="144">
        <f t="shared" si="0"/>
        <v>182</v>
      </c>
    </row>
    <row r="56" spans="1:7" s="78" customFormat="1" x14ac:dyDescent="0.25">
      <c r="A56" s="176" t="s">
        <v>163</v>
      </c>
      <c r="B56" s="502"/>
      <c r="C56" s="250" t="s">
        <v>1597</v>
      </c>
      <c r="D56" s="142" t="s">
        <v>1125</v>
      </c>
      <c r="E56" s="144">
        <v>32</v>
      </c>
      <c r="F56" s="144">
        <v>1.1333333333333335</v>
      </c>
      <c r="G56" s="144">
        <f t="shared" si="0"/>
        <v>36.270000000000003</v>
      </c>
    </row>
    <row r="57" spans="1:7" s="78" customFormat="1" x14ac:dyDescent="0.25">
      <c r="A57" s="176" t="s">
        <v>164</v>
      </c>
      <c r="B57" s="502"/>
      <c r="C57" s="250" t="s">
        <v>1598</v>
      </c>
      <c r="D57" s="142" t="s">
        <v>1125</v>
      </c>
      <c r="E57" s="144">
        <v>42</v>
      </c>
      <c r="F57" s="144">
        <v>5.62</v>
      </c>
      <c r="G57" s="144">
        <f t="shared" si="0"/>
        <v>236.04</v>
      </c>
    </row>
    <row r="58" spans="1:7" s="78" customFormat="1" x14ac:dyDescent="0.25">
      <c r="A58" s="176" t="s">
        <v>165</v>
      </c>
      <c r="B58" s="502"/>
      <c r="C58" s="250" t="s">
        <v>1599</v>
      </c>
      <c r="D58" s="142" t="s">
        <v>1125</v>
      </c>
      <c r="E58" s="144">
        <v>13</v>
      </c>
      <c r="F58" s="144">
        <v>4.6466666666666665</v>
      </c>
      <c r="G58" s="144">
        <f t="shared" si="0"/>
        <v>60.41</v>
      </c>
    </row>
    <row r="59" spans="1:7" s="78" customFormat="1" x14ac:dyDescent="0.25">
      <c r="A59" s="176" t="s">
        <v>166</v>
      </c>
      <c r="B59" s="502" t="s">
        <v>2328</v>
      </c>
      <c r="C59" s="250" t="s">
        <v>873</v>
      </c>
      <c r="D59" s="142" t="s">
        <v>1125</v>
      </c>
      <c r="E59" s="144">
        <v>52</v>
      </c>
      <c r="F59" s="144">
        <f>0.06*500</f>
        <v>30</v>
      </c>
      <c r="G59" s="144">
        <f t="shared" si="0"/>
        <v>1560</v>
      </c>
    </row>
    <row r="60" spans="1:7" s="78" customFormat="1" x14ac:dyDescent="0.25">
      <c r="A60" s="176" t="s">
        <v>167</v>
      </c>
      <c r="B60" s="502"/>
      <c r="C60" s="250" t="s">
        <v>345</v>
      </c>
      <c r="D60" s="142" t="s">
        <v>1125</v>
      </c>
      <c r="E60" s="144">
        <v>476</v>
      </c>
      <c r="F60" s="144">
        <v>5.833333333333333</v>
      </c>
      <c r="G60" s="144">
        <f t="shared" si="0"/>
        <v>2776.67</v>
      </c>
    </row>
    <row r="61" spans="1:7" s="78" customFormat="1" x14ac:dyDescent="0.25">
      <c r="A61" s="176" t="s">
        <v>168</v>
      </c>
      <c r="B61" s="502"/>
      <c r="C61" s="250" t="s">
        <v>1600</v>
      </c>
      <c r="D61" s="142" t="s">
        <v>1125</v>
      </c>
      <c r="E61" s="144">
        <v>130</v>
      </c>
      <c r="F61" s="144">
        <v>4.6066666666666665</v>
      </c>
      <c r="G61" s="144">
        <f t="shared" si="0"/>
        <v>598.87</v>
      </c>
    </row>
    <row r="62" spans="1:7" s="78" customFormat="1" x14ac:dyDescent="0.25">
      <c r="A62" s="176" t="s">
        <v>169</v>
      </c>
      <c r="B62" s="502"/>
      <c r="C62" s="250" t="s">
        <v>874</v>
      </c>
      <c r="D62" s="142" t="s">
        <v>1125</v>
      </c>
      <c r="E62" s="144">
        <v>104</v>
      </c>
      <c r="F62" s="144">
        <v>10</v>
      </c>
      <c r="G62" s="144">
        <f t="shared" si="0"/>
        <v>1040</v>
      </c>
    </row>
    <row r="63" spans="1:7" s="78" customFormat="1" x14ac:dyDescent="0.25">
      <c r="A63" s="176" t="s">
        <v>170</v>
      </c>
      <c r="B63" s="502"/>
      <c r="C63" s="250" t="s">
        <v>1601</v>
      </c>
      <c r="D63" s="142" t="s">
        <v>1125</v>
      </c>
      <c r="E63" s="144">
        <v>104</v>
      </c>
      <c r="F63" s="144">
        <v>2.3666666666666667</v>
      </c>
      <c r="G63" s="144">
        <f t="shared" si="0"/>
        <v>246.13</v>
      </c>
    </row>
    <row r="64" spans="1:7" s="78" customFormat="1" x14ac:dyDescent="0.25">
      <c r="A64" s="176" t="s">
        <v>171</v>
      </c>
      <c r="B64" s="502"/>
      <c r="C64" s="250" t="s">
        <v>350</v>
      </c>
      <c r="D64" s="142" t="s">
        <v>1125</v>
      </c>
      <c r="E64" s="144">
        <v>21</v>
      </c>
      <c r="F64" s="144">
        <v>65.666666666666671</v>
      </c>
      <c r="G64" s="144">
        <f t="shared" si="0"/>
        <v>1379</v>
      </c>
    </row>
    <row r="65" spans="1:7" s="78" customFormat="1" x14ac:dyDescent="0.25">
      <c r="A65" s="176" t="s">
        <v>359</v>
      </c>
      <c r="B65" s="502"/>
      <c r="C65" s="250" t="s">
        <v>352</v>
      </c>
      <c r="D65" s="142" t="s">
        <v>1125</v>
      </c>
      <c r="E65" s="144">
        <v>21</v>
      </c>
      <c r="F65" s="144">
        <v>1.0666666666666667</v>
      </c>
      <c r="G65" s="144">
        <f t="shared" si="0"/>
        <v>22.4</v>
      </c>
    </row>
    <row r="66" spans="1:7" s="78" customFormat="1" x14ac:dyDescent="0.25">
      <c r="A66" s="176" t="s">
        <v>193</v>
      </c>
      <c r="B66" s="502"/>
      <c r="C66" s="250" t="s">
        <v>1602</v>
      </c>
      <c r="D66" s="142" t="s">
        <v>1125</v>
      </c>
      <c r="E66" s="144">
        <v>28</v>
      </c>
      <c r="F66" s="144">
        <v>10.636666666666667</v>
      </c>
      <c r="G66" s="144">
        <f t="shared" si="0"/>
        <v>297.83</v>
      </c>
    </row>
    <row r="67" spans="1:7" s="78" customFormat="1" x14ac:dyDescent="0.25">
      <c r="A67" s="176" t="s">
        <v>194</v>
      </c>
      <c r="B67" s="502" t="s">
        <v>2329</v>
      </c>
      <c r="C67" s="250" t="s">
        <v>1603</v>
      </c>
      <c r="D67" s="142" t="s">
        <v>1125</v>
      </c>
      <c r="E67" s="144">
        <v>42</v>
      </c>
      <c r="F67" s="144">
        <f>5.38/2</f>
        <v>2.69</v>
      </c>
      <c r="G67" s="144">
        <f t="shared" si="0"/>
        <v>112.98</v>
      </c>
    </row>
    <row r="68" spans="1:7" s="78" customFormat="1" x14ac:dyDescent="0.25">
      <c r="A68" s="176" t="s">
        <v>195</v>
      </c>
      <c r="B68" s="502"/>
      <c r="C68" s="250" t="s">
        <v>1604</v>
      </c>
      <c r="D68" s="142" t="s">
        <v>234</v>
      </c>
      <c r="E68" s="144">
        <v>262</v>
      </c>
      <c r="F68" s="144">
        <v>9.4933333333333341</v>
      </c>
      <c r="G68" s="144">
        <f t="shared" si="0"/>
        <v>2487.25</v>
      </c>
    </row>
    <row r="69" spans="1:7" s="78" customFormat="1" x14ac:dyDescent="0.25">
      <c r="A69" s="176" t="s">
        <v>196</v>
      </c>
      <c r="B69" s="502"/>
      <c r="C69" s="250" t="s">
        <v>1605</v>
      </c>
      <c r="D69" s="142" t="s">
        <v>1125</v>
      </c>
      <c r="E69" s="144">
        <v>5</v>
      </c>
      <c r="F69" s="144">
        <v>5.2666666666666666</v>
      </c>
      <c r="G69" s="144">
        <f t="shared" si="0"/>
        <v>26.33</v>
      </c>
    </row>
    <row r="70" spans="1:7" s="78" customFormat="1" x14ac:dyDescent="0.25">
      <c r="A70" s="176" t="s">
        <v>198</v>
      </c>
      <c r="B70" s="356"/>
      <c r="C70" s="250" t="s">
        <v>1606</v>
      </c>
      <c r="D70" s="357" t="s">
        <v>1125</v>
      </c>
      <c r="E70" s="537">
        <v>28</v>
      </c>
      <c r="F70" s="537">
        <v>9.1300000000000008</v>
      </c>
      <c r="G70" s="537">
        <f t="shared" si="0"/>
        <v>255.64</v>
      </c>
    </row>
    <row r="71" spans="1:7" s="78" customFormat="1" ht="13.5" thickBot="1" x14ac:dyDescent="0.3">
      <c r="A71" s="177"/>
      <c r="B71" s="147"/>
      <c r="C71" s="251"/>
      <c r="D71" s="148"/>
      <c r="E71" s="150"/>
      <c r="F71" s="408"/>
      <c r="G71" s="150"/>
    </row>
    <row r="72" spans="1:7" s="4" customFormat="1" ht="13.5" thickBot="1" x14ac:dyDescent="0.3">
      <c r="A72" s="864" t="str">
        <f>"TOTAL - "&amp;C15&amp;" - (R$):"</f>
        <v>TOTAL - MATERIAL DE CONSUMO - ESCRITÓRIO - (R$):</v>
      </c>
      <c r="B72" s="865"/>
      <c r="C72" s="865"/>
      <c r="D72" s="865"/>
      <c r="E72" s="865"/>
      <c r="F72" s="866"/>
      <c r="G72" s="212">
        <f>SUBTOTAL(9,G15:G71)</f>
        <v>68530.98</v>
      </c>
    </row>
    <row r="73" spans="1:7" ht="13.5" thickBot="1" x14ac:dyDescent="0.3"/>
    <row r="74" spans="1:7" ht="13.5" thickBot="1" x14ac:dyDescent="0.3">
      <c r="A74" s="252" t="s">
        <v>361</v>
      </c>
      <c r="B74" s="487"/>
      <c r="C74" s="998" t="s">
        <v>1611</v>
      </c>
      <c r="D74" s="999"/>
      <c r="E74" s="999"/>
      <c r="F74" s="999"/>
      <c r="G74" s="1000"/>
    </row>
    <row r="75" spans="1:7" s="78" customFormat="1" x14ac:dyDescent="0.25">
      <c r="A75" s="175" t="s">
        <v>173</v>
      </c>
      <c r="B75" s="137" t="s">
        <v>1617</v>
      </c>
      <c r="C75" s="249" t="s">
        <v>1612</v>
      </c>
      <c r="D75" s="138" t="s">
        <v>1126</v>
      </c>
      <c r="E75" s="139">
        <f>3*12</f>
        <v>36</v>
      </c>
      <c r="F75" s="139">
        <v>89</v>
      </c>
      <c r="G75" s="139">
        <f t="shared" ref="G75:G79" si="1">ROUND(E75*F75,2)</f>
        <v>3204</v>
      </c>
    </row>
    <row r="76" spans="1:7" s="78" customFormat="1" x14ac:dyDescent="0.25">
      <c r="A76" s="176" t="s">
        <v>174</v>
      </c>
      <c r="B76" s="502" t="s">
        <v>1618</v>
      </c>
      <c r="C76" s="250" t="s">
        <v>1615</v>
      </c>
      <c r="D76" s="142" t="s">
        <v>1126</v>
      </c>
      <c r="E76" s="144">
        <f>3*12</f>
        <v>36</v>
      </c>
      <c r="F76" s="144">
        <v>154.99</v>
      </c>
      <c r="G76" s="144">
        <f t="shared" si="1"/>
        <v>5579.64</v>
      </c>
    </row>
    <row r="77" spans="1:7" s="78" customFormat="1" x14ac:dyDescent="0.25">
      <c r="A77" s="176" t="s">
        <v>175</v>
      </c>
      <c r="B77" s="502" t="s">
        <v>1618</v>
      </c>
      <c r="C77" s="250" t="s">
        <v>1616</v>
      </c>
      <c r="D77" s="142" t="s">
        <v>1126</v>
      </c>
      <c r="E77" s="144">
        <f>3*2*12</f>
        <v>72</v>
      </c>
      <c r="F77" s="144">
        <f>F76</f>
        <v>154.99</v>
      </c>
      <c r="G77" s="144">
        <f t="shared" si="1"/>
        <v>11159.28</v>
      </c>
    </row>
    <row r="78" spans="1:7" s="78" customFormat="1" x14ac:dyDescent="0.25">
      <c r="A78" s="176" t="s">
        <v>176</v>
      </c>
      <c r="B78" s="502" t="s">
        <v>1619</v>
      </c>
      <c r="C78" s="250" t="s">
        <v>1613</v>
      </c>
      <c r="D78" s="142" t="s">
        <v>1126</v>
      </c>
      <c r="E78" s="144">
        <f t="shared" ref="E78:E79" si="2">3*12</f>
        <v>36</v>
      </c>
      <c r="F78" s="144">
        <v>180</v>
      </c>
      <c r="G78" s="144">
        <f t="shared" si="1"/>
        <v>6480</v>
      </c>
    </row>
    <row r="79" spans="1:7" s="78" customFormat="1" x14ac:dyDescent="0.25">
      <c r="A79" s="176" t="s">
        <v>177</v>
      </c>
      <c r="B79" s="502" t="s">
        <v>1620</v>
      </c>
      <c r="C79" s="250" t="s">
        <v>1614</v>
      </c>
      <c r="D79" s="142" t="s">
        <v>1126</v>
      </c>
      <c r="E79" s="144">
        <f t="shared" si="2"/>
        <v>36</v>
      </c>
      <c r="F79" s="144">
        <v>394.99</v>
      </c>
      <c r="G79" s="144">
        <f t="shared" si="1"/>
        <v>14219.64</v>
      </c>
    </row>
    <row r="80" spans="1:7" s="78" customFormat="1" ht="13.5" thickBot="1" x14ac:dyDescent="0.3">
      <c r="A80" s="177"/>
      <c r="B80" s="147"/>
      <c r="C80" s="251"/>
      <c r="D80" s="148"/>
      <c r="E80" s="150"/>
      <c r="F80" s="408"/>
      <c r="G80" s="150"/>
    </row>
    <row r="81" spans="1:7" s="4" customFormat="1" ht="13.5" thickBot="1" x14ac:dyDescent="0.3">
      <c r="A81" s="864" t="str">
        <f>"TOTAL - "&amp;C74&amp;" - (R$):"</f>
        <v>TOTAL - OUTRAS DESPESAS DE MANUTENÇÃO - (R$):</v>
      </c>
      <c r="B81" s="865"/>
      <c r="C81" s="865"/>
      <c r="D81" s="865"/>
      <c r="E81" s="865"/>
      <c r="F81" s="866"/>
      <c r="G81" s="212">
        <f>SUBTOTAL(9,G74:G80)</f>
        <v>40642.559999999998</v>
      </c>
    </row>
    <row r="82" spans="1:7" ht="13.5" thickBot="1" x14ac:dyDescent="0.3"/>
    <row r="83" spans="1:7" s="4" customFormat="1" ht="13.5" thickBot="1" x14ac:dyDescent="0.3">
      <c r="A83" s="864" t="str">
        <f>"TOTAL - "&amp;C13&amp;" - (R$):"</f>
        <v>TOTAL - MANUTENÇÃO DE CANTEIRO - ESCRITÓRIO - (R$):</v>
      </c>
      <c r="B83" s="865"/>
      <c r="C83" s="865"/>
      <c r="D83" s="865"/>
      <c r="E83" s="865"/>
      <c r="F83" s="866"/>
      <c r="G83" s="212">
        <f>SUBTOTAL(9,G13:G82)</f>
        <v>109173.54</v>
      </c>
    </row>
    <row r="85" spans="1:7" ht="13.5" thickBot="1" x14ac:dyDescent="0.3"/>
    <row r="86" spans="1:7" ht="13.5" thickBot="1" x14ac:dyDescent="0.3">
      <c r="A86" s="843" t="str">
        <f>"COMPOSIÇÃO MENSAL - "&amp;A$8</f>
        <v>COMPOSIÇÃO MENSAL - MANUTENÇÃO DE CANTEIRO - ESCRITÓRIO</v>
      </c>
      <c r="B86" s="844"/>
      <c r="C86" s="844"/>
      <c r="D86" s="844"/>
      <c r="E86" s="844"/>
      <c r="F86" s="844"/>
      <c r="G86" s="845"/>
    </row>
    <row r="87" spans="1:7" ht="13.5" thickBot="1" x14ac:dyDescent="0.3">
      <c r="A87" s="31" t="s">
        <v>363</v>
      </c>
      <c r="B87" s="436"/>
      <c r="C87" s="846" t="s">
        <v>366</v>
      </c>
      <c r="D87" s="847"/>
      <c r="E87" s="848"/>
      <c r="F87" s="856" t="s">
        <v>1607</v>
      </c>
      <c r="G87" s="857"/>
    </row>
    <row r="88" spans="1:7" s="78" customFormat="1" x14ac:dyDescent="0.25">
      <c r="A88" s="360">
        <v>1</v>
      </c>
      <c r="B88" s="437"/>
      <c r="C88" s="1015" t="str">
        <f>"TOTAL - "&amp;C15&amp;" - (R$)"</f>
        <v>TOTAL - MATERIAL DE CONSUMO - ESCRITÓRIO - (R$)</v>
      </c>
      <c r="D88" s="1016"/>
      <c r="E88" s="1017"/>
      <c r="F88" s="996">
        <f>G72</f>
        <v>68530.98</v>
      </c>
      <c r="G88" s="997"/>
    </row>
    <row r="89" spans="1:7" s="78" customFormat="1" x14ac:dyDescent="0.25">
      <c r="A89" s="437">
        <v>2</v>
      </c>
      <c r="B89" s="437"/>
      <c r="C89" s="1010" t="str">
        <f>"TOTAL - "&amp;C74&amp;" - (R$)"</f>
        <v>TOTAL - OUTRAS DESPESAS DE MANUTENÇÃO - (R$)</v>
      </c>
      <c r="D89" s="1011"/>
      <c r="E89" s="1012"/>
      <c r="F89" s="1013">
        <f>G81</f>
        <v>40642.559999999998</v>
      </c>
      <c r="G89" s="1014"/>
    </row>
    <row r="90" spans="1:7" s="78" customFormat="1" x14ac:dyDescent="0.25">
      <c r="A90" s="437">
        <v>3</v>
      </c>
      <c r="B90" s="437"/>
      <c r="C90" s="1010" t="s">
        <v>1609</v>
      </c>
      <c r="D90" s="1011"/>
      <c r="E90" s="1012"/>
      <c r="F90" s="1013">
        <v>3</v>
      </c>
      <c r="G90" s="1014"/>
    </row>
    <row r="91" spans="1:7" s="78" customFormat="1" ht="13.5" thickBot="1" x14ac:dyDescent="0.3">
      <c r="A91" s="361">
        <v>4</v>
      </c>
      <c r="B91" s="361"/>
      <c r="C91" s="1018" t="s">
        <v>1608</v>
      </c>
      <c r="D91" s="1019"/>
      <c r="E91" s="1020"/>
      <c r="F91" s="996">
        <v>12</v>
      </c>
      <c r="G91" s="997"/>
    </row>
    <row r="92" spans="1:7" ht="13.5" thickBot="1" x14ac:dyDescent="0.3">
      <c r="A92" s="743" t="str">
        <f>"TAXA MÉDIA - "&amp;A8&amp;" -  (R$ / UN x MÊS):"</f>
        <v>TAXA MÉDIA - MANUTENÇÃO DE CANTEIRO - ESCRITÓRIO -  (R$ / UN x MÊS):</v>
      </c>
      <c r="B92" s="744"/>
      <c r="C92" s="744"/>
      <c r="D92" s="744"/>
      <c r="E92" s="744"/>
      <c r="F92" s="854">
        <f>ROUND((F88+F89)/(F90*F91),2)</f>
        <v>3032.6</v>
      </c>
      <c r="G92" s="855"/>
    </row>
    <row r="94" spans="1:7" s="78" customFormat="1" ht="13.5" thickBot="1" x14ac:dyDescent="0.3">
      <c r="A94" s="80"/>
      <c r="B94" s="71"/>
      <c r="C94" s="79"/>
      <c r="E94" s="312"/>
      <c r="F94" s="312"/>
      <c r="G94" s="74"/>
    </row>
    <row r="95" spans="1:7" s="78" customFormat="1" x14ac:dyDescent="0.25">
      <c r="A95" s="704" t="s">
        <v>422</v>
      </c>
      <c r="B95" s="736"/>
      <c r="C95" s="705"/>
      <c r="D95" s="705"/>
      <c r="E95" s="706"/>
      <c r="F95" s="704" t="s">
        <v>423</v>
      </c>
      <c r="G95" s="706"/>
    </row>
    <row r="96" spans="1:7" s="78" customFormat="1" ht="13.5" thickBot="1" x14ac:dyDescent="0.3">
      <c r="A96" s="701"/>
      <c r="B96" s="702"/>
      <c r="C96" s="702"/>
      <c r="D96" s="702"/>
      <c r="E96" s="703"/>
      <c r="F96" s="701"/>
      <c r="G96" s="703"/>
    </row>
    <row r="97" spans="1:7" s="78" customFormat="1" x14ac:dyDescent="0.25">
      <c r="A97" s="695" t="s">
        <v>424</v>
      </c>
      <c r="B97" s="696"/>
      <c r="C97" s="738"/>
      <c r="D97" s="738"/>
      <c r="E97" s="697"/>
      <c r="F97" s="695" t="s">
        <v>425</v>
      </c>
      <c r="G97" s="697"/>
    </row>
    <row r="98" spans="1:7" s="78" customFormat="1" ht="13.5" thickBot="1" x14ac:dyDescent="0.3">
      <c r="A98" s="695"/>
      <c r="B98" s="696"/>
      <c r="C98" s="696"/>
      <c r="D98" s="696"/>
      <c r="E98" s="697"/>
      <c r="F98" s="695"/>
      <c r="G98" s="697"/>
    </row>
    <row r="99" spans="1:7" s="78" customFormat="1" x14ac:dyDescent="0.25">
      <c r="A99" s="831" t="s">
        <v>426</v>
      </c>
      <c r="B99" s="832"/>
      <c r="C99" s="832"/>
      <c r="D99" s="832"/>
      <c r="E99" s="832"/>
      <c r="F99" s="832"/>
      <c r="G99" s="833"/>
    </row>
    <row r="100" spans="1:7" s="78" customFormat="1" x14ac:dyDescent="0.25">
      <c r="A100" s="982"/>
      <c r="B100" s="983"/>
      <c r="C100" s="983"/>
      <c r="D100" s="983"/>
      <c r="E100" s="983"/>
      <c r="F100" s="983"/>
      <c r="G100" s="984"/>
    </row>
    <row r="101" spans="1:7" s="78" customFormat="1" ht="13.5" thickBot="1" x14ac:dyDescent="0.3">
      <c r="A101" s="873"/>
      <c r="B101" s="874"/>
      <c r="C101" s="874"/>
      <c r="D101" s="874"/>
      <c r="E101" s="874"/>
      <c r="F101" s="874"/>
      <c r="G101" s="875"/>
    </row>
  </sheetData>
  <autoFilter ref="A12:G71"/>
  <mergeCells count="39">
    <mergeCell ref="A99:G99"/>
    <mergeCell ref="A100:G100"/>
    <mergeCell ref="A101:G101"/>
    <mergeCell ref="C90:E90"/>
    <mergeCell ref="F90:G90"/>
    <mergeCell ref="A95:E96"/>
    <mergeCell ref="F95:G95"/>
    <mergeCell ref="F96:G96"/>
    <mergeCell ref="A97:E98"/>
    <mergeCell ref="F97:G97"/>
    <mergeCell ref="F98:G98"/>
    <mergeCell ref="C91:E91"/>
    <mergeCell ref="A92:E92"/>
    <mergeCell ref="F92:G92"/>
    <mergeCell ref="F91:G91"/>
    <mergeCell ref="C89:E89"/>
    <mergeCell ref="F89:G89"/>
    <mergeCell ref="A83:F83"/>
    <mergeCell ref="C87:E87"/>
    <mergeCell ref="F87:G87"/>
    <mergeCell ref="C88:E88"/>
    <mergeCell ref="F88:G88"/>
    <mergeCell ref="C15:G15"/>
    <mergeCell ref="A72:F72"/>
    <mergeCell ref="A86:G86"/>
    <mergeCell ref="C13:G13"/>
    <mergeCell ref="F11:G11"/>
    <mergeCell ref="A11:A12"/>
    <mergeCell ref="B11:B12"/>
    <mergeCell ref="C11:C12"/>
    <mergeCell ref="D11:D12"/>
    <mergeCell ref="E11:E12"/>
    <mergeCell ref="C74:G74"/>
    <mergeCell ref="A81:F81"/>
    <mergeCell ref="C1:G1"/>
    <mergeCell ref="C2:G2"/>
    <mergeCell ref="C3:G3"/>
    <mergeCell ref="A5:G6"/>
    <mergeCell ref="A8:G8"/>
  </mergeCells>
  <phoneticPr fontId="25" type="noConversion"/>
  <printOptions horizontalCentered="1"/>
  <pageMargins left="0.78740157480314965" right="0.59055118110236227" top="0.59055118110236227" bottom="0.59055118110236227" header="0.19685039370078741" footer="0.19685039370078741"/>
  <pageSetup paperSize="9" scale="61" fitToHeight="100" orientation="portrait" horizontalDpi="4294967294" verticalDpi="4294967294" r:id="rId1"/>
  <headerFooter>
    <oddFooter>&amp;R&amp;"Arial,Normal"&amp;8&amp;F
Página &amp;P de &amp;N</oddFooter>
  </headerFooter>
  <rowBreaks count="1" manualBreakCount="1">
    <brk id="85" max="6" man="1"/>
  </row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8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K25" sqref="K25"/>
    </sheetView>
  </sheetViews>
  <sheetFormatPr defaultColWidth="9.140625" defaultRowHeight="12.75" x14ac:dyDescent="0.25"/>
  <cols>
    <col min="1" max="1" width="8.7109375" style="2" customWidth="1"/>
    <col min="2" max="2" width="14.7109375" style="4" customWidth="1"/>
    <col min="3" max="3" width="60.7109375" style="15" customWidth="1"/>
    <col min="4" max="4" width="14.7109375" style="4" customWidth="1"/>
    <col min="5" max="6" width="14.7109375" style="10" customWidth="1"/>
    <col min="7" max="7" width="14.7109375" style="12" customWidth="1"/>
    <col min="8" max="16384" width="9.140625" style="2"/>
  </cols>
  <sheetData>
    <row r="1" spans="1:8" s="89" customFormat="1" x14ac:dyDescent="0.25">
      <c r="A1" s="117"/>
      <c r="B1" s="495"/>
      <c r="C1" s="726" t="s">
        <v>1117</v>
      </c>
      <c r="D1" s="726"/>
      <c r="E1" s="726"/>
      <c r="F1" s="726"/>
      <c r="G1" s="726"/>
    </row>
    <row r="2" spans="1:8" s="89" customFormat="1" x14ac:dyDescent="0.25">
      <c r="A2" s="90"/>
      <c r="B2" s="428"/>
      <c r="C2" s="728" t="s">
        <v>1118</v>
      </c>
      <c r="D2" s="728"/>
      <c r="E2" s="728"/>
      <c r="F2" s="728"/>
      <c r="G2" s="728"/>
    </row>
    <row r="3" spans="1:8" s="89" customFormat="1" ht="13.5" thickBot="1" x14ac:dyDescent="0.3">
      <c r="A3" s="118"/>
      <c r="B3" s="429"/>
      <c r="C3" s="729" t="s">
        <v>1116</v>
      </c>
      <c r="D3" s="729"/>
      <c r="E3" s="729"/>
      <c r="F3" s="729"/>
      <c r="G3" s="729"/>
    </row>
    <row r="4" spans="1:8" s="78" customFormat="1" ht="13.9" thickBot="1" x14ac:dyDescent="0.35">
      <c r="A4" s="92"/>
      <c r="B4" s="507"/>
    </row>
    <row r="5" spans="1:8" s="78" customFormat="1" x14ac:dyDescent="0.25">
      <c r="A5" s="690" t="s">
        <v>1119</v>
      </c>
      <c r="B5" s="690"/>
      <c r="C5" s="690"/>
      <c r="D5" s="690"/>
      <c r="E5" s="690"/>
      <c r="F5" s="690"/>
      <c r="G5" s="690"/>
    </row>
    <row r="6" spans="1:8" s="78" customFormat="1" ht="13.5" thickBot="1" x14ac:dyDescent="0.3">
      <c r="A6" s="691"/>
      <c r="B6" s="691"/>
      <c r="C6" s="691"/>
      <c r="D6" s="691"/>
      <c r="E6" s="691"/>
      <c r="F6" s="691"/>
      <c r="G6" s="691"/>
    </row>
    <row r="7" spans="1:8" s="78" customFormat="1" ht="13.9" thickBot="1" x14ac:dyDescent="0.35">
      <c r="B7" s="72"/>
      <c r="C7" s="70"/>
      <c r="D7" s="72"/>
      <c r="E7" s="72"/>
    </row>
    <row r="8" spans="1:8" s="21" customFormat="1" ht="13.9" thickBot="1" x14ac:dyDescent="0.35">
      <c r="A8" s="686" t="s">
        <v>1108</v>
      </c>
      <c r="B8" s="687"/>
      <c r="C8" s="687"/>
      <c r="D8" s="687"/>
      <c r="E8" s="687"/>
      <c r="F8" s="687"/>
      <c r="G8" s="688"/>
    </row>
    <row r="9" spans="1:8" s="196" customFormat="1" ht="13.15" x14ac:dyDescent="0.3">
      <c r="B9" s="209"/>
      <c r="E9" s="197"/>
      <c r="F9" s="197"/>
      <c r="G9" s="197"/>
      <c r="H9" s="195"/>
    </row>
    <row r="10" spans="1:8" s="209" customFormat="1" ht="13.9" thickBot="1" x14ac:dyDescent="0.35">
      <c r="A10" s="193"/>
      <c r="B10" s="193"/>
      <c r="C10" s="193"/>
      <c r="D10" s="194"/>
      <c r="E10" s="194"/>
      <c r="F10" s="197"/>
    </row>
    <row r="11" spans="1:8" ht="13.5" thickBot="1" x14ac:dyDescent="0.3">
      <c r="A11" s="791" t="s">
        <v>363</v>
      </c>
      <c r="B11" s="791" t="s">
        <v>1466</v>
      </c>
      <c r="C11" s="730" t="s">
        <v>366</v>
      </c>
      <c r="D11" s="791" t="s">
        <v>410</v>
      </c>
      <c r="E11" s="830" t="s">
        <v>364</v>
      </c>
      <c r="F11" s="830" t="s">
        <v>413</v>
      </c>
      <c r="G11" s="830"/>
    </row>
    <row r="12" spans="1:8" ht="13.5" thickBot="1" x14ac:dyDescent="0.3">
      <c r="A12" s="791"/>
      <c r="B12" s="791"/>
      <c r="C12" s="730"/>
      <c r="D12" s="791"/>
      <c r="E12" s="830"/>
      <c r="F12" s="218" t="s">
        <v>412</v>
      </c>
      <c r="G12" s="218" t="s">
        <v>411</v>
      </c>
    </row>
    <row r="13" spans="1:8" s="21" customFormat="1" ht="13.15" x14ac:dyDescent="0.3">
      <c r="A13" s="490"/>
      <c r="B13" s="574"/>
      <c r="C13" s="1032" t="str">
        <f>A8</f>
        <v>FERRAMENTAS</v>
      </c>
      <c r="D13" s="1032"/>
      <c r="E13" s="1032"/>
      <c r="F13" s="1032"/>
      <c r="G13" s="1032"/>
    </row>
    <row r="14" spans="1:8" ht="13.9" thickBot="1" x14ac:dyDescent="0.35"/>
    <row r="15" spans="1:8" s="21" customFormat="1" x14ac:dyDescent="0.25">
      <c r="A15" s="517" t="s">
        <v>360</v>
      </c>
      <c r="B15" s="575"/>
      <c r="C15" s="1031" t="s">
        <v>1137</v>
      </c>
      <c r="D15" s="1031"/>
      <c r="E15" s="1031"/>
      <c r="F15" s="1031"/>
      <c r="G15" s="1031"/>
    </row>
    <row r="16" spans="1:8" x14ac:dyDescent="0.25">
      <c r="A16" s="438" t="s">
        <v>124</v>
      </c>
      <c r="B16" s="576"/>
      <c r="C16" s="445" t="s">
        <v>716</v>
      </c>
      <c r="D16" s="446" t="s">
        <v>1125</v>
      </c>
      <c r="E16" s="447">
        <v>4</v>
      </c>
      <c r="F16" s="476">
        <v>111.97</v>
      </c>
      <c r="G16" s="448">
        <f>ROUND(E16*F16,2)</f>
        <v>447.88</v>
      </c>
    </row>
    <row r="17" spans="1:7" ht="13.15" x14ac:dyDescent="0.3">
      <c r="A17" s="438" t="s">
        <v>125</v>
      </c>
      <c r="B17" s="576" t="s">
        <v>2163</v>
      </c>
      <c r="C17" s="445" t="s">
        <v>717</v>
      </c>
      <c r="D17" s="446" t="s">
        <v>1125</v>
      </c>
      <c r="E17" s="447">
        <v>7</v>
      </c>
      <c r="F17" s="476">
        <v>22.9</v>
      </c>
      <c r="G17" s="448">
        <f t="shared" ref="G17:G80" si="0">ROUND(E17*F17,2)</f>
        <v>160.30000000000001</v>
      </c>
    </row>
    <row r="18" spans="1:7" ht="13.15" x14ac:dyDescent="0.3">
      <c r="A18" s="438" t="s">
        <v>126</v>
      </c>
      <c r="B18" s="576" t="s">
        <v>2290</v>
      </c>
      <c r="C18" s="445" t="s">
        <v>718</v>
      </c>
      <c r="D18" s="446" t="s">
        <v>1125</v>
      </c>
      <c r="E18" s="447">
        <v>7</v>
      </c>
      <c r="F18" s="476">
        <v>32.5</v>
      </c>
      <c r="G18" s="448">
        <f t="shared" si="0"/>
        <v>227.5</v>
      </c>
    </row>
    <row r="19" spans="1:7" x14ac:dyDescent="0.25">
      <c r="A19" s="438" t="s">
        <v>127</v>
      </c>
      <c r="B19" s="576" t="s">
        <v>2292</v>
      </c>
      <c r="C19" s="445" t="s">
        <v>719</v>
      </c>
      <c r="D19" s="446" t="s">
        <v>1125</v>
      </c>
      <c r="E19" s="447">
        <v>7</v>
      </c>
      <c r="F19" s="476">
        <v>76.67</v>
      </c>
      <c r="G19" s="448">
        <f t="shared" si="0"/>
        <v>536.69000000000005</v>
      </c>
    </row>
    <row r="20" spans="1:7" s="196" customFormat="1" x14ac:dyDescent="0.25">
      <c r="A20" s="443" t="s">
        <v>128</v>
      </c>
      <c r="B20" s="577" t="s">
        <v>2292</v>
      </c>
      <c r="C20" s="449" t="s">
        <v>720</v>
      </c>
      <c r="D20" s="450" t="s">
        <v>1125</v>
      </c>
      <c r="E20" s="451">
        <v>7</v>
      </c>
      <c r="F20" s="625">
        <v>76.67</v>
      </c>
      <c r="G20" s="452">
        <f t="shared" si="0"/>
        <v>536.69000000000005</v>
      </c>
    </row>
    <row r="21" spans="1:7" s="196" customFormat="1" x14ac:dyDescent="0.25">
      <c r="A21" s="443" t="s">
        <v>129</v>
      </c>
      <c r="B21" s="577" t="s">
        <v>2292</v>
      </c>
      <c r="C21" s="449" t="s">
        <v>721</v>
      </c>
      <c r="D21" s="450" t="s">
        <v>1125</v>
      </c>
      <c r="E21" s="451">
        <v>7</v>
      </c>
      <c r="F21" s="625">
        <v>76.67</v>
      </c>
      <c r="G21" s="452">
        <f t="shared" si="0"/>
        <v>536.69000000000005</v>
      </c>
    </row>
    <row r="22" spans="1:7" s="196" customFormat="1" x14ac:dyDescent="0.25">
      <c r="A22" s="443" t="s">
        <v>130</v>
      </c>
      <c r="B22" s="577" t="s">
        <v>2162</v>
      </c>
      <c r="C22" s="449" t="s">
        <v>13</v>
      </c>
      <c r="D22" s="450" t="s">
        <v>1125</v>
      </c>
      <c r="E22" s="451">
        <v>7</v>
      </c>
      <c r="F22" s="625">
        <v>40.86</v>
      </c>
      <c r="G22" s="452">
        <f t="shared" si="0"/>
        <v>286.02</v>
      </c>
    </row>
    <row r="23" spans="1:7" s="196" customFormat="1" x14ac:dyDescent="0.25">
      <c r="A23" s="443" t="s">
        <v>131</v>
      </c>
      <c r="B23" s="577" t="s">
        <v>2163</v>
      </c>
      <c r="C23" s="449" t="str">
        <f>C115</f>
        <v>Alicate universal, 8", com isolação 1000 V</v>
      </c>
      <c r="D23" s="450" t="s">
        <v>1125</v>
      </c>
      <c r="E23" s="451">
        <v>7</v>
      </c>
      <c r="F23" s="625">
        <f>F115</f>
        <v>22.9</v>
      </c>
      <c r="G23" s="452">
        <f t="shared" si="0"/>
        <v>160.30000000000001</v>
      </c>
    </row>
    <row r="24" spans="1:7" s="196" customFormat="1" ht="13.15" x14ac:dyDescent="0.3">
      <c r="A24" s="443" t="s">
        <v>132</v>
      </c>
      <c r="B24" s="577" t="s">
        <v>2164</v>
      </c>
      <c r="C24" s="453" t="s">
        <v>14</v>
      </c>
      <c r="D24" s="450" t="s">
        <v>1125</v>
      </c>
      <c r="E24" s="451">
        <v>4</v>
      </c>
      <c r="F24" s="625">
        <f>F118</f>
        <v>21.25</v>
      </c>
      <c r="G24" s="452">
        <f t="shared" si="0"/>
        <v>85</v>
      </c>
    </row>
    <row r="25" spans="1:7" s="196" customFormat="1" x14ac:dyDescent="0.25">
      <c r="A25" s="443" t="s">
        <v>133</v>
      </c>
      <c r="B25" s="577"/>
      <c r="C25" s="449" t="s">
        <v>722</v>
      </c>
      <c r="D25" s="450" t="s">
        <v>1125</v>
      </c>
      <c r="E25" s="451">
        <v>4</v>
      </c>
      <c r="F25" s="625">
        <v>179.99</v>
      </c>
      <c r="G25" s="452">
        <f t="shared" si="0"/>
        <v>719.96</v>
      </c>
    </row>
    <row r="26" spans="1:7" ht="13.15" x14ac:dyDescent="0.3">
      <c r="A26" s="438" t="s">
        <v>134</v>
      </c>
      <c r="B26" s="576" t="s">
        <v>2296</v>
      </c>
      <c r="C26" s="445" t="s">
        <v>723</v>
      </c>
      <c r="D26" s="446" t="s">
        <v>1125</v>
      </c>
      <c r="E26" s="447">
        <v>7</v>
      </c>
      <c r="F26" s="476">
        <v>15.2</v>
      </c>
      <c r="G26" s="448">
        <f t="shared" si="0"/>
        <v>106.4</v>
      </c>
    </row>
    <row r="27" spans="1:7" ht="13.15" x14ac:dyDescent="0.3">
      <c r="A27" s="438" t="s">
        <v>135</v>
      </c>
      <c r="B27" s="576" t="s">
        <v>2165</v>
      </c>
      <c r="C27" s="445" t="s">
        <v>21</v>
      </c>
      <c r="D27" s="446" t="s">
        <v>1125</v>
      </c>
      <c r="E27" s="447">
        <v>7</v>
      </c>
      <c r="F27" s="476">
        <v>17.850000000000001</v>
      </c>
      <c r="G27" s="448">
        <f t="shared" si="0"/>
        <v>124.95</v>
      </c>
    </row>
    <row r="28" spans="1:7" x14ac:dyDescent="0.25">
      <c r="A28" s="438" t="s">
        <v>136</v>
      </c>
      <c r="B28" s="576"/>
      <c r="C28" s="445" t="s">
        <v>724</v>
      </c>
      <c r="D28" s="446" t="s">
        <v>1125</v>
      </c>
      <c r="E28" s="447">
        <v>4</v>
      </c>
      <c r="F28" s="476">
        <v>37.226666666666667</v>
      </c>
      <c r="G28" s="448">
        <f t="shared" si="0"/>
        <v>148.91</v>
      </c>
    </row>
    <row r="29" spans="1:7" x14ac:dyDescent="0.25">
      <c r="A29" s="438" t="s">
        <v>137</v>
      </c>
      <c r="B29" s="576"/>
      <c r="C29" s="445" t="s">
        <v>725</v>
      </c>
      <c r="D29" s="446" t="s">
        <v>1125</v>
      </c>
      <c r="E29" s="447">
        <v>7</v>
      </c>
      <c r="F29" s="476">
        <v>16.663333333333338</v>
      </c>
      <c r="G29" s="448">
        <f t="shared" si="0"/>
        <v>116.64</v>
      </c>
    </row>
    <row r="30" spans="1:7" x14ac:dyDescent="0.25">
      <c r="A30" s="438" t="s">
        <v>138</v>
      </c>
      <c r="B30" s="576"/>
      <c r="C30" s="445" t="s">
        <v>726</v>
      </c>
      <c r="D30" s="446" t="s">
        <v>1125</v>
      </c>
      <c r="E30" s="447">
        <v>7</v>
      </c>
      <c r="F30" s="476">
        <v>13.71</v>
      </c>
      <c r="G30" s="448">
        <f t="shared" si="0"/>
        <v>95.97</v>
      </c>
    </row>
    <row r="31" spans="1:7" x14ac:dyDescent="0.25">
      <c r="A31" s="438" t="s">
        <v>139</v>
      </c>
      <c r="B31" s="576"/>
      <c r="C31" s="445" t="s">
        <v>727</v>
      </c>
      <c r="D31" s="446" t="s">
        <v>1125</v>
      </c>
      <c r="E31" s="447">
        <v>7</v>
      </c>
      <c r="F31" s="476">
        <v>25.17</v>
      </c>
      <c r="G31" s="448">
        <f t="shared" si="0"/>
        <v>176.19</v>
      </c>
    </row>
    <row r="32" spans="1:7" x14ac:dyDescent="0.25">
      <c r="A32" s="438" t="s">
        <v>140</v>
      </c>
      <c r="B32" s="576"/>
      <c r="C32" s="445" t="s">
        <v>728</v>
      </c>
      <c r="D32" s="446" t="s">
        <v>1125</v>
      </c>
      <c r="E32" s="447">
        <v>7</v>
      </c>
      <c r="F32" s="476">
        <v>20</v>
      </c>
      <c r="G32" s="448">
        <f t="shared" si="0"/>
        <v>140</v>
      </c>
    </row>
    <row r="33" spans="1:7" x14ac:dyDescent="0.25">
      <c r="A33" s="438" t="s">
        <v>141</v>
      </c>
      <c r="B33" s="576"/>
      <c r="C33" s="445" t="s">
        <v>729</v>
      </c>
      <c r="D33" s="446" t="s">
        <v>1125</v>
      </c>
      <c r="E33" s="447">
        <v>7</v>
      </c>
      <c r="F33" s="476">
        <v>20.53</v>
      </c>
      <c r="G33" s="448">
        <f t="shared" si="0"/>
        <v>143.71</v>
      </c>
    </row>
    <row r="34" spans="1:7" x14ac:dyDescent="0.25">
      <c r="A34" s="438" t="s">
        <v>142</v>
      </c>
      <c r="B34" s="576"/>
      <c r="C34" s="445" t="s">
        <v>730</v>
      </c>
      <c r="D34" s="446" t="s">
        <v>1125</v>
      </c>
      <c r="E34" s="447">
        <v>7</v>
      </c>
      <c r="F34" s="476">
        <v>24.643333333333334</v>
      </c>
      <c r="G34" s="448">
        <f t="shared" si="0"/>
        <v>172.5</v>
      </c>
    </row>
    <row r="35" spans="1:7" x14ac:dyDescent="0.25">
      <c r="A35" s="438" t="s">
        <v>143</v>
      </c>
      <c r="B35" s="576"/>
      <c r="C35" s="445" t="s">
        <v>731</v>
      </c>
      <c r="D35" s="446" t="s">
        <v>1125</v>
      </c>
      <c r="E35" s="447">
        <v>7</v>
      </c>
      <c r="F35" s="476">
        <v>17.899999999999999</v>
      </c>
      <c r="G35" s="448">
        <f t="shared" si="0"/>
        <v>125.3</v>
      </c>
    </row>
    <row r="36" spans="1:7" x14ac:dyDescent="0.25">
      <c r="A36" s="438" t="s">
        <v>144</v>
      </c>
      <c r="B36" s="576"/>
      <c r="C36" s="445" t="s">
        <v>732</v>
      </c>
      <c r="D36" s="446" t="s">
        <v>1125</v>
      </c>
      <c r="E36" s="447">
        <v>7</v>
      </c>
      <c r="F36" s="476">
        <v>10.220000000000001</v>
      </c>
      <c r="G36" s="448">
        <f t="shared" si="0"/>
        <v>71.540000000000006</v>
      </c>
    </row>
    <row r="37" spans="1:7" x14ac:dyDescent="0.25">
      <c r="A37" s="438" t="s">
        <v>184</v>
      </c>
      <c r="B37" s="576"/>
      <c r="C37" s="445" t="s">
        <v>733</v>
      </c>
      <c r="D37" s="446" t="s">
        <v>1125</v>
      </c>
      <c r="E37" s="447">
        <v>7</v>
      </c>
      <c r="F37" s="476">
        <v>8.99</v>
      </c>
      <c r="G37" s="448">
        <f t="shared" si="0"/>
        <v>62.93</v>
      </c>
    </row>
    <row r="38" spans="1:7" x14ac:dyDescent="0.25">
      <c r="A38" s="438" t="s">
        <v>145</v>
      </c>
      <c r="B38" s="576"/>
      <c r="C38" s="445" t="s">
        <v>734</v>
      </c>
      <c r="D38" s="446" t="s">
        <v>1125</v>
      </c>
      <c r="E38" s="447">
        <v>7</v>
      </c>
      <c r="F38" s="476">
        <v>8.99</v>
      </c>
      <c r="G38" s="448">
        <f t="shared" si="0"/>
        <v>62.93</v>
      </c>
    </row>
    <row r="39" spans="1:7" x14ac:dyDescent="0.25">
      <c r="A39" s="438" t="s">
        <v>146</v>
      </c>
      <c r="B39" s="576"/>
      <c r="C39" s="445" t="s">
        <v>735</v>
      </c>
      <c r="D39" s="446" t="s">
        <v>1125</v>
      </c>
      <c r="E39" s="447">
        <v>7</v>
      </c>
      <c r="F39" s="476">
        <v>3.71</v>
      </c>
      <c r="G39" s="448">
        <f t="shared" si="0"/>
        <v>25.97</v>
      </c>
    </row>
    <row r="40" spans="1:7" x14ac:dyDescent="0.25">
      <c r="A40" s="438" t="s">
        <v>147</v>
      </c>
      <c r="B40" s="576"/>
      <c r="C40" s="445" t="s">
        <v>736</v>
      </c>
      <c r="D40" s="446" t="s">
        <v>1125</v>
      </c>
      <c r="E40" s="447">
        <v>7</v>
      </c>
      <c r="F40" s="476">
        <v>9.8800000000000008</v>
      </c>
      <c r="G40" s="448">
        <f t="shared" si="0"/>
        <v>69.16</v>
      </c>
    </row>
    <row r="41" spans="1:7" x14ac:dyDescent="0.25">
      <c r="A41" s="438" t="s">
        <v>148</v>
      </c>
      <c r="B41" s="576"/>
      <c r="C41" s="445" t="s">
        <v>737</v>
      </c>
      <c r="D41" s="446" t="s">
        <v>1125</v>
      </c>
      <c r="E41" s="447">
        <v>7</v>
      </c>
      <c r="F41" s="476">
        <v>21.899999999999995</v>
      </c>
      <c r="G41" s="448">
        <f t="shared" si="0"/>
        <v>153.30000000000001</v>
      </c>
    </row>
    <row r="42" spans="1:7" x14ac:dyDescent="0.25">
      <c r="A42" s="438" t="s">
        <v>149</v>
      </c>
      <c r="B42" s="576"/>
      <c r="C42" s="445" t="s">
        <v>738</v>
      </c>
      <c r="D42" s="446" t="s">
        <v>1125</v>
      </c>
      <c r="E42" s="447">
        <v>7</v>
      </c>
      <c r="F42" s="476">
        <v>4.1150000000000002</v>
      </c>
      <c r="G42" s="448">
        <f t="shared" si="0"/>
        <v>28.81</v>
      </c>
    </row>
    <row r="43" spans="1:7" x14ac:dyDescent="0.25">
      <c r="A43" s="438" t="s">
        <v>150</v>
      </c>
      <c r="B43" s="576"/>
      <c r="C43" s="445" t="s">
        <v>739</v>
      </c>
      <c r="D43" s="446" t="s">
        <v>1125</v>
      </c>
      <c r="E43" s="447">
        <v>7</v>
      </c>
      <c r="F43" s="476">
        <v>8.8466666666666658</v>
      </c>
      <c r="G43" s="448">
        <f t="shared" si="0"/>
        <v>61.93</v>
      </c>
    </row>
    <row r="44" spans="1:7" x14ac:dyDescent="0.25">
      <c r="A44" s="438" t="s">
        <v>151</v>
      </c>
      <c r="B44" s="576"/>
      <c r="C44" s="445" t="s">
        <v>1088</v>
      </c>
      <c r="D44" s="446" t="s">
        <v>1125</v>
      </c>
      <c r="E44" s="447">
        <v>4</v>
      </c>
      <c r="F44" s="476">
        <v>45.666666666666664</v>
      </c>
      <c r="G44" s="448">
        <f t="shared" si="0"/>
        <v>182.67</v>
      </c>
    </row>
    <row r="45" spans="1:7" x14ac:dyDescent="0.25">
      <c r="A45" s="438" t="s">
        <v>152</v>
      </c>
      <c r="B45" s="576"/>
      <c r="C45" s="445" t="s">
        <v>740</v>
      </c>
      <c r="D45" s="446" t="s">
        <v>1125</v>
      </c>
      <c r="E45" s="447">
        <v>4</v>
      </c>
      <c r="F45" s="476">
        <v>72.826666666666668</v>
      </c>
      <c r="G45" s="448">
        <f t="shared" si="0"/>
        <v>291.31</v>
      </c>
    </row>
    <row r="46" spans="1:7" x14ac:dyDescent="0.25">
      <c r="A46" s="438" t="s">
        <v>153</v>
      </c>
      <c r="B46" s="576"/>
      <c r="C46" s="445" t="s">
        <v>741</v>
      </c>
      <c r="D46" s="446" t="s">
        <v>1125</v>
      </c>
      <c r="E46" s="447">
        <v>7</v>
      </c>
      <c r="F46" s="476">
        <v>34.699999999999996</v>
      </c>
      <c r="G46" s="448">
        <f t="shared" si="0"/>
        <v>242.9</v>
      </c>
    </row>
    <row r="47" spans="1:7" x14ac:dyDescent="0.25">
      <c r="A47" s="438" t="s">
        <v>154</v>
      </c>
      <c r="B47" s="576"/>
      <c r="C47" s="445" t="s">
        <v>742</v>
      </c>
      <c r="D47" s="446" t="s">
        <v>1125</v>
      </c>
      <c r="E47" s="447">
        <v>3</v>
      </c>
      <c r="F47" s="476">
        <v>36.54</v>
      </c>
      <c r="G47" s="448">
        <f t="shared" si="0"/>
        <v>109.62</v>
      </c>
    </row>
    <row r="48" spans="1:7" x14ac:dyDescent="0.25">
      <c r="A48" s="438" t="s">
        <v>155</v>
      </c>
      <c r="B48" s="576"/>
      <c r="C48" s="445" t="s">
        <v>743</v>
      </c>
      <c r="D48" s="446" t="s">
        <v>1125</v>
      </c>
      <c r="E48" s="447">
        <v>3</v>
      </c>
      <c r="F48" s="476">
        <v>18.416666666666668</v>
      </c>
      <c r="G48" s="448">
        <f t="shared" si="0"/>
        <v>55.25</v>
      </c>
    </row>
    <row r="49" spans="1:7" x14ac:dyDescent="0.25">
      <c r="A49" s="438" t="s">
        <v>156</v>
      </c>
      <c r="B49" s="576"/>
      <c r="C49" s="445" t="s">
        <v>744</v>
      </c>
      <c r="D49" s="446" t="s">
        <v>1125</v>
      </c>
      <c r="E49" s="447">
        <v>3</v>
      </c>
      <c r="F49" s="476">
        <v>24.265000000000001</v>
      </c>
      <c r="G49" s="448">
        <f t="shared" si="0"/>
        <v>72.8</v>
      </c>
    </row>
    <row r="50" spans="1:7" x14ac:dyDescent="0.25">
      <c r="A50" s="438" t="s">
        <v>157</v>
      </c>
      <c r="B50" s="576"/>
      <c r="C50" s="445" t="s">
        <v>745</v>
      </c>
      <c r="D50" s="446" t="s">
        <v>1125</v>
      </c>
      <c r="E50" s="447">
        <v>3</v>
      </c>
      <c r="F50" s="476">
        <v>38.980000000000004</v>
      </c>
      <c r="G50" s="448">
        <f t="shared" si="0"/>
        <v>116.94</v>
      </c>
    </row>
    <row r="51" spans="1:7" x14ac:dyDescent="0.25">
      <c r="A51" s="438" t="s">
        <v>158</v>
      </c>
      <c r="B51" s="576"/>
      <c r="C51" s="445" t="s">
        <v>746</v>
      </c>
      <c r="D51" s="446" t="s">
        <v>1125</v>
      </c>
      <c r="E51" s="447">
        <v>3</v>
      </c>
      <c r="F51" s="476">
        <v>20.655000000000001</v>
      </c>
      <c r="G51" s="448">
        <f t="shared" si="0"/>
        <v>61.97</v>
      </c>
    </row>
    <row r="52" spans="1:7" x14ac:dyDescent="0.25">
      <c r="A52" s="438" t="s">
        <v>159</v>
      </c>
      <c r="B52" s="576"/>
      <c r="C52" s="445" t="s">
        <v>747</v>
      </c>
      <c r="D52" s="446" t="s">
        <v>1125</v>
      </c>
      <c r="E52" s="447">
        <v>3</v>
      </c>
      <c r="F52" s="476">
        <v>21.405000000000001</v>
      </c>
      <c r="G52" s="448">
        <f t="shared" si="0"/>
        <v>64.22</v>
      </c>
    </row>
    <row r="53" spans="1:7" x14ac:dyDescent="0.25">
      <c r="A53" s="438" t="s">
        <v>160</v>
      </c>
      <c r="B53" s="576" t="s">
        <v>2301</v>
      </c>
      <c r="C53" s="445" t="s">
        <v>748</v>
      </c>
      <c r="D53" s="446" t="s">
        <v>1125</v>
      </c>
      <c r="E53" s="447">
        <v>3</v>
      </c>
      <c r="F53" s="476">
        <v>10</v>
      </c>
      <c r="G53" s="448">
        <f t="shared" si="0"/>
        <v>30</v>
      </c>
    </row>
    <row r="54" spans="1:7" x14ac:dyDescent="0.25">
      <c r="A54" s="438" t="s">
        <v>161</v>
      </c>
      <c r="B54" s="576"/>
      <c r="C54" s="445" t="s">
        <v>749</v>
      </c>
      <c r="D54" s="446" t="s">
        <v>1125</v>
      </c>
      <c r="E54" s="447">
        <v>7</v>
      </c>
      <c r="F54" s="476">
        <v>139.16500000000002</v>
      </c>
      <c r="G54" s="448">
        <f t="shared" si="0"/>
        <v>974.16</v>
      </c>
    </row>
    <row r="55" spans="1:7" x14ac:dyDescent="0.25">
      <c r="A55" s="438" t="s">
        <v>162</v>
      </c>
      <c r="B55" s="576" t="s">
        <v>2308</v>
      </c>
      <c r="C55" s="445" t="s">
        <v>750</v>
      </c>
      <c r="D55" s="446" t="s">
        <v>1125</v>
      </c>
      <c r="E55" s="447">
        <v>4</v>
      </c>
      <c r="F55" s="476">
        <v>18.98</v>
      </c>
      <c r="G55" s="448">
        <f t="shared" si="0"/>
        <v>75.92</v>
      </c>
    </row>
    <row r="56" spans="1:7" x14ac:dyDescent="0.25">
      <c r="A56" s="438" t="s">
        <v>163</v>
      </c>
      <c r="B56" s="576"/>
      <c r="C56" s="445" t="s">
        <v>751</v>
      </c>
      <c r="D56" s="446" t="s">
        <v>1125</v>
      </c>
      <c r="E56" s="447">
        <v>4</v>
      </c>
      <c r="F56" s="476">
        <v>96.98</v>
      </c>
      <c r="G56" s="448">
        <f t="shared" si="0"/>
        <v>387.92</v>
      </c>
    </row>
    <row r="57" spans="1:7" x14ac:dyDescent="0.25">
      <c r="A57" s="438" t="s">
        <v>164</v>
      </c>
      <c r="B57" s="576"/>
      <c r="C57" s="445" t="s">
        <v>752</v>
      </c>
      <c r="D57" s="446" t="s">
        <v>1125</v>
      </c>
      <c r="E57" s="447">
        <v>7</v>
      </c>
      <c r="F57" s="476">
        <v>92.456666666666663</v>
      </c>
      <c r="G57" s="448">
        <f t="shared" si="0"/>
        <v>647.20000000000005</v>
      </c>
    </row>
    <row r="58" spans="1:7" x14ac:dyDescent="0.25">
      <c r="A58" s="438" t="s">
        <v>165</v>
      </c>
      <c r="B58" s="576"/>
      <c r="C58" s="445" t="s">
        <v>753</v>
      </c>
      <c r="D58" s="446" t="s">
        <v>1125</v>
      </c>
      <c r="E58" s="447">
        <v>4</v>
      </c>
      <c r="F58" s="476">
        <v>29.99</v>
      </c>
      <c r="G58" s="448">
        <f t="shared" si="0"/>
        <v>119.96</v>
      </c>
    </row>
    <row r="59" spans="1:7" x14ac:dyDescent="0.25">
      <c r="A59" s="438" t="s">
        <v>166</v>
      </c>
      <c r="B59" s="576"/>
      <c r="C59" s="445" t="s">
        <v>754</v>
      </c>
      <c r="D59" s="446" t="s">
        <v>1125</v>
      </c>
      <c r="E59" s="447">
        <v>7</v>
      </c>
      <c r="F59" s="476">
        <v>39.99</v>
      </c>
      <c r="G59" s="448">
        <f t="shared" si="0"/>
        <v>279.93</v>
      </c>
    </row>
    <row r="60" spans="1:7" x14ac:dyDescent="0.25">
      <c r="A60" s="438" t="s">
        <v>167</v>
      </c>
      <c r="B60" s="576"/>
      <c r="C60" s="445" t="s">
        <v>755</v>
      </c>
      <c r="D60" s="446" t="s">
        <v>1125</v>
      </c>
      <c r="E60" s="447">
        <v>4</v>
      </c>
      <c r="F60" s="476">
        <v>29.569999999999997</v>
      </c>
      <c r="G60" s="448">
        <f t="shared" si="0"/>
        <v>118.28</v>
      </c>
    </row>
    <row r="61" spans="1:7" x14ac:dyDescent="0.25">
      <c r="A61" s="438" t="s">
        <v>168</v>
      </c>
      <c r="B61" s="576"/>
      <c r="C61" s="445" t="s">
        <v>756</v>
      </c>
      <c r="D61" s="446" t="s">
        <v>1125</v>
      </c>
      <c r="E61" s="447">
        <v>7</v>
      </c>
      <c r="F61" s="476">
        <v>180</v>
      </c>
      <c r="G61" s="448">
        <f t="shared" si="0"/>
        <v>1260</v>
      </c>
    </row>
    <row r="62" spans="1:7" x14ac:dyDescent="0.25">
      <c r="A62" s="438" t="s">
        <v>169</v>
      </c>
      <c r="B62" s="576"/>
      <c r="C62" s="445" t="s">
        <v>757</v>
      </c>
      <c r="D62" s="446" t="s">
        <v>1125</v>
      </c>
      <c r="E62" s="447">
        <v>7</v>
      </c>
      <c r="F62" s="476">
        <v>177</v>
      </c>
      <c r="G62" s="448">
        <f t="shared" si="0"/>
        <v>1239</v>
      </c>
    </row>
    <row r="63" spans="1:7" x14ac:dyDescent="0.25">
      <c r="A63" s="438" t="s">
        <v>170</v>
      </c>
      <c r="B63" s="576"/>
      <c r="C63" s="445" t="s">
        <v>758</v>
      </c>
      <c r="D63" s="446" t="s">
        <v>1125</v>
      </c>
      <c r="E63" s="447">
        <v>7</v>
      </c>
      <c r="F63" s="476">
        <v>120.49</v>
      </c>
      <c r="G63" s="448">
        <f t="shared" si="0"/>
        <v>843.43</v>
      </c>
    </row>
    <row r="64" spans="1:7" x14ac:dyDescent="0.25">
      <c r="A64" s="438" t="s">
        <v>171</v>
      </c>
      <c r="B64" s="576"/>
      <c r="C64" s="445" t="s">
        <v>759</v>
      </c>
      <c r="D64" s="446" t="s">
        <v>1125</v>
      </c>
      <c r="E64" s="447">
        <v>7</v>
      </c>
      <c r="F64" s="476">
        <v>152.86333333333334</v>
      </c>
      <c r="G64" s="448">
        <f t="shared" si="0"/>
        <v>1070.04</v>
      </c>
    </row>
    <row r="65" spans="1:7" x14ac:dyDescent="0.25">
      <c r="A65" s="438" t="s">
        <v>359</v>
      </c>
      <c r="B65" s="576"/>
      <c r="C65" s="445" t="s">
        <v>760</v>
      </c>
      <c r="D65" s="446" t="s">
        <v>1125</v>
      </c>
      <c r="E65" s="447">
        <v>4</v>
      </c>
      <c r="F65" s="476">
        <v>679.9</v>
      </c>
      <c r="G65" s="448">
        <f t="shared" si="0"/>
        <v>2719.6</v>
      </c>
    </row>
    <row r="66" spans="1:7" x14ac:dyDescent="0.25">
      <c r="A66" s="438" t="s">
        <v>193</v>
      </c>
      <c r="B66" s="576"/>
      <c r="C66" s="445" t="s">
        <v>761</v>
      </c>
      <c r="D66" s="446" t="s">
        <v>1125</v>
      </c>
      <c r="E66" s="447">
        <v>7</v>
      </c>
      <c r="F66" s="476">
        <v>34.729999999999997</v>
      </c>
      <c r="G66" s="448">
        <f t="shared" si="0"/>
        <v>243.11</v>
      </c>
    </row>
    <row r="67" spans="1:7" x14ac:dyDescent="0.25">
      <c r="A67" s="438" t="s">
        <v>194</v>
      </c>
      <c r="B67" s="576"/>
      <c r="C67" s="445" t="s">
        <v>762</v>
      </c>
      <c r="D67" s="446" t="s">
        <v>1125</v>
      </c>
      <c r="E67" s="447">
        <v>4</v>
      </c>
      <c r="F67" s="476">
        <v>134.81666666666666</v>
      </c>
      <c r="G67" s="448">
        <f t="shared" si="0"/>
        <v>539.27</v>
      </c>
    </row>
    <row r="68" spans="1:7" x14ac:dyDescent="0.25">
      <c r="A68" s="438" t="s">
        <v>195</v>
      </c>
      <c r="B68" s="576"/>
      <c r="C68" s="445" t="s">
        <v>763</v>
      </c>
      <c r="D68" s="446" t="s">
        <v>1125</v>
      </c>
      <c r="E68" s="447">
        <v>4</v>
      </c>
      <c r="F68" s="476">
        <f>F242</f>
        <v>49.4</v>
      </c>
      <c r="G68" s="448">
        <f t="shared" si="0"/>
        <v>197.6</v>
      </c>
    </row>
    <row r="69" spans="1:7" x14ac:dyDescent="0.25">
      <c r="A69" s="438" t="s">
        <v>196</v>
      </c>
      <c r="B69" s="576"/>
      <c r="C69" s="445" t="s">
        <v>764</v>
      </c>
      <c r="D69" s="446" t="s">
        <v>1125</v>
      </c>
      <c r="E69" s="447">
        <v>7</v>
      </c>
      <c r="F69" s="476">
        <v>6.74</v>
      </c>
      <c r="G69" s="448">
        <f t="shared" si="0"/>
        <v>47.18</v>
      </c>
    </row>
    <row r="70" spans="1:7" x14ac:dyDescent="0.25">
      <c r="A70" s="438" t="s">
        <v>198</v>
      </c>
      <c r="B70" s="576"/>
      <c r="C70" s="445" t="s">
        <v>765</v>
      </c>
      <c r="D70" s="446" t="s">
        <v>1125</v>
      </c>
      <c r="E70" s="447">
        <v>7</v>
      </c>
      <c r="F70" s="476">
        <v>7.8</v>
      </c>
      <c r="G70" s="448">
        <f t="shared" si="0"/>
        <v>54.6</v>
      </c>
    </row>
    <row r="71" spans="1:7" x14ac:dyDescent="0.25">
      <c r="A71" s="438" t="s">
        <v>1138</v>
      </c>
      <c r="B71" s="576"/>
      <c r="C71" s="445" t="s">
        <v>766</v>
      </c>
      <c r="D71" s="446" t="s">
        <v>1125</v>
      </c>
      <c r="E71" s="447">
        <v>7</v>
      </c>
      <c r="F71" s="476">
        <v>6.41</v>
      </c>
      <c r="G71" s="448">
        <f t="shared" si="0"/>
        <v>44.87</v>
      </c>
    </row>
    <row r="72" spans="1:7" x14ac:dyDescent="0.25">
      <c r="A72" s="438" t="s">
        <v>1139</v>
      </c>
      <c r="B72" s="576"/>
      <c r="C72" s="445" t="s">
        <v>767</v>
      </c>
      <c r="D72" s="446" t="s">
        <v>1125</v>
      </c>
      <c r="E72" s="447">
        <v>7</v>
      </c>
      <c r="F72" s="476">
        <v>61.400000000000006</v>
      </c>
      <c r="G72" s="448">
        <f t="shared" si="0"/>
        <v>429.8</v>
      </c>
    </row>
    <row r="73" spans="1:7" x14ac:dyDescent="0.25">
      <c r="A73" s="438" t="s">
        <v>1140</v>
      </c>
      <c r="B73" s="576"/>
      <c r="C73" s="445" t="s">
        <v>768</v>
      </c>
      <c r="D73" s="446" t="s">
        <v>1125</v>
      </c>
      <c r="E73" s="447">
        <v>7</v>
      </c>
      <c r="F73" s="476">
        <v>64.63000000000001</v>
      </c>
      <c r="G73" s="448">
        <f t="shared" si="0"/>
        <v>452.41</v>
      </c>
    </row>
    <row r="74" spans="1:7" x14ac:dyDescent="0.25">
      <c r="A74" s="438" t="s">
        <v>1141</v>
      </c>
      <c r="B74" s="576" t="s">
        <v>2310</v>
      </c>
      <c r="C74" s="445" t="s">
        <v>769</v>
      </c>
      <c r="D74" s="446" t="s">
        <v>1125</v>
      </c>
      <c r="E74" s="447">
        <v>7</v>
      </c>
      <c r="F74" s="476">
        <v>15.8</v>
      </c>
      <c r="G74" s="448">
        <f t="shared" si="0"/>
        <v>110.6</v>
      </c>
    </row>
    <row r="75" spans="1:7" x14ac:dyDescent="0.25">
      <c r="A75" s="438" t="s">
        <v>1142</v>
      </c>
      <c r="B75" s="576"/>
      <c r="C75" s="445" t="s">
        <v>770</v>
      </c>
      <c r="D75" s="446" t="s">
        <v>1125</v>
      </c>
      <c r="E75" s="447">
        <v>4</v>
      </c>
      <c r="F75" s="476">
        <v>32.405000000000001</v>
      </c>
      <c r="G75" s="448">
        <f t="shared" si="0"/>
        <v>129.62</v>
      </c>
    </row>
    <row r="76" spans="1:7" x14ac:dyDescent="0.25">
      <c r="A76" s="438" t="s">
        <v>1143</v>
      </c>
      <c r="B76" s="576"/>
      <c r="C76" s="454" t="s">
        <v>69</v>
      </c>
      <c r="D76" s="446" t="s">
        <v>1125</v>
      </c>
      <c r="E76" s="447">
        <v>4</v>
      </c>
      <c r="F76" s="476">
        <v>61.805</v>
      </c>
      <c r="G76" s="448">
        <f t="shared" si="0"/>
        <v>247.22</v>
      </c>
    </row>
    <row r="77" spans="1:7" x14ac:dyDescent="0.25">
      <c r="A77" s="438" t="s">
        <v>1144</v>
      </c>
      <c r="B77" s="576"/>
      <c r="C77" s="445" t="s">
        <v>1089</v>
      </c>
      <c r="D77" s="446" t="s">
        <v>1125</v>
      </c>
      <c r="E77" s="447">
        <v>7</v>
      </c>
      <c r="F77" s="476">
        <v>57.556666666666672</v>
      </c>
      <c r="G77" s="448">
        <f t="shared" si="0"/>
        <v>402.9</v>
      </c>
    </row>
    <row r="78" spans="1:7" x14ac:dyDescent="0.25">
      <c r="A78" s="438" t="s">
        <v>1145</v>
      </c>
      <c r="B78" s="576"/>
      <c r="C78" s="455" t="s">
        <v>1090</v>
      </c>
      <c r="D78" s="446" t="s">
        <v>1125</v>
      </c>
      <c r="E78" s="447">
        <v>7</v>
      </c>
      <c r="F78" s="476">
        <v>100.90000000000002</v>
      </c>
      <c r="G78" s="448">
        <f t="shared" si="0"/>
        <v>706.3</v>
      </c>
    </row>
    <row r="79" spans="1:7" x14ac:dyDescent="0.25">
      <c r="A79" s="438" t="s">
        <v>1146</v>
      </c>
      <c r="B79" s="576"/>
      <c r="C79" s="445" t="s">
        <v>771</v>
      </c>
      <c r="D79" s="446" t="s">
        <v>1125</v>
      </c>
      <c r="E79" s="447">
        <v>4</v>
      </c>
      <c r="F79" s="476">
        <v>157.5</v>
      </c>
      <c r="G79" s="448">
        <f t="shared" si="0"/>
        <v>630</v>
      </c>
    </row>
    <row r="80" spans="1:7" s="196" customFormat="1" x14ac:dyDescent="0.25">
      <c r="A80" s="443" t="s">
        <v>1147</v>
      </c>
      <c r="B80" s="577"/>
      <c r="C80" s="456" t="s">
        <v>772</v>
      </c>
      <c r="D80" s="450" t="s">
        <v>1125</v>
      </c>
      <c r="E80" s="457">
        <v>4</v>
      </c>
      <c r="F80" s="625">
        <v>41.65</v>
      </c>
      <c r="G80" s="452">
        <f t="shared" si="0"/>
        <v>166.6</v>
      </c>
    </row>
    <row r="81" spans="1:7" s="196" customFormat="1" x14ac:dyDescent="0.25">
      <c r="A81" s="443" t="s">
        <v>1148</v>
      </c>
      <c r="B81" s="577"/>
      <c r="C81" s="449" t="s">
        <v>773</v>
      </c>
      <c r="D81" s="450" t="s">
        <v>1125</v>
      </c>
      <c r="E81" s="451">
        <v>4</v>
      </c>
      <c r="F81" s="625">
        <v>22.99</v>
      </c>
      <c r="G81" s="452">
        <f t="shared" ref="G81:G97" si="1">ROUND(E81*F81,2)</f>
        <v>91.96</v>
      </c>
    </row>
    <row r="82" spans="1:7" s="196" customFormat="1" x14ac:dyDescent="0.25">
      <c r="A82" s="443" t="s">
        <v>1149</v>
      </c>
      <c r="B82" s="577" t="s">
        <v>2288</v>
      </c>
      <c r="C82" s="449" t="s">
        <v>774</v>
      </c>
      <c r="D82" s="450" t="s">
        <v>1125</v>
      </c>
      <c r="E82" s="451">
        <v>4</v>
      </c>
      <c r="F82" s="625">
        <v>24.01</v>
      </c>
      <c r="G82" s="452">
        <f t="shared" si="1"/>
        <v>96.04</v>
      </c>
    </row>
    <row r="83" spans="1:7" s="196" customFormat="1" x14ac:dyDescent="0.25">
      <c r="A83" s="443" t="s">
        <v>1150</v>
      </c>
      <c r="B83" s="577"/>
      <c r="C83" s="449" t="s">
        <v>775</v>
      </c>
      <c r="D83" s="450" t="s">
        <v>1125</v>
      </c>
      <c r="E83" s="451">
        <v>7</v>
      </c>
      <c r="F83" s="625">
        <v>14.533333333333331</v>
      </c>
      <c r="G83" s="452">
        <f t="shared" si="1"/>
        <v>101.73</v>
      </c>
    </row>
    <row r="84" spans="1:7" s="196" customFormat="1" x14ac:dyDescent="0.25">
      <c r="A84" s="443" t="s">
        <v>1151</v>
      </c>
      <c r="B84" s="577"/>
      <c r="C84" s="449" t="s">
        <v>776</v>
      </c>
      <c r="D84" s="450" t="s">
        <v>1125</v>
      </c>
      <c r="E84" s="451">
        <v>7</v>
      </c>
      <c r="F84" s="625">
        <v>15.484999999999999</v>
      </c>
      <c r="G84" s="452">
        <f t="shared" si="1"/>
        <v>108.4</v>
      </c>
    </row>
    <row r="85" spans="1:7" s="196" customFormat="1" x14ac:dyDescent="0.25">
      <c r="A85" s="443" t="s">
        <v>1152</v>
      </c>
      <c r="B85" s="577"/>
      <c r="C85" s="449" t="s">
        <v>777</v>
      </c>
      <c r="D85" s="450" t="s">
        <v>1125</v>
      </c>
      <c r="E85" s="451">
        <v>7</v>
      </c>
      <c r="F85" s="625">
        <v>20.483333333333334</v>
      </c>
      <c r="G85" s="452">
        <f t="shared" si="1"/>
        <v>143.38</v>
      </c>
    </row>
    <row r="86" spans="1:7" s="196" customFormat="1" x14ac:dyDescent="0.25">
      <c r="A86" s="443" t="s">
        <v>1153</v>
      </c>
      <c r="B86" s="577"/>
      <c r="C86" s="449" t="s">
        <v>778</v>
      </c>
      <c r="D86" s="450" t="s">
        <v>1125</v>
      </c>
      <c r="E86" s="451">
        <v>7</v>
      </c>
      <c r="F86" s="625">
        <v>22.446666666666669</v>
      </c>
      <c r="G86" s="452">
        <f t="shared" si="1"/>
        <v>157.13</v>
      </c>
    </row>
    <row r="87" spans="1:7" s="196" customFormat="1" x14ac:dyDescent="0.25">
      <c r="A87" s="443" t="s">
        <v>1154</v>
      </c>
      <c r="B87" s="577"/>
      <c r="C87" s="449" t="s">
        <v>779</v>
      </c>
      <c r="D87" s="450" t="s">
        <v>1125</v>
      </c>
      <c r="E87" s="451">
        <v>7</v>
      </c>
      <c r="F87" s="625">
        <v>22.95</v>
      </c>
      <c r="G87" s="452">
        <f t="shared" si="1"/>
        <v>160.65</v>
      </c>
    </row>
    <row r="88" spans="1:7" s="196" customFormat="1" x14ac:dyDescent="0.25">
      <c r="A88" s="443" t="s">
        <v>1155</v>
      </c>
      <c r="B88" s="577"/>
      <c r="C88" s="449" t="s">
        <v>780</v>
      </c>
      <c r="D88" s="450" t="s">
        <v>1125</v>
      </c>
      <c r="E88" s="451">
        <v>7</v>
      </c>
      <c r="F88" s="625">
        <v>24.819999999999997</v>
      </c>
      <c r="G88" s="452">
        <f t="shared" si="1"/>
        <v>173.74</v>
      </c>
    </row>
    <row r="89" spans="1:7" s="196" customFormat="1" x14ac:dyDescent="0.25">
      <c r="A89" s="443" t="s">
        <v>1156</v>
      </c>
      <c r="B89" s="577"/>
      <c r="C89" s="449" t="s">
        <v>781</v>
      </c>
      <c r="D89" s="450" t="s">
        <v>1125</v>
      </c>
      <c r="E89" s="451">
        <v>7</v>
      </c>
      <c r="F89" s="625">
        <v>26.99666666666667</v>
      </c>
      <c r="G89" s="452">
        <f t="shared" si="1"/>
        <v>188.98</v>
      </c>
    </row>
    <row r="90" spans="1:7" s="196" customFormat="1" x14ac:dyDescent="0.25">
      <c r="A90" s="443" t="s">
        <v>1157</v>
      </c>
      <c r="B90" s="577"/>
      <c r="C90" s="449" t="s">
        <v>782</v>
      </c>
      <c r="D90" s="450" t="s">
        <v>1125</v>
      </c>
      <c r="E90" s="451">
        <v>7</v>
      </c>
      <c r="F90" s="625">
        <v>34.343333333333334</v>
      </c>
      <c r="G90" s="452">
        <f t="shared" si="1"/>
        <v>240.4</v>
      </c>
    </row>
    <row r="91" spans="1:7" s="196" customFormat="1" x14ac:dyDescent="0.25">
      <c r="A91" s="443" t="s">
        <v>1158</v>
      </c>
      <c r="B91" s="577"/>
      <c r="C91" s="449" t="s">
        <v>783</v>
      </c>
      <c r="D91" s="450" t="s">
        <v>1125</v>
      </c>
      <c r="E91" s="451">
        <v>3</v>
      </c>
      <c r="F91" s="625">
        <v>985.37</v>
      </c>
      <c r="G91" s="452">
        <f t="shared" si="1"/>
        <v>2956.11</v>
      </c>
    </row>
    <row r="92" spans="1:7" s="196" customFormat="1" x14ac:dyDescent="0.25">
      <c r="A92" s="443" t="s">
        <v>1159</v>
      </c>
      <c r="B92" s="577"/>
      <c r="C92" s="449" t="s">
        <v>784</v>
      </c>
      <c r="D92" s="450" t="s">
        <v>1125</v>
      </c>
      <c r="E92" s="451">
        <v>3</v>
      </c>
      <c r="F92" s="625">
        <v>212.57666666666668</v>
      </c>
      <c r="G92" s="452">
        <f t="shared" si="1"/>
        <v>637.73</v>
      </c>
    </row>
    <row r="93" spans="1:7" s="196" customFormat="1" x14ac:dyDescent="0.25">
      <c r="A93" s="443" t="s">
        <v>1160</v>
      </c>
      <c r="B93" s="577"/>
      <c r="C93" s="449" t="s">
        <v>785</v>
      </c>
      <c r="D93" s="450" t="s">
        <v>1125</v>
      </c>
      <c r="E93" s="451">
        <v>3</v>
      </c>
      <c r="F93" s="625">
        <v>275.97333333333336</v>
      </c>
      <c r="G93" s="452">
        <f t="shared" si="1"/>
        <v>827.92</v>
      </c>
    </row>
    <row r="94" spans="1:7" s="196" customFormat="1" x14ac:dyDescent="0.25">
      <c r="A94" s="443" t="s">
        <v>1161</v>
      </c>
      <c r="B94" s="577"/>
      <c r="C94" s="449" t="s">
        <v>786</v>
      </c>
      <c r="D94" s="450" t="s">
        <v>1125</v>
      </c>
      <c r="E94" s="451">
        <v>3</v>
      </c>
      <c r="F94" s="625">
        <v>297.89</v>
      </c>
      <c r="G94" s="452">
        <f t="shared" si="1"/>
        <v>893.67</v>
      </c>
    </row>
    <row r="95" spans="1:7" s="196" customFormat="1" x14ac:dyDescent="0.25">
      <c r="A95" s="443" t="s">
        <v>1162</v>
      </c>
      <c r="B95" s="577"/>
      <c r="C95" s="449" t="s">
        <v>787</v>
      </c>
      <c r="D95" s="450" t="s">
        <v>1125</v>
      </c>
      <c r="E95" s="451">
        <v>7</v>
      </c>
      <c r="F95" s="625">
        <v>50.586666666666666</v>
      </c>
      <c r="G95" s="452">
        <f t="shared" si="1"/>
        <v>354.11</v>
      </c>
    </row>
    <row r="96" spans="1:7" s="196" customFormat="1" x14ac:dyDescent="0.25">
      <c r="A96" s="443" t="s">
        <v>1163</v>
      </c>
      <c r="B96" s="577"/>
      <c r="C96" s="449" t="s">
        <v>788</v>
      </c>
      <c r="D96" s="450" t="s">
        <v>1125</v>
      </c>
      <c r="E96" s="451">
        <v>3</v>
      </c>
      <c r="F96" s="625">
        <v>1039.5</v>
      </c>
      <c r="G96" s="452">
        <f t="shared" si="1"/>
        <v>3118.5</v>
      </c>
    </row>
    <row r="97" spans="1:8" s="196" customFormat="1" ht="13.5" thickBot="1" x14ac:dyDescent="0.3">
      <c r="A97" s="211" t="s">
        <v>1164</v>
      </c>
      <c r="B97" s="578"/>
      <c r="C97" s="458" t="s">
        <v>1104</v>
      </c>
      <c r="D97" s="459" t="s">
        <v>1125</v>
      </c>
      <c r="E97" s="460">
        <v>4</v>
      </c>
      <c r="F97" s="150">
        <v>31.37</v>
      </c>
      <c r="G97" s="207">
        <f t="shared" si="1"/>
        <v>125.48</v>
      </c>
    </row>
    <row r="98" spans="1:8" ht="13.5" thickBot="1" x14ac:dyDescent="0.3">
      <c r="A98" s="834" t="str">
        <f>"TOTAL - "&amp;C15&amp;" - (R$):"</f>
        <v>TOTAL - FERRAMENTAS - MECÂNICA - (R$):</v>
      </c>
      <c r="B98" s="835"/>
      <c r="C98" s="835"/>
      <c r="D98" s="835"/>
      <c r="E98" s="835"/>
      <c r="F98" s="836"/>
      <c r="G98" s="283">
        <f>SUBTOTAL(9,G15:G97)</f>
        <v>31325.3</v>
      </c>
    </row>
    <row r="99" spans="1:8" ht="13.5" thickBot="1" x14ac:dyDescent="0.3"/>
    <row r="100" spans="1:8" s="21" customFormat="1" ht="13.5" thickBot="1" x14ac:dyDescent="0.3">
      <c r="A100" s="544" t="s">
        <v>361</v>
      </c>
      <c r="B100" s="579"/>
      <c r="C100" s="1007" t="s">
        <v>1166</v>
      </c>
      <c r="D100" s="1008"/>
      <c r="E100" s="1008"/>
      <c r="F100" s="1008"/>
      <c r="G100" s="1009"/>
      <c r="H100" s="261" t="s">
        <v>1165</v>
      </c>
    </row>
    <row r="101" spans="1:8" s="196" customFormat="1" x14ac:dyDescent="0.25">
      <c r="A101" s="620" t="s">
        <v>173</v>
      </c>
      <c r="B101" s="621"/>
      <c r="C101" s="634" t="s">
        <v>2</v>
      </c>
      <c r="D101" s="512" t="s">
        <v>1125</v>
      </c>
      <c r="E101" s="65">
        <v>46</v>
      </c>
      <c r="F101" s="139">
        <v>11.446666666666667</v>
      </c>
      <c r="G101" s="66">
        <f t="shared" ref="G101:G164" si="2">ROUND(E101*F101,2)</f>
        <v>526.54999999999995</v>
      </c>
      <c r="H101" s="196">
        <v>11.446666666666667</v>
      </c>
    </row>
    <row r="102" spans="1:8" s="196" customFormat="1" x14ac:dyDescent="0.25">
      <c r="A102" s="439" t="s">
        <v>174</v>
      </c>
      <c r="B102" s="581"/>
      <c r="C102" s="453" t="s">
        <v>1091</v>
      </c>
      <c r="D102" s="450" t="s">
        <v>1125</v>
      </c>
      <c r="E102" s="457">
        <v>10</v>
      </c>
      <c r="F102" s="625">
        <v>228.65</v>
      </c>
      <c r="G102" s="452">
        <f t="shared" si="2"/>
        <v>2286.5</v>
      </c>
      <c r="H102" s="196">
        <v>228.65</v>
      </c>
    </row>
    <row r="103" spans="1:8" s="196" customFormat="1" x14ac:dyDescent="0.25">
      <c r="A103" s="439" t="s">
        <v>175</v>
      </c>
      <c r="B103" s="581"/>
      <c r="C103" s="453" t="s">
        <v>4</v>
      </c>
      <c r="D103" s="450" t="s">
        <v>1125</v>
      </c>
      <c r="E103" s="457">
        <v>13</v>
      </c>
      <c r="F103" s="625">
        <v>73.61</v>
      </c>
      <c r="G103" s="452">
        <f t="shared" si="2"/>
        <v>956.93</v>
      </c>
      <c r="H103" s="196">
        <v>73.61</v>
      </c>
    </row>
    <row r="104" spans="1:8" s="196" customFormat="1" x14ac:dyDescent="0.25">
      <c r="A104" s="439" t="s">
        <v>176</v>
      </c>
      <c r="B104" s="581" t="s">
        <v>2290</v>
      </c>
      <c r="C104" s="461" t="s">
        <v>5</v>
      </c>
      <c r="D104" s="450" t="s">
        <v>1125</v>
      </c>
      <c r="E104" s="462">
        <v>23</v>
      </c>
      <c r="F104" s="625">
        <v>32.5</v>
      </c>
      <c r="G104" s="452">
        <f t="shared" si="2"/>
        <v>747.5</v>
      </c>
      <c r="H104" s="196">
        <v>12.68</v>
      </c>
    </row>
    <row r="105" spans="1:8" s="196" customFormat="1" x14ac:dyDescent="0.25">
      <c r="A105" s="439" t="s">
        <v>177</v>
      </c>
      <c r="B105" s="581"/>
      <c r="C105" s="461" t="s">
        <v>6</v>
      </c>
      <c r="D105" s="450" t="s">
        <v>1125</v>
      </c>
      <c r="E105" s="462">
        <v>13</v>
      </c>
      <c r="F105" s="625">
        <v>54.33</v>
      </c>
      <c r="G105" s="452">
        <f t="shared" si="2"/>
        <v>706.29</v>
      </c>
      <c r="H105" s="196">
        <v>54.33</v>
      </c>
    </row>
    <row r="106" spans="1:8" s="196" customFormat="1" x14ac:dyDescent="0.25">
      <c r="A106" s="439" t="s">
        <v>178</v>
      </c>
      <c r="B106" s="581"/>
      <c r="C106" s="453" t="s">
        <v>7</v>
      </c>
      <c r="D106" s="450" t="s">
        <v>1125</v>
      </c>
      <c r="E106" s="457">
        <v>13</v>
      </c>
      <c r="F106" s="625">
        <v>608.93000000000006</v>
      </c>
      <c r="G106" s="452">
        <f t="shared" si="2"/>
        <v>7916.09</v>
      </c>
      <c r="H106" s="196">
        <v>608.93000000000006</v>
      </c>
    </row>
    <row r="107" spans="1:8" s="196" customFormat="1" x14ac:dyDescent="0.25">
      <c r="A107" s="439" t="s">
        <v>179</v>
      </c>
      <c r="B107" s="581" t="s">
        <v>2160</v>
      </c>
      <c r="C107" s="453" t="s">
        <v>8</v>
      </c>
      <c r="D107" s="450" t="s">
        <v>1125</v>
      </c>
      <c r="E107" s="457">
        <v>2</v>
      </c>
      <c r="F107" s="625">
        <v>88.68</v>
      </c>
      <c r="G107" s="452">
        <f t="shared" si="2"/>
        <v>177.36</v>
      </c>
      <c r="H107" s="196">
        <v>49.99</v>
      </c>
    </row>
    <row r="108" spans="1:8" s="196" customFormat="1" x14ac:dyDescent="0.25">
      <c r="A108" s="439" t="s">
        <v>200</v>
      </c>
      <c r="B108" s="581" t="s">
        <v>2160</v>
      </c>
      <c r="C108" s="453" t="s">
        <v>9</v>
      </c>
      <c r="D108" s="450" t="s">
        <v>1125</v>
      </c>
      <c r="E108" s="457">
        <v>2</v>
      </c>
      <c r="F108" s="625" t="s">
        <v>2291</v>
      </c>
      <c r="G108" s="452">
        <f t="shared" si="2"/>
        <v>177.36</v>
      </c>
      <c r="H108" s="196">
        <v>39</v>
      </c>
    </row>
    <row r="109" spans="1:8" s="196" customFormat="1" x14ac:dyDescent="0.25">
      <c r="A109" s="439" t="s">
        <v>201</v>
      </c>
      <c r="B109" s="581" t="s">
        <v>2161</v>
      </c>
      <c r="C109" s="453" t="s">
        <v>10</v>
      </c>
      <c r="D109" s="450" t="s">
        <v>1125</v>
      </c>
      <c r="E109" s="457">
        <v>13</v>
      </c>
      <c r="F109" s="625">
        <v>67.540000000000006</v>
      </c>
      <c r="G109" s="452">
        <f t="shared" si="2"/>
        <v>878.02</v>
      </c>
      <c r="H109" s="196">
        <v>75.900000000000006</v>
      </c>
    </row>
    <row r="110" spans="1:8" s="196" customFormat="1" x14ac:dyDescent="0.25">
      <c r="A110" s="439" t="s">
        <v>202</v>
      </c>
      <c r="B110" s="581" t="s">
        <v>2161</v>
      </c>
      <c r="C110" s="453" t="s">
        <v>11</v>
      </c>
      <c r="D110" s="450" t="s">
        <v>1125</v>
      </c>
      <c r="E110" s="457">
        <v>1</v>
      </c>
      <c r="F110" s="625">
        <v>67.540000000000006</v>
      </c>
      <c r="G110" s="452">
        <f t="shared" si="2"/>
        <v>67.540000000000006</v>
      </c>
      <c r="H110" s="196">
        <v>371.17666666666668</v>
      </c>
    </row>
    <row r="111" spans="1:8" s="196" customFormat="1" x14ac:dyDescent="0.25">
      <c r="A111" s="439" t="s">
        <v>203</v>
      </c>
      <c r="B111" s="581" t="s">
        <v>2161</v>
      </c>
      <c r="C111" s="453" t="s">
        <v>1107</v>
      </c>
      <c r="D111" s="450" t="s">
        <v>1125</v>
      </c>
      <c r="E111" s="457">
        <v>2</v>
      </c>
      <c r="F111" s="625">
        <v>67.540000000000006</v>
      </c>
      <c r="G111" s="452">
        <f t="shared" si="2"/>
        <v>135.08000000000001</v>
      </c>
      <c r="H111" s="196">
        <v>148.9</v>
      </c>
    </row>
    <row r="112" spans="1:8" s="196" customFormat="1" ht="25.5" x14ac:dyDescent="0.25">
      <c r="A112" s="439" t="s">
        <v>204</v>
      </c>
      <c r="B112" s="581"/>
      <c r="C112" s="453" t="s">
        <v>12</v>
      </c>
      <c r="D112" s="450" t="s">
        <v>1125</v>
      </c>
      <c r="E112" s="457">
        <v>1</v>
      </c>
      <c r="F112" s="625">
        <v>417.19666666666672</v>
      </c>
      <c r="G112" s="452">
        <f t="shared" si="2"/>
        <v>417.2</v>
      </c>
      <c r="H112" s="196">
        <v>417.19666666666672</v>
      </c>
    </row>
    <row r="113" spans="1:8" s="196" customFormat="1" x14ac:dyDescent="0.25">
      <c r="A113" s="439" t="s">
        <v>205</v>
      </c>
      <c r="B113" s="581" t="s">
        <v>2162</v>
      </c>
      <c r="C113" s="453" t="s">
        <v>13</v>
      </c>
      <c r="D113" s="450" t="s">
        <v>1125</v>
      </c>
      <c r="E113" s="457">
        <v>13</v>
      </c>
      <c r="F113" s="625">
        <v>40.86</v>
      </c>
      <c r="G113" s="452">
        <f t="shared" si="2"/>
        <v>531.17999999999995</v>
      </c>
      <c r="H113" s="196">
        <v>31.316666666666663</v>
      </c>
    </row>
    <row r="114" spans="1:8" s="196" customFormat="1" x14ac:dyDescent="0.25">
      <c r="A114" s="439" t="s">
        <v>206</v>
      </c>
      <c r="B114" s="581" t="s">
        <v>2163</v>
      </c>
      <c r="C114" s="453" t="s">
        <v>1092</v>
      </c>
      <c r="D114" s="450" t="s">
        <v>1125</v>
      </c>
      <c r="E114" s="457">
        <v>13</v>
      </c>
      <c r="F114" s="625">
        <v>22.9</v>
      </c>
      <c r="G114" s="452">
        <f t="shared" si="2"/>
        <v>297.7</v>
      </c>
      <c r="H114" s="196">
        <v>29.31</v>
      </c>
    </row>
    <row r="115" spans="1:8" s="196" customFormat="1" x14ac:dyDescent="0.25">
      <c r="A115" s="439" t="s">
        <v>207</v>
      </c>
      <c r="B115" s="581" t="s">
        <v>2163</v>
      </c>
      <c r="C115" s="453" t="s">
        <v>1093</v>
      </c>
      <c r="D115" s="450" t="s">
        <v>1125</v>
      </c>
      <c r="E115" s="457">
        <v>10</v>
      </c>
      <c r="F115" s="625">
        <v>22.9</v>
      </c>
      <c r="G115" s="452">
        <f t="shared" si="2"/>
        <v>229</v>
      </c>
      <c r="H115" s="196">
        <v>31.89</v>
      </c>
    </row>
    <row r="116" spans="1:8" s="196" customFormat="1" x14ac:dyDescent="0.25">
      <c r="A116" s="439" t="s">
        <v>208</v>
      </c>
      <c r="B116" s="581"/>
      <c r="C116" s="463" t="s">
        <v>2293</v>
      </c>
      <c r="D116" s="450" t="s">
        <v>1125</v>
      </c>
      <c r="E116" s="457">
        <v>2</v>
      </c>
      <c r="F116" s="625">
        <v>450</v>
      </c>
      <c r="G116" s="452">
        <f t="shared" si="2"/>
        <v>900</v>
      </c>
      <c r="H116" s="196">
        <v>450</v>
      </c>
    </row>
    <row r="117" spans="1:8" ht="25.5" x14ac:dyDescent="0.25">
      <c r="A117" s="440" t="s">
        <v>209</v>
      </c>
      <c r="B117" s="582"/>
      <c r="C117" s="454" t="s">
        <v>789</v>
      </c>
      <c r="D117" s="446" t="s">
        <v>1125</v>
      </c>
      <c r="E117" s="464">
        <v>1</v>
      </c>
      <c r="F117" s="476">
        <v>164369.99</v>
      </c>
      <c r="G117" s="448">
        <f t="shared" si="2"/>
        <v>164369.99</v>
      </c>
      <c r="H117" s="2">
        <v>164369.99</v>
      </c>
    </row>
    <row r="118" spans="1:8" x14ac:dyDescent="0.25">
      <c r="A118" s="440" t="s">
        <v>210</v>
      </c>
      <c r="B118" s="582" t="s">
        <v>2164</v>
      </c>
      <c r="C118" s="454" t="s">
        <v>14</v>
      </c>
      <c r="D118" s="446" t="s">
        <v>1125</v>
      </c>
      <c r="E118" s="464">
        <v>23</v>
      </c>
      <c r="F118" s="476">
        <v>21.25</v>
      </c>
      <c r="G118" s="448">
        <f t="shared" si="2"/>
        <v>488.75</v>
      </c>
      <c r="H118" s="2">
        <v>22.593333333333334</v>
      </c>
    </row>
    <row r="119" spans="1:8" x14ac:dyDescent="0.25">
      <c r="A119" s="440" t="s">
        <v>211</v>
      </c>
      <c r="B119" s="582"/>
      <c r="C119" s="454" t="s">
        <v>790</v>
      </c>
      <c r="D119" s="446" t="s">
        <v>1125</v>
      </c>
      <c r="E119" s="464">
        <v>2</v>
      </c>
      <c r="F119" s="476">
        <v>357</v>
      </c>
      <c r="G119" s="448">
        <f t="shared" si="2"/>
        <v>714</v>
      </c>
      <c r="H119" s="2">
        <v>357</v>
      </c>
    </row>
    <row r="120" spans="1:8" x14ac:dyDescent="0.25">
      <c r="A120" s="440" t="s">
        <v>212</v>
      </c>
      <c r="B120" s="582"/>
      <c r="C120" s="454" t="s">
        <v>791</v>
      </c>
      <c r="D120" s="446" t="s">
        <v>1125</v>
      </c>
      <c r="E120" s="464">
        <v>2</v>
      </c>
      <c r="F120" s="476">
        <v>695</v>
      </c>
      <c r="G120" s="448">
        <f t="shared" si="2"/>
        <v>1390</v>
      </c>
      <c r="H120" s="2">
        <v>695</v>
      </c>
    </row>
    <row r="121" spans="1:8" x14ac:dyDescent="0.25">
      <c r="A121" s="440" t="s">
        <v>213</v>
      </c>
      <c r="B121" s="582"/>
      <c r="C121" s="454" t="s">
        <v>792</v>
      </c>
      <c r="D121" s="446" t="s">
        <v>1125</v>
      </c>
      <c r="E121" s="464">
        <v>2</v>
      </c>
      <c r="F121" s="476">
        <v>721.66666666666663</v>
      </c>
      <c r="G121" s="448">
        <f t="shared" si="2"/>
        <v>1443.33</v>
      </c>
      <c r="H121" s="2">
        <v>721.66666666666663</v>
      </c>
    </row>
    <row r="122" spans="1:8" x14ac:dyDescent="0.25">
      <c r="A122" s="440" t="s">
        <v>214</v>
      </c>
      <c r="B122" s="582"/>
      <c r="C122" s="454" t="s">
        <v>793</v>
      </c>
      <c r="D122" s="446" t="s">
        <v>1125</v>
      </c>
      <c r="E122" s="464">
        <v>2</v>
      </c>
      <c r="F122" s="476">
        <v>398</v>
      </c>
      <c r="G122" s="448">
        <f t="shared" si="2"/>
        <v>796</v>
      </c>
      <c r="H122" s="2">
        <v>398</v>
      </c>
    </row>
    <row r="123" spans="1:8" s="196" customFormat="1" x14ac:dyDescent="0.25">
      <c r="A123" s="439" t="s">
        <v>215</v>
      </c>
      <c r="B123" s="581"/>
      <c r="C123" s="453" t="s">
        <v>794</v>
      </c>
      <c r="D123" s="450" t="s">
        <v>1125</v>
      </c>
      <c r="E123" s="457">
        <v>2</v>
      </c>
      <c r="F123" s="625">
        <v>149.77000000000001</v>
      </c>
      <c r="G123" s="452">
        <f t="shared" si="2"/>
        <v>299.54000000000002</v>
      </c>
      <c r="H123" s="196">
        <v>149.77000000000001</v>
      </c>
    </row>
    <row r="124" spans="1:8" s="196" customFormat="1" x14ac:dyDescent="0.25">
      <c r="A124" s="439" t="s">
        <v>216</v>
      </c>
      <c r="B124" s="581"/>
      <c r="C124" s="463" t="s">
        <v>15</v>
      </c>
      <c r="D124" s="450" t="s">
        <v>1125</v>
      </c>
      <c r="E124" s="457">
        <v>2</v>
      </c>
      <c r="F124" s="625">
        <v>149.77000000000001</v>
      </c>
      <c r="G124" s="452">
        <f t="shared" si="2"/>
        <v>299.54000000000002</v>
      </c>
      <c r="H124" s="196">
        <v>149.77000000000001</v>
      </c>
    </row>
    <row r="125" spans="1:8" x14ac:dyDescent="0.25">
      <c r="A125" s="440" t="s">
        <v>217</v>
      </c>
      <c r="B125" s="582"/>
      <c r="C125" s="465" t="s">
        <v>795</v>
      </c>
      <c r="D125" s="446" t="s">
        <v>1125</v>
      </c>
      <c r="E125" s="464">
        <v>2</v>
      </c>
      <c r="F125" s="476">
        <v>439.11666666666662</v>
      </c>
      <c r="G125" s="448">
        <f t="shared" si="2"/>
        <v>878.23</v>
      </c>
      <c r="H125" s="2">
        <v>439.11666666666662</v>
      </c>
    </row>
    <row r="126" spans="1:8" s="196" customFormat="1" ht="25.5" x14ac:dyDescent="0.25">
      <c r="A126" s="439" t="s">
        <v>218</v>
      </c>
      <c r="B126" s="581"/>
      <c r="C126" s="453" t="s">
        <v>16</v>
      </c>
      <c r="D126" s="450" t="s">
        <v>1125</v>
      </c>
      <c r="E126" s="457">
        <v>2</v>
      </c>
      <c r="F126" s="625">
        <v>54.14</v>
      </c>
      <c r="G126" s="452">
        <f t="shared" si="2"/>
        <v>108.28</v>
      </c>
      <c r="H126" s="196">
        <v>54.14</v>
      </c>
    </row>
    <row r="127" spans="1:8" s="196" customFormat="1" ht="25.5" x14ac:dyDescent="0.25">
      <c r="A127" s="439" t="s">
        <v>219</v>
      </c>
      <c r="B127" s="581" t="s">
        <v>2294</v>
      </c>
      <c r="C127" s="453" t="s">
        <v>17</v>
      </c>
      <c r="D127" s="450" t="s">
        <v>1125</v>
      </c>
      <c r="E127" s="457">
        <v>2</v>
      </c>
      <c r="F127" s="625">
        <v>794.14</v>
      </c>
      <c r="G127" s="452">
        <f t="shared" si="2"/>
        <v>1588.28</v>
      </c>
      <c r="H127" s="196">
        <v>103.31</v>
      </c>
    </row>
    <row r="128" spans="1:8" x14ac:dyDescent="0.25">
      <c r="A128" s="440" t="s">
        <v>220</v>
      </c>
      <c r="B128" s="582"/>
      <c r="C128" s="455" t="s">
        <v>1101</v>
      </c>
      <c r="D128" s="446" t="s">
        <v>1125</v>
      </c>
      <c r="E128" s="464">
        <v>2</v>
      </c>
      <c r="F128" s="476">
        <v>449.51</v>
      </c>
      <c r="G128" s="448">
        <f t="shared" si="2"/>
        <v>899.02</v>
      </c>
      <c r="H128" s="2">
        <v>449.51</v>
      </c>
    </row>
    <row r="129" spans="1:8" x14ac:dyDescent="0.25">
      <c r="A129" s="440" t="s">
        <v>221</v>
      </c>
      <c r="B129" s="582"/>
      <c r="C129" s="454" t="s">
        <v>18</v>
      </c>
      <c r="D129" s="446" t="s">
        <v>1125</v>
      </c>
      <c r="E129" s="464">
        <v>10</v>
      </c>
      <c r="F129" s="476">
        <v>39.644999999999996</v>
      </c>
      <c r="G129" s="448">
        <f t="shared" si="2"/>
        <v>396.45</v>
      </c>
      <c r="H129" s="2">
        <v>39.644999999999996</v>
      </c>
    </row>
    <row r="130" spans="1:8" x14ac:dyDescent="0.25">
      <c r="A130" s="440" t="s">
        <v>222</v>
      </c>
      <c r="B130" s="582"/>
      <c r="C130" s="454" t="s">
        <v>19</v>
      </c>
      <c r="D130" s="446" t="s">
        <v>1125</v>
      </c>
      <c r="E130" s="464">
        <v>10</v>
      </c>
      <c r="F130" s="476">
        <v>77.989999999999995</v>
      </c>
      <c r="G130" s="448">
        <f t="shared" si="2"/>
        <v>779.9</v>
      </c>
      <c r="H130" s="2">
        <v>77.989999999999995</v>
      </c>
    </row>
    <row r="131" spans="1:8" x14ac:dyDescent="0.25">
      <c r="A131" s="440" t="s">
        <v>223</v>
      </c>
      <c r="B131" s="582"/>
      <c r="C131" s="454" t="s">
        <v>20</v>
      </c>
      <c r="D131" s="446" t="s">
        <v>1125</v>
      </c>
      <c r="E131" s="464">
        <v>10</v>
      </c>
      <c r="F131" s="476">
        <v>228.89500000000001</v>
      </c>
      <c r="G131" s="448">
        <f t="shared" si="2"/>
        <v>2288.9499999999998</v>
      </c>
      <c r="H131" s="2">
        <v>228.89500000000001</v>
      </c>
    </row>
    <row r="132" spans="1:8" x14ac:dyDescent="0.25">
      <c r="A132" s="440" t="s">
        <v>224</v>
      </c>
      <c r="B132" s="582" t="s">
        <v>2165</v>
      </c>
      <c r="C132" s="454" t="s">
        <v>21</v>
      </c>
      <c r="D132" s="446" t="s">
        <v>1125</v>
      </c>
      <c r="E132" s="464">
        <v>27</v>
      </c>
      <c r="F132" s="476">
        <v>17.850000000000001</v>
      </c>
      <c r="G132" s="448">
        <f t="shared" si="2"/>
        <v>481.95</v>
      </c>
      <c r="H132" s="2">
        <v>17.850000000000001</v>
      </c>
    </row>
    <row r="133" spans="1:8" ht="25.5" x14ac:dyDescent="0.25">
      <c r="A133" s="440" t="s">
        <v>225</v>
      </c>
      <c r="B133" s="582"/>
      <c r="C133" s="454" t="s">
        <v>796</v>
      </c>
      <c r="D133" s="446" t="s">
        <v>1125</v>
      </c>
      <c r="E133" s="464">
        <v>6</v>
      </c>
      <c r="F133" s="476">
        <v>77.394999999999996</v>
      </c>
      <c r="G133" s="448">
        <f t="shared" si="2"/>
        <v>464.37</v>
      </c>
      <c r="H133" s="2">
        <v>77.394999999999996</v>
      </c>
    </row>
    <row r="134" spans="1:8" ht="25.5" x14ac:dyDescent="0.25">
      <c r="A134" s="440" t="s">
        <v>226</v>
      </c>
      <c r="B134" s="582"/>
      <c r="C134" s="454" t="s">
        <v>797</v>
      </c>
      <c r="D134" s="446" t="s">
        <v>1125</v>
      </c>
      <c r="E134" s="464">
        <v>6</v>
      </c>
      <c r="F134" s="476">
        <v>77.394999999999996</v>
      </c>
      <c r="G134" s="448">
        <f t="shared" si="2"/>
        <v>464.37</v>
      </c>
      <c r="H134" s="2">
        <v>77.394999999999996</v>
      </c>
    </row>
    <row r="135" spans="1:8" s="196" customFormat="1" ht="25.5" x14ac:dyDescent="0.25">
      <c r="A135" s="439" t="s">
        <v>227</v>
      </c>
      <c r="B135" s="581"/>
      <c r="C135" s="449" t="s">
        <v>798</v>
      </c>
      <c r="D135" s="450" t="s">
        <v>1125</v>
      </c>
      <c r="E135" s="457">
        <v>2</v>
      </c>
      <c r="F135" s="625">
        <v>772.39666666666665</v>
      </c>
      <c r="G135" s="452">
        <f t="shared" si="2"/>
        <v>1544.79</v>
      </c>
      <c r="H135" s="196">
        <v>772.39666666666665</v>
      </c>
    </row>
    <row r="136" spans="1:8" ht="25.5" x14ac:dyDescent="0.25">
      <c r="A136" s="440" t="s">
        <v>228</v>
      </c>
      <c r="B136" s="582"/>
      <c r="C136" s="454" t="s">
        <v>22</v>
      </c>
      <c r="D136" s="446" t="s">
        <v>1125</v>
      </c>
      <c r="E136" s="464">
        <v>13</v>
      </c>
      <c r="F136" s="476">
        <v>161.94499999999999</v>
      </c>
      <c r="G136" s="448">
        <f t="shared" si="2"/>
        <v>2105.29</v>
      </c>
      <c r="H136" s="2">
        <v>161.94499999999999</v>
      </c>
    </row>
    <row r="137" spans="1:8" x14ac:dyDescent="0.25">
      <c r="A137" s="440" t="s">
        <v>229</v>
      </c>
      <c r="B137" s="582"/>
      <c r="C137" s="454" t="s">
        <v>23</v>
      </c>
      <c r="D137" s="446" t="s">
        <v>1125</v>
      </c>
      <c r="E137" s="464">
        <v>2</v>
      </c>
      <c r="F137" s="476">
        <v>526.26666666666665</v>
      </c>
      <c r="G137" s="448">
        <f t="shared" si="2"/>
        <v>1052.53</v>
      </c>
      <c r="H137" s="2">
        <v>526.26666666666665</v>
      </c>
    </row>
    <row r="138" spans="1:8" ht="25.5" x14ac:dyDescent="0.25">
      <c r="A138" s="440" t="s">
        <v>230</v>
      </c>
      <c r="B138" s="582"/>
      <c r="C138" s="454" t="s">
        <v>799</v>
      </c>
      <c r="D138" s="446" t="s">
        <v>1125</v>
      </c>
      <c r="E138" s="464">
        <v>10</v>
      </c>
      <c r="F138" s="476">
        <v>117.50666666666666</v>
      </c>
      <c r="G138" s="448">
        <f t="shared" si="2"/>
        <v>1175.07</v>
      </c>
      <c r="H138" s="2">
        <v>117.50666666666666</v>
      </c>
    </row>
    <row r="139" spans="1:8" x14ac:dyDescent="0.25">
      <c r="A139" s="440" t="s">
        <v>231</v>
      </c>
      <c r="B139" s="582"/>
      <c r="C139" s="454" t="s">
        <v>24</v>
      </c>
      <c r="D139" s="446" t="s">
        <v>1125</v>
      </c>
      <c r="E139" s="464">
        <v>2</v>
      </c>
      <c r="F139" s="476">
        <v>1045</v>
      </c>
      <c r="G139" s="448">
        <f t="shared" si="2"/>
        <v>2090</v>
      </c>
      <c r="H139" s="2">
        <v>1045</v>
      </c>
    </row>
    <row r="140" spans="1:8" ht="25.5" x14ac:dyDescent="0.25">
      <c r="A140" s="440" t="s">
        <v>232</v>
      </c>
      <c r="B140" s="582"/>
      <c r="C140" s="454" t="s">
        <v>25</v>
      </c>
      <c r="D140" s="446" t="s">
        <v>1125</v>
      </c>
      <c r="E140" s="464">
        <v>2</v>
      </c>
      <c r="F140" s="476">
        <v>365</v>
      </c>
      <c r="G140" s="448">
        <f t="shared" si="2"/>
        <v>730</v>
      </c>
      <c r="H140" s="2">
        <v>365</v>
      </c>
    </row>
    <row r="141" spans="1:8" x14ac:dyDescent="0.25">
      <c r="A141" s="440" t="s">
        <v>235</v>
      </c>
      <c r="B141" s="582"/>
      <c r="C141" s="454" t="s">
        <v>26</v>
      </c>
      <c r="D141" s="446" t="s">
        <v>1125</v>
      </c>
      <c r="E141" s="464">
        <v>2</v>
      </c>
      <c r="F141" s="476">
        <v>934.5</v>
      </c>
      <c r="G141" s="448">
        <f t="shared" si="2"/>
        <v>1869</v>
      </c>
      <c r="H141" s="2">
        <v>934.5</v>
      </c>
    </row>
    <row r="142" spans="1:8" x14ac:dyDescent="0.25">
      <c r="A142" s="440" t="s">
        <v>236</v>
      </c>
      <c r="B142" s="582"/>
      <c r="C142" s="454" t="s">
        <v>27</v>
      </c>
      <c r="D142" s="446" t="s">
        <v>1125</v>
      </c>
      <c r="E142" s="464">
        <v>10</v>
      </c>
      <c r="F142" s="476">
        <v>71.966666666666683</v>
      </c>
      <c r="G142" s="448">
        <f t="shared" si="2"/>
        <v>719.67</v>
      </c>
      <c r="H142" s="2">
        <v>71.966666666666683</v>
      </c>
    </row>
    <row r="143" spans="1:8" x14ac:dyDescent="0.25">
      <c r="A143" s="440" t="s">
        <v>237</v>
      </c>
      <c r="B143" s="582"/>
      <c r="C143" s="454" t="s">
        <v>28</v>
      </c>
      <c r="D143" s="446" t="s">
        <v>1125</v>
      </c>
      <c r="E143" s="464">
        <v>23</v>
      </c>
      <c r="F143" s="476">
        <v>623.75</v>
      </c>
      <c r="G143" s="448">
        <f t="shared" si="2"/>
        <v>14346.25</v>
      </c>
      <c r="H143" s="2">
        <v>623.75</v>
      </c>
    </row>
    <row r="144" spans="1:8" x14ac:dyDescent="0.25">
      <c r="A144" s="440" t="s">
        <v>1045</v>
      </c>
      <c r="B144" s="582"/>
      <c r="C144" s="454" t="s">
        <v>29</v>
      </c>
      <c r="D144" s="446" t="s">
        <v>1125</v>
      </c>
      <c r="E144" s="464">
        <v>13</v>
      </c>
      <c r="F144" s="476">
        <v>578</v>
      </c>
      <c r="G144" s="448">
        <f t="shared" si="2"/>
        <v>7514</v>
      </c>
      <c r="H144" s="2">
        <v>578</v>
      </c>
    </row>
    <row r="145" spans="1:9" x14ac:dyDescent="0.25">
      <c r="A145" s="440" t="s">
        <v>1078</v>
      </c>
      <c r="B145" s="582"/>
      <c r="C145" s="454" t="s">
        <v>30</v>
      </c>
      <c r="D145" s="446" t="s">
        <v>1125</v>
      </c>
      <c r="E145" s="464">
        <v>10</v>
      </c>
      <c r="F145" s="476">
        <v>30.433333333333334</v>
      </c>
      <c r="G145" s="448">
        <f t="shared" si="2"/>
        <v>304.33</v>
      </c>
      <c r="H145" s="2">
        <v>30.433333333333334</v>
      </c>
    </row>
    <row r="146" spans="1:9" ht="25.5" x14ac:dyDescent="0.25">
      <c r="A146" s="440" t="s">
        <v>1079</v>
      </c>
      <c r="B146" s="582"/>
      <c r="C146" s="454" t="s">
        <v>800</v>
      </c>
      <c r="D146" s="446" t="s">
        <v>1125</v>
      </c>
      <c r="E146" s="464">
        <v>10</v>
      </c>
      <c r="F146" s="476">
        <v>918.26666666666677</v>
      </c>
      <c r="G146" s="448">
        <f t="shared" si="2"/>
        <v>9182.67</v>
      </c>
      <c r="H146" s="2">
        <v>918.26666666666677</v>
      </c>
    </row>
    <row r="147" spans="1:9" x14ac:dyDescent="0.25">
      <c r="A147" s="440" t="s">
        <v>1080</v>
      </c>
      <c r="B147" s="582"/>
      <c r="C147" s="454" t="s">
        <v>31</v>
      </c>
      <c r="D147" s="446" t="s">
        <v>1125</v>
      </c>
      <c r="E147" s="464">
        <v>2</v>
      </c>
      <c r="F147" s="476">
        <v>808.14</v>
      </c>
      <c r="G147" s="448">
        <f t="shared" si="2"/>
        <v>1616.28</v>
      </c>
      <c r="H147" s="2">
        <v>808.14</v>
      </c>
    </row>
    <row r="148" spans="1:9" x14ac:dyDescent="0.25">
      <c r="A148" s="440" t="s">
        <v>1081</v>
      </c>
      <c r="B148" s="582" t="s">
        <v>2301</v>
      </c>
      <c r="C148" s="454" t="s">
        <v>32</v>
      </c>
      <c r="D148" s="446" t="s">
        <v>1125</v>
      </c>
      <c r="E148" s="464">
        <v>10</v>
      </c>
      <c r="F148" s="476">
        <v>10</v>
      </c>
      <c r="G148" s="448">
        <f t="shared" si="2"/>
        <v>100</v>
      </c>
      <c r="H148" s="2">
        <v>33</v>
      </c>
      <c r="I148" s="2" t="s">
        <v>2302</v>
      </c>
    </row>
    <row r="149" spans="1:9" x14ac:dyDescent="0.25">
      <c r="A149" s="440" t="s">
        <v>1082</v>
      </c>
      <c r="B149" s="582"/>
      <c r="C149" s="454" t="s">
        <v>1094</v>
      </c>
      <c r="D149" s="446" t="s">
        <v>1125</v>
      </c>
      <c r="E149" s="464">
        <v>10</v>
      </c>
      <c r="F149" s="476">
        <v>20</v>
      </c>
      <c r="G149" s="448">
        <f t="shared" si="2"/>
        <v>200</v>
      </c>
      <c r="H149" s="2">
        <v>20</v>
      </c>
    </row>
    <row r="150" spans="1:9" x14ac:dyDescent="0.25">
      <c r="A150" s="440" t="s">
        <v>1083</v>
      </c>
      <c r="B150" s="582"/>
      <c r="C150" s="454" t="s">
        <v>33</v>
      </c>
      <c r="D150" s="446" t="s">
        <v>1125</v>
      </c>
      <c r="E150" s="464">
        <v>10</v>
      </c>
      <c r="F150" s="476">
        <v>85.48</v>
      </c>
      <c r="G150" s="448">
        <f t="shared" si="2"/>
        <v>854.8</v>
      </c>
      <c r="H150" s="2">
        <v>85.48</v>
      </c>
    </row>
    <row r="151" spans="1:9" ht="25.5" x14ac:dyDescent="0.25">
      <c r="A151" s="440" t="s">
        <v>1084</v>
      </c>
      <c r="B151" s="582"/>
      <c r="C151" s="466" t="s">
        <v>34</v>
      </c>
      <c r="D151" s="446" t="s">
        <v>1125</v>
      </c>
      <c r="E151" s="464">
        <v>2</v>
      </c>
      <c r="F151" s="476">
        <v>69</v>
      </c>
      <c r="G151" s="448">
        <f t="shared" si="2"/>
        <v>138</v>
      </c>
      <c r="H151" s="2">
        <v>69</v>
      </c>
    </row>
    <row r="152" spans="1:9" x14ac:dyDescent="0.25">
      <c r="A152" s="440" t="s">
        <v>1085</v>
      </c>
      <c r="B152" s="582"/>
      <c r="C152" s="466" t="s">
        <v>35</v>
      </c>
      <c r="D152" s="446" t="s">
        <v>1125</v>
      </c>
      <c r="E152" s="464">
        <v>2</v>
      </c>
      <c r="F152" s="476">
        <v>49</v>
      </c>
      <c r="G152" s="448">
        <f t="shared" si="2"/>
        <v>98</v>
      </c>
      <c r="H152" s="2">
        <v>49</v>
      </c>
    </row>
    <row r="153" spans="1:9" x14ac:dyDescent="0.25">
      <c r="A153" s="440" t="s">
        <v>1086</v>
      </c>
      <c r="B153" s="582"/>
      <c r="C153" s="466" t="s">
        <v>36</v>
      </c>
      <c r="D153" s="446" t="s">
        <v>1125</v>
      </c>
      <c r="E153" s="464">
        <v>2</v>
      </c>
      <c r="F153" s="476">
        <v>174</v>
      </c>
      <c r="G153" s="448">
        <f t="shared" si="2"/>
        <v>348</v>
      </c>
      <c r="H153" s="2">
        <v>174</v>
      </c>
    </row>
    <row r="154" spans="1:9" ht="25.5" x14ac:dyDescent="0.25">
      <c r="A154" s="440" t="s">
        <v>1087</v>
      </c>
      <c r="B154" s="582"/>
      <c r="C154" s="466" t="s">
        <v>37</v>
      </c>
      <c r="D154" s="446" t="s">
        <v>1125</v>
      </c>
      <c r="E154" s="464">
        <v>2</v>
      </c>
      <c r="F154" s="476">
        <v>49</v>
      </c>
      <c r="G154" s="448">
        <f t="shared" si="2"/>
        <v>98</v>
      </c>
      <c r="H154" s="2">
        <v>49</v>
      </c>
    </row>
    <row r="155" spans="1:9" x14ac:dyDescent="0.25">
      <c r="A155" s="440" t="s">
        <v>1167</v>
      </c>
      <c r="B155" s="582"/>
      <c r="C155" s="466" t="s">
        <v>38</v>
      </c>
      <c r="D155" s="446" t="s">
        <v>1125</v>
      </c>
      <c r="E155" s="464">
        <v>2</v>
      </c>
      <c r="F155" s="476">
        <v>81.5</v>
      </c>
      <c r="G155" s="448">
        <f t="shared" si="2"/>
        <v>163</v>
      </c>
      <c r="H155" s="2">
        <v>81.5</v>
      </c>
    </row>
    <row r="156" spans="1:9" ht="25.5" x14ac:dyDescent="0.25">
      <c r="A156" s="440" t="s">
        <v>1168</v>
      </c>
      <c r="B156" s="582"/>
      <c r="C156" s="466" t="s">
        <v>39</v>
      </c>
      <c r="D156" s="446" t="s">
        <v>1125</v>
      </c>
      <c r="E156" s="464">
        <v>2</v>
      </c>
      <c r="F156" s="476">
        <v>95.85</v>
      </c>
      <c r="G156" s="448">
        <f t="shared" si="2"/>
        <v>191.7</v>
      </c>
      <c r="H156" s="2">
        <v>95.85</v>
      </c>
    </row>
    <row r="157" spans="1:9" x14ac:dyDescent="0.25">
      <c r="A157" s="440" t="s">
        <v>1169</v>
      </c>
      <c r="B157" s="582"/>
      <c r="C157" s="466" t="s">
        <v>40</v>
      </c>
      <c r="D157" s="446" t="s">
        <v>1125</v>
      </c>
      <c r="E157" s="464">
        <v>2</v>
      </c>
      <c r="F157" s="476">
        <v>445</v>
      </c>
      <c r="G157" s="448">
        <f t="shared" si="2"/>
        <v>890</v>
      </c>
      <c r="H157" s="2">
        <v>445</v>
      </c>
    </row>
    <row r="158" spans="1:9" ht="25.5" x14ac:dyDescent="0.25">
      <c r="A158" s="440" t="s">
        <v>1170</v>
      </c>
      <c r="B158" s="582"/>
      <c r="C158" s="466" t="s">
        <v>41</v>
      </c>
      <c r="D158" s="446" t="s">
        <v>1125</v>
      </c>
      <c r="E158" s="464">
        <v>2</v>
      </c>
      <c r="F158" s="476">
        <v>32.07</v>
      </c>
      <c r="G158" s="448">
        <f t="shared" si="2"/>
        <v>64.14</v>
      </c>
      <c r="H158" s="2">
        <v>32.07</v>
      </c>
    </row>
    <row r="159" spans="1:9" ht="25.5" x14ac:dyDescent="0.25">
      <c r="A159" s="440" t="s">
        <v>1171</v>
      </c>
      <c r="B159" s="582"/>
      <c r="C159" s="466" t="s">
        <v>42</v>
      </c>
      <c r="D159" s="446" t="s">
        <v>1125</v>
      </c>
      <c r="E159" s="464">
        <v>2</v>
      </c>
      <c r="F159" s="476">
        <v>255.89</v>
      </c>
      <c r="G159" s="448">
        <f t="shared" si="2"/>
        <v>511.78</v>
      </c>
      <c r="H159" s="2">
        <v>255.89</v>
      </c>
    </row>
    <row r="160" spans="1:9" x14ac:dyDescent="0.25">
      <c r="A160" s="440" t="s">
        <v>1172</v>
      </c>
      <c r="B160" s="582"/>
      <c r="C160" s="466" t="s">
        <v>43</v>
      </c>
      <c r="D160" s="446" t="s">
        <v>1125</v>
      </c>
      <c r="E160" s="464">
        <v>2</v>
      </c>
      <c r="F160" s="476">
        <v>200</v>
      </c>
      <c r="G160" s="448">
        <f t="shared" si="2"/>
        <v>400</v>
      </c>
      <c r="H160" s="2">
        <v>200</v>
      </c>
    </row>
    <row r="161" spans="1:8" ht="25.5" x14ac:dyDescent="0.25">
      <c r="A161" s="440" t="s">
        <v>1173</v>
      </c>
      <c r="B161" s="582"/>
      <c r="C161" s="466" t="s">
        <v>44</v>
      </c>
      <c r="D161" s="446" t="s">
        <v>1125</v>
      </c>
      <c r="E161" s="464">
        <v>2</v>
      </c>
      <c r="F161" s="476">
        <v>135</v>
      </c>
      <c r="G161" s="448">
        <f t="shared" si="2"/>
        <v>270</v>
      </c>
      <c r="H161" s="2">
        <v>135</v>
      </c>
    </row>
    <row r="162" spans="1:8" x14ac:dyDescent="0.25">
      <c r="A162" s="440" t="s">
        <v>1174</v>
      </c>
      <c r="B162" s="582"/>
      <c r="C162" s="466" t="s">
        <v>45</v>
      </c>
      <c r="D162" s="446" t="s">
        <v>1125</v>
      </c>
      <c r="E162" s="464">
        <v>2</v>
      </c>
      <c r="F162" s="476">
        <v>70</v>
      </c>
      <c r="G162" s="448">
        <f t="shared" si="2"/>
        <v>140</v>
      </c>
      <c r="H162" s="2">
        <v>70</v>
      </c>
    </row>
    <row r="163" spans="1:8" ht="25.5" x14ac:dyDescent="0.25">
      <c r="A163" s="440" t="s">
        <v>1175</v>
      </c>
      <c r="B163" s="582"/>
      <c r="C163" s="466" t="s">
        <v>46</v>
      </c>
      <c r="D163" s="446" t="s">
        <v>1125</v>
      </c>
      <c r="E163" s="464">
        <v>2</v>
      </c>
      <c r="F163" s="476">
        <v>170</v>
      </c>
      <c r="G163" s="448">
        <f t="shared" si="2"/>
        <v>340</v>
      </c>
      <c r="H163" s="2">
        <v>170</v>
      </c>
    </row>
    <row r="164" spans="1:8" x14ac:dyDescent="0.25">
      <c r="A164" s="440" t="s">
        <v>1176</v>
      </c>
      <c r="B164" s="582"/>
      <c r="C164" s="466" t="s">
        <v>47</v>
      </c>
      <c r="D164" s="446" t="s">
        <v>1125</v>
      </c>
      <c r="E164" s="464">
        <v>2</v>
      </c>
      <c r="F164" s="476">
        <v>115</v>
      </c>
      <c r="G164" s="448">
        <f t="shared" si="2"/>
        <v>230</v>
      </c>
      <c r="H164" s="2">
        <v>115</v>
      </c>
    </row>
    <row r="165" spans="1:8" ht="25.5" x14ac:dyDescent="0.25">
      <c r="A165" s="440" t="s">
        <v>1177</v>
      </c>
      <c r="B165" s="582"/>
      <c r="C165" s="466" t="s">
        <v>48</v>
      </c>
      <c r="D165" s="446" t="s">
        <v>1125</v>
      </c>
      <c r="E165" s="464">
        <v>2</v>
      </c>
      <c r="F165" s="476">
        <v>330</v>
      </c>
      <c r="G165" s="448">
        <f t="shared" ref="G165:G210" si="3">ROUND(E165*F165,2)</f>
        <v>660</v>
      </c>
      <c r="H165" s="2">
        <v>330</v>
      </c>
    </row>
    <row r="166" spans="1:8" ht="25.5" x14ac:dyDescent="0.25">
      <c r="A166" s="440" t="s">
        <v>1178</v>
      </c>
      <c r="B166" s="582"/>
      <c r="C166" s="466" t="s">
        <v>801</v>
      </c>
      <c r="D166" s="446" t="s">
        <v>1125</v>
      </c>
      <c r="E166" s="464">
        <v>2</v>
      </c>
      <c r="F166" s="476">
        <v>83.03</v>
      </c>
      <c r="G166" s="448">
        <f t="shared" si="3"/>
        <v>166.06</v>
      </c>
      <c r="H166" s="2">
        <v>83.03</v>
      </c>
    </row>
    <row r="167" spans="1:8" ht="25.5" x14ac:dyDescent="0.25">
      <c r="A167" s="440" t="s">
        <v>1179</v>
      </c>
      <c r="B167" s="582"/>
      <c r="C167" s="467" t="s">
        <v>802</v>
      </c>
      <c r="D167" s="446" t="s">
        <v>1125</v>
      </c>
      <c r="E167" s="464">
        <v>2</v>
      </c>
      <c r="F167" s="476">
        <v>86.69</v>
      </c>
      <c r="G167" s="448">
        <f t="shared" si="3"/>
        <v>173.38</v>
      </c>
      <c r="H167" s="2">
        <v>86.69</v>
      </c>
    </row>
    <row r="168" spans="1:8" ht="25.5" x14ac:dyDescent="0.25">
      <c r="A168" s="440" t="s">
        <v>1180</v>
      </c>
      <c r="B168" s="582"/>
      <c r="C168" s="468" t="s">
        <v>803</v>
      </c>
      <c r="D168" s="446" t="s">
        <v>1125</v>
      </c>
      <c r="E168" s="464">
        <v>2</v>
      </c>
      <c r="F168" s="476">
        <v>79.680000000000007</v>
      </c>
      <c r="G168" s="448">
        <f t="shared" si="3"/>
        <v>159.36000000000001</v>
      </c>
      <c r="H168" s="2">
        <v>79.680000000000007</v>
      </c>
    </row>
    <row r="169" spans="1:8" ht="25.5" x14ac:dyDescent="0.25">
      <c r="A169" s="440" t="s">
        <v>1181</v>
      </c>
      <c r="B169" s="582"/>
      <c r="C169" s="466" t="s">
        <v>49</v>
      </c>
      <c r="D169" s="446" t="s">
        <v>1125</v>
      </c>
      <c r="E169" s="464">
        <v>2</v>
      </c>
      <c r="F169" s="476">
        <v>158</v>
      </c>
      <c r="G169" s="448">
        <f t="shared" si="3"/>
        <v>316</v>
      </c>
      <c r="H169" s="2">
        <v>158</v>
      </c>
    </row>
    <row r="170" spans="1:8" x14ac:dyDescent="0.25">
      <c r="A170" s="440" t="s">
        <v>1182</v>
      </c>
      <c r="B170" s="582"/>
      <c r="C170" s="466" t="s">
        <v>50</v>
      </c>
      <c r="D170" s="446" t="s">
        <v>1125</v>
      </c>
      <c r="E170" s="464">
        <v>2</v>
      </c>
      <c r="F170" s="476">
        <v>135</v>
      </c>
      <c r="G170" s="448">
        <f t="shared" si="3"/>
        <v>270</v>
      </c>
      <c r="H170" s="2">
        <v>135</v>
      </c>
    </row>
    <row r="171" spans="1:8" ht="25.5" x14ac:dyDescent="0.25">
      <c r="A171" s="440" t="s">
        <v>1183</v>
      </c>
      <c r="B171" s="582"/>
      <c r="C171" s="466" t="s">
        <v>51</v>
      </c>
      <c r="D171" s="446" t="s">
        <v>1125</v>
      </c>
      <c r="E171" s="464">
        <v>2</v>
      </c>
      <c r="F171" s="476">
        <v>200</v>
      </c>
      <c r="G171" s="448">
        <f t="shared" si="3"/>
        <v>400</v>
      </c>
      <c r="H171" s="2">
        <v>200</v>
      </c>
    </row>
    <row r="172" spans="1:8" x14ac:dyDescent="0.25">
      <c r="A172" s="440" t="s">
        <v>1184</v>
      </c>
      <c r="B172" s="582"/>
      <c r="C172" s="466" t="s">
        <v>52</v>
      </c>
      <c r="D172" s="446" t="s">
        <v>1125</v>
      </c>
      <c r="E172" s="464">
        <v>2</v>
      </c>
      <c r="F172" s="476">
        <v>210</v>
      </c>
      <c r="G172" s="448">
        <f t="shared" si="3"/>
        <v>420</v>
      </c>
      <c r="H172" s="2">
        <v>210</v>
      </c>
    </row>
    <row r="173" spans="1:8" x14ac:dyDescent="0.25">
      <c r="A173" s="440" t="s">
        <v>1185</v>
      </c>
      <c r="B173" s="582"/>
      <c r="C173" s="466" t="s">
        <v>53</v>
      </c>
      <c r="D173" s="446" t="s">
        <v>1125</v>
      </c>
      <c r="E173" s="464">
        <v>2</v>
      </c>
      <c r="F173" s="476">
        <v>250</v>
      </c>
      <c r="G173" s="448">
        <f t="shared" si="3"/>
        <v>500</v>
      </c>
      <c r="H173" s="2">
        <v>250</v>
      </c>
    </row>
    <row r="174" spans="1:8" x14ac:dyDescent="0.25">
      <c r="A174" s="440" t="s">
        <v>1186</v>
      </c>
      <c r="B174" s="582"/>
      <c r="C174" s="454" t="s">
        <v>1103</v>
      </c>
      <c r="D174" s="446" t="s">
        <v>1125</v>
      </c>
      <c r="E174" s="464">
        <v>10</v>
      </c>
      <c r="F174" s="476">
        <v>28.51</v>
      </c>
      <c r="G174" s="448">
        <f t="shared" si="3"/>
        <v>285.10000000000002</v>
      </c>
      <c r="H174" s="2">
        <v>28.51</v>
      </c>
    </row>
    <row r="175" spans="1:8" x14ac:dyDescent="0.25">
      <c r="A175" s="440" t="s">
        <v>1187</v>
      </c>
      <c r="B175" s="582"/>
      <c r="C175" s="454" t="s">
        <v>804</v>
      </c>
      <c r="D175" s="446" t="s">
        <v>1125</v>
      </c>
      <c r="E175" s="464">
        <v>10</v>
      </c>
      <c r="F175" s="476">
        <v>122.76</v>
      </c>
      <c r="G175" s="448">
        <f t="shared" si="3"/>
        <v>1227.5999999999999</v>
      </c>
      <c r="H175" s="2">
        <v>122.76</v>
      </c>
    </row>
    <row r="176" spans="1:8" ht="25.5" x14ac:dyDescent="0.25">
      <c r="A176" s="440" t="s">
        <v>1188</v>
      </c>
      <c r="B176" s="582"/>
      <c r="C176" s="454" t="s">
        <v>805</v>
      </c>
      <c r="D176" s="446" t="s">
        <v>1125</v>
      </c>
      <c r="E176" s="464">
        <v>10</v>
      </c>
      <c r="F176" s="476">
        <v>278.93333333333334</v>
      </c>
      <c r="G176" s="448">
        <f t="shared" si="3"/>
        <v>2789.33</v>
      </c>
      <c r="H176" s="2">
        <v>278.93333333333334</v>
      </c>
    </row>
    <row r="177" spans="1:8" x14ac:dyDescent="0.25">
      <c r="A177" s="440" t="s">
        <v>1189</v>
      </c>
      <c r="B177" s="582"/>
      <c r="C177" s="454" t="s">
        <v>54</v>
      </c>
      <c r="D177" s="446" t="s">
        <v>1125</v>
      </c>
      <c r="E177" s="464">
        <v>3</v>
      </c>
      <c r="F177" s="476">
        <v>88.5</v>
      </c>
      <c r="G177" s="448">
        <f t="shared" si="3"/>
        <v>265.5</v>
      </c>
      <c r="H177" s="2">
        <v>88.5</v>
      </c>
    </row>
    <row r="178" spans="1:8" x14ac:dyDescent="0.25">
      <c r="A178" s="440" t="s">
        <v>1190</v>
      </c>
      <c r="B178" s="582"/>
      <c r="C178" s="454" t="s">
        <v>55</v>
      </c>
      <c r="D178" s="446" t="s">
        <v>1125</v>
      </c>
      <c r="E178" s="464">
        <v>10</v>
      </c>
      <c r="F178" s="476">
        <v>220.37666666666667</v>
      </c>
      <c r="G178" s="448">
        <f t="shared" si="3"/>
        <v>2203.77</v>
      </c>
      <c r="H178" s="2">
        <v>220.37666666666667</v>
      </c>
    </row>
    <row r="179" spans="1:8" ht="25.5" x14ac:dyDescent="0.25">
      <c r="A179" s="440" t="s">
        <v>1191</v>
      </c>
      <c r="B179" s="582"/>
      <c r="C179" s="454" t="s">
        <v>806</v>
      </c>
      <c r="D179" s="446" t="s">
        <v>1125</v>
      </c>
      <c r="E179" s="464">
        <v>10</v>
      </c>
      <c r="F179" s="476">
        <v>279.68</v>
      </c>
      <c r="G179" s="448">
        <f t="shared" si="3"/>
        <v>2796.8</v>
      </c>
      <c r="H179" s="2">
        <v>279.68</v>
      </c>
    </row>
    <row r="180" spans="1:8" ht="25.5" x14ac:dyDescent="0.25">
      <c r="A180" s="440" t="s">
        <v>1192</v>
      </c>
      <c r="B180" s="582"/>
      <c r="C180" s="454" t="s">
        <v>56</v>
      </c>
      <c r="D180" s="446" t="s">
        <v>1125</v>
      </c>
      <c r="E180" s="464">
        <v>10</v>
      </c>
      <c r="F180" s="476">
        <v>856.62666666666667</v>
      </c>
      <c r="G180" s="448">
        <f t="shared" si="3"/>
        <v>8566.27</v>
      </c>
      <c r="H180" s="2">
        <v>856.62666666666667</v>
      </c>
    </row>
    <row r="181" spans="1:8" x14ac:dyDescent="0.25">
      <c r="A181" s="440" t="s">
        <v>1193</v>
      </c>
      <c r="B181" s="582"/>
      <c r="C181" s="466" t="s">
        <v>57</v>
      </c>
      <c r="D181" s="446" t="s">
        <v>1125</v>
      </c>
      <c r="E181" s="469">
        <v>2</v>
      </c>
      <c r="F181" s="476">
        <v>79.680000000000007</v>
      </c>
      <c r="G181" s="448">
        <f t="shared" si="3"/>
        <v>159.36000000000001</v>
      </c>
      <c r="H181" s="2">
        <v>79.680000000000007</v>
      </c>
    </row>
    <row r="182" spans="1:8" x14ac:dyDescent="0.25">
      <c r="A182" s="440" t="s">
        <v>1194</v>
      </c>
      <c r="B182" s="582"/>
      <c r="C182" s="454" t="s">
        <v>58</v>
      </c>
      <c r="D182" s="446" t="s">
        <v>1125</v>
      </c>
      <c r="E182" s="464">
        <v>10</v>
      </c>
      <c r="F182" s="476">
        <v>116.40333333333335</v>
      </c>
      <c r="G182" s="448">
        <f t="shared" si="3"/>
        <v>1164.03</v>
      </c>
      <c r="H182" s="2">
        <v>116.40333333333335</v>
      </c>
    </row>
    <row r="183" spans="1:8" ht="25.5" x14ac:dyDescent="0.25">
      <c r="A183" s="440" t="s">
        <v>1195</v>
      </c>
      <c r="B183" s="582"/>
      <c r="C183" s="454" t="s">
        <v>59</v>
      </c>
      <c r="D183" s="446" t="s">
        <v>1125</v>
      </c>
      <c r="E183" s="464">
        <v>10</v>
      </c>
      <c r="F183" s="476">
        <v>38.419999999999995</v>
      </c>
      <c r="G183" s="448">
        <f t="shared" si="3"/>
        <v>384.2</v>
      </c>
      <c r="H183" s="2">
        <v>38.419999999999995</v>
      </c>
    </row>
    <row r="184" spans="1:8" x14ac:dyDescent="0.25">
      <c r="A184" s="440" t="s">
        <v>1196</v>
      </c>
      <c r="B184" s="582"/>
      <c r="C184" s="454" t="s">
        <v>60</v>
      </c>
      <c r="D184" s="446" t="s">
        <v>1125</v>
      </c>
      <c r="E184" s="464">
        <v>2</v>
      </c>
      <c r="F184" s="476">
        <v>225.69</v>
      </c>
      <c r="G184" s="448">
        <f t="shared" si="3"/>
        <v>451.38</v>
      </c>
      <c r="H184" s="2">
        <v>225.69</v>
      </c>
    </row>
    <row r="185" spans="1:8" ht="25.5" x14ac:dyDescent="0.25">
      <c r="A185" s="440" t="s">
        <v>1197</v>
      </c>
      <c r="B185" s="582"/>
      <c r="C185" s="454" t="s">
        <v>61</v>
      </c>
      <c r="D185" s="446" t="s">
        <v>1125</v>
      </c>
      <c r="E185" s="464">
        <v>2</v>
      </c>
      <c r="F185" s="476">
        <v>140.34</v>
      </c>
      <c r="G185" s="448">
        <f t="shared" si="3"/>
        <v>280.68</v>
      </c>
      <c r="H185" s="2">
        <v>140.34</v>
      </c>
    </row>
    <row r="186" spans="1:8" ht="51" x14ac:dyDescent="0.25">
      <c r="A186" s="440" t="s">
        <v>1198</v>
      </c>
      <c r="B186" s="582"/>
      <c r="C186" s="466" t="s">
        <v>807</v>
      </c>
      <c r="D186" s="446" t="s">
        <v>1125</v>
      </c>
      <c r="E186" s="464">
        <v>2</v>
      </c>
      <c r="F186" s="476">
        <v>436.99333333333334</v>
      </c>
      <c r="G186" s="448">
        <f t="shared" si="3"/>
        <v>873.99</v>
      </c>
      <c r="H186" s="2">
        <v>436.99333333333334</v>
      </c>
    </row>
    <row r="187" spans="1:8" ht="25.5" x14ac:dyDescent="0.25">
      <c r="A187" s="440" t="s">
        <v>1199</v>
      </c>
      <c r="B187" s="582"/>
      <c r="C187" s="454" t="s">
        <v>808</v>
      </c>
      <c r="D187" s="446" t="s">
        <v>1125</v>
      </c>
      <c r="E187" s="464">
        <v>2</v>
      </c>
      <c r="F187" s="476">
        <v>1564.05</v>
      </c>
      <c r="G187" s="448">
        <f t="shared" si="3"/>
        <v>3128.1</v>
      </c>
      <c r="H187" s="2">
        <v>1564.05</v>
      </c>
    </row>
    <row r="188" spans="1:8" x14ac:dyDescent="0.25">
      <c r="A188" s="440" t="s">
        <v>1200</v>
      </c>
      <c r="B188" s="582" t="s">
        <v>2166</v>
      </c>
      <c r="C188" s="454" t="s">
        <v>62</v>
      </c>
      <c r="D188" s="446" t="s">
        <v>1125</v>
      </c>
      <c r="E188" s="464">
        <v>10</v>
      </c>
      <c r="F188" s="476">
        <v>15</v>
      </c>
      <c r="G188" s="448">
        <f t="shared" si="3"/>
        <v>150</v>
      </c>
      <c r="H188" s="2">
        <v>102.4</v>
      </c>
    </row>
    <row r="189" spans="1:8" x14ac:dyDescent="0.25">
      <c r="A189" s="440" t="s">
        <v>1201</v>
      </c>
      <c r="B189" s="582"/>
      <c r="C189" s="454" t="s">
        <v>63</v>
      </c>
      <c r="D189" s="446" t="s">
        <v>1125</v>
      </c>
      <c r="E189" s="464">
        <v>1</v>
      </c>
      <c r="F189" s="476">
        <v>43.016666666666673</v>
      </c>
      <c r="G189" s="448">
        <f t="shared" si="3"/>
        <v>43.02</v>
      </c>
      <c r="H189" s="2">
        <v>43.016666666666673</v>
      </c>
    </row>
    <row r="190" spans="1:8" x14ac:dyDescent="0.25">
      <c r="A190" s="440" t="s">
        <v>1202</v>
      </c>
      <c r="B190" s="582"/>
      <c r="C190" s="465" t="s">
        <v>64</v>
      </c>
      <c r="D190" s="446" t="s">
        <v>1125</v>
      </c>
      <c r="E190" s="464">
        <v>1</v>
      </c>
      <c r="F190" s="476">
        <v>43.636666666666663</v>
      </c>
      <c r="G190" s="448">
        <f t="shared" si="3"/>
        <v>43.64</v>
      </c>
      <c r="H190" s="2">
        <v>43.636666666666663</v>
      </c>
    </row>
    <row r="191" spans="1:8" x14ac:dyDescent="0.25">
      <c r="A191" s="440" t="s">
        <v>1203</v>
      </c>
      <c r="B191" s="582"/>
      <c r="C191" s="454" t="s">
        <v>65</v>
      </c>
      <c r="D191" s="446" t="s">
        <v>1125</v>
      </c>
      <c r="E191" s="464">
        <v>13</v>
      </c>
      <c r="F191" s="476">
        <v>25.494999999999997</v>
      </c>
      <c r="G191" s="448">
        <f t="shared" si="3"/>
        <v>331.44</v>
      </c>
      <c r="H191" s="2">
        <v>25.494999999999997</v>
      </c>
    </row>
    <row r="192" spans="1:8" x14ac:dyDescent="0.25">
      <c r="A192" s="440" t="s">
        <v>1204</v>
      </c>
      <c r="B192" s="582"/>
      <c r="C192" s="465" t="s">
        <v>66</v>
      </c>
      <c r="D192" s="446" t="s">
        <v>1125</v>
      </c>
      <c r="E192" s="464">
        <v>13</v>
      </c>
      <c r="F192" s="476">
        <v>152</v>
      </c>
      <c r="G192" s="448">
        <f t="shared" si="3"/>
        <v>1976</v>
      </c>
      <c r="H192" s="2">
        <v>152</v>
      </c>
    </row>
    <row r="193" spans="1:8" x14ac:dyDescent="0.25">
      <c r="A193" s="440" t="s">
        <v>1205</v>
      </c>
      <c r="B193" s="582"/>
      <c r="C193" s="465" t="s">
        <v>67</v>
      </c>
      <c r="D193" s="446" t="s">
        <v>1125</v>
      </c>
      <c r="E193" s="464">
        <v>13</v>
      </c>
      <c r="F193" s="476">
        <v>207.495</v>
      </c>
      <c r="G193" s="448">
        <f t="shared" si="3"/>
        <v>2697.44</v>
      </c>
      <c r="H193" s="2">
        <v>207.495</v>
      </c>
    </row>
    <row r="194" spans="1:8" x14ac:dyDescent="0.25">
      <c r="A194" s="440" t="s">
        <v>1206</v>
      </c>
      <c r="B194" s="582"/>
      <c r="C194" s="454" t="s">
        <v>68</v>
      </c>
      <c r="D194" s="446" t="s">
        <v>1125</v>
      </c>
      <c r="E194" s="464">
        <v>13</v>
      </c>
      <c r="F194" s="476">
        <v>768.5</v>
      </c>
      <c r="G194" s="448">
        <f t="shared" si="3"/>
        <v>9990.5</v>
      </c>
      <c r="H194" s="2">
        <v>768.5</v>
      </c>
    </row>
    <row r="195" spans="1:8" x14ac:dyDescent="0.25">
      <c r="A195" s="440" t="s">
        <v>1207</v>
      </c>
      <c r="B195" s="582"/>
      <c r="C195" s="454" t="s">
        <v>69</v>
      </c>
      <c r="D195" s="446" t="s">
        <v>1125</v>
      </c>
      <c r="E195" s="464">
        <v>10</v>
      </c>
      <c r="F195" s="476">
        <v>61.805</v>
      </c>
      <c r="G195" s="448">
        <f t="shared" si="3"/>
        <v>618.04999999999995</v>
      </c>
      <c r="H195" s="2">
        <v>61.805</v>
      </c>
    </row>
    <row r="196" spans="1:8" x14ac:dyDescent="0.25">
      <c r="A196" s="440" t="s">
        <v>1208</v>
      </c>
      <c r="B196" s="582"/>
      <c r="C196" s="454" t="s">
        <v>70</v>
      </c>
      <c r="D196" s="446" t="s">
        <v>1125</v>
      </c>
      <c r="E196" s="464">
        <v>1</v>
      </c>
      <c r="F196" s="476">
        <v>532.45000000000005</v>
      </c>
      <c r="G196" s="448">
        <f t="shared" si="3"/>
        <v>532.45000000000005</v>
      </c>
      <c r="H196" s="2">
        <v>532.45000000000005</v>
      </c>
    </row>
    <row r="197" spans="1:8" x14ac:dyDescent="0.25">
      <c r="A197" s="440" t="s">
        <v>1209</v>
      </c>
      <c r="B197" s="582"/>
      <c r="C197" s="454" t="s">
        <v>1095</v>
      </c>
      <c r="D197" s="446" t="s">
        <v>1125</v>
      </c>
      <c r="E197" s="464">
        <v>10</v>
      </c>
      <c r="F197" s="476">
        <v>57.556666666666672</v>
      </c>
      <c r="G197" s="448">
        <f t="shared" si="3"/>
        <v>575.57000000000005</v>
      </c>
      <c r="H197" s="2">
        <v>57.556666666666672</v>
      </c>
    </row>
    <row r="198" spans="1:8" x14ac:dyDescent="0.25">
      <c r="A198" s="440" t="s">
        <v>1210</v>
      </c>
      <c r="B198" s="582"/>
      <c r="C198" s="454" t="s">
        <v>71</v>
      </c>
      <c r="D198" s="446" t="s">
        <v>1125</v>
      </c>
      <c r="E198" s="464">
        <v>10</v>
      </c>
      <c r="F198" s="476">
        <v>30.4</v>
      </c>
      <c r="G198" s="448">
        <f t="shared" si="3"/>
        <v>304</v>
      </c>
      <c r="H198" s="2">
        <v>30.4</v>
      </c>
    </row>
    <row r="199" spans="1:8" ht="25.5" x14ac:dyDescent="0.25">
      <c r="A199" s="440" t="s">
        <v>1211</v>
      </c>
      <c r="B199" s="582"/>
      <c r="C199" s="454" t="s">
        <v>809</v>
      </c>
      <c r="D199" s="446" t="s">
        <v>1125</v>
      </c>
      <c r="E199" s="464">
        <v>1</v>
      </c>
      <c r="F199" s="476">
        <v>765.0009</v>
      </c>
      <c r="G199" s="448">
        <f t="shared" si="3"/>
        <v>765</v>
      </c>
      <c r="H199" s="2">
        <v>765.0009</v>
      </c>
    </row>
    <row r="200" spans="1:8" x14ac:dyDescent="0.25">
      <c r="A200" s="441">
        <v>2100</v>
      </c>
      <c r="B200" s="583"/>
      <c r="C200" s="454" t="s">
        <v>810</v>
      </c>
      <c r="D200" s="446" t="s">
        <v>1125</v>
      </c>
      <c r="E200" s="464">
        <v>10</v>
      </c>
      <c r="F200" s="476">
        <v>26.55</v>
      </c>
      <c r="G200" s="448">
        <f t="shared" si="3"/>
        <v>265.5</v>
      </c>
      <c r="H200" s="2">
        <v>26.55</v>
      </c>
    </row>
    <row r="201" spans="1:8" x14ac:dyDescent="0.25">
      <c r="A201" s="441">
        <v>2101</v>
      </c>
      <c r="B201" s="583"/>
      <c r="C201" s="454" t="s">
        <v>72</v>
      </c>
      <c r="D201" s="446" t="s">
        <v>1125</v>
      </c>
      <c r="E201" s="464">
        <v>10</v>
      </c>
      <c r="F201" s="476">
        <v>226.48666666666668</v>
      </c>
      <c r="G201" s="448">
        <f t="shared" si="3"/>
        <v>2264.87</v>
      </c>
      <c r="H201" s="2">
        <v>226.48666666666668</v>
      </c>
    </row>
    <row r="202" spans="1:8" ht="25.5" x14ac:dyDescent="0.25">
      <c r="A202" s="441">
        <v>2102</v>
      </c>
      <c r="B202" s="583"/>
      <c r="C202" s="454" t="s">
        <v>73</v>
      </c>
      <c r="D202" s="446" t="s">
        <v>1125</v>
      </c>
      <c r="E202" s="464">
        <v>2</v>
      </c>
      <c r="F202" s="469">
        <v>152.47</v>
      </c>
      <c r="G202" s="448">
        <f t="shared" si="3"/>
        <v>304.94</v>
      </c>
      <c r="H202" s="2">
        <v>152.47</v>
      </c>
    </row>
    <row r="203" spans="1:8" x14ac:dyDescent="0.25">
      <c r="A203" s="441">
        <v>2103</v>
      </c>
      <c r="B203" s="583"/>
      <c r="C203" s="466" t="s">
        <v>811</v>
      </c>
      <c r="D203" s="446" t="s">
        <v>1125</v>
      </c>
      <c r="E203" s="469">
        <v>10</v>
      </c>
      <c r="F203" s="476">
        <v>58.673333333333339</v>
      </c>
      <c r="G203" s="448">
        <f t="shared" si="3"/>
        <v>586.73</v>
      </c>
      <c r="H203" s="2">
        <v>58.673333333333339</v>
      </c>
    </row>
    <row r="204" spans="1:8" x14ac:dyDescent="0.25">
      <c r="A204" s="441">
        <v>2104</v>
      </c>
      <c r="B204" s="583"/>
      <c r="C204" s="454" t="s">
        <v>74</v>
      </c>
      <c r="D204" s="446" t="s">
        <v>1125</v>
      </c>
      <c r="E204" s="464">
        <v>2</v>
      </c>
      <c r="F204" s="476">
        <v>1058</v>
      </c>
      <c r="G204" s="448">
        <f t="shared" si="3"/>
        <v>2116</v>
      </c>
      <c r="H204" s="2">
        <v>1058</v>
      </c>
    </row>
    <row r="205" spans="1:8" ht="25.5" x14ac:dyDescent="0.25">
      <c r="A205" s="441">
        <v>2105</v>
      </c>
      <c r="B205" s="583"/>
      <c r="C205" s="454" t="s">
        <v>812</v>
      </c>
      <c r="D205" s="446" t="s">
        <v>1125</v>
      </c>
      <c r="E205" s="464">
        <v>4</v>
      </c>
      <c r="F205" s="469">
        <v>869.12</v>
      </c>
      <c r="G205" s="448">
        <f t="shared" si="3"/>
        <v>3476.48</v>
      </c>
      <c r="H205" s="2">
        <v>869.12</v>
      </c>
    </row>
    <row r="206" spans="1:8" x14ac:dyDescent="0.25">
      <c r="A206" s="441">
        <v>2106</v>
      </c>
      <c r="B206" s="583"/>
      <c r="C206" s="454" t="s">
        <v>75</v>
      </c>
      <c r="D206" s="446" t="s">
        <v>1125</v>
      </c>
      <c r="E206" s="464">
        <v>1</v>
      </c>
      <c r="F206" s="476">
        <v>187.96333333333334</v>
      </c>
      <c r="G206" s="448">
        <f t="shared" si="3"/>
        <v>187.96</v>
      </c>
      <c r="H206" s="2">
        <v>187.96333333333334</v>
      </c>
    </row>
    <row r="207" spans="1:8" x14ac:dyDescent="0.25">
      <c r="A207" s="441">
        <v>2107</v>
      </c>
      <c r="B207" s="583"/>
      <c r="C207" s="454" t="s">
        <v>76</v>
      </c>
      <c r="D207" s="446" t="s">
        <v>1125</v>
      </c>
      <c r="E207" s="464">
        <v>1</v>
      </c>
      <c r="F207" s="469">
        <v>1224.425</v>
      </c>
      <c r="G207" s="448">
        <f t="shared" si="3"/>
        <v>1224.43</v>
      </c>
      <c r="H207" s="2">
        <v>1224.425</v>
      </c>
    </row>
    <row r="208" spans="1:8" s="196" customFormat="1" x14ac:dyDescent="0.25">
      <c r="A208" s="442">
        <v>2108</v>
      </c>
      <c r="B208" s="584"/>
      <c r="C208" s="453" t="s">
        <v>77</v>
      </c>
      <c r="D208" s="450" t="s">
        <v>1125</v>
      </c>
      <c r="E208" s="457">
        <v>1</v>
      </c>
      <c r="F208" s="625">
        <v>3780</v>
      </c>
      <c r="G208" s="452">
        <f t="shared" si="3"/>
        <v>3780</v>
      </c>
      <c r="H208" s="196">
        <v>3780</v>
      </c>
    </row>
    <row r="209" spans="1:8" x14ac:dyDescent="0.25">
      <c r="A209" s="441">
        <v>2109</v>
      </c>
      <c r="B209" s="583"/>
      <c r="C209" s="454" t="s">
        <v>78</v>
      </c>
      <c r="D209" s="446" t="s">
        <v>1125</v>
      </c>
      <c r="E209" s="464">
        <v>6</v>
      </c>
      <c r="F209" s="476">
        <v>1102.3833333333334</v>
      </c>
      <c r="G209" s="448">
        <f t="shared" si="3"/>
        <v>6614.3</v>
      </c>
      <c r="H209" s="2">
        <v>1102.3833333333334</v>
      </c>
    </row>
    <row r="210" spans="1:8" ht="13.5" thickBot="1" x14ac:dyDescent="0.3">
      <c r="A210" s="273">
        <v>2110</v>
      </c>
      <c r="B210" s="585"/>
      <c r="C210" s="268" t="s">
        <v>79</v>
      </c>
      <c r="D210" s="231" t="s">
        <v>1125</v>
      </c>
      <c r="E210" s="269">
        <v>2</v>
      </c>
      <c r="F210" s="165">
        <v>69.296666666666667</v>
      </c>
      <c r="G210" s="234">
        <f t="shared" si="3"/>
        <v>138.59</v>
      </c>
      <c r="H210" s="2">
        <v>69.296666666666667</v>
      </c>
    </row>
    <row r="211" spans="1:8" ht="13.5" thickBot="1" x14ac:dyDescent="0.3">
      <c r="A211" s="834" t="str">
        <f>"TOTAL - "&amp;C100&amp;" - (R$):"</f>
        <v>TOTAL - FERRAMENTAS - ELÉTRICA - (R$):</v>
      </c>
      <c r="B211" s="835"/>
      <c r="C211" s="835"/>
      <c r="D211" s="835"/>
      <c r="E211" s="835"/>
      <c r="F211" s="836"/>
      <c r="G211" s="283">
        <f>SUBTOTAL(9,G100:G210)</f>
        <v>311016.37000000005</v>
      </c>
      <c r="H211" s="2">
        <v>310761.22000000003</v>
      </c>
    </row>
    <row r="212" spans="1:8" ht="13.5" thickBot="1" x14ac:dyDescent="0.3"/>
    <row r="213" spans="1:8" s="21" customFormat="1" ht="13.5" thickBot="1" x14ac:dyDescent="0.3">
      <c r="A213" s="544" t="s">
        <v>362</v>
      </c>
      <c r="B213" s="579"/>
      <c r="C213" s="1007" t="s">
        <v>1212</v>
      </c>
      <c r="D213" s="1008"/>
      <c r="E213" s="1008"/>
      <c r="F213" s="1008"/>
      <c r="G213" s="1009"/>
      <c r="H213" s="261" t="s">
        <v>1165</v>
      </c>
    </row>
    <row r="214" spans="1:8" x14ac:dyDescent="0.25">
      <c r="A214" s="260" t="s">
        <v>238</v>
      </c>
      <c r="B214" s="586"/>
      <c r="C214" s="7" t="s">
        <v>1096</v>
      </c>
      <c r="D214" s="9" t="s">
        <v>1125</v>
      </c>
      <c r="E214" s="470">
        <v>30</v>
      </c>
      <c r="F214" s="32">
        <v>160.80000000000001</v>
      </c>
      <c r="G214" s="259">
        <f t="shared" ref="G214:G268" si="4">ROUND(E214*F214,2)</f>
        <v>4824</v>
      </c>
    </row>
    <row r="215" spans="1:8" x14ac:dyDescent="0.25">
      <c r="A215" s="438" t="s">
        <v>239</v>
      </c>
      <c r="B215" s="576"/>
      <c r="C215" s="455" t="s">
        <v>80</v>
      </c>
      <c r="D215" s="446" t="s">
        <v>1125</v>
      </c>
      <c r="E215" s="471">
        <v>30</v>
      </c>
      <c r="F215" s="476">
        <v>16.53</v>
      </c>
      <c r="G215" s="448">
        <f t="shared" si="4"/>
        <v>495.9</v>
      </c>
    </row>
    <row r="216" spans="1:8" x14ac:dyDescent="0.25">
      <c r="A216" s="438" t="s">
        <v>240</v>
      </c>
      <c r="B216" s="576" t="s">
        <v>2164</v>
      </c>
      <c r="C216" s="454" t="s">
        <v>14</v>
      </c>
      <c r="D216" s="446" t="s">
        <v>1125</v>
      </c>
      <c r="E216" s="471">
        <v>12</v>
      </c>
      <c r="F216" s="476">
        <f>F118</f>
        <v>21.25</v>
      </c>
      <c r="G216" s="448">
        <f t="shared" si="4"/>
        <v>255</v>
      </c>
    </row>
    <row r="217" spans="1:8" x14ac:dyDescent="0.25">
      <c r="A217" s="438" t="s">
        <v>241</v>
      </c>
      <c r="B217" s="576" t="s">
        <v>2295</v>
      </c>
      <c r="C217" s="455" t="s">
        <v>81</v>
      </c>
      <c r="D217" s="446" t="s">
        <v>1125</v>
      </c>
      <c r="E217" s="471">
        <v>60</v>
      </c>
      <c r="F217" s="476">
        <v>10.220000000000001</v>
      </c>
      <c r="G217" s="448">
        <f t="shared" si="4"/>
        <v>613.20000000000005</v>
      </c>
    </row>
    <row r="218" spans="1:8" x14ac:dyDescent="0.25">
      <c r="A218" s="438" t="s">
        <v>242</v>
      </c>
      <c r="B218" s="576"/>
      <c r="C218" s="455" t="s">
        <v>1101</v>
      </c>
      <c r="D218" s="446" t="s">
        <v>1125</v>
      </c>
      <c r="E218" s="471">
        <v>10</v>
      </c>
      <c r="F218" s="476">
        <v>449.51</v>
      </c>
      <c r="G218" s="448">
        <f t="shared" si="4"/>
        <v>4495.1000000000004</v>
      </c>
    </row>
    <row r="219" spans="1:8" x14ac:dyDescent="0.25">
      <c r="A219" s="438" t="s">
        <v>243</v>
      </c>
      <c r="B219" s="576"/>
      <c r="C219" s="454" t="s">
        <v>23</v>
      </c>
      <c r="D219" s="446" t="s">
        <v>1125</v>
      </c>
      <c r="E219" s="471">
        <v>6</v>
      </c>
      <c r="F219" s="476">
        <f>F137</f>
        <v>526.26666666666665</v>
      </c>
      <c r="G219" s="448">
        <f t="shared" si="4"/>
        <v>3157.6</v>
      </c>
    </row>
    <row r="220" spans="1:8" x14ac:dyDescent="0.25">
      <c r="A220" s="438" t="s">
        <v>244</v>
      </c>
      <c r="B220" s="576"/>
      <c r="C220" s="455" t="s">
        <v>82</v>
      </c>
      <c r="D220" s="446" t="s">
        <v>1125</v>
      </c>
      <c r="E220" s="471">
        <v>12</v>
      </c>
      <c r="F220" s="476">
        <v>270</v>
      </c>
      <c r="G220" s="448">
        <f t="shared" si="4"/>
        <v>3240</v>
      </c>
    </row>
    <row r="221" spans="1:8" x14ac:dyDescent="0.25">
      <c r="A221" s="438" t="s">
        <v>245</v>
      </c>
      <c r="B221" s="576" t="s">
        <v>2297</v>
      </c>
      <c r="C221" s="455" t="s">
        <v>83</v>
      </c>
      <c r="D221" s="446" t="s">
        <v>1125</v>
      </c>
      <c r="E221" s="471">
        <v>120</v>
      </c>
      <c r="F221" s="476">
        <v>119.45</v>
      </c>
      <c r="G221" s="448">
        <f t="shared" si="4"/>
        <v>14334</v>
      </c>
    </row>
    <row r="222" spans="1:8" x14ac:dyDescent="0.25">
      <c r="A222" s="438" t="s">
        <v>246</v>
      </c>
      <c r="B222" s="576"/>
      <c r="C222" s="455" t="s">
        <v>84</v>
      </c>
      <c r="D222" s="446" t="s">
        <v>1125</v>
      </c>
      <c r="E222" s="471">
        <v>30</v>
      </c>
      <c r="F222" s="476">
        <v>24.39</v>
      </c>
      <c r="G222" s="448">
        <f t="shared" si="4"/>
        <v>731.7</v>
      </c>
    </row>
    <row r="223" spans="1:8" x14ac:dyDescent="0.25">
      <c r="A223" s="438" t="s">
        <v>247</v>
      </c>
      <c r="B223" s="576"/>
      <c r="C223" s="455" t="s">
        <v>85</v>
      </c>
      <c r="D223" s="446" t="s">
        <v>1125</v>
      </c>
      <c r="E223" s="471">
        <v>105</v>
      </c>
      <c r="F223" s="476">
        <v>34.49</v>
      </c>
      <c r="G223" s="448">
        <f t="shared" si="4"/>
        <v>3621.45</v>
      </c>
    </row>
    <row r="224" spans="1:8" x14ac:dyDescent="0.25">
      <c r="A224" s="438" t="s">
        <v>248</v>
      </c>
      <c r="B224" s="576"/>
      <c r="C224" s="455" t="s">
        <v>86</v>
      </c>
      <c r="D224" s="446" t="s">
        <v>1125</v>
      </c>
      <c r="E224" s="471">
        <v>5</v>
      </c>
      <c r="F224" s="476">
        <v>15.32</v>
      </c>
      <c r="G224" s="448">
        <f t="shared" si="4"/>
        <v>76.599999999999994</v>
      </c>
    </row>
    <row r="225" spans="1:9" s="196" customFormat="1" x14ac:dyDescent="0.25">
      <c r="A225" s="443" t="s">
        <v>249</v>
      </c>
      <c r="B225" s="577"/>
      <c r="C225" s="472" t="s">
        <v>87</v>
      </c>
      <c r="D225" s="450" t="s">
        <v>1125</v>
      </c>
      <c r="E225" s="451">
        <v>3</v>
      </c>
      <c r="F225" s="625">
        <v>229.9</v>
      </c>
      <c r="G225" s="452">
        <f t="shared" si="4"/>
        <v>689.7</v>
      </c>
    </row>
    <row r="226" spans="1:9" s="196" customFormat="1" x14ac:dyDescent="0.25">
      <c r="A226" s="443" t="s">
        <v>250</v>
      </c>
      <c r="B226" s="577"/>
      <c r="C226" s="472" t="s">
        <v>88</v>
      </c>
      <c r="D226" s="450" t="s">
        <v>1125</v>
      </c>
      <c r="E226" s="451">
        <v>5</v>
      </c>
      <c r="F226" s="625">
        <v>252.17</v>
      </c>
      <c r="G226" s="452">
        <f t="shared" si="4"/>
        <v>1260.8499999999999</v>
      </c>
    </row>
    <row r="227" spans="1:9" x14ac:dyDescent="0.25">
      <c r="A227" s="438" t="s">
        <v>251</v>
      </c>
      <c r="B227" s="576"/>
      <c r="C227" s="455" t="s">
        <v>813</v>
      </c>
      <c r="D227" s="446" t="s">
        <v>1125</v>
      </c>
      <c r="E227" s="471">
        <v>9</v>
      </c>
      <c r="F227" s="476">
        <v>4.66</v>
      </c>
      <c r="G227" s="448">
        <f t="shared" si="4"/>
        <v>41.94</v>
      </c>
    </row>
    <row r="228" spans="1:9" s="196" customFormat="1" x14ac:dyDescent="0.25">
      <c r="A228" s="443" t="s">
        <v>252</v>
      </c>
      <c r="B228" s="577"/>
      <c r="C228" s="472" t="s">
        <v>89</v>
      </c>
      <c r="D228" s="450" t="s">
        <v>1125</v>
      </c>
      <c r="E228" s="451">
        <v>9</v>
      </c>
      <c r="F228" s="625">
        <v>11.31</v>
      </c>
      <c r="G228" s="452">
        <f t="shared" si="4"/>
        <v>101.79</v>
      </c>
    </row>
    <row r="229" spans="1:9" s="196" customFormat="1" x14ac:dyDescent="0.25">
      <c r="A229" s="443" t="s">
        <v>253</v>
      </c>
      <c r="B229" s="577"/>
      <c r="C229" s="472" t="s">
        <v>90</v>
      </c>
      <c r="D229" s="450" t="s">
        <v>1125</v>
      </c>
      <c r="E229" s="457">
        <v>9</v>
      </c>
      <c r="F229" s="625">
        <v>15.78</v>
      </c>
      <c r="G229" s="452">
        <f t="shared" si="4"/>
        <v>142.02000000000001</v>
      </c>
    </row>
    <row r="230" spans="1:9" x14ac:dyDescent="0.25">
      <c r="A230" s="438" t="s">
        <v>254</v>
      </c>
      <c r="B230" s="576"/>
      <c r="C230" s="455" t="s">
        <v>91</v>
      </c>
      <c r="D230" s="446" t="s">
        <v>1125</v>
      </c>
      <c r="E230" s="473">
        <v>6</v>
      </c>
      <c r="F230" s="476">
        <v>7</v>
      </c>
      <c r="G230" s="448">
        <f t="shared" si="4"/>
        <v>42</v>
      </c>
    </row>
    <row r="231" spans="1:9" x14ac:dyDescent="0.25">
      <c r="A231" s="438" t="s">
        <v>255</v>
      </c>
      <c r="B231" s="576" t="s">
        <v>2298</v>
      </c>
      <c r="C231" s="455" t="s">
        <v>814</v>
      </c>
      <c r="D231" s="446" t="s">
        <v>1125</v>
      </c>
      <c r="E231" s="473">
        <v>105</v>
      </c>
      <c r="F231" s="476">
        <v>29.59</v>
      </c>
      <c r="G231" s="448">
        <f t="shared" si="4"/>
        <v>3106.95</v>
      </c>
    </row>
    <row r="232" spans="1:9" x14ac:dyDescent="0.25">
      <c r="A232" s="438" t="s">
        <v>256</v>
      </c>
      <c r="B232" s="576" t="s">
        <v>2299</v>
      </c>
      <c r="C232" s="455" t="s">
        <v>92</v>
      </c>
      <c r="D232" s="446" t="s">
        <v>1125</v>
      </c>
      <c r="E232" s="473">
        <v>12</v>
      </c>
      <c r="F232" s="476">
        <v>629.83000000000004</v>
      </c>
      <c r="G232" s="448">
        <f t="shared" si="4"/>
        <v>7557.96</v>
      </c>
      <c r="I232" s="2" t="s">
        <v>2300</v>
      </c>
    </row>
    <row r="233" spans="1:9" x14ac:dyDescent="0.25">
      <c r="A233" s="438" t="s">
        <v>257</v>
      </c>
      <c r="B233" s="576" t="s">
        <v>2301</v>
      </c>
      <c r="C233" s="455" t="s">
        <v>2303</v>
      </c>
      <c r="D233" s="446" t="s">
        <v>1125</v>
      </c>
      <c r="E233" s="473">
        <v>12</v>
      </c>
      <c r="F233" s="476">
        <v>10</v>
      </c>
      <c r="G233" s="448">
        <f t="shared" si="4"/>
        <v>120</v>
      </c>
    </row>
    <row r="234" spans="1:9" s="196" customFormat="1" x14ac:dyDescent="0.25">
      <c r="A234" s="443" t="s">
        <v>258</v>
      </c>
      <c r="B234" s="577" t="s">
        <v>2306</v>
      </c>
      <c r="C234" s="472" t="s">
        <v>2305</v>
      </c>
      <c r="D234" s="450" t="s">
        <v>1125</v>
      </c>
      <c r="E234" s="457">
        <v>12</v>
      </c>
      <c r="F234" s="625">
        <v>11.95</v>
      </c>
      <c r="G234" s="452">
        <f t="shared" si="4"/>
        <v>143.4</v>
      </c>
    </row>
    <row r="235" spans="1:9" s="196" customFormat="1" x14ac:dyDescent="0.25">
      <c r="A235" s="443" t="s">
        <v>259</v>
      </c>
      <c r="B235" s="577" t="s">
        <v>2307</v>
      </c>
      <c r="C235" s="472" t="s">
        <v>2304</v>
      </c>
      <c r="D235" s="450" t="s">
        <v>1125</v>
      </c>
      <c r="E235" s="457">
        <v>12</v>
      </c>
      <c r="F235" s="625">
        <v>7.37</v>
      </c>
      <c r="G235" s="452">
        <f t="shared" si="4"/>
        <v>88.44</v>
      </c>
    </row>
    <row r="236" spans="1:9" x14ac:dyDescent="0.25">
      <c r="A236" s="438" t="s">
        <v>260</v>
      </c>
      <c r="B236" s="576"/>
      <c r="C236" s="455" t="s">
        <v>93</v>
      </c>
      <c r="D236" s="446" t="s">
        <v>1125</v>
      </c>
      <c r="E236" s="473">
        <v>105</v>
      </c>
      <c r="F236" s="476">
        <v>1.02</v>
      </c>
      <c r="G236" s="448">
        <f t="shared" si="4"/>
        <v>107.1</v>
      </c>
    </row>
    <row r="237" spans="1:9" x14ac:dyDescent="0.25">
      <c r="A237" s="438" t="s">
        <v>261</v>
      </c>
      <c r="B237" s="576" t="s">
        <v>2308</v>
      </c>
      <c r="C237" s="455" t="s">
        <v>2309</v>
      </c>
      <c r="D237" s="446" t="s">
        <v>1125</v>
      </c>
      <c r="E237" s="473">
        <v>6</v>
      </c>
      <c r="F237" s="476">
        <v>18.98</v>
      </c>
      <c r="G237" s="448">
        <f t="shared" si="4"/>
        <v>113.88</v>
      </c>
    </row>
    <row r="238" spans="1:9" x14ac:dyDescent="0.25">
      <c r="A238" s="438" t="s">
        <v>262</v>
      </c>
      <c r="B238" s="576"/>
      <c r="C238" s="455" t="s">
        <v>94</v>
      </c>
      <c r="D238" s="446" t="s">
        <v>1125</v>
      </c>
      <c r="E238" s="473">
        <v>105</v>
      </c>
      <c r="F238" s="476">
        <v>21.24</v>
      </c>
      <c r="G238" s="448">
        <f t="shared" si="4"/>
        <v>2230.1999999999998</v>
      </c>
    </row>
    <row r="239" spans="1:9" x14ac:dyDescent="0.25">
      <c r="A239" s="438" t="s">
        <v>263</v>
      </c>
      <c r="B239" s="576"/>
      <c r="C239" s="454" t="s">
        <v>1094</v>
      </c>
      <c r="D239" s="446" t="s">
        <v>1125</v>
      </c>
      <c r="E239" s="473">
        <v>107</v>
      </c>
      <c r="F239" s="476">
        <v>20</v>
      </c>
      <c r="G239" s="448">
        <f t="shared" si="4"/>
        <v>2140</v>
      </c>
    </row>
    <row r="240" spans="1:9" x14ac:dyDescent="0.25">
      <c r="A240" s="438" t="s">
        <v>264</v>
      </c>
      <c r="B240" s="576"/>
      <c r="C240" s="455" t="s">
        <v>1102</v>
      </c>
      <c r="D240" s="446" t="s">
        <v>1125</v>
      </c>
      <c r="E240" s="473">
        <v>107</v>
      </c>
      <c r="F240" s="476">
        <v>13.75</v>
      </c>
      <c r="G240" s="448">
        <f t="shared" si="4"/>
        <v>1471.25</v>
      </c>
    </row>
    <row r="241" spans="1:7" x14ac:dyDescent="0.25">
      <c r="A241" s="438" t="s">
        <v>265</v>
      </c>
      <c r="B241" s="576"/>
      <c r="C241" s="455" t="s">
        <v>95</v>
      </c>
      <c r="D241" s="446" t="s">
        <v>1125</v>
      </c>
      <c r="E241" s="473">
        <v>15</v>
      </c>
      <c r="F241" s="476">
        <v>122.76</v>
      </c>
      <c r="G241" s="448">
        <f t="shared" si="4"/>
        <v>1841.4</v>
      </c>
    </row>
    <row r="242" spans="1:7" x14ac:dyDescent="0.25">
      <c r="A242" s="438" t="s">
        <v>266</v>
      </c>
      <c r="B242" s="576"/>
      <c r="C242" s="455" t="s">
        <v>0</v>
      </c>
      <c r="D242" s="446" t="s">
        <v>1125</v>
      </c>
      <c r="E242" s="473">
        <v>12</v>
      </c>
      <c r="F242" s="476">
        <v>49.4</v>
      </c>
      <c r="G242" s="448">
        <f t="shared" si="4"/>
        <v>592.79999999999995</v>
      </c>
    </row>
    <row r="243" spans="1:7" s="196" customFormat="1" x14ac:dyDescent="0.25">
      <c r="A243" s="443" t="s">
        <v>267</v>
      </c>
      <c r="B243" s="577"/>
      <c r="C243" s="472" t="s">
        <v>96</v>
      </c>
      <c r="D243" s="450" t="s">
        <v>1125</v>
      </c>
      <c r="E243" s="457">
        <v>45</v>
      </c>
      <c r="F243" s="625">
        <v>38.9</v>
      </c>
      <c r="G243" s="452">
        <f t="shared" si="4"/>
        <v>1750.5</v>
      </c>
    </row>
    <row r="244" spans="1:7" x14ac:dyDescent="0.25">
      <c r="A244" s="438" t="s">
        <v>268</v>
      </c>
      <c r="B244" s="576"/>
      <c r="C244" s="455" t="s">
        <v>97</v>
      </c>
      <c r="D244" s="446" t="s">
        <v>1125</v>
      </c>
      <c r="E244" s="473">
        <v>15</v>
      </c>
      <c r="F244" s="476">
        <v>2.73</v>
      </c>
      <c r="G244" s="448">
        <f t="shared" si="4"/>
        <v>40.950000000000003</v>
      </c>
    </row>
    <row r="245" spans="1:7" x14ac:dyDescent="0.25">
      <c r="A245" s="438" t="s">
        <v>270</v>
      </c>
      <c r="B245" s="576"/>
      <c r="C245" s="455" t="s">
        <v>98</v>
      </c>
      <c r="D245" s="446" t="s">
        <v>1125</v>
      </c>
      <c r="E245" s="473">
        <v>18</v>
      </c>
      <c r="F245" s="476">
        <v>1.1100000000000001</v>
      </c>
      <c r="G245" s="448">
        <f t="shared" si="4"/>
        <v>19.98</v>
      </c>
    </row>
    <row r="246" spans="1:7" x14ac:dyDescent="0.25">
      <c r="A246" s="438" t="s">
        <v>272</v>
      </c>
      <c r="B246" s="576" t="s">
        <v>2311</v>
      </c>
      <c r="C246" s="455" t="s">
        <v>99</v>
      </c>
      <c r="D246" s="446" t="s">
        <v>1125</v>
      </c>
      <c r="E246" s="473">
        <v>12</v>
      </c>
      <c r="F246" s="476">
        <v>12.5</v>
      </c>
      <c r="G246" s="448">
        <f t="shared" si="4"/>
        <v>150</v>
      </c>
    </row>
    <row r="247" spans="1:7" x14ac:dyDescent="0.25">
      <c r="A247" s="438" t="s">
        <v>273</v>
      </c>
      <c r="B247" s="576"/>
      <c r="C247" s="455" t="s">
        <v>100</v>
      </c>
      <c r="D247" s="446" t="s">
        <v>1125</v>
      </c>
      <c r="E247" s="473">
        <v>12</v>
      </c>
      <c r="F247" s="476">
        <f>F75</f>
        <v>32.405000000000001</v>
      </c>
      <c r="G247" s="448">
        <f t="shared" si="4"/>
        <v>388.86</v>
      </c>
    </row>
    <row r="248" spans="1:7" x14ac:dyDescent="0.25">
      <c r="A248" s="438" t="s">
        <v>274</v>
      </c>
      <c r="B248" s="576"/>
      <c r="C248" s="454" t="s">
        <v>69</v>
      </c>
      <c r="D248" s="446" t="s">
        <v>1125</v>
      </c>
      <c r="E248" s="473">
        <v>12</v>
      </c>
      <c r="F248" s="476">
        <f>F195</f>
        <v>61.805</v>
      </c>
      <c r="G248" s="448">
        <f t="shared" si="4"/>
        <v>741.66</v>
      </c>
    </row>
    <row r="249" spans="1:7" x14ac:dyDescent="0.25">
      <c r="A249" s="438" t="s">
        <v>275</v>
      </c>
      <c r="B249" s="576"/>
      <c r="C249" s="455" t="s">
        <v>101</v>
      </c>
      <c r="D249" s="446" t="s">
        <v>1125</v>
      </c>
      <c r="E249" s="473">
        <v>12</v>
      </c>
      <c r="F249" s="476">
        <v>25.43</v>
      </c>
      <c r="G249" s="448">
        <f t="shared" si="4"/>
        <v>305.16000000000003</v>
      </c>
    </row>
    <row r="250" spans="1:7" x14ac:dyDescent="0.25">
      <c r="A250" s="438" t="s">
        <v>276</v>
      </c>
      <c r="B250" s="576"/>
      <c r="C250" s="455" t="s">
        <v>1097</v>
      </c>
      <c r="D250" s="446" t="s">
        <v>1125</v>
      </c>
      <c r="E250" s="473">
        <v>5</v>
      </c>
      <c r="F250" s="476">
        <f>F78</f>
        <v>100.90000000000002</v>
      </c>
      <c r="G250" s="448">
        <f t="shared" si="4"/>
        <v>504.5</v>
      </c>
    </row>
    <row r="251" spans="1:7" x14ac:dyDescent="0.25">
      <c r="A251" s="438" t="s">
        <v>277</v>
      </c>
      <c r="B251" s="576"/>
      <c r="C251" s="455" t="s">
        <v>102</v>
      </c>
      <c r="D251" s="446" t="s">
        <v>1125</v>
      </c>
      <c r="E251" s="473">
        <v>5</v>
      </c>
      <c r="F251" s="476">
        <v>23.06</v>
      </c>
      <c r="G251" s="448">
        <f t="shared" si="4"/>
        <v>115.3</v>
      </c>
    </row>
    <row r="252" spans="1:7" s="196" customFormat="1" x14ac:dyDescent="0.25">
      <c r="A252" s="443" t="s">
        <v>278</v>
      </c>
      <c r="B252" s="577"/>
      <c r="C252" s="472" t="s">
        <v>103</v>
      </c>
      <c r="D252" s="450" t="s">
        <v>1125</v>
      </c>
      <c r="E252" s="457">
        <v>5</v>
      </c>
      <c r="F252" s="625">
        <v>14.73</v>
      </c>
      <c r="G252" s="452">
        <f t="shared" si="4"/>
        <v>73.650000000000006</v>
      </c>
    </row>
    <row r="253" spans="1:7" x14ac:dyDescent="0.25">
      <c r="A253" s="438" t="s">
        <v>279</v>
      </c>
      <c r="B253" s="576"/>
      <c r="C253" s="455" t="s">
        <v>104</v>
      </c>
      <c r="D253" s="446" t="s">
        <v>1125</v>
      </c>
      <c r="E253" s="473">
        <v>105</v>
      </c>
      <c r="F253" s="476">
        <v>35.65</v>
      </c>
      <c r="G253" s="448">
        <f t="shared" si="4"/>
        <v>3743.25</v>
      </c>
    </row>
    <row r="254" spans="1:7" x14ac:dyDescent="0.25">
      <c r="A254" s="438" t="s">
        <v>280</v>
      </c>
      <c r="B254" s="576"/>
      <c r="C254" s="455" t="s">
        <v>815</v>
      </c>
      <c r="D254" s="446" t="s">
        <v>1125</v>
      </c>
      <c r="E254" s="473">
        <v>30</v>
      </c>
      <c r="F254" s="476">
        <f>F81</f>
        <v>22.99</v>
      </c>
      <c r="G254" s="448">
        <f t="shared" si="4"/>
        <v>689.7</v>
      </c>
    </row>
    <row r="255" spans="1:7" x14ac:dyDescent="0.25">
      <c r="A255" s="438" t="s">
        <v>281</v>
      </c>
      <c r="B255" s="576"/>
      <c r="C255" s="455" t="s">
        <v>105</v>
      </c>
      <c r="D255" s="446" t="s">
        <v>1125</v>
      </c>
      <c r="E255" s="473">
        <v>105</v>
      </c>
      <c r="F255" s="476">
        <v>38.5</v>
      </c>
      <c r="G255" s="448">
        <f t="shared" si="4"/>
        <v>4042.5</v>
      </c>
    </row>
    <row r="256" spans="1:7" x14ac:dyDescent="0.25">
      <c r="A256" s="438" t="s">
        <v>282</v>
      </c>
      <c r="B256" s="576"/>
      <c r="C256" s="455" t="s">
        <v>106</v>
      </c>
      <c r="D256" s="446" t="s">
        <v>1125</v>
      </c>
      <c r="E256" s="473">
        <v>5</v>
      </c>
      <c r="F256" s="476">
        <v>196.05</v>
      </c>
      <c r="G256" s="448">
        <f t="shared" si="4"/>
        <v>980.25</v>
      </c>
    </row>
    <row r="257" spans="1:7" x14ac:dyDescent="0.25">
      <c r="A257" s="438" t="s">
        <v>283</v>
      </c>
      <c r="B257" s="576"/>
      <c r="C257" s="455" t="s">
        <v>107</v>
      </c>
      <c r="D257" s="446" t="s">
        <v>1125</v>
      </c>
      <c r="E257" s="473">
        <v>30</v>
      </c>
      <c r="F257" s="476">
        <v>9.49</v>
      </c>
      <c r="G257" s="448">
        <f t="shared" si="4"/>
        <v>284.7</v>
      </c>
    </row>
    <row r="258" spans="1:7" x14ac:dyDescent="0.25">
      <c r="A258" s="438" t="s">
        <v>1213</v>
      </c>
      <c r="B258" s="576" t="s">
        <v>2288</v>
      </c>
      <c r="C258" s="455" t="s">
        <v>1</v>
      </c>
      <c r="D258" s="446" t="s">
        <v>1125</v>
      </c>
      <c r="E258" s="473">
        <v>5</v>
      </c>
      <c r="F258" s="476">
        <f>$F$82</f>
        <v>24.01</v>
      </c>
      <c r="G258" s="448">
        <f t="shared" si="4"/>
        <v>120.05</v>
      </c>
    </row>
    <row r="259" spans="1:7" x14ac:dyDescent="0.25">
      <c r="A259" s="438" t="s">
        <v>1214</v>
      </c>
      <c r="B259" s="576" t="s">
        <v>2289</v>
      </c>
      <c r="C259" s="455" t="s">
        <v>108</v>
      </c>
      <c r="D259" s="446" t="s">
        <v>1125</v>
      </c>
      <c r="E259" s="473">
        <v>5</v>
      </c>
      <c r="F259" s="476">
        <v>27.38</v>
      </c>
      <c r="G259" s="448">
        <f t="shared" si="4"/>
        <v>136.9</v>
      </c>
    </row>
    <row r="260" spans="1:7" x14ac:dyDescent="0.25">
      <c r="A260" s="438" t="s">
        <v>1215</v>
      </c>
      <c r="B260" s="576"/>
      <c r="C260" s="455" t="s">
        <v>109</v>
      </c>
      <c r="D260" s="446" t="s">
        <v>1125</v>
      </c>
      <c r="E260" s="473">
        <v>30</v>
      </c>
      <c r="F260" s="476">
        <v>14.86</v>
      </c>
      <c r="G260" s="448">
        <f t="shared" si="4"/>
        <v>445.8</v>
      </c>
    </row>
    <row r="261" spans="1:7" ht="38.25" x14ac:dyDescent="0.25">
      <c r="A261" s="438" t="s">
        <v>1216</v>
      </c>
      <c r="B261" s="576"/>
      <c r="C261" s="474" t="s">
        <v>1100</v>
      </c>
      <c r="D261" s="446" t="s">
        <v>1125</v>
      </c>
      <c r="E261" s="473">
        <v>30</v>
      </c>
      <c r="F261" s="476">
        <v>41.5</v>
      </c>
      <c r="G261" s="448">
        <f t="shared" si="4"/>
        <v>1245</v>
      </c>
    </row>
    <row r="262" spans="1:7" x14ac:dyDescent="0.25">
      <c r="A262" s="438" t="s">
        <v>1217</v>
      </c>
      <c r="B262" s="576"/>
      <c r="C262" s="455" t="s">
        <v>110</v>
      </c>
      <c r="D262" s="446" t="s">
        <v>1125</v>
      </c>
      <c r="E262" s="473">
        <v>5</v>
      </c>
      <c r="F262" s="476">
        <v>27.26</v>
      </c>
      <c r="G262" s="448">
        <f t="shared" si="4"/>
        <v>136.30000000000001</v>
      </c>
    </row>
    <row r="263" spans="1:7" x14ac:dyDescent="0.25">
      <c r="A263" s="438" t="s">
        <v>1218</v>
      </c>
      <c r="B263" s="576"/>
      <c r="C263" s="455" t="s">
        <v>111</v>
      </c>
      <c r="D263" s="446" t="s">
        <v>1125</v>
      </c>
      <c r="E263" s="473">
        <v>12</v>
      </c>
      <c r="F263" s="476">
        <v>24.36</v>
      </c>
      <c r="G263" s="448">
        <f t="shared" si="4"/>
        <v>292.32</v>
      </c>
    </row>
    <row r="264" spans="1:7" x14ac:dyDescent="0.25">
      <c r="A264" s="438" t="s">
        <v>1219</v>
      </c>
      <c r="B264" s="576"/>
      <c r="C264" s="455" t="s">
        <v>112</v>
      </c>
      <c r="D264" s="446" t="s">
        <v>1125</v>
      </c>
      <c r="E264" s="473">
        <v>30</v>
      </c>
      <c r="F264" s="476">
        <v>14.55</v>
      </c>
      <c r="G264" s="448">
        <f t="shared" si="4"/>
        <v>436.5</v>
      </c>
    </row>
    <row r="265" spans="1:7" x14ac:dyDescent="0.25">
      <c r="A265" s="438" t="s">
        <v>1220</v>
      </c>
      <c r="B265" s="576"/>
      <c r="C265" s="455" t="s">
        <v>113</v>
      </c>
      <c r="D265" s="446" t="s">
        <v>1125</v>
      </c>
      <c r="E265" s="473">
        <v>15</v>
      </c>
      <c r="F265" s="476">
        <v>25.25</v>
      </c>
      <c r="G265" s="448">
        <f t="shared" si="4"/>
        <v>378.75</v>
      </c>
    </row>
    <row r="266" spans="1:7" s="196" customFormat="1" x14ac:dyDescent="0.25">
      <c r="A266" s="443" t="s">
        <v>1221</v>
      </c>
      <c r="B266" s="577"/>
      <c r="C266" s="449" t="s">
        <v>1104</v>
      </c>
      <c r="D266" s="450" t="s">
        <v>1125</v>
      </c>
      <c r="E266" s="457">
        <v>20</v>
      </c>
      <c r="F266" s="625">
        <v>31.37</v>
      </c>
      <c r="G266" s="452">
        <f t="shared" si="4"/>
        <v>627.4</v>
      </c>
    </row>
    <row r="267" spans="1:7" s="196" customFormat="1" x14ac:dyDescent="0.25">
      <c r="A267" s="443" t="s">
        <v>1222</v>
      </c>
      <c r="B267" s="577"/>
      <c r="C267" s="472" t="s">
        <v>1105</v>
      </c>
      <c r="D267" s="450" t="s">
        <v>1125</v>
      </c>
      <c r="E267" s="457">
        <v>3</v>
      </c>
      <c r="F267" s="625">
        <v>35.9</v>
      </c>
      <c r="G267" s="452">
        <f t="shared" si="4"/>
        <v>107.7</v>
      </c>
    </row>
    <row r="268" spans="1:7" ht="13.5" thickBot="1" x14ac:dyDescent="0.3">
      <c r="A268" s="267" t="s">
        <v>1223</v>
      </c>
      <c r="B268" s="587"/>
      <c r="C268" s="332" t="s">
        <v>1106</v>
      </c>
      <c r="D268" s="231" t="s">
        <v>1125</v>
      </c>
      <c r="E268" s="380">
        <v>3</v>
      </c>
      <c r="F268" s="165">
        <v>38.340000000000003</v>
      </c>
      <c r="G268" s="234">
        <f t="shared" si="4"/>
        <v>115.02</v>
      </c>
    </row>
    <row r="269" spans="1:7" ht="13.5" thickBot="1" x14ac:dyDescent="0.3">
      <c r="A269" s="834" t="str">
        <f>"TOTAL - "&amp;C213&amp;" - (R$):"</f>
        <v>TOTAL - FERRAMENTAS - CIVIL - (R$):</v>
      </c>
      <c r="B269" s="835"/>
      <c r="C269" s="835"/>
      <c r="D269" s="835"/>
      <c r="E269" s="835"/>
      <c r="F269" s="836"/>
      <c r="G269" s="283">
        <f>SUBTOTAL(9,G213:G268)</f>
        <v>75508.930000000008</v>
      </c>
    </row>
    <row r="270" spans="1:7" ht="13.5" thickBot="1" x14ac:dyDescent="0.3"/>
    <row r="271" spans="1:7" ht="13.5" thickBot="1" x14ac:dyDescent="0.3">
      <c r="A271" s="864" t="str">
        <f>"TOTAL - "&amp;C13&amp;" - (R$):"</f>
        <v>TOTAL - FERRAMENTAS - (R$):</v>
      </c>
      <c r="B271" s="865"/>
      <c r="C271" s="865"/>
      <c r="D271" s="865"/>
      <c r="E271" s="865"/>
      <c r="F271" s="866"/>
      <c r="G271" s="212">
        <f>SUBTOTAL(9,G13:G270)</f>
        <v>417850.60000000015</v>
      </c>
    </row>
    <row r="273" spans="1:7" ht="13.5" thickBot="1" x14ac:dyDescent="0.3"/>
    <row r="274" spans="1:7" ht="13.5" thickBot="1" x14ac:dyDescent="0.3">
      <c r="A274" s="843" t="str">
        <f>"RESUMO - "&amp;A$8</f>
        <v>RESUMO - FERRAMENTAS</v>
      </c>
      <c r="B274" s="844"/>
      <c r="C274" s="844"/>
      <c r="D274" s="844"/>
      <c r="E274" s="844"/>
      <c r="F274" s="844"/>
      <c r="G274" s="845"/>
    </row>
    <row r="275" spans="1:7" ht="13.5" thickBot="1" x14ac:dyDescent="0.3">
      <c r="A275" s="208" t="s">
        <v>363</v>
      </c>
      <c r="B275" s="503"/>
      <c r="C275" s="946" t="s">
        <v>366</v>
      </c>
      <c r="D275" s="947"/>
      <c r="E275" s="948"/>
      <c r="F275" s="949" t="s">
        <v>414</v>
      </c>
      <c r="G275" s="950"/>
    </row>
    <row r="276" spans="1:7" x14ac:dyDescent="0.25">
      <c r="A276" s="132" t="s">
        <v>415</v>
      </c>
      <c r="B276" s="444"/>
      <c r="C276" s="1028" t="str">
        <f>C15</f>
        <v>FERRAMENTAS - MECÂNICA</v>
      </c>
      <c r="D276" s="1029"/>
      <c r="E276" s="1030"/>
      <c r="F276" s="1024">
        <f>G98</f>
        <v>31325.3</v>
      </c>
      <c r="G276" s="1025"/>
    </row>
    <row r="277" spans="1:7" x14ac:dyDescent="0.25">
      <c r="A277" s="133" t="s">
        <v>416</v>
      </c>
      <c r="B277" s="133"/>
      <c r="C277" s="951" t="str">
        <f>C100</f>
        <v>FERRAMENTAS - ELÉTRICA</v>
      </c>
      <c r="D277" s="952"/>
      <c r="E277" s="953"/>
      <c r="F277" s="954">
        <f>G211</f>
        <v>311016.37000000005</v>
      </c>
      <c r="G277" s="955"/>
    </row>
    <row r="278" spans="1:7" ht="13.5" thickBot="1" x14ac:dyDescent="0.3">
      <c r="A278" s="274" t="s">
        <v>417</v>
      </c>
      <c r="B278" s="274"/>
      <c r="C278" s="1021" t="str">
        <f>C213</f>
        <v>FERRAMENTAS - CIVIL</v>
      </c>
      <c r="D278" s="1022"/>
      <c r="E278" s="1023"/>
      <c r="F278" s="1026">
        <f>G269</f>
        <v>75508.930000000008</v>
      </c>
      <c r="G278" s="1027"/>
    </row>
    <row r="279" spans="1:7" ht="13.5" thickBot="1" x14ac:dyDescent="0.3">
      <c r="A279" s="743" t="str">
        <f>"TOTAL GERAL - "&amp;A274&amp;" -  (R$):"</f>
        <v>TOTAL GERAL - RESUMO - FERRAMENTAS -  (R$):</v>
      </c>
      <c r="B279" s="744"/>
      <c r="C279" s="744"/>
      <c r="D279" s="744"/>
      <c r="E279" s="744"/>
      <c r="F279" s="965">
        <f>SUM(F276:G278)</f>
        <v>417850.60000000003</v>
      </c>
      <c r="G279" s="966"/>
    </row>
    <row r="281" spans="1:7" s="196" customFormat="1" ht="13.5" thickBot="1" x14ac:dyDescent="0.3">
      <c r="B281" s="209"/>
      <c r="C281" s="363"/>
      <c r="D281" s="209"/>
      <c r="E281" s="197"/>
      <c r="F281" s="197"/>
      <c r="G281" s="194"/>
    </row>
    <row r="282" spans="1:7" s="196" customFormat="1" x14ac:dyDescent="0.25">
      <c r="A282" s="704" t="s">
        <v>422</v>
      </c>
      <c r="B282" s="736"/>
      <c r="C282" s="705"/>
      <c r="D282" s="705"/>
      <c r="E282" s="706"/>
      <c r="F282" s="704" t="s">
        <v>423</v>
      </c>
      <c r="G282" s="706"/>
    </row>
    <row r="283" spans="1:7" s="196" customFormat="1" ht="13.5" thickBot="1" x14ac:dyDescent="0.3">
      <c r="A283" s="701"/>
      <c r="B283" s="702"/>
      <c r="C283" s="702"/>
      <c r="D283" s="702"/>
      <c r="E283" s="703"/>
      <c r="F283" s="701"/>
      <c r="G283" s="703"/>
    </row>
    <row r="284" spans="1:7" s="196" customFormat="1" x14ac:dyDescent="0.25">
      <c r="A284" s="704" t="s">
        <v>424</v>
      </c>
      <c r="B284" s="736"/>
      <c r="C284" s="705"/>
      <c r="D284" s="705"/>
      <c r="E284" s="706"/>
      <c r="F284" s="695" t="s">
        <v>425</v>
      </c>
      <c r="G284" s="697"/>
    </row>
    <row r="285" spans="1:7" s="196" customFormat="1" ht="13.5" thickBot="1" x14ac:dyDescent="0.3">
      <c r="A285" s="701"/>
      <c r="B285" s="702"/>
      <c r="C285" s="702"/>
      <c r="D285" s="702"/>
      <c r="E285" s="703"/>
      <c r="F285" s="695"/>
      <c r="G285" s="697"/>
    </row>
    <row r="286" spans="1:7" s="196" customFormat="1" x14ac:dyDescent="0.25">
      <c r="A286" s="831" t="s">
        <v>426</v>
      </c>
      <c r="B286" s="832"/>
      <c r="C286" s="832"/>
      <c r="D286" s="832"/>
      <c r="E286" s="832"/>
      <c r="F286" s="832"/>
      <c r="G286" s="833"/>
    </row>
    <row r="287" spans="1:7" s="196" customFormat="1" x14ac:dyDescent="0.25">
      <c r="A287" s="982"/>
      <c r="B287" s="983"/>
      <c r="C287" s="983"/>
      <c r="D287" s="983"/>
      <c r="E287" s="983"/>
      <c r="F287" s="983"/>
      <c r="G287" s="984"/>
    </row>
    <row r="288" spans="1:7" s="196" customFormat="1" ht="13.5" thickBot="1" x14ac:dyDescent="0.3">
      <c r="A288" s="873"/>
      <c r="B288" s="874"/>
      <c r="C288" s="874"/>
      <c r="D288" s="874"/>
      <c r="E288" s="874"/>
      <c r="F288" s="874"/>
      <c r="G288" s="875"/>
    </row>
  </sheetData>
  <autoFilter ref="A12:H268"/>
  <mergeCells count="41">
    <mergeCell ref="C15:G15"/>
    <mergeCell ref="C100:G100"/>
    <mergeCell ref="C213:G213"/>
    <mergeCell ref="C1:G1"/>
    <mergeCell ref="C2:G2"/>
    <mergeCell ref="C3:G3"/>
    <mergeCell ref="A5:G6"/>
    <mergeCell ref="A8:G8"/>
    <mergeCell ref="F11:G11"/>
    <mergeCell ref="E11:E12"/>
    <mergeCell ref="D11:D12"/>
    <mergeCell ref="C11:C12"/>
    <mergeCell ref="A11:A12"/>
    <mergeCell ref="B11:B12"/>
    <mergeCell ref="C13:G13"/>
    <mergeCell ref="A279:E279"/>
    <mergeCell ref="F279:G279"/>
    <mergeCell ref="A274:G274"/>
    <mergeCell ref="C277:E277"/>
    <mergeCell ref="C278:E278"/>
    <mergeCell ref="F276:G276"/>
    <mergeCell ref="F277:G277"/>
    <mergeCell ref="F278:G278"/>
    <mergeCell ref="C276:E276"/>
    <mergeCell ref="A269:F269"/>
    <mergeCell ref="F275:G275"/>
    <mergeCell ref="C275:E275"/>
    <mergeCell ref="A211:F211"/>
    <mergeCell ref="A98:F98"/>
    <mergeCell ref="A271:F271"/>
    <mergeCell ref="A286:G286"/>
    <mergeCell ref="A288:G288"/>
    <mergeCell ref="F282:G282"/>
    <mergeCell ref="F283:G283"/>
    <mergeCell ref="F284:G284"/>
    <mergeCell ref="F285:G285"/>
    <mergeCell ref="A287:G287"/>
    <mergeCell ref="A282:E282"/>
    <mergeCell ref="A283:E283"/>
    <mergeCell ref="A284:E284"/>
    <mergeCell ref="A285:E285"/>
  </mergeCells>
  <printOptions horizontalCentered="1"/>
  <pageMargins left="0.78740157480314965" right="0.59055118110236227" top="0.59055118110236227" bottom="0.59055118110236227" header="0.19685039370078741" footer="0.19685039370078741"/>
  <pageSetup paperSize="9" scale="47" fitToHeight="100" orientation="portrait" horizontalDpi="4294967294" verticalDpi="4294967294" r:id="rId1"/>
  <headerFooter>
    <oddFooter>&amp;R&amp;"Arial,Normal"&amp;8&amp;F
Página &amp;P de &amp;N</oddFooter>
  </headerFooter>
  <rowBreaks count="2" manualBreakCount="2">
    <brk id="98" max="6" man="1"/>
    <brk id="172" max="6" man="1"/>
  </row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84"/>
  <sheetViews>
    <sheetView view="pageBreakPreview" zoomScale="80" zoomScaleNormal="100" zoomScaleSheetLayoutView="80" workbookViewId="0">
      <pane ySplit="12" topLeftCell="A13" activePane="bottomLeft" state="frozen"/>
      <selection sqref="A1:XFD1048576"/>
      <selection pane="bottomLeft" activeCell="P42" sqref="P42"/>
    </sheetView>
  </sheetViews>
  <sheetFormatPr defaultColWidth="4.85546875" defaultRowHeight="12.75" x14ac:dyDescent="0.25"/>
  <cols>
    <col min="1" max="1" width="8.7109375" style="64" customWidth="1"/>
    <col min="2" max="2" width="14.7109375" style="556" customWidth="1"/>
    <col min="3" max="3" width="60.7109375" style="15" customWidth="1"/>
    <col min="4" max="4" width="14.7109375" style="2" customWidth="1"/>
    <col min="5" max="5" width="14.7109375" style="24" customWidth="1"/>
    <col min="6" max="6" width="14.7109375" style="238" customWidth="1"/>
    <col min="7" max="8" width="14.7109375" style="12" customWidth="1"/>
    <col min="9" max="9" width="9.85546875" style="2" bestFit="1" customWidth="1"/>
    <col min="10" max="10" width="4.85546875" style="2"/>
    <col min="11" max="11" width="10.5703125" style="673" bestFit="1" customWidth="1"/>
    <col min="12" max="12" width="8.140625" style="2" bestFit="1" customWidth="1"/>
    <col min="13" max="13" width="9.5703125" style="2" bestFit="1" customWidth="1"/>
    <col min="14" max="16384" width="4.85546875" style="2"/>
  </cols>
  <sheetData>
    <row r="1" spans="1:11" s="89" customFormat="1" x14ac:dyDescent="0.25">
      <c r="A1" s="117"/>
      <c r="B1" s="495"/>
      <c r="C1" s="726" t="s">
        <v>1117</v>
      </c>
      <c r="D1" s="726"/>
      <c r="E1" s="726"/>
      <c r="F1" s="726"/>
      <c r="G1" s="726"/>
      <c r="H1" s="643"/>
      <c r="K1" s="669"/>
    </row>
    <row r="2" spans="1:11" s="89" customFormat="1" x14ac:dyDescent="0.25">
      <c r="A2" s="90"/>
      <c r="B2" s="428"/>
      <c r="C2" s="728" t="s">
        <v>1118</v>
      </c>
      <c r="D2" s="728"/>
      <c r="E2" s="728"/>
      <c r="F2" s="728"/>
      <c r="G2" s="728"/>
      <c r="H2" s="643"/>
      <c r="K2" s="669"/>
    </row>
    <row r="3" spans="1:11" s="89" customFormat="1" ht="13.5" thickBot="1" x14ac:dyDescent="0.3">
      <c r="A3" s="118"/>
      <c r="B3" s="429"/>
      <c r="C3" s="729" t="s">
        <v>1116</v>
      </c>
      <c r="D3" s="729"/>
      <c r="E3" s="729"/>
      <c r="F3" s="729"/>
      <c r="G3" s="729"/>
      <c r="H3" s="643"/>
      <c r="K3" s="669"/>
    </row>
    <row r="4" spans="1:11" s="78" customFormat="1" ht="13.9" thickBot="1" x14ac:dyDescent="0.35">
      <c r="A4" s="92"/>
      <c r="B4" s="507"/>
      <c r="K4" s="669"/>
    </row>
    <row r="5" spans="1:11" s="78" customFormat="1" x14ac:dyDescent="0.25">
      <c r="A5" s="690" t="s">
        <v>1119</v>
      </c>
      <c r="B5" s="690"/>
      <c r="C5" s="690"/>
      <c r="D5" s="690"/>
      <c r="E5" s="690"/>
      <c r="F5" s="690"/>
      <c r="G5" s="690"/>
      <c r="H5" s="647"/>
      <c r="K5" s="669"/>
    </row>
    <row r="6" spans="1:11" s="78" customFormat="1" ht="13.5" thickBot="1" x14ac:dyDescent="0.3">
      <c r="A6" s="691"/>
      <c r="B6" s="691"/>
      <c r="C6" s="691"/>
      <c r="D6" s="691"/>
      <c r="E6" s="691"/>
      <c r="F6" s="691"/>
      <c r="G6" s="691"/>
      <c r="H6" s="647"/>
      <c r="K6" s="669"/>
    </row>
    <row r="7" spans="1:11" s="78" customFormat="1" ht="13.9" thickBot="1" x14ac:dyDescent="0.35">
      <c r="B7" s="72"/>
      <c r="C7" s="70"/>
      <c r="D7" s="72"/>
      <c r="E7" s="72"/>
      <c r="K7" s="669"/>
    </row>
    <row r="8" spans="1:11" s="21" customFormat="1" ht="13.9" thickBot="1" x14ac:dyDescent="0.35">
      <c r="A8" s="686" t="s">
        <v>1051</v>
      </c>
      <c r="B8" s="687"/>
      <c r="C8" s="687"/>
      <c r="D8" s="687"/>
      <c r="E8" s="687"/>
      <c r="F8" s="687"/>
      <c r="G8" s="688"/>
      <c r="H8" s="648"/>
      <c r="K8" s="670"/>
    </row>
    <row r="9" spans="1:11" s="196" customFormat="1" ht="13.15" x14ac:dyDescent="0.3">
      <c r="B9" s="209"/>
      <c r="E9" s="197"/>
      <c r="F9" s="312"/>
      <c r="G9" s="197"/>
      <c r="H9" s="197"/>
      <c r="K9" s="671"/>
    </row>
    <row r="10" spans="1:11" s="209" customFormat="1" ht="13.9" thickBot="1" x14ac:dyDescent="0.35">
      <c r="A10" s="193"/>
      <c r="B10" s="193"/>
      <c r="C10" s="193"/>
      <c r="D10" s="194"/>
      <c r="E10" s="194"/>
      <c r="F10" s="312"/>
      <c r="K10" s="672"/>
    </row>
    <row r="11" spans="1:11" ht="13.5" thickBot="1" x14ac:dyDescent="0.3">
      <c r="A11" s="791" t="s">
        <v>363</v>
      </c>
      <c r="B11" s="791" t="s">
        <v>1466</v>
      </c>
      <c r="C11" s="730" t="s">
        <v>366</v>
      </c>
      <c r="D11" s="791" t="s">
        <v>410</v>
      </c>
      <c r="E11" s="830" t="s">
        <v>364</v>
      </c>
      <c r="F11" s="830" t="s">
        <v>413</v>
      </c>
      <c r="G11" s="830"/>
      <c r="H11" s="649"/>
    </row>
    <row r="12" spans="1:11" ht="13.5" thickBot="1" x14ac:dyDescent="0.3">
      <c r="A12" s="791"/>
      <c r="B12" s="791"/>
      <c r="C12" s="730"/>
      <c r="D12" s="791"/>
      <c r="E12" s="830"/>
      <c r="F12" s="60" t="s">
        <v>412</v>
      </c>
      <c r="G12" s="218" t="s">
        <v>411</v>
      </c>
      <c r="H12" s="649"/>
    </row>
    <row r="13" spans="1:11" s="21" customFormat="1" ht="13.9" thickBot="1" x14ac:dyDescent="0.35">
      <c r="A13" s="252"/>
      <c r="B13" s="506"/>
      <c r="C13" s="998" t="str">
        <f>A8</f>
        <v>EQUIPAMENTOS</v>
      </c>
      <c r="D13" s="999"/>
      <c r="E13" s="999"/>
      <c r="F13" s="999"/>
      <c r="G13" s="1000"/>
      <c r="H13" s="650"/>
      <c r="K13" s="670"/>
    </row>
    <row r="14" spans="1:11" ht="13.9" thickBot="1" x14ac:dyDescent="0.35"/>
    <row r="15" spans="1:11" s="21" customFormat="1" ht="13.5" thickBot="1" x14ac:dyDescent="0.3">
      <c r="A15" s="252" t="s">
        <v>360</v>
      </c>
      <c r="B15" s="506"/>
      <c r="C15" s="998" t="s">
        <v>1224</v>
      </c>
      <c r="D15" s="999"/>
      <c r="E15" s="999"/>
      <c r="F15" s="999"/>
      <c r="G15" s="1000"/>
      <c r="H15" s="650"/>
      <c r="K15" s="670"/>
    </row>
    <row r="16" spans="1:11" s="196" customFormat="1" x14ac:dyDescent="0.25">
      <c r="A16" s="614" t="s">
        <v>124</v>
      </c>
      <c r="B16" s="492" t="s">
        <v>2437</v>
      </c>
      <c r="C16" s="615" t="s">
        <v>1232</v>
      </c>
      <c r="D16" s="512" t="s">
        <v>1127</v>
      </c>
      <c r="E16" s="66">
        <f>1*12</f>
        <v>12</v>
      </c>
      <c r="F16" s="139">
        <f>VLOOKUP(B16,B$174:G$284,6,FALSE)</f>
        <v>382.30555555555554</v>
      </c>
      <c r="G16" s="66">
        <f>ROUND(E16*F16,2)</f>
        <v>4587.67</v>
      </c>
      <c r="H16" s="651"/>
      <c r="K16" s="671"/>
    </row>
    <row r="17" spans="1:11" s="196" customFormat="1" x14ac:dyDescent="0.25">
      <c r="A17" s="443" t="s">
        <v>125</v>
      </c>
      <c r="B17" s="577" t="s">
        <v>2459</v>
      </c>
      <c r="C17" s="616" t="s">
        <v>1233</v>
      </c>
      <c r="D17" s="450" t="s">
        <v>1127</v>
      </c>
      <c r="E17" s="452">
        <f>3*12</f>
        <v>36</v>
      </c>
      <c r="F17" s="625">
        <f t="shared" ref="F17:F59" si="0">VLOOKUP(B17,B$174:G$284,6,FALSE)</f>
        <v>2.6751851851851853</v>
      </c>
      <c r="G17" s="452">
        <f t="shared" ref="G17:G59" si="1">ROUND(E17*F17,2)</f>
        <v>96.31</v>
      </c>
      <c r="H17" s="651"/>
      <c r="K17" s="671"/>
    </row>
    <row r="18" spans="1:11" s="196" customFormat="1" x14ac:dyDescent="0.25">
      <c r="A18" s="443" t="s">
        <v>126</v>
      </c>
      <c r="B18" s="577" t="s">
        <v>2460</v>
      </c>
      <c r="C18" s="616" t="s">
        <v>1234</v>
      </c>
      <c r="D18" s="450" t="s">
        <v>1127</v>
      </c>
      <c r="E18" s="452">
        <f>3*12</f>
        <v>36</v>
      </c>
      <c r="F18" s="625">
        <f t="shared" si="0"/>
        <v>1.8862962962962959</v>
      </c>
      <c r="G18" s="452">
        <f t="shared" si="1"/>
        <v>67.91</v>
      </c>
      <c r="H18" s="651"/>
      <c r="K18" s="671"/>
    </row>
    <row r="19" spans="1:11" s="196" customFormat="1" ht="25.5" x14ac:dyDescent="0.25">
      <c r="A19" s="443" t="s">
        <v>127</v>
      </c>
      <c r="B19" s="577" t="s">
        <v>2439</v>
      </c>
      <c r="C19" s="616" t="s">
        <v>1235</v>
      </c>
      <c r="D19" s="450" t="s">
        <v>670</v>
      </c>
      <c r="E19" s="452">
        <f>12*12</f>
        <v>144</v>
      </c>
      <c r="F19" s="625">
        <f t="shared" si="0"/>
        <v>2.99</v>
      </c>
      <c r="G19" s="452">
        <f t="shared" si="1"/>
        <v>430.56</v>
      </c>
      <c r="H19" s="651"/>
      <c r="K19" s="671"/>
    </row>
    <row r="20" spans="1:11" s="196" customFormat="1" x14ac:dyDescent="0.25">
      <c r="A20" s="443" t="s">
        <v>128</v>
      </c>
      <c r="B20" s="577" t="s">
        <v>2462</v>
      </c>
      <c r="C20" s="616" t="s">
        <v>1230</v>
      </c>
      <c r="D20" s="450" t="s">
        <v>1127</v>
      </c>
      <c r="E20" s="452">
        <f>6*12</f>
        <v>72</v>
      </c>
      <c r="F20" s="625">
        <f t="shared" si="0"/>
        <v>58.701481481481487</v>
      </c>
      <c r="G20" s="452">
        <f t="shared" si="1"/>
        <v>4226.51</v>
      </c>
      <c r="H20" s="651"/>
      <c r="K20" s="671"/>
    </row>
    <row r="21" spans="1:11" s="196" customFormat="1" x14ac:dyDescent="0.25">
      <c r="A21" s="443" t="s">
        <v>129</v>
      </c>
      <c r="B21" s="577" t="s">
        <v>2464</v>
      </c>
      <c r="C21" s="616" t="s">
        <v>1231</v>
      </c>
      <c r="D21" s="450" t="s">
        <v>1127</v>
      </c>
      <c r="E21" s="452">
        <f>3*12</f>
        <v>36</v>
      </c>
      <c r="F21" s="625">
        <f t="shared" si="0"/>
        <v>14.312222222222223</v>
      </c>
      <c r="G21" s="452">
        <f t="shared" si="1"/>
        <v>515.24</v>
      </c>
      <c r="H21" s="651"/>
      <c r="K21" s="671"/>
    </row>
    <row r="22" spans="1:11" s="196" customFormat="1" ht="25.5" x14ac:dyDescent="0.25">
      <c r="A22" s="443" t="s">
        <v>130</v>
      </c>
      <c r="B22" s="577" t="s">
        <v>2492</v>
      </c>
      <c r="C22" s="616" t="s">
        <v>696</v>
      </c>
      <c r="D22" s="450" t="s">
        <v>1127</v>
      </c>
      <c r="E22" s="452">
        <f>1*12</f>
        <v>12</v>
      </c>
      <c r="F22" s="625">
        <f t="shared" si="0"/>
        <v>43.13</v>
      </c>
      <c r="G22" s="452">
        <f t="shared" si="1"/>
        <v>517.55999999999995</v>
      </c>
      <c r="H22" s="651"/>
      <c r="K22" s="671"/>
    </row>
    <row r="23" spans="1:11" s="196" customFormat="1" x14ac:dyDescent="0.25">
      <c r="A23" s="443" t="s">
        <v>131</v>
      </c>
      <c r="B23" s="577" t="s">
        <v>2467</v>
      </c>
      <c r="C23" s="616" t="s">
        <v>1225</v>
      </c>
      <c r="D23" s="450" t="s">
        <v>1127</v>
      </c>
      <c r="E23" s="452">
        <f>2*12</f>
        <v>24</v>
      </c>
      <c r="F23" s="625">
        <f t="shared" si="0"/>
        <v>6.8411111111111111</v>
      </c>
      <c r="G23" s="452">
        <f t="shared" si="1"/>
        <v>164.19</v>
      </c>
      <c r="H23" s="651"/>
      <c r="K23" s="671"/>
    </row>
    <row r="24" spans="1:11" s="196" customFormat="1" x14ac:dyDescent="0.25">
      <c r="A24" s="443" t="s">
        <v>132</v>
      </c>
      <c r="B24" s="577" t="s">
        <v>2468</v>
      </c>
      <c r="C24" s="616" t="s">
        <v>1226</v>
      </c>
      <c r="D24" s="450" t="s">
        <v>1127</v>
      </c>
      <c r="E24" s="452">
        <f t="shared" ref="E24:E27" si="2">2*12</f>
        <v>24</v>
      </c>
      <c r="F24" s="625">
        <f t="shared" si="0"/>
        <v>12.591481481481482</v>
      </c>
      <c r="G24" s="452">
        <f t="shared" si="1"/>
        <v>302.2</v>
      </c>
      <c r="H24" s="651"/>
      <c r="K24" s="671"/>
    </row>
    <row r="25" spans="1:11" s="196" customFormat="1" x14ac:dyDescent="0.25">
      <c r="A25" s="443" t="s">
        <v>133</v>
      </c>
      <c r="B25" s="577" t="s">
        <v>2469</v>
      </c>
      <c r="C25" s="616" t="s">
        <v>1227</v>
      </c>
      <c r="D25" s="450" t="s">
        <v>1127</v>
      </c>
      <c r="E25" s="452">
        <f t="shared" si="2"/>
        <v>24</v>
      </c>
      <c r="F25" s="625">
        <f t="shared" si="0"/>
        <v>13.599444444444442</v>
      </c>
      <c r="G25" s="452">
        <f t="shared" si="1"/>
        <v>326.39</v>
      </c>
      <c r="H25" s="651"/>
      <c r="K25" s="671"/>
    </row>
    <row r="26" spans="1:11" s="196" customFormat="1" x14ac:dyDescent="0.25">
      <c r="A26" s="443" t="s">
        <v>134</v>
      </c>
      <c r="B26" s="577" t="s">
        <v>2470</v>
      </c>
      <c r="C26" s="616" t="s">
        <v>1228</v>
      </c>
      <c r="D26" s="450" t="s">
        <v>1127</v>
      </c>
      <c r="E26" s="452">
        <f t="shared" si="2"/>
        <v>24</v>
      </c>
      <c r="F26" s="625">
        <f t="shared" si="0"/>
        <v>24.81722222222222</v>
      </c>
      <c r="G26" s="452">
        <f t="shared" si="1"/>
        <v>595.61</v>
      </c>
      <c r="H26" s="651"/>
      <c r="K26" s="671"/>
    </row>
    <row r="27" spans="1:11" s="196" customFormat="1" x14ac:dyDescent="0.25">
      <c r="A27" s="443" t="s">
        <v>135</v>
      </c>
      <c r="B27" s="577" t="s">
        <v>2471</v>
      </c>
      <c r="C27" s="616" t="s">
        <v>1229</v>
      </c>
      <c r="D27" s="450" t="s">
        <v>1127</v>
      </c>
      <c r="E27" s="452">
        <f t="shared" si="2"/>
        <v>24</v>
      </c>
      <c r="F27" s="625">
        <f t="shared" si="0"/>
        <v>22.496296296296297</v>
      </c>
      <c r="G27" s="452">
        <f t="shared" si="1"/>
        <v>539.91</v>
      </c>
      <c r="H27" s="651"/>
      <c r="K27" s="671"/>
    </row>
    <row r="28" spans="1:11" s="196" customFormat="1" x14ac:dyDescent="0.25">
      <c r="A28" s="443" t="s">
        <v>136</v>
      </c>
      <c r="B28" s="577" t="s">
        <v>2472</v>
      </c>
      <c r="C28" s="616" t="s">
        <v>2473</v>
      </c>
      <c r="D28" s="450" t="s">
        <v>1127</v>
      </c>
      <c r="E28" s="452">
        <f>2*12*2</f>
        <v>48</v>
      </c>
      <c r="F28" s="625">
        <f t="shared" si="0"/>
        <v>37.027592592592597</v>
      </c>
      <c r="G28" s="452">
        <f t="shared" si="1"/>
        <v>1777.32</v>
      </c>
      <c r="H28" s="651"/>
      <c r="K28" s="671"/>
    </row>
    <row r="29" spans="1:11" s="196" customFormat="1" x14ac:dyDescent="0.25">
      <c r="A29" s="443" t="s">
        <v>138</v>
      </c>
      <c r="B29" s="577" t="s">
        <v>2474</v>
      </c>
      <c r="C29" s="616" t="s">
        <v>2475</v>
      </c>
      <c r="D29" s="450" t="s">
        <v>1127</v>
      </c>
      <c r="E29" s="452">
        <f>2*12*2</f>
        <v>48</v>
      </c>
      <c r="F29" s="625">
        <f t="shared" si="0"/>
        <v>62.664444444444449</v>
      </c>
      <c r="G29" s="452">
        <f t="shared" si="1"/>
        <v>3007.89</v>
      </c>
      <c r="H29" s="651"/>
      <c r="K29" s="671"/>
    </row>
    <row r="30" spans="1:11" s="196" customFormat="1" ht="25.5" x14ac:dyDescent="0.25">
      <c r="A30" s="443" t="s">
        <v>140</v>
      </c>
      <c r="B30" s="577" t="s">
        <v>2477</v>
      </c>
      <c r="C30" s="616" t="s">
        <v>697</v>
      </c>
      <c r="D30" s="450" t="s">
        <v>1127</v>
      </c>
      <c r="E30" s="452">
        <f>1.5*12</f>
        <v>18</v>
      </c>
      <c r="F30" s="625">
        <f t="shared" si="0"/>
        <v>6.4644444444444442</v>
      </c>
      <c r="G30" s="452">
        <f t="shared" si="1"/>
        <v>116.36</v>
      </c>
      <c r="H30" s="651"/>
      <c r="K30" s="671"/>
    </row>
    <row r="31" spans="1:11" s="196" customFormat="1" ht="25.5" x14ac:dyDescent="0.25">
      <c r="A31" s="443" t="s">
        <v>141</v>
      </c>
      <c r="B31" s="577" t="s">
        <v>2476</v>
      </c>
      <c r="C31" s="616" t="s">
        <v>698</v>
      </c>
      <c r="D31" s="450" t="s">
        <v>1127</v>
      </c>
      <c r="E31" s="452">
        <f>1.5*12</f>
        <v>18</v>
      </c>
      <c r="F31" s="625">
        <f t="shared" si="0"/>
        <v>69.444444444444443</v>
      </c>
      <c r="G31" s="452">
        <f t="shared" si="1"/>
        <v>1250</v>
      </c>
      <c r="H31" s="651"/>
      <c r="K31" s="671"/>
    </row>
    <row r="32" spans="1:11" s="196" customFormat="1" x14ac:dyDescent="0.25">
      <c r="A32" s="443" t="s">
        <v>142</v>
      </c>
      <c r="B32" s="577" t="s">
        <v>2442</v>
      </c>
      <c r="C32" s="617" t="s">
        <v>699</v>
      </c>
      <c r="D32" s="450" t="s">
        <v>1127</v>
      </c>
      <c r="E32" s="452">
        <f>2*12</f>
        <v>24</v>
      </c>
      <c r="F32" s="625">
        <f t="shared" si="0"/>
        <v>19.653703703703702</v>
      </c>
      <c r="G32" s="452">
        <f t="shared" si="1"/>
        <v>471.69</v>
      </c>
      <c r="H32" s="651"/>
      <c r="K32" s="671"/>
    </row>
    <row r="33" spans="1:11" s="196" customFormat="1" x14ac:dyDescent="0.25">
      <c r="A33" s="443" t="s">
        <v>143</v>
      </c>
      <c r="B33" s="577" t="s">
        <v>2443</v>
      </c>
      <c r="C33" s="617" t="s">
        <v>700</v>
      </c>
      <c r="D33" s="450" t="s">
        <v>1127</v>
      </c>
      <c r="E33" s="452">
        <f>2*12</f>
        <v>24</v>
      </c>
      <c r="F33" s="625">
        <f t="shared" si="0"/>
        <v>78.407037037037028</v>
      </c>
      <c r="G33" s="452">
        <f t="shared" si="1"/>
        <v>1881.77</v>
      </c>
      <c r="H33" s="651"/>
      <c r="K33" s="671"/>
    </row>
    <row r="34" spans="1:11" s="196" customFormat="1" x14ac:dyDescent="0.25">
      <c r="A34" s="443" t="s">
        <v>144</v>
      </c>
      <c r="B34" s="577" t="s">
        <v>2404</v>
      </c>
      <c r="C34" s="616" t="s">
        <v>1236</v>
      </c>
      <c r="D34" s="450" t="s">
        <v>1127</v>
      </c>
      <c r="E34" s="452">
        <f>4*12</f>
        <v>48</v>
      </c>
      <c r="F34" s="625">
        <f t="shared" si="0"/>
        <v>13.59</v>
      </c>
      <c r="G34" s="452">
        <f t="shared" si="1"/>
        <v>652.32000000000005</v>
      </c>
      <c r="H34" s="651"/>
      <c r="K34" s="671"/>
    </row>
    <row r="35" spans="1:11" s="196" customFormat="1" ht="25.5" x14ac:dyDescent="0.25">
      <c r="A35" s="443" t="s">
        <v>184</v>
      </c>
      <c r="B35" s="577" t="s">
        <v>2405</v>
      </c>
      <c r="C35" s="616" t="s">
        <v>1237</v>
      </c>
      <c r="D35" s="450" t="s">
        <v>1127</v>
      </c>
      <c r="E35" s="452">
        <f>3*12</f>
        <v>36</v>
      </c>
      <c r="F35" s="625">
        <f t="shared" si="0"/>
        <v>38.49</v>
      </c>
      <c r="G35" s="452">
        <f t="shared" si="1"/>
        <v>1385.64</v>
      </c>
      <c r="H35" s="651"/>
      <c r="K35" s="671"/>
    </row>
    <row r="36" spans="1:11" s="196" customFormat="1" x14ac:dyDescent="0.25">
      <c r="A36" s="443" t="s">
        <v>145</v>
      </c>
      <c r="B36" s="577" t="s">
        <v>2481</v>
      </c>
      <c r="C36" s="616" t="s">
        <v>1238</v>
      </c>
      <c r="D36" s="450" t="s">
        <v>1127</v>
      </c>
      <c r="E36" s="452">
        <f>3*12</f>
        <v>36</v>
      </c>
      <c r="F36" s="625">
        <f t="shared" si="0"/>
        <v>6.8944444444444448</v>
      </c>
      <c r="G36" s="452">
        <f t="shared" si="1"/>
        <v>248.2</v>
      </c>
      <c r="H36" s="651"/>
      <c r="K36" s="671"/>
    </row>
    <row r="37" spans="1:11" s="196" customFormat="1" x14ac:dyDescent="0.25">
      <c r="A37" s="443" t="s">
        <v>146</v>
      </c>
      <c r="B37" s="577" t="s">
        <v>2480</v>
      </c>
      <c r="C37" s="617" t="s">
        <v>701</v>
      </c>
      <c r="D37" s="450" t="s">
        <v>1127</v>
      </c>
      <c r="E37" s="452">
        <f>1*12</f>
        <v>12</v>
      </c>
      <c r="F37" s="625">
        <f t="shared" si="0"/>
        <v>19.143518518518519</v>
      </c>
      <c r="G37" s="452">
        <f t="shared" si="1"/>
        <v>229.72</v>
      </c>
      <c r="H37" s="651"/>
      <c r="K37" s="671"/>
    </row>
    <row r="38" spans="1:11" s="196" customFormat="1" x14ac:dyDescent="0.25">
      <c r="A38" s="443" t="s">
        <v>147</v>
      </c>
      <c r="B38" s="577" t="s">
        <v>2445</v>
      </c>
      <c r="C38" s="616" t="s">
        <v>1239</v>
      </c>
      <c r="D38" s="450" t="s">
        <v>1127</v>
      </c>
      <c r="E38" s="452">
        <f>2*12</f>
        <v>24</v>
      </c>
      <c r="F38" s="625">
        <f t="shared" si="0"/>
        <v>8.4977777777777774</v>
      </c>
      <c r="G38" s="452">
        <f t="shared" si="1"/>
        <v>203.95</v>
      </c>
      <c r="H38" s="651"/>
      <c r="K38" s="671"/>
    </row>
    <row r="39" spans="1:11" s="196" customFormat="1" x14ac:dyDescent="0.25">
      <c r="A39" s="443" t="s">
        <v>148</v>
      </c>
      <c r="B39" s="577" t="s">
        <v>2406</v>
      </c>
      <c r="C39" s="616" t="s">
        <v>1240</v>
      </c>
      <c r="D39" s="450" t="s">
        <v>1127</v>
      </c>
      <c r="E39" s="452">
        <f>2*12</f>
        <v>24</v>
      </c>
      <c r="F39" s="625">
        <f t="shared" si="0"/>
        <v>35.6</v>
      </c>
      <c r="G39" s="452">
        <f t="shared" si="1"/>
        <v>854.4</v>
      </c>
      <c r="H39" s="651"/>
      <c r="K39" s="671"/>
    </row>
    <row r="40" spans="1:11" s="196" customFormat="1" x14ac:dyDescent="0.25">
      <c r="A40" s="443" t="s">
        <v>149</v>
      </c>
      <c r="B40" s="577" t="s">
        <v>2435</v>
      </c>
      <c r="C40" s="616" t="s">
        <v>2409</v>
      </c>
      <c r="D40" s="450" t="s">
        <v>1127</v>
      </c>
      <c r="E40" s="452">
        <f>2*12</f>
        <v>24</v>
      </c>
      <c r="F40" s="625">
        <f t="shared" si="0"/>
        <v>14.08</v>
      </c>
      <c r="G40" s="452">
        <f t="shared" si="1"/>
        <v>337.92</v>
      </c>
      <c r="H40" s="651"/>
      <c r="K40" s="671"/>
    </row>
    <row r="41" spans="1:11" s="196" customFormat="1" x14ac:dyDescent="0.25">
      <c r="A41" s="443" t="s">
        <v>150</v>
      </c>
      <c r="B41" s="577" t="s">
        <v>2448</v>
      </c>
      <c r="C41" s="616" t="s">
        <v>1241</v>
      </c>
      <c r="D41" s="450" t="s">
        <v>1127</v>
      </c>
      <c r="E41" s="452">
        <f>1*12</f>
        <v>12</v>
      </c>
      <c r="F41" s="625">
        <f t="shared" si="0"/>
        <v>2012.1599999999999</v>
      </c>
      <c r="G41" s="452">
        <f t="shared" si="1"/>
        <v>24145.919999999998</v>
      </c>
      <c r="H41" s="651"/>
      <c r="K41" s="671"/>
    </row>
    <row r="42" spans="1:11" s="196" customFormat="1" x14ac:dyDescent="0.25">
      <c r="A42" s="443" t="s">
        <v>151</v>
      </c>
      <c r="B42" s="577" t="s">
        <v>2450</v>
      </c>
      <c r="C42" s="616" t="s">
        <v>1242</v>
      </c>
      <c r="D42" s="450" t="s">
        <v>1127</v>
      </c>
      <c r="E42" s="452">
        <f>2*12</f>
        <v>24</v>
      </c>
      <c r="F42" s="625">
        <f t="shared" si="0"/>
        <v>21.661481481481484</v>
      </c>
      <c r="G42" s="452">
        <f t="shared" si="1"/>
        <v>519.88</v>
      </c>
      <c r="H42" s="651"/>
      <c r="K42" s="671"/>
    </row>
    <row r="43" spans="1:11" s="196" customFormat="1" ht="25.5" x14ac:dyDescent="0.25">
      <c r="A43" s="443" t="s">
        <v>152</v>
      </c>
      <c r="B43" s="577" t="s">
        <v>2486</v>
      </c>
      <c r="C43" s="618" t="s">
        <v>702</v>
      </c>
      <c r="D43" s="450" t="s">
        <v>1127</v>
      </c>
      <c r="E43" s="452">
        <f t="shared" ref="E43:E47" si="3">2*12</f>
        <v>24</v>
      </c>
      <c r="F43" s="625">
        <f t="shared" si="0"/>
        <v>10.920370370370371</v>
      </c>
      <c r="G43" s="452">
        <f t="shared" si="1"/>
        <v>262.08999999999997</v>
      </c>
      <c r="H43" s="651"/>
      <c r="K43" s="671"/>
    </row>
    <row r="44" spans="1:11" s="196" customFormat="1" ht="25.5" x14ac:dyDescent="0.25">
      <c r="A44" s="443" t="s">
        <v>153</v>
      </c>
      <c r="B44" s="577" t="s">
        <v>2487</v>
      </c>
      <c r="C44" s="617" t="s">
        <v>703</v>
      </c>
      <c r="D44" s="450" t="s">
        <v>1127</v>
      </c>
      <c r="E44" s="452">
        <f t="shared" si="3"/>
        <v>24</v>
      </c>
      <c r="F44" s="625">
        <f t="shared" si="0"/>
        <v>39.440555555555555</v>
      </c>
      <c r="G44" s="452">
        <f t="shared" si="1"/>
        <v>946.57</v>
      </c>
      <c r="H44" s="651"/>
      <c r="K44" s="671"/>
    </row>
    <row r="45" spans="1:11" s="196" customFormat="1" ht="25.5" x14ac:dyDescent="0.25">
      <c r="A45" s="443" t="s">
        <v>154</v>
      </c>
      <c r="B45" s="577" t="s">
        <v>2488</v>
      </c>
      <c r="C45" s="617" t="s">
        <v>704</v>
      </c>
      <c r="D45" s="450" t="s">
        <v>1127</v>
      </c>
      <c r="E45" s="452">
        <f t="shared" si="3"/>
        <v>24</v>
      </c>
      <c r="F45" s="625">
        <f t="shared" si="0"/>
        <v>3.088703703703704</v>
      </c>
      <c r="G45" s="452">
        <f t="shared" si="1"/>
        <v>74.13</v>
      </c>
      <c r="H45" s="651"/>
      <c r="K45" s="671"/>
    </row>
    <row r="46" spans="1:11" s="196" customFormat="1" ht="25.5" x14ac:dyDescent="0.25">
      <c r="A46" s="443" t="s">
        <v>155</v>
      </c>
      <c r="B46" s="577" t="s">
        <v>2489</v>
      </c>
      <c r="C46" s="617" t="s">
        <v>705</v>
      </c>
      <c r="D46" s="450" t="s">
        <v>1127</v>
      </c>
      <c r="E46" s="452">
        <f t="shared" si="3"/>
        <v>24</v>
      </c>
      <c r="F46" s="625">
        <f t="shared" si="0"/>
        <v>109.81425925925925</v>
      </c>
      <c r="G46" s="452">
        <f t="shared" si="1"/>
        <v>2635.54</v>
      </c>
      <c r="H46" s="651"/>
      <c r="K46" s="671"/>
    </row>
    <row r="47" spans="1:11" s="196" customFormat="1" x14ac:dyDescent="0.25">
      <c r="A47" s="443" t="s">
        <v>156</v>
      </c>
      <c r="B47" s="577" t="s">
        <v>2408</v>
      </c>
      <c r="C47" s="616" t="s">
        <v>913</v>
      </c>
      <c r="D47" s="450" t="s">
        <v>1127</v>
      </c>
      <c r="E47" s="452">
        <f t="shared" si="3"/>
        <v>24</v>
      </c>
      <c r="F47" s="625">
        <f t="shared" si="0"/>
        <v>25.21</v>
      </c>
      <c r="G47" s="452">
        <f t="shared" si="1"/>
        <v>605.04</v>
      </c>
      <c r="H47" s="651"/>
      <c r="K47" s="671"/>
    </row>
    <row r="48" spans="1:11" s="196" customFormat="1" x14ac:dyDescent="0.25">
      <c r="A48" s="443" t="s">
        <v>157</v>
      </c>
      <c r="B48" s="577" t="s">
        <v>2451</v>
      </c>
      <c r="C48" s="616" t="s">
        <v>1243</v>
      </c>
      <c r="D48" s="450" t="s">
        <v>1127</v>
      </c>
      <c r="E48" s="452">
        <f>6*12</f>
        <v>72</v>
      </c>
      <c r="F48" s="625">
        <f t="shared" si="0"/>
        <v>15.273888888888889</v>
      </c>
      <c r="G48" s="452">
        <f t="shared" si="1"/>
        <v>1099.72</v>
      </c>
      <c r="H48" s="651"/>
      <c r="K48" s="671"/>
    </row>
    <row r="49" spans="1:11" s="196" customFormat="1" ht="25.5" x14ac:dyDescent="0.25">
      <c r="A49" s="443" t="s">
        <v>158</v>
      </c>
      <c r="B49" s="577" t="s">
        <v>2604</v>
      </c>
      <c r="C49" s="617" t="s">
        <v>1098</v>
      </c>
      <c r="D49" s="450" t="s">
        <v>1127</v>
      </c>
      <c r="E49" s="452">
        <f>1*12</f>
        <v>12</v>
      </c>
      <c r="F49" s="625">
        <f t="shared" si="0"/>
        <v>87.89</v>
      </c>
      <c r="G49" s="452">
        <f t="shared" si="1"/>
        <v>1054.68</v>
      </c>
      <c r="H49" s="651"/>
      <c r="K49" s="671"/>
    </row>
    <row r="50" spans="1:11" s="196" customFormat="1" ht="25.5" x14ac:dyDescent="0.25">
      <c r="A50" s="443" t="s">
        <v>159</v>
      </c>
      <c r="B50" s="577" t="s">
        <v>2466</v>
      </c>
      <c r="C50" s="617" t="s">
        <v>1099</v>
      </c>
      <c r="D50" s="450" t="s">
        <v>1127</v>
      </c>
      <c r="E50" s="452">
        <f>1*12</f>
        <v>12</v>
      </c>
      <c r="F50" s="625">
        <f t="shared" si="0"/>
        <v>905.89027777777778</v>
      </c>
      <c r="G50" s="452">
        <f t="shared" si="1"/>
        <v>10870.68</v>
      </c>
      <c r="H50" s="651"/>
      <c r="K50" s="671"/>
    </row>
    <row r="51" spans="1:11" s="196" customFormat="1" x14ac:dyDescent="0.25">
      <c r="A51" s="443" t="s">
        <v>160</v>
      </c>
      <c r="B51" s="577" t="s">
        <v>2490</v>
      </c>
      <c r="C51" s="617" t="s">
        <v>1244</v>
      </c>
      <c r="D51" s="450" t="s">
        <v>1127</v>
      </c>
      <c r="E51" s="452">
        <f>6*12</f>
        <v>72</v>
      </c>
      <c r="F51" s="625">
        <f t="shared" si="0"/>
        <v>34.413611111111109</v>
      </c>
      <c r="G51" s="452">
        <f t="shared" si="1"/>
        <v>2477.7800000000002</v>
      </c>
      <c r="H51" s="651"/>
      <c r="K51" s="671"/>
    </row>
    <row r="52" spans="1:11" s="196" customFormat="1" x14ac:dyDescent="0.25">
      <c r="A52" s="443" t="s">
        <v>161</v>
      </c>
      <c r="B52" s="577" t="s">
        <v>2452</v>
      </c>
      <c r="C52" s="617" t="s">
        <v>706</v>
      </c>
      <c r="D52" s="450" t="s">
        <v>1127</v>
      </c>
      <c r="E52" s="452">
        <f>1*12</f>
        <v>12</v>
      </c>
      <c r="F52" s="625">
        <f t="shared" si="0"/>
        <v>517.34944444444454</v>
      </c>
      <c r="G52" s="452">
        <f t="shared" si="1"/>
        <v>6208.19</v>
      </c>
      <c r="H52" s="651"/>
      <c r="K52" s="671"/>
    </row>
    <row r="53" spans="1:11" s="196" customFormat="1" x14ac:dyDescent="0.25">
      <c r="A53" s="443" t="s">
        <v>162</v>
      </c>
      <c r="B53" s="577" t="s">
        <v>2421</v>
      </c>
      <c r="C53" s="616" t="s">
        <v>1245</v>
      </c>
      <c r="D53" s="450" t="s">
        <v>1127</v>
      </c>
      <c r="E53" s="452">
        <f>1*12</f>
        <v>12</v>
      </c>
      <c r="F53" s="625">
        <f t="shared" si="0"/>
        <v>357.28</v>
      </c>
      <c r="G53" s="452">
        <f t="shared" si="1"/>
        <v>4287.3599999999997</v>
      </c>
      <c r="H53" s="651"/>
      <c r="K53" s="671"/>
    </row>
    <row r="54" spans="1:11" s="196" customFormat="1" x14ac:dyDescent="0.25">
      <c r="A54" s="443" t="s">
        <v>163</v>
      </c>
      <c r="B54" s="577" t="s">
        <v>2453</v>
      </c>
      <c r="C54" s="616" t="s">
        <v>1246</v>
      </c>
      <c r="D54" s="450" t="s">
        <v>1127</v>
      </c>
      <c r="E54" s="452">
        <f>2*12</f>
        <v>24</v>
      </c>
      <c r="F54" s="625">
        <f t="shared" si="0"/>
        <v>19.775925925925929</v>
      </c>
      <c r="G54" s="452">
        <f t="shared" si="1"/>
        <v>474.62</v>
      </c>
      <c r="H54" s="651"/>
      <c r="K54" s="671"/>
    </row>
    <row r="55" spans="1:11" s="196" customFormat="1" x14ac:dyDescent="0.25">
      <c r="A55" s="443" t="s">
        <v>164</v>
      </c>
      <c r="B55" s="577" t="s">
        <v>2455</v>
      </c>
      <c r="C55" s="616" t="s">
        <v>1247</v>
      </c>
      <c r="D55" s="450" t="s">
        <v>1127</v>
      </c>
      <c r="E55" s="452">
        <f t="shared" ref="E55:E59" si="4">2*12</f>
        <v>24</v>
      </c>
      <c r="F55" s="625">
        <f t="shared" si="0"/>
        <v>30.551666666666662</v>
      </c>
      <c r="G55" s="452">
        <f t="shared" si="1"/>
        <v>733.24</v>
      </c>
      <c r="H55" s="651"/>
      <c r="K55" s="671"/>
    </row>
    <row r="56" spans="1:11" s="196" customFormat="1" x14ac:dyDescent="0.25">
      <c r="A56" s="443" t="s">
        <v>165</v>
      </c>
      <c r="B56" s="577" t="s">
        <v>2605</v>
      </c>
      <c r="C56" s="616" t="s">
        <v>1248</v>
      </c>
      <c r="D56" s="450" t="s">
        <v>1127</v>
      </c>
      <c r="E56" s="452">
        <f t="shared" si="4"/>
        <v>24</v>
      </c>
      <c r="F56" s="625">
        <f t="shared" si="0"/>
        <v>93.67</v>
      </c>
      <c r="G56" s="452">
        <f t="shared" si="1"/>
        <v>2248.08</v>
      </c>
      <c r="H56" s="651"/>
      <c r="K56" s="671"/>
    </row>
    <row r="57" spans="1:11" s="196" customFormat="1" ht="25.5" x14ac:dyDescent="0.25">
      <c r="A57" s="443" t="s">
        <v>166</v>
      </c>
      <c r="B57" s="577" t="s">
        <v>2606</v>
      </c>
      <c r="C57" s="617" t="s">
        <v>707</v>
      </c>
      <c r="D57" s="450" t="s">
        <v>1127</v>
      </c>
      <c r="E57" s="452">
        <f>1*12</f>
        <v>12</v>
      </c>
      <c r="F57" s="625">
        <f t="shared" si="0"/>
        <v>79.02</v>
      </c>
      <c r="G57" s="452">
        <f t="shared" si="1"/>
        <v>948.24</v>
      </c>
      <c r="H57" s="651"/>
      <c r="K57" s="671"/>
    </row>
    <row r="58" spans="1:11" s="196" customFormat="1" x14ac:dyDescent="0.25">
      <c r="A58" s="443" t="s">
        <v>167</v>
      </c>
      <c r="B58" s="577" t="s">
        <v>2429</v>
      </c>
      <c r="C58" s="617" t="s">
        <v>708</v>
      </c>
      <c r="D58" s="450" t="s">
        <v>1127</v>
      </c>
      <c r="E58" s="452">
        <f t="shared" si="4"/>
        <v>24</v>
      </c>
      <c r="F58" s="625">
        <f t="shared" si="0"/>
        <v>195.36</v>
      </c>
      <c r="G58" s="452">
        <f t="shared" si="1"/>
        <v>4688.6400000000003</v>
      </c>
      <c r="H58" s="651"/>
      <c r="K58" s="671"/>
    </row>
    <row r="59" spans="1:11" s="196" customFormat="1" ht="13.5" thickBot="1" x14ac:dyDescent="0.3">
      <c r="A59" s="211" t="s">
        <v>168</v>
      </c>
      <c r="B59" s="578" t="s">
        <v>2456</v>
      </c>
      <c r="C59" s="619" t="s">
        <v>709</v>
      </c>
      <c r="D59" s="459" t="s">
        <v>1127</v>
      </c>
      <c r="E59" s="207">
        <f t="shared" si="4"/>
        <v>24</v>
      </c>
      <c r="F59" s="150">
        <f t="shared" si="0"/>
        <v>149.00425925925927</v>
      </c>
      <c r="G59" s="207">
        <f t="shared" si="1"/>
        <v>3576.1</v>
      </c>
      <c r="H59" s="651"/>
      <c r="K59" s="671"/>
    </row>
    <row r="60" spans="1:11" ht="13.5" thickBot="1" x14ac:dyDescent="0.3">
      <c r="A60" s="864" t="str">
        <f>"TOTAL - "&amp;C15&amp;":"</f>
        <v>TOTAL - EQUIPAMENTOS - MECÂNICA:</v>
      </c>
      <c r="B60" s="865"/>
      <c r="C60" s="865"/>
      <c r="D60" s="865"/>
      <c r="E60" s="865"/>
      <c r="F60" s="866"/>
      <c r="G60" s="212">
        <f>SUBTOTAL(9,G15:G59)</f>
        <v>92643.74</v>
      </c>
      <c r="H60" s="652"/>
    </row>
    <row r="61" spans="1:11" ht="13.5" thickBot="1" x14ac:dyDescent="0.3"/>
    <row r="62" spans="1:11" s="21" customFormat="1" ht="13.5" thickBot="1" x14ac:dyDescent="0.3">
      <c r="A62" s="252" t="s">
        <v>361</v>
      </c>
      <c r="B62" s="506"/>
      <c r="C62" s="998" t="s">
        <v>1249</v>
      </c>
      <c r="D62" s="999"/>
      <c r="E62" s="999"/>
      <c r="F62" s="999"/>
      <c r="G62" s="1000"/>
      <c r="H62" s="650"/>
      <c r="K62" s="670"/>
    </row>
    <row r="63" spans="1:11" ht="25.5" x14ac:dyDescent="0.25">
      <c r="A63" s="270" t="s">
        <v>173</v>
      </c>
      <c r="B63" s="580" t="s">
        <v>2438</v>
      </c>
      <c r="C63" s="275" t="s">
        <v>114</v>
      </c>
      <c r="D63" s="6" t="s">
        <v>1127</v>
      </c>
      <c r="E63" s="279">
        <f t="shared" ref="E63:E73" si="5">1*12</f>
        <v>12</v>
      </c>
      <c r="F63" s="682">
        <f t="shared" ref="F63:F73" si="6">VLOOKUP(B63,B$174:G$284,6,FALSE)</f>
        <v>2485.67</v>
      </c>
      <c r="G63" s="280">
        <f t="shared" ref="G63:G73" si="7">ROUND(E63*F63,2)</f>
        <v>29828.04</v>
      </c>
      <c r="H63" s="653"/>
      <c r="I63" s="196"/>
    </row>
    <row r="64" spans="1:11" x14ac:dyDescent="0.25">
      <c r="A64" s="276" t="s">
        <v>174</v>
      </c>
      <c r="B64" s="582" t="s">
        <v>2461</v>
      </c>
      <c r="C64" s="277" t="s">
        <v>115</v>
      </c>
      <c r="D64" s="6" t="s">
        <v>1127</v>
      </c>
      <c r="E64" s="279">
        <f t="shared" si="5"/>
        <v>12</v>
      </c>
      <c r="F64" s="679">
        <f t="shared" si="6"/>
        <v>13.76</v>
      </c>
      <c r="G64" s="281">
        <f t="shared" si="7"/>
        <v>165.12</v>
      </c>
      <c r="H64" s="653"/>
      <c r="I64" s="196"/>
    </row>
    <row r="65" spans="1:11" x14ac:dyDescent="0.25">
      <c r="A65" s="276" t="s">
        <v>175</v>
      </c>
      <c r="B65" s="582" t="s">
        <v>2463</v>
      </c>
      <c r="C65" s="277" t="s">
        <v>116</v>
      </c>
      <c r="D65" s="6" t="s">
        <v>1127</v>
      </c>
      <c r="E65" s="279">
        <f t="shared" si="5"/>
        <v>12</v>
      </c>
      <c r="F65" s="679">
        <f t="shared" si="6"/>
        <v>61.09</v>
      </c>
      <c r="G65" s="281">
        <f t="shared" si="7"/>
        <v>733.08</v>
      </c>
      <c r="H65" s="653"/>
      <c r="I65" s="196"/>
    </row>
    <row r="66" spans="1:11" ht="25.5" x14ac:dyDescent="0.25">
      <c r="A66" s="276" t="s">
        <v>176</v>
      </c>
      <c r="B66" s="582" t="s">
        <v>2444</v>
      </c>
      <c r="C66" s="277" t="s">
        <v>117</v>
      </c>
      <c r="D66" s="6" t="s">
        <v>1127</v>
      </c>
      <c r="E66" s="279">
        <f t="shared" si="5"/>
        <v>12</v>
      </c>
      <c r="F66" s="679">
        <f t="shared" si="6"/>
        <v>31.96</v>
      </c>
      <c r="G66" s="281">
        <f t="shared" si="7"/>
        <v>383.52</v>
      </c>
      <c r="H66" s="653"/>
      <c r="I66" s="196"/>
    </row>
    <row r="67" spans="1:11" x14ac:dyDescent="0.25">
      <c r="A67" s="276" t="s">
        <v>177</v>
      </c>
      <c r="B67" s="582" t="s">
        <v>2407</v>
      </c>
      <c r="C67" s="277" t="s">
        <v>118</v>
      </c>
      <c r="D67" s="6" t="s">
        <v>1127</v>
      </c>
      <c r="E67" s="279">
        <f t="shared" si="5"/>
        <v>12</v>
      </c>
      <c r="F67" s="679">
        <f t="shared" si="6"/>
        <v>136.53</v>
      </c>
      <c r="G67" s="281">
        <f t="shared" si="7"/>
        <v>1638.36</v>
      </c>
      <c r="H67" s="653"/>
      <c r="I67" s="196"/>
    </row>
    <row r="68" spans="1:11" x14ac:dyDescent="0.25">
      <c r="A68" s="276" t="s">
        <v>178</v>
      </c>
      <c r="B68" s="582" t="s">
        <v>2434</v>
      </c>
      <c r="C68" s="277" t="s">
        <v>119</v>
      </c>
      <c r="D68" s="6" t="s">
        <v>1127</v>
      </c>
      <c r="E68" s="279">
        <f t="shared" si="5"/>
        <v>12</v>
      </c>
      <c r="F68" s="679">
        <f t="shared" si="6"/>
        <v>10.01</v>
      </c>
      <c r="G68" s="281">
        <f t="shared" si="7"/>
        <v>120.12</v>
      </c>
      <c r="H68" s="653"/>
      <c r="I68" s="196"/>
    </row>
    <row r="69" spans="1:11" x14ac:dyDescent="0.25">
      <c r="A69" s="276" t="s">
        <v>179</v>
      </c>
      <c r="B69" s="582" t="s">
        <v>2446</v>
      </c>
      <c r="C69" s="277" t="s">
        <v>120</v>
      </c>
      <c r="D69" s="6" t="s">
        <v>1127</v>
      </c>
      <c r="E69" s="279">
        <f t="shared" si="5"/>
        <v>12</v>
      </c>
      <c r="F69" s="679">
        <f t="shared" si="6"/>
        <v>12.13</v>
      </c>
      <c r="G69" s="281">
        <f t="shared" si="7"/>
        <v>145.56</v>
      </c>
      <c r="H69" s="653"/>
      <c r="I69" s="196"/>
    </row>
    <row r="70" spans="1:11" x14ac:dyDescent="0.25">
      <c r="A70" s="276" t="s">
        <v>200</v>
      </c>
      <c r="B70" s="582" t="s">
        <v>2435</v>
      </c>
      <c r="C70" s="277" t="s">
        <v>2409</v>
      </c>
      <c r="D70" s="6" t="s">
        <v>1127</v>
      </c>
      <c r="E70" s="279">
        <f t="shared" si="5"/>
        <v>12</v>
      </c>
      <c r="F70" s="679">
        <f t="shared" si="6"/>
        <v>14.08</v>
      </c>
      <c r="G70" s="281">
        <f t="shared" si="7"/>
        <v>168.96</v>
      </c>
      <c r="H70" s="653"/>
      <c r="I70" s="196"/>
    </row>
    <row r="71" spans="1:11" ht="25.5" x14ac:dyDescent="0.25">
      <c r="A71" s="276" t="s">
        <v>201</v>
      </c>
      <c r="B71" s="582" t="s">
        <v>2447</v>
      </c>
      <c r="C71" s="277" t="s">
        <v>121</v>
      </c>
      <c r="D71" s="13" t="s">
        <v>1127</v>
      </c>
      <c r="E71" s="279">
        <f t="shared" si="5"/>
        <v>12</v>
      </c>
      <c r="F71" s="679">
        <f t="shared" si="6"/>
        <v>47.27</v>
      </c>
      <c r="G71" s="281">
        <f t="shared" si="7"/>
        <v>567.24</v>
      </c>
      <c r="H71" s="653"/>
      <c r="I71" s="196"/>
    </row>
    <row r="72" spans="1:11" ht="25.5" x14ac:dyDescent="0.25">
      <c r="A72" s="276" t="s">
        <v>202</v>
      </c>
      <c r="B72" s="582" t="s">
        <v>2449</v>
      </c>
      <c r="C72" s="277" t="s">
        <v>122</v>
      </c>
      <c r="D72" s="6" t="s">
        <v>1127</v>
      </c>
      <c r="E72" s="279">
        <f t="shared" si="5"/>
        <v>12</v>
      </c>
      <c r="F72" s="679">
        <f t="shared" si="6"/>
        <v>542.9</v>
      </c>
      <c r="G72" s="281">
        <f t="shared" si="7"/>
        <v>6514.8</v>
      </c>
      <c r="H72" s="653"/>
      <c r="I72" s="196"/>
    </row>
    <row r="73" spans="1:11" ht="26.25" thickBot="1" x14ac:dyDescent="0.3">
      <c r="A73" s="276" t="s">
        <v>203</v>
      </c>
      <c r="B73" s="588" t="s">
        <v>2458</v>
      </c>
      <c r="C73" s="278" t="s">
        <v>123</v>
      </c>
      <c r="D73" s="6" t="s">
        <v>1127</v>
      </c>
      <c r="E73" s="279">
        <f t="shared" si="5"/>
        <v>12</v>
      </c>
      <c r="F73" s="683">
        <f t="shared" si="6"/>
        <v>223.72</v>
      </c>
      <c r="G73" s="282">
        <f t="shared" si="7"/>
        <v>2684.64</v>
      </c>
      <c r="H73" s="653"/>
      <c r="I73" s="196"/>
    </row>
    <row r="74" spans="1:11" ht="13.5" thickBot="1" x14ac:dyDescent="0.3">
      <c r="A74" s="864" t="str">
        <f>"TOTAL - "&amp;C62&amp;":"</f>
        <v>TOTAL - EQUIPAMENTOS - ELÉTRICA:</v>
      </c>
      <c r="B74" s="865"/>
      <c r="C74" s="865"/>
      <c r="D74" s="865"/>
      <c r="E74" s="865"/>
      <c r="F74" s="866"/>
      <c r="G74" s="212">
        <f>SUBTOTAL(9,G62:G73)</f>
        <v>42949.440000000002</v>
      </c>
      <c r="H74" s="652"/>
    </row>
    <row r="75" spans="1:11" ht="13.5" thickBot="1" x14ac:dyDescent="0.3"/>
    <row r="76" spans="1:11" s="21" customFormat="1" ht="13.5" thickBot="1" x14ac:dyDescent="0.3">
      <c r="A76" s="252" t="s">
        <v>362</v>
      </c>
      <c r="B76" s="506"/>
      <c r="C76" s="998" t="s">
        <v>1250</v>
      </c>
      <c r="D76" s="999"/>
      <c r="E76" s="999"/>
      <c r="F76" s="999"/>
      <c r="G76" s="1000"/>
      <c r="H76" s="650"/>
      <c r="K76" s="670"/>
    </row>
    <row r="77" spans="1:11" s="21" customFormat="1" ht="13.5" thickBot="1" x14ac:dyDescent="0.3">
      <c r="A77" s="526" t="s">
        <v>238</v>
      </c>
      <c r="B77" s="633"/>
      <c r="C77" s="862" t="s">
        <v>1315</v>
      </c>
      <c r="D77" s="862"/>
      <c r="E77" s="862"/>
      <c r="F77" s="862"/>
      <c r="G77" s="863"/>
      <c r="H77" s="654"/>
      <c r="K77" s="670"/>
    </row>
    <row r="78" spans="1:11" s="196" customFormat="1" ht="51" x14ac:dyDescent="0.25">
      <c r="A78" s="620" t="s">
        <v>1251</v>
      </c>
      <c r="B78" s="621" t="s">
        <v>2493</v>
      </c>
      <c r="C78" s="612" t="s">
        <v>1314</v>
      </c>
      <c r="D78" s="512" t="s">
        <v>1127</v>
      </c>
      <c r="E78" s="475">
        <f>2*12</f>
        <v>24</v>
      </c>
      <c r="F78" s="139">
        <f t="shared" ref="F78:F131" si="8">VLOOKUP(B78,B$174:G$284,6,FALSE)</f>
        <v>561.44000000000005</v>
      </c>
      <c r="G78" s="139">
        <f t="shared" ref="G78:G131" si="9">ROUND(E78*F78,2)</f>
        <v>13474.56</v>
      </c>
      <c r="H78" s="655"/>
      <c r="K78" s="671"/>
    </row>
    <row r="79" spans="1:11" s="363" customFormat="1" ht="25.5" x14ac:dyDescent="0.25">
      <c r="A79" s="622" t="s">
        <v>1252</v>
      </c>
      <c r="B79" s="623" t="s">
        <v>2439</v>
      </c>
      <c r="C79" s="616" t="s">
        <v>1235</v>
      </c>
      <c r="D79" s="624" t="s">
        <v>670</v>
      </c>
      <c r="E79" s="457">
        <f>12*12</f>
        <v>144</v>
      </c>
      <c r="F79" s="625">
        <f t="shared" si="8"/>
        <v>2.99</v>
      </c>
      <c r="G79" s="462">
        <f t="shared" si="9"/>
        <v>430.56</v>
      </c>
      <c r="H79" s="656"/>
      <c r="I79" s="196"/>
      <c r="K79" s="674"/>
    </row>
    <row r="80" spans="1:11" s="196" customFormat="1" ht="25.5" x14ac:dyDescent="0.25">
      <c r="A80" s="622" t="s">
        <v>1253</v>
      </c>
      <c r="B80" s="623" t="s">
        <v>2440</v>
      </c>
      <c r="C80" s="618" t="s">
        <v>888</v>
      </c>
      <c r="D80" s="450" t="s">
        <v>1127</v>
      </c>
      <c r="E80" s="462">
        <f>3*12</f>
        <v>36</v>
      </c>
      <c r="F80" s="625">
        <f t="shared" si="8"/>
        <v>271.98</v>
      </c>
      <c r="G80" s="625">
        <f t="shared" si="9"/>
        <v>9791.2800000000007</v>
      </c>
      <c r="H80" s="655"/>
      <c r="K80" s="671"/>
    </row>
    <row r="81" spans="1:11" s="196" customFormat="1" ht="25.5" x14ac:dyDescent="0.25">
      <c r="A81" s="622" t="s">
        <v>1254</v>
      </c>
      <c r="B81" s="623" t="s">
        <v>2494</v>
      </c>
      <c r="C81" s="618" t="s">
        <v>889</v>
      </c>
      <c r="D81" s="450" t="s">
        <v>1127</v>
      </c>
      <c r="E81" s="462">
        <f>3*12</f>
        <v>36</v>
      </c>
      <c r="F81" s="625">
        <f t="shared" si="8"/>
        <v>1128.77</v>
      </c>
      <c r="G81" s="625">
        <f t="shared" si="9"/>
        <v>40635.72</v>
      </c>
      <c r="H81" s="655"/>
      <c r="K81" s="671"/>
    </row>
    <row r="82" spans="1:11" s="196" customFormat="1" ht="25.5" x14ac:dyDescent="0.25">
      <c r="A82" s="622" t="s">
        <v>1255</v>
      </c>
      <c r="B82" s="623" t="s">
        <v>2436</v>
      </c>
      <c r="C82" s="618" t="s">
        <v>890</v>
      </c>
      <c r="D82" s="450" t="s">
        <v>1127</v>
      </c>
      <c r="E82" s="462">
        <f>1*12</f>
        <v>12</v>
      </c>
      <c r="F82" s="625">
        <f t="shared" si="8"/>
        <v>134.44</v>
      </c>
      <c r="G82" s="625">
        <f t="shared" si="9"/>
        <v>1613.28</v>
      </c>
      <c r="H82" s="655"/>
      <c r="K82" s="671"/>
    </row>
    <row r="83" spans="1:11" s="196" customFormat="1" ht="38.25" x14ac:dyDescent="0.25">
      <c r="A83" s="622" t="s">
        <v>1256</v>
      </c>
      <c r="B83" s="623" t="s">
        <v>2465</v>
      </c>
      <c r="C83" s="618" t="s">
        <v>891</v>
      </c>
      <c r="D83" s="450" t="s">
        <v>1127</v>
      </c>
      <c r="E83" s="462">
        <f>2*12</f>
        <v>24</v>
      </c>
      <c r="F83" s="625">
        <f t="shared" si="8"/>
        <v>51.68</v>
      </c>
      <c r="G83" s="625">
        <f t="shared" si="9"/>
        <v>1240.32</v>
      </c>
      <c r="H83" s="655"/>
      <c r="K83" s="671"/>
    </row>
    <row r="84" spans="1:11" s="196" customFormat="1" ht="51" x14ac:dyDescent="0.25">
      <c r="A84" s="622" t="s">
        <v>1257</v>
      </c>
      <c r="B84" s="623" t="s">
        <v>2484</v>
      </c>
      <c r="C84" s="618" t="s">
        <v>892</v>
      </c>
      <c r="D84" s="450" t="s">
        <v>1127</v>
      </c>
      <c r="E84" s="462">
        <f>2*12</f>
        <v>24</v>
      </c>
      <c r="F84" s="625">
        <f t="shared" si="8"/>
        <v>394.24</v>
      </c>
      <c r="G84" s="625">
        <f t="shared" si="9"/>
        <v>9461.76</v>
      </c>
      <c r="H84" s="655"/>
      <c r="K84" s="671"/>
    </row>
    <row r="85" spans="1:11" s="196" customFormat="1" ht="51" x14ac:dyDescent="0.25">
      <c r="A85" s="622" t="s">
        <v>1258</v>
      </c>
      <c r="B85" s="623" t="s">
        <v>2485</v>
      </c>
      <c r="C85" s="618" t="s">
        <v>893</v>
      </c>
      <c r="D85" s="450" t="s">
        <v>1127</v>
      </c>
      <c r="E85" s="462">
        <f>2*12</f>
        <v>24</v>
      </c>
      <c r="F85" s="625">
        <f t="shared" si="8"/>
        <v>281.60000000000002</v>
      </c>
      <c r="G85" s="625">
        <f t="shared" si="9"/>
        <v>6758.4</v>
      </c>
      <c r="H85" s="655"/>
      <c r="K85" s="671"/>
    </row>
    <row r="86" spans="1:11" s="196" customFormat="1" x14ac:dyDescent="0.25">
      <c r="A86" s="622" t="s">
        <v>1259</v>
      </c>
      <c r="B86" s="581" t="s">
        <v>2518</v>
      </c>
      <c r="C86" s="618" t="s">
        <v>894</v>
      </c>
      <c r="D86" s="450" t="s">
        <v>1127</v>
      </c>
      <c r="E86" s="457">
        <f>3*12</f>
        <v>36</v>
      </c>
      <c r="F86" s="625">
        <f t="shared" si="8"/>
        <v>27066.880000000001</v>
      </c>
      <c r="G86" s="625">
        <f t="shared" si="9"/>
        <v>974407.68000000005</v>
      </c>
      <c r="H86" s="655"/>
      <c r="K86" s="671"/>
    </row>
    <row r="87" spans="1:11" s="196" customFormat="1" x14ac:dyDescent="0.25">
      <c r="A87" s="622" t="s">
        <v>1260</v>
      </c>
      <c r="B87" s="623" t="s">
        <v>2519</v>
      </c>
      <c r="C87" s="618" t="s">
        <v>895</v>
      </c>
      <c r="D87" s="450" t="s">
        <v>1127</v>
      </c>
      <c r="E87" s="457">
        <f t="shared" ref="E87:E88" si="10">3*12</f>
        <v>36</v>
      </c>
      <c r="F87" s="625">
        <f t="shared" si="8"/>
        <v>18897.68</v>
      </c>
      <c r="G87" s="625">
        <f t="shared" si="9"/>
        <v>680316.48</v>
      </c>
      <c r="H87" s="655"/>
      <c r="K87" s="671"/>
    </row>
    <row r="88" spans="1:11" s="196" customFormat="1" x14ac:dyDescent="0.25">
      <c r="A88" s="622" t="s">
        <v>1261</v>
      </c>
      <c r="B88" s="623" t="s">
        <v>2517</v>
      </c>
      <c r="C88" s="618" t="s">
        <v>1503</v>
      </c>
      <c r="D88" s="450" t="s">
        <v>1127</v>
      </c>
      <c r="E88" s="457">
        <f t="shared" si="10"/>
        <v>36</v>
      </c>
      <c r="F88" s="625">
        <f t="shared" si="8"/>
        <v>26713.26</v>
      </c>
      <c r="G88" s="625">
        <f t="shared" si="9"/>
        <v>961677.36</v>
      </c>
      <c r="H88" s="655"/>
      <c r="K88" s="671"/>
    </row>
    <row r="89" spans="1:11" s="196" customFormat="1" ht="63.75" x14ac:dyDescent="0.25">
      <c r="A89" s="622" t="s">
        <v>1262</v>
      </c>
      <c r="B89" s="623" t="s">
        <v>2441</v>
      </c>
      <c r="C89" s="618" t="s">
        <v>957</v>
      </c>
      <c r="D89" s="450" t="s">
        <v>1127</v>
      </c>
      <c r="E89" s="457">
        <f>1*12</f>
        <v>12</v>
      </c>
      <c r="F89" s="625">
        <f t="shared" si="8"/>
        <v>11000</v>
      </c>
      <c r="G89" s="625">
        <f t="shared" si="9"/>
        <v>132000</v>
      </c>
      <c r="H89" s="655"/>
      <c r="K89" s="671"/>
    </row>
    <row r="90" spans="1:11" s="196" customFormat="1" x14ac:dyDescent="0.25">
      <c r="A90" s="622" t="s">
        <v>1263</v>
      </c>
      <c r="B90" s="623" t="s">
        <v>2521</v>
      </c>
      <c r="C90" s="618" t="s">
        <v>1044</v>
      </c>
      <c r="D90" s="450" t="s">
        <v>1127</v>
      </c>
      <c r="E90" s="457">
        <f>3*12</f>
        <v>36</v>
      </c>
      <c r="F90" s="625">
        <f t="shared" si="8"/>
        <v>31555.23</v>
      </c>
      <c r="G90" s="625">
        <f t="shared" si="9"/>
        <v>1135988.28</v>
      </c>
      <c r="H90" s="655"/>
      <c r="K90" s="671"/>
    </row>
    <row r="91" spans="1:11" s="196" customFormat="1" x14ac:dyDescent="0.25">
      <c r="A91" s="622" t="s">
        <v>1264</v>
      </c>
      <c r="B91" s="623" t="s">
        <v>2522</v>
      </c>
      <c r="C91" s="618" t="s">
        <v>896</v>
      </c>
      <c r="D91" s="450" t="s">
        <v>1127</v>
      </c>
      <c r="E91" s="457">
        <f>3*12</f>
        <v>36</v>
      </c>
      <c r="F91" s="625">
        <f t="shared" si="8"/>
        <v>26310.2</v>
      </c>
      <c r="G91" s="625">
        <f t="shared" si="9"/>
        <v>947167.2</v>
      </c>
      <c r="H91" s="655"/>
      <c r="K91" s="671"/>
    </row>
    <row r="92" spans="1:11" s="196" customFormat="1" ht="25.5" x14ac:dyDescent="0.25">
      <c r="A92" s="622" t="s">
        <v>1265</v>
      </c>
      <c r="B92" s="623" t="s">
        <v>2422</v>
      </c>
      <c r="C92" s="618" t="s">
        <v>897</v>
      </c>
      <c r="D92" s="450" t="s">
        <v>1127</v>
      </c>
      <c r="E92" s="457">
        <f>2*12</f>
        <v>24</v>
      </c>
      <c r="F92" s="625">
        <f t="shared" si="8"/>
        <v>22405.040000000001</v>
      </c>
      <c r="G92" s="625">
        <f t="shared" si="9"/>
        <v>537720.96</v>
      </c>
      <c r="H92" s="655"/>
      <c r="K92" s="671"/>
    </row>
    <row r="93" spans="1:11" s="196" customFormat="1" ht="25.5" x14ac:dyDescent="0.25">
      <c r="A93" s="622" t="s">
        <v>1266</v>
      </c>
      <c r="B93" s="623" t="s">
        <v>2524</v>
      </c>
      <c r="C93" s="618" t="s">
        <v>898</v>
      </c>
      <c r="D93" s="450" t="s">
        <v>1127</v>
      </c>
      <c r="E93" s="457">
        <f>1*12</f>
        <v>12</v>
      </c>
      <c r="F93" s="625">
        <f t="shared" si="8"/>
        <v>40372.36</v>
      </c>
      <c r="G93" s="625">
        <f t="shared" si="9"/>
        <v>484468.32</v>
      </c>
      <c r="H93" s="655"/>
      <c r="K93" s="671"/>
    </row>
    <row r="94" spans="1:11" s="196" customFormat="1" ht="51" x14ac:dyDescent="0.25">
      <c r="A94" s="622" t="s">
        <v>1267</v>
      </c>
      <c r="B94" s="623" t="s">
        <v>2607</v>
      </c>
      <c r="C94" s="618" t="s">
        <v>899</v>
      </c>
      <c r="D94" s="450" t="s">
        <v>1127</v>
      </c>
      <c r="E94" s="462">
        <f>9*12</f>
        <v>108</v>
      </c>
      <c r="F94" s="625">
        <f t="shared" si="8"/>
        <v>740.54</v>
      </c>
      <c r="G94" s="625">
        <f t="shared" si="9"/>
        <v>79978.320000000007</v>
      </c>
      <c r="H94" s="655"/>
      <c r="K94" s="671"/>
    </row>
    <row r="95" spans="1:11" s="196" customFormat="1" ht="63.75" x14ac:dyDescent="0.25">
      <c r="A95" s="622" t="s">
        <v>1268</v>
      </c>
      <c r="B95" s="623" t="s">
        <v>2608</v>
      </c>
      <c r="C95" s="618" t="s">
        <v>900</v>
      </c>
      <c r="D95" s="450" t="s">
        <v>1127</v>
      </c>
      <c r="E95" s="457">
        <f>5*12</f>
        <v>60</v>
      </c>
      <c r="F95" s="625">
        <f t="shared" si="8"/>
        <v>1197.68</v>
      </c>
      <c r="G95" s="625">
        <f t="shared" si="9"/>
        <v>71860.800000000003</v>
      </c>
      <c r="H95" s="655"/>
      <c r="K95" s="671"/>
    </row>
    <row r="96" spans="1:11" s="196" customFormat="1" ht="25.5" x14ac:dyDescent="0.25">
      <c r="A96" s="622" t="s">
        <v>1269</v>
      </c>
      <c r="B96" s="623" t="s">
        <v>2609</v>
      </c>
      <c r="C96" s="618" t="s">
        <v>901</v>
      </c>
      <c r="D96" s="450" t="s">
        <v>1127</v>
      </c>
      <c r="E96" s="462">
        <f>1*12</f>
        <v>12</v>
      </c>
      <c r="F96" s="625">
        <f t="shared" si="8"/>
        <v>12214.86</v>
      </c>
      <c r="G96" s="625">
        <f t="shared" si="9"/>
        <v>146578.32</v>
      </c>
      <c r="H96" s="655"/>
      <c r="K96" s="671"/>
    </row>
    <row r="97" spans="1:11" s="196" customFormat="1" ht="25.5" x14ac:dyDescent="0.25">
      <c r="A97" s="622" t="s">
        <v>1270</v>
      </c>
      <c r="B97" s="623" t="s">
        <v>2610</v>
      </c>
      <c r="C97" s="618" t="s">
        <v>902</v>
      </c>
      <c r="D97" s="450" t="s">
        <v>1127</v>
      </c>
      <c r="E97" s="462">
        <f t="shared" ref="E97:E101" si="11">1*12</f>
        <v>12</v>
      </c>
      <c r="F97" s="625">
        <f t="shared" si="8"/>
        <v>7084.65</v>
      </c>
      <c r="G97" s="625">
        <f t="shared" si="9"/>
        <v>85015.8</v>
      </c>
      <c r="H97" s="655"/>
      <c r="K97" s="671"/>
    </row>
    <row r="98" spans="1:11" s="196" customFormat="1" ht="38.25" x14ac:dyDescent="0.25">
      <c r="A98" s="622" t="s">
        <v>1271</v>
      </c>
      <c r="B98" s="623" t="s">
        <v>2478</v>
      </c>
      <c r="C98" s="618" t="s">
        <v>903</v>
      </c>
      <c r="D98" s="450" t="s">
        <v>1127</v>
      </c>
      <c r="E98" s="462">
        <f t="shared" si="11"/>
        <v>12</v>
      </c>
      <c r="F98" s="625">
        <f t="shared" si="8"/>
        <v>24444.44</v>
      </c>
      <c r="G98" s="625">
        <f t="shared" si="9"/>
        <v>293333.28000000003</v>
      </c>
      <c r="H98" s="655"/>
      <c r="K98" s="671"/>
    </row>
    <row r="99" spans="1:11" s="196" customFormat="1" ht="38.25" x14ac:dyDescent="0.25">
      <c r="A99" s="622" t="s">
        <v>1272</v>
      </c>
      <c r="B99" s="623" t="s">
        <v>2479</v>
      </c>
      <c r="C99" s="618" t="s">
        <v>904</v>
      </c>
      <c r="D99" s="450" t="s">
        <v>1127</v>
      </c>
      <c r="E99" s="462">
        <f t="shared" si="11"/>
        <v>12</v>
      </c>
      <c r="F99" s="625">
        <f t="shared" si="8"/>
        <v>3361.11</v>
      </c>
      <c r="G99" s="625">
        <f t="shared" si="9"/>
        <v>40333.32</v>
      </c>
      <c r="H99" s="655"/>
      <c r="K99" s="671"/>
    </row>
    <row r="100" spans="1:11" s="196" customFormat="1" ht="38.25" x14ac:dyDescent="0.25">
      <c r="A100" s="622" t="s">
        <v>1273</v>
      </c>
      <c r="B100" s="623" t="s">
        <v>2623</v>
      </c>
      <c r="C100" s="618" t="s">
        <v>905</v>
      </c>
      <c r="D100" s="450" t="s">
        <v>1127</v>
      </c>
      <c r="E100" s="462">
        <f t="shared" si="11"/>
        <v>12</v>
      </c>
      <c r="F100" s="625">
        <f t="shared" si="8"/>
        <v>10919.41</v>
      </c>
      <c r="G100" s="625">
        <f t="shared" si="9"/>
        <v>131032.92</v>
      </c>
      <c r="H100" s="655"/>
      <c r="K100" s="671"/>
    </row>
    <row r="101" spans="1:11" s="196" customFormat="1" ht="25.5" x14ac:dyDescent="0.25">
      <c r="A101" s="622" t="s">
        <v>1274</v>
      </c>
      <c r="B101" s="581" t="s">
        <v>2619</v>
      </c>
      <c r="C101" s="618" t="s">
        <v>906</v>
      </c>
      <c r="D101" s="450" t="s">
        <v>1127</v>
      </c>
      <c r="E101" s="462">
        <f t="shared" si="11"/>
        <v>12</v>
      </c>
      <c r="F101" s="625">
        <f t="shared" si="8"/>
        <v>21365.96</v>
      </c>
      <c r="G101" s="625">
        <f t="shared" si="9"/>
        <v>256391.52</v>
      </c>
      <c r="H101" s="655"/>
      <c r="K101" s="671"/>
    </row>
    <row r="102" spans="1:11" s="196" customFormat="1" ht="25.5" x14ac:dyDescent="0.25">
      <c r="A102" s="622" t="s">
        <v>1275</v>
      </c>
      <c r="B102" s="623" t="s">
        <v>2482</v>
      </c>
      <c r="C102" s="618" t="s">
        <v>907</v>
      </c>
      <c r="D102" s="450" t="s">
        <v>1127</v>
      </c>
      <c r="E102" s="462">
        <f>2*12</f>
        <v>24</v>
      </c>
      <c r="F102" s="625">
        <f t="shared" si="8"/>
        <v>22831.67</v>
      </c>
      <c r="G102" s="625">
        <f t="shared" si="9"/>
        <v>547960.07999999996</v>
      </c>
      <c r="H102" s="655"/>
      <c r="K102" s="671"/>
    </row>
    <row r="103" spans="1:11" s="196" customFormat="1" ht="25.5" x14ac:dyDescent="0.25">
      <c r="A103" s="622" t="s">
        <v>1276</v>
      </c>
      <c r="B103" s="623" t="s">
        <v>2622</v>
      </c>
      <c r="C103" s="618" t="s">
        <v>710</v>
      </c>
      <c r="D103" s="450" t="s">
        <v>1127</v>
      </c>
      <c r="E103" s="462">
        <f t="shared" ref="E103:E105" si="12">2*12</f>
        <v>24</v>
      </c>
      <c r="F103" s="625">
        <f t="shared" si="8"/>
        <v>485.72</v>
      </c>
      <c r="G103" s="625">
        <f t="shared" si="9"/>
        <v>11657.28</v>
      </c>
      <c r="H103" s="655"/>
      <c r="K103" s="671"/>
    </row>
    <row r="104" spans="1:11" s="196" customFormat="1" ht="25.5" x14ac:dyDescent="0.25">
      <c r="A104" s="622" t="s">
        <v>1277</v>
      </c>
      <c r="B104" s="623" t="s">
        <v>2621</v>
      </c>
      <c r="C104" s="618" t="s">
        <v>711</v>
      </c>
      <c r="D104" s="450" t="s">
        <v>1127</v>
      </c>
      <c r="E104" s="462">
        <f t="shared" si="12"/>
        <v>24</v>
      </c>
      <c r="F104" s="625">
        <f t="shared" si="8"/>
        <v>1699.46</v>
      </c>
      <c r="G104" s="625">
        <f t="shared" si="9"/>
        <v>40787.040000000001</v>
      </c>
      <c r="H104" s="655"/>
      <c r="K104" s="671"/>
    </row>
    <row r="105" spans="1:11" s="196" customFormat="1" ht="38.25" x14ac:dyDescent="0.25">
      <c r="A105" s="622" t="s">
        <v>1278</v>
      </c>
      <c r="B105" s="623" t="s">
        <v>2483</v>
      </c>
      <c r="C105" s="618" t="s">
        <v>908</v>
      </c>
      <c r="D105" s="450" t="s">
        <v>1127</v>
      </c>
      <c r="E105" s="462">
        <f t="shared" si="12"/>
        <v>24</v>
      </c>
      <c r="F105" s="625">
        <f t="shared" si="8"/>
        <v>3831.28</v>
      </c>
      <c r="G105" s="625">
        <f t="shared" si="9"/>
        <v>91950.720000000001</v>
      </c>
      <c r="H105" s="655"/>
      <c r="K105" s="671"/>
    </row>
    <row r="106" spans="1:11" s="196" customFormat="1" ht="25.5" x14ac:dyDescent="0.25">
      <c r="A106" s="622" t="s">
        <v>1279</v>
      </c>
      <c r="B106" s="623" t="s">
        <v>2621</v>
      </c>
      <c r="C106" s="618" t="s">
        <v>909</v>
      </c>
      <c r="D106" s="450" t="s">
        <v>1127</v>
      </c>
      <c r="E106" s="462">
        <f>1*12</f>
        <v>12</v>
      </c>
      <c r="F106" s="625">
        <f t="shared" si="8"/>
        <v>1699.46</v>
      </c>
      <c r="G106" s="625">
        <f t="shared" si="9"/>
        <v>20393.52</v>
      </c>
      <c r="H106" s="655"/>
      <c r="K106" s="671"/>
    </row>
    <row r="107" spans="1:11" s="196" customFormat="1" ht="25.5" x14ac:dyDescent="0.25">
      <c r="A107" s="622" t="s">
        <v>1280</v>
      </c>
      <c r="B107" s="623" t="s">
        <v>2410</v>
      </c>
      <c r="C107" s="618" t="s">
        <v>910</v>
      </c>
      <c r="D107" s="450" t="s">
        <v>1127</v>
      </c>
      <c r="E107" s="462">
        <f t="shared" ref="E107:E108" si="13">1*12</f>
        <v>12</v>
      </c>
      <c r="F107" s="625">
        <f t="shared" si="8"/>
        <v>4017.78</v>
      </c>
      <c r="G107" s="625">
        <f t="shared" si="9"/>
        <v>48213.36</v>
      </c>
      <c r="H107" s="655"/>
      <c r="K107" s="671"/>
    </row>
    <row r="108" spans="1:11" s="196" customFormat="1" ht="25.5" x14ac:dyDescent="0.25">
      <c r="A108" s="622" t="s">
        <v>1281</v>
      </c>
      <c r="B108" s="623" t="s">
        <v>2411</v>
      </c>
      <c r="C108" s="618" t="s">
        <v>911</v>
      </c>
      <c r="D108" s="450" t="s">
        <v>1127</v>
      </c>
      <c r="E108" s="462">
        <f t="shared" si="13"/>
        <v>12</v>
      </c>
      <c r="F108" s="625">
        <f t="shared" si="8"/>
        <v>7848.25</v>
      </c>
      <c r="G108" s="625">
        <f t="shared" si="9"/>
        <v>94179</v>
      </c>
      <c r="H108" s="655"/>
      <c r="K108" s="671"/>
    </row>
    <row r="109" spans="1:11" s="196" customFormat="1" ht="38.25" x14ac:dyDescent="0.25">
      <c r="A109" s="622" t="s">
        <v>1282</v>
      </c>
      <c r="B109" s="623" t="s">
        <v>2454</v>
      </c>
      <c r="C109" s="618" t="s">
        <v>712</v>
      </c>
      <c r="D109" s="450" t="s">
        <v>1127</v>
      </c>
      <c r="E109" s="462">
        <f>2*12</f>
        <v>24</v>
      </c>
      <c r="F109" s="625">
        <f t="shared" si="8"/>
        <v>4606.6099999999997</v>
      </c>
      <c r="G109" s="625">
        <f t="shared" si="9"/>
        <v>110558.64</v>
      </c>
      <c r="H109" s="655"/>
      <c r="K109" s="671"/>
    </row>
    <row r="110" spans="1:11" s="196" customFormat="1" ht="38.25" x14ac:dyDescent="0.25">
      <c r="A110" s="622" t="s">
        <v>1283</v>
      </c>
      <c r="B110" s="623" t="s">
        <v>2427</v>
      </c>
      <c r="C110" s="618" t="s">
        <v>912</v>
      </c>
      <c r="D110" s="450" t="s">
        <v>1127</v>
      </c>
      <c r="E110" s="462">
        <f>3*12</f>
        <v>36</v>
      </c>
      <c r="F110" s="625">
        <f t="shared" si="8"/>
        <v>215.81</v>
      </c>
      <c r="G110" s="625">
        <f t="shared" si="9"/>
        <v>7769.16</v>
      </c>
      <c r="H110" s="655"/>
      <c r="K110" s="671"/>
    </row>
    <row r="111" spans="1:11" s="196" customFormat="1" ht="25.5" x14ac:dyDescent="0.25">
      <c r="A111" s="622" t="s">
        <v>1284</v>
      </c>
      <c r="B111" s="623" t="s">
        <v>2408</v>
      </c>
      <c r="C111" s="618" t="s">
        <v>913</v>
      </c>
      <c r="D111" s="450" t="s">
        <v>1127</v>
      </c>
      <c r="E111" s="462">
        <f t="shared" ref="E111:E116" si="14">3*12</f>
        <v>36</v>
      </c>
      <c r="F111" s="625">
        <f t="shared" si="8"/>
        <v>25.21</v>
      </c>
      <c r="G111" s="625">
        <f t="shared" si="9"/>
        <v>907.56</v>
      </c>
      <c r="H111" s="655"/>
      <c r="K111" s="671"/>
    </row>
    <row r="112" spans="1:11" s="196" customFormat="1" x14ac:dyDescent="0.25">
      <c r="A112" s="622" t="s">
        <v>1285</v>
      </c>
      <c r="B112" s="623" t="s">
        <v>2624</v>
      </c>
      <c r="C112" s="618" t="s">
        <v>713</v>
      </c>
      <c r="D112" s="450" t="s">
        <v>1127</v>
      </c>
      <c r="E112" s="462">
        <f t="shared" si="14"/>
        <v>36</v>
      </c>
      <c r="F112" s="625">
        <f t="shared" si="8"/>
        <v>24.11</v>
      </c>
      <c r="G112" s="625">
        <f t="shared" si="9"/>
        <v>867.96</v>
      </c>
      <c r="H112" s="655"/>
      <c r="K112" s="671"/>
    </row>
    <row r="113" spans="1:11" s="196" customFormat="1" ht="25.5" x14ac:dyDescent="0.25">
      <c r="A113" s="622" t="s">
        <v>1286</v>
      </c>
      <c r="B113" s="623" t="s">
        <v>2412</v>
      </c>
      <c r="C113" s="618" t="s">
        <v>914</v>
      </c>
      <c r="D113" s="450" t="s">
        <v>1127</v>
      </c>
      <c r="E113" s="462">
        <f t="shared" si="14"/>
        <v>36</v>
      </c>
      <c r="F113" s="625">
        <f t="shared" si="8"/>
        <v>221.91</v>
      </c>
      <c r="G113" s="625">
        <f t="shared" si="9"/>
        <v>7988.76</v>
      </c>
      <c r="H113" s="655"/>
      <c r="K113" s="671"/>
    </row>
    <row r="114" spans="1:11" s="196" customFormat="1" ht="25.5" x14ac:dyDescent="0.25">
      <c r="A114" s="622" t="s">
        <v>1287</v>
      </c>
      <c r="B114" s="623" t="s">
        <v>2413</v>
      </c>
      <c r="C114" s="618" t="s">
        <v>915</v>
      </c>
      <c r="D114" s="450" t="s">
        <v>1127</v>
      </c>
      <c r="E114" s="462">
        <f>3*12</f>
        <v>36</v>
      </c>
      <c r="F114" s="625">
        <f t="shared" si="8"/>
        <v>627.27</v>
      </c>
      <c r="G114" s="625">
        <f t="shared" si="9"/>
        <v>22581.72</v>
      </c>
      <c r="H114" s="655"/>
      <c r="K114" s="671"/>
    </row>
    <row r="115" spans="1:11" s="196" customFormat="1" ht="25.5" x14ac:dyDescent="0.25">
      <c r="A115" s="622" t="s">
        <v>1288</v>
      </c>
      <c r="B115" s="623" t="s">
        <v>2415</v>
      </c>
      <c r="C115" s="618" t="s">
        <v>916</v>
      </c>
      <c r="D115" s="450" t="s">
        <v>1127</v>
      </c>
      <c r="E115" s="462">
        <f t="shared" si="14"/>
        <v>36</v>
      </c>
      <c r="F115" s="625">
        <f t="shared" si="8"/>
        <v>353.93</v>
      </c>
      <c r="G115" s="625">
        <f t="shared" si="9"/>
        <v>12741.48</v>
      </c>
      <c r="H115" s="655"/>
      <c r="K115" s="671"/>
    </row>
    <row r="116" spans="1:11" s="196" customFormat="1" ht="25.5" x14ac:dyDescent="0.25">
      <c r="A116" s="622" t="s">
        <v>1289</v>
      </c>
      <c r="B116" s="623" t="s">
        <v>2414</v>
      </c>
      <c r="C116" s="618" t="s">
        <v>917</v>
      </c>
      <c r="D116" s="450" t="s">
        <v>1127</v>
      </c>
      <c r="E116" s="462">
        <f t="shared" si="14"/>
        <v>36</v>
      </c>
      <c r="F116" s="625">
        <f t="shared" si="8"/>
        <v>759.32</v>
      </c>
      <c r="G116" s="625">
        <f t="shared" si="9"/>
        <v>27335.52</v>
      </c>
      <c r="H116" s="655"/>
      <c r="K116" s="671"/>
    </row>
    <row r="117" spans="1:11" s="196" customFormat="1" ht="25.5" x14ac:dyDescent="0.25">
      <c r="A117" s="622" t="s">
        <v>1290</v>
      </c>
      <c r="B117" s="623" t="s">
        <v>2416</v>
      </c>
      <c r="C117" s="618" t="s">
        <v>918</v>
      </c>
      <c r="D117" s="450" t="s">
        <v>1127</v>
      </c>
      <c r="E117" s="462">
        <f>2*12</f>
        <v>24</v>
      </c>
      <c r="F117" s="625">
        <f t="shared" si="8"/>
        <v>8853.6299999999992</v>
      </c>
      <c r="G117" s="625">
        <f t="shared" si="9"/>
        <v>212487.12</v>
      </c>
      <c r="H117" s="655"/>
      <c r="K117" s="671"/>
    </row>
    <row r="118" spans="1:11" s="196" customFormat="1" ht="25.5" x14ac:dyDescent="0.25">
      <c r="A118" s="622" t="s">
        <v>1291</v>
      </c>
      <c r="B118" s="623" t="s">
        <v>2417</v>
      </c>
      <c r="C118" s="618" t="s">
        <v>932</v>
      </c>
      <c r="D118" s="450" t="s">
        <v>1127</v>
      </c>
      <c r="E118" s="462">
        <f>2*12</f>
        <v>24</v>
      </c>
      <c r="F118" s="625">
        <f t="shared" si="8"/>
        <v>16713.89</v>
      </c>
      <c r="G118" s="625">
        <f t="shared" si="9"/>
        <v>401133.36</v>
      </c>
      <c r="H118" s="655"/>
      <c r="K118" s="671"/>
    </row>
    <row r="119" spans="1:11" s="196" customFormat="1" ht="25.5" x14ac:dyDescent="0.25">
      <c r="A119" s="622" t="s">
        <v>1292</v>
      </c>
      <c r="B119" s="623" t="s">
        <v>2419</v>
      </c>
      <c r="C119" s="618" t="s">
        <v>919</v>
      </c>
      <c r="D119" s="450" t="s">
        <v>1127</v>
      </c>
      <c r="E119" s="462">
        <f>3*12</f>
        <v>36</v>
      </c>
      <c r="F119" s="625">
        <f t="shared" si="8"/>
        <v>151.49</v>
      </c>
      <c r="G119" s="625">
        <f t="shared" si="9"/>
        <v>5453.64</v>
      </c>
      <c r="H119" s="655"/>
      <c r="K119" s="671"/>
    </row>
    <row r="120" spans="1:11" s="196" customFormat="1" ht="25.5" x14ac:dyDescent="0.25">
      <c r="A120" s="622" t="s">
        <v>1293</v>
      </c>
      <c r="B120" s="623" t="s">
        <v>2424</v>
      </c>
      <c r="C120" s="618" t="s">
        <v>920</v>
      </c>
      <c r="D120" s="450" t="s">
        <v>1127</v>
      </c>
      <c r="E120" s="462">
        <f>1*12</f>
        <v>12</v>
      </c>
      <c r="F120" s="625">
        <f t="shared" si="8"/>
        <v>475.2</v>
      </c>
      <c r="G120" s="625">
        <f t="shared" si="9"/>
        <v>5702.4</v>
      </c>
      <c r="H120" s="655"/>
      <c r="K120" s="671"/>
    </row>
    <row r="121" spans="1:11" s="196" customFormat="1" ht="51" x14ac:dyDescent="0.25">
      <c r="A121" s="622" t="s">
        <v>1294</v>
      </c>
      <c r="B121" s="623" t="s">
        <v>2611</v>
      </c>
      <c r="C121" s="618" t="s">
        <v>921</v>
      </c>
      <c r="D121" s="450" t="s">
        <v>1127</v>
      </c>
      <c r="E121" s="457">
        <f>6*12</f>
        <v>72</v>
      </c>
      <c r="F121" s="625">
        <f t="shared" si="8"/>
        <v>15169.35</v>
      </c>
      <c r="G121" s="625">
        <f t="shared" si="9"/>
        <v>1092193.2</v>
      </c>
      <c r="H121" s="655"/>
      <c r="K121" s="671"/>
    </row>
    <row r="122" spans="1:11" s="196" customFormat="1" ht="25.5" x14ac:dyDescent="0.25">
      <c r="A122" s="622" t="s">
        <v>1295</v>
      </c>
      <c r="B122" s="623" t="s">
        <v>2426</v>
      </c>
      <c r="C122" s="618" t="s">
        <v>922</v>
      </c>
      <c r="D122" s="450" t="s">
        <v>1127</v>
      </c>
      <c r="E122" s="462">
        <f>1*12</f>
        <v>12</v>
      </c>
      <c r="F122" s="625">
        <f t="shared" si="8"/>
        <v>420.18</v>
      </c>
      <c r="G122" s="625">
        <f t="shared" si="9"/>
        <v>5042.16</v>
      </c>
      <c r="H122" s="655"/>
      <c r="K122" s="671"/>
    </row>
    <row r="123" spans="1:11" s="196" customFormat="1" ht="25.5" x14ac:dyDescent="0.25">
      <c r="A123" s="622" t="s">
        <v>1296</v>
      </c>
      <c r="B123" s="623" t="s">
        <v>2425</v>
      </c>
      <c r="C123" s="618" t="s">
        <v>923</v>
      </c>
      <c r="D123" s="450" t="s">
        <v>1127</v>
      </c>
      <c r="E123" s="462">
        <f>6*12</f>
        <v>72</v>
      </c>
      <c r="F123" s="625">
        <f t="shared" si="8"/>
        <v>154.6</v>
      </c>
      <c r="G123" s="625">
        <f t="shared" si="9"/>
        <v>11131.2</v>
      </c>
      <c r="H123" s="655"/>
      <c r="K123" s="671"/>
    </row>
    <row r="124" spans="1:11" s="196" customFormat="1" ht="38.25" x14ac:dyDescent="0.25">
      <c r="A124" s="622" t="s">
        <v>1297</v>
      </c>
      <c r="B124" s="623" t="s">
        <v>2612</v>
      </c>
      <c r="C124" s="618" t="s">
        <v>924</v>
      </c>
      <c r="D124" s="450" t="s">
        <v>1127</v>
      </c>
      <c r="E124" s="462">
        <f>2*12</f>
        <v>24</v>
      </c>
      <c r="F124" s="625">
        <f t="shared" si="8"/>
        <v>20161.64</v>
      </c>
      <c r="G124" s="625">
        <f t="shared" si="9"/>
        <v>483879.36</v>
      </c>
      <c r="H124" s="655"/>
      <c r="K124" s="671"/>
    </row>
    <row r="125" spans="1:11" s="196" customFormat="1" x14ac:dyDescent="0.25">
      <c r="A125" s="622" t="s">
        <v>1298</v>
      </c>
      <c r="B125" s="623" t="s">
        <v>2457</v>
      </c>
      <c r="C125" s="618" t="s">
        <v>925</v>
      </c>
      <c r="D125" s="450" t="s">
        <v>1127</v>
      </c>
      <c r="E125" s="462">
        <f>3*12</f>
        <v>36</v>
      </c>
      <c r="F125" s="684">
        <f t="shared" si="8"/>
        <v>1500</v>
      </c>
      <c r="G125" s="625">
        <f t="shared" si="9"/>
        <v>54000</v>
      </c>
      <c r="H125" s="655"/>
      <c r="K125" s="671"/>
    </row>
    <row r="126" spans="1:11" s="196" customFormat="1" ht="25.5" x14ac:dyDescent="0.25">
      <c r="A126" s="622" t="s">
        <v>1299</v>
      </c>
      <c r="B126" s="623" t="s">
        <v>2495</v>
      </c>
      <c r="C126" s="618" t="s">
        <v>714</v>
      </c>
      <c r="D126" s="450" t="s">
        <v>1127</v>
      </c>
      <c r="E126" s="462">
        <f>1*12</f>
        <v>12</v>
      </c>
      <c r="F126" s="625">
        <f t="shared" si="8"/>
        <v>11440.46</v>
      </c>
      <c r="G126" s="625">
        <f t="shared" si="9"/>
        <v>137285.51999999999</v>
      </c>
      <c r="H126" s="655"/>
      <c r="K126" s="671"/>
    </row>
    <row r="127" spans="1:11" s="196" customFormat="1" ht="25.5" x14ac:dyDescent="0.25">
      <c r="A127" s="622" t="s">
        <v>1300</v>
      </c>
      <c r="B127" s="623" t="s">
        <v>2617</v>
      </c>
      <c r="C127" s="618" t="s">
        <v>926</v>
      </c>
      <c r="D127" s="450" t="s">
        <v>1127</v>
      </c>
      <c r="E127" s="462">
        <f t="shared" ref="E127:E128" si="15">1*12</f>
        <v>12</v>
      </c>
      <c r="F127" s="625">
        <f t="shared" si="8"/>
        <v>29717.759999999998</v>
      </c>
      <c r="G127" s="625">
        <f t="shared" si="9"/>
        <v>356613.12</v>
      </c>
      <c r="H127" s="655"/>
      <c r="K127" s="671"/>
    </row>
    <row r="128" spans="1:11" s="196" customFormat="1" ht="25.5" x14ac:dyDescent="0.25">
      <c r="A128" s="622" t="s">
        <v>1301</v>
      </c>
      <c r="B128" s="623" t="s">
        <v>2418</v>
      </c>
      <c r="C128" s="618" t="s">
        <v>927</v>
      </c>
      <c r="D128" s="450" t="s">
        <v>1127</v>
      </c>
      <c r="E128" s="462">
        <f t="shared" si="15"/>
        <v>12</v>
      </c>
      <c r="F128" s="625">
        <f t="shared" si="8"/>
        <v>150.91999999999999</v>
      </c>
      <c r="G128" s="625">
        <f t="shared" si="9"/>
        <v>1811.04</v>
      </c>
      <c r="H128" s="655"/>
      <c r="K128" s="671"/>
    </row>
    <row r="129" spans="1:13" s="196" customFormat="1" ht="25.5" x14ac:dyDescent="0.25">
      <c r="A129" s="622" t="s">
        <v>1302</v>
      </c>
      <c r="B129" s="623" t="s">
        <v>2430</v>
      </c>
      <c r="C129" s="618" t="s">
        <v>928</v>
      </c>
      <c r="D129" s="450" t="s">
        <v>1127</v>
      </c>
      <c r="E129" s="462">
        <f>3*12</f>
        <v>36</v>
      </c>
      <c r="F129" s="625">
        <f t="shared" si="8"/>
        <v>49.18</v>
      </c>
      <c r="G129" s="625">
        <f t="shared" si="9"/>
        <v>1770.48</v>
      </c>
      <c r="H129" s="655"/>
      <c r="K129" s="671"/>
    </row>
    <row r="130" spans="1:13" s="196" customFormat="1" ht="25.5" x14ac:dyDescent="0.25">
      <c r="A130" s="622" t="s">
        <v>1303</v>
      </c>
      <c r="B130" s="623" t="s">
        <v>2431</v>
      </c>
      <c r="C130" s="618" t="s">
        <v>929</v>
      </c>
      <c r="D130" s="450" t="s">
        <v>1127</v>
      </c>
      <c r="E130" s="462">
        <f t="shared" ref="E130:E131" si="16">3*12</f>
        <v>36</v>
      </c>
      <c r="F130" s="625">
        <f t="shared" si="8"/>
        <v>53.46</v>
      </c>
      <c r="G130" s="625">
        <f t="shared" si="9"/>
        <v>1924.56</v>
      </c>
      <c r="H130" s="655"/>
      <c r="K130" s="671"/>
    </row>
    <row r="131" spans="1:13" s="196" customFormat="1" ht="26.25" thickBot="1" x14ac:dyDescent="0.3">
      <c r="A131" s="626" t="s">
        <v>1304</v>
      </c>
      <c r="B131" s="627" t="s">
        <v>2432</v>
      </c>
      <c r="C131" s="628" t="s">
        <v>930</v>
      </c>
      <c r="D131" s="459" t="s">
        <v>1127</v>
      </c>
      <c r="E131" s="477">
        <f t="shared" si="16"/>
        <v>36</v>
      </c>
      <c r="F131" s="150">
        <f t="shared" si="8"/>
        <v>59.96</v>
      </c>
      <c r="G131" s="150">
        <f t="shared" si="9"/>
        <v>2158.56</v>
      </c>
      <c r="H131" s="655"/>
      <c r="K131" s="671"/>
    </row>
    <row r="132" spans="1:13" ht="13.5" thickBot="1" x14ac:dyDescent="0.3">
      <c r="A132" s="834" t="str">
        <f>"TOTAL - "&amp;C77&amp;":"</f>
        <v>TOTAL - MANUTENÇÃO:</v>
      </c>
      <c r="B132" s="835"/>
      <c r="C132" s="835"/>
      <c r="D132" s="835"/>
      <c r="E132" s="835"/>
      <c r="F132" s="836"/>
      <c r="G132" s="283">
        <f>SUBTOTAL(9,G77:G131)</f>
        <v>10860153.959999997</v>
      </c>
      <c r="H132" s="657"/>
    </row>
    <row r="133" spans="1:13" ht="13.5" thickBot="1" x14ac:dyDescent="0.3"/>
    <row r="134" spans="1:13" s="21" customFormat="1" ht="13.5" thickBot="1" x14ac:dyDescent="0.3">
      <c r="A134" s="526" t="s">
        <v>239</v>
      </c>
      <c r="B134" s="633"/>
      <c r="C134" s="862" t="s">
        <v>172</v>
      </c>
      <c r="D134" s="862"/>
      <c r="E134" s="862"/>
      <c r="F134" s="862"/>
      <c r="G134" s="863"/>
      <c r="H134" s="654"/>
      <c r="K134" s="670"/>
    </row>
    <row r="135" spans="1:13" s="196" customFormat="1" ht="25.5" x14ac:dyDescent="0.25">
      <c r="A135" s="614" t="s">
        <v>1305</v>
      </c>
      <c r="B135" s="492" t="s">
        <v>2620</v>
      </c>
      <c r="C135" s="612" t="s">
        <v>931</v>
      </c>
      <c r="D135" s="512" t="s">
        <v>1127</v>
      </c>
      <c r="E135" s="475">
        <v>12</v>
      </c>
      <c r="F135" s="139">
        <f t="shared" ref="F135:F143" si="17">VLOOKUP(B135,B$174:G$284,6,FALSE)</f>
        <v>4094.6</v>
      </c>
      <c r="G135" s="139">
        <f t="shared" ref="G135:G143" si="18">ROUND(E135*F135,2)</f>
        <v>49135.199999999997</v>
      </c>
      <c r="H135" s="655"/>
      <c r="K135" s="671"/>
    </row>
    <row r="136" spans="1:13" s="196" customFormat="1" ht="25.5" x14ac:dyDescent="0.25">
      <c r="A136" s="443" t="s">
        <v>1306</v>
      </c>
      <c r="B136" s="577" t="s">
        <v>2417</v>
      </c>
      <c r="C136" s="618" t="s">
        <v>932</v>
      </c>
      <c r="D136" s="450" t="s">
        <v>1127</v>
      </c>
      <c r="E136" s="462">
        <v>12</v>
      </c>
      <c r="F136" s="625">
        <f t="shared" si="17"/>
        <v>16713.89</v>
      </c>
      <c r="G136" s="462">
        <f t="shared" si="18"/>
        <v>200566.68</v>
      </c>
      <c r="H136" s="656"/>
      <c r="K136" s="671"/>
    </row>
    <row r="137" spans="1:13" s="196" customFormat="1" ht="25.5" x14ac:dyDescent="0.25">
      <c r="A137" s="443" t="s">
        <v>1307</v>
      </c>
      <c r="B137" s="577" t="s">
        <v>2619</v>
      </c>
      <c r="C137" s="618" t="s">
        <v>906</v>
      </c>
      <c r="D137" s="450" t="s">
        <v>1127</v>
      </c>
      <c r="E137" s="462">
        <v>12</v>
      </c>
      <c r="F137" s="625">
        <f t="shared" si="17"/>
        <v>21365.96</v>
      </c>
      <c r="G137" s="462">
        <f t="shared" si="18"/>
        <v>256391.52</v>
      </c>
      <c r="H137" s="656"/>
      <c r="K137" s="671"/>
    </row>
    <row r="138" spans="1:13" s="196" customFormat="1" ht="25.5" x14ac:dyDescent="0.25">
      <c r="A138" s="443" t="s">
        <v>1308</v>
      </c>
      <c r="B138" s="577" t="s">
        <v>2617</v>
      </c>
      <c r="C138" s="618" t="s">
        <v>926</v>
      </c>
      <c r="D138" s="450" t="s">
        <v>1127</v>
      </c>
      <c r="E138" s="462">
        <v>12</v>
      </c>
      <c r="F138" s="625">
        <f t="shared" si="17"/>
        <v>29717.759999999998</v>
      </c>
      <c r="G138" s="462">
        <f t="shared" si="18"/>
        <v>356613.12</v>
      </c>
      <c r="H138" s="656"/>
      <c r="K138" s="671"/>
    </row>
    <row r="139" spans="1:13" s="196" customFormat="1" ht="25.5" x14ac:dyDescent="0.25">
      <c r="A139" s="443" t="s">
        <v>1309</v>
      </c>
      <c r="B139" s="577" t="s">
        <v>2524</v>
      </c>
      <c r="C139" s="618" t="s">
        <v>958</v>
      </c>
      <c r="D139" s="450" t="s">
        <v>1127</v>
      </c>
      <c r="E139" s="462">
        <v>12</v>
      </c>
      <c r="F139" s="625">
        <f t="shared" si="17"/>
        <v>40372.36</v>
      </c>
      <c r="G139" s="462">
        <f t="shared" si="18"/>
        <v>484468.32</v>
      </c>
      <c r="H139" s="656"/>
      <c r="K139" s="671"/>
    </row>
    <row r="140" spans="1:13" s="196" customFormat="1" ht="38.25" x14ac:dyDescent="0.25">
      <c r="A140" s="443" t="s">
        <v>1310</v>
      </c>
      <c r="B140" s="577" t="s">
        <v>2612</v>
      </c>
      <c r="C140" s="618" t="s">
        <v>924</v>
      </c>
      <c r="D140" s="450" t="s">
        <v>1127</v>
      </c>
      <c r="E140" s="462">
        <v>12</v>
      </c>
      <c r="F140" s="625">
        <f t="shared" si="17"/>
        <v>20161.64</v>
      </c>
      <c r="G140" s="462">
        <f t="shared" si="18"/>
        <v>241939.68</v>
      </c>
      <c r="H140" s="656"/>
      <c r="K140" s="671"/>
    </row>
    <row r="141" spans="1:13" s="196" customFormat="1" ht="38.25" x14ac:dyDescent="0.25">
      <c r="A141" s="443" t="s">
        <v>1311</v>
      </c>
      <c r="B141" s="577" t="s">
        <v>2613</v>
      </c>
      <c r="C141" s="618" t="s">
        <v>2496</v>
      </c>
      <c r="D141" s="450" t="s">
        <v>1127</v>
      </c>
      <c r="E141" s="462">
        <v>144</v>
      </c>
      <c r="F141" s="625">
        <f t="shared" si="17"/>
        <v>6012.19</v>
      </c>
      <c r="G141" s="462">
        <f t="shared" si="18"/>
        <v>865755.36</v>
      </c>
      <c r="H141" s="656"/>
      <c r="K141" s="671"/>
      <c r="L141" s="197"/>
      <c r="M141" s="675"/>
    </row>
    <row r="142" spans="1:13" s="196" customFormat="1" x14ac:dyDescent="0.25">
      <c r="A142" s="443" t="s">
        <v>1312</v>
      </c>
      <c r="B142" s="577" t="s">
        <v>2614</v>
      </c>
      <c r="C142" s="618" t="s">
        <v>715</v>
      </c>
      <c r="D142" s="450" t="s">
        <v>1127</v>
      </c>
      <c r="E142" s="462">
        <v>144</v>
      </c>
      <c r="F142" s="625">
        <f t="shared" si="17"/>
        <v>1137.8599999999999</v>
      </c>
      <c r="G142" s="462">
        <f t="shared" si="18"/>
        <v>163851.84</v>
      </c>
      <c r="H142" s="656"/>
      <c r="K142" s="671"/>
    </row>
    <row r="143" spans="1:13" s="196" customFormat="1" ht="64.5" thickBot="1" x14ac:dyDescent="0.3">
      <c r="A143" s="211" t="s">
        <v>1313</v>
      </c>
      <c r="B143" s="578" t="s">
        <v>2491</v>
      </c>
      <c r="C143" s="628" t="s">
        <v>934</v>
      </c>
      <c r="D143" s="459" t="s">
        <v>1127</v>
      </c>
      <c r="E143" s="477">
        <v>144</v>
      </c>
      <c r="F143" s="150">
        <f t="shared" si="17"/>
        <v>349.93</v>
      </c>
      <c r="G143" s="477">
        <f t="shared" si="18"/>
        <v>50389.919999999998</v>
      </c>
      <c r="H143" s="656"/>
      <c r="K143" s="671"/>
    </row>
    <row r="144" spans="1:13" ht="13.5" thickBot="1" x14ac:dyDescent="0.3">
      <c r="A144" s="834" t="str">
        <f>"TOTAL - "&amp;C134&amp;" - (R$):"</f>
        <v>TOTAL - SEGURANÇA DE BARRAGEM - (R$):</v>
      </c>
      <c r="B144" s="835"/>
      <c r="C144" s="835"/>
      <c r="D144" s="835"/>
      <c r="E144" s="835"/>
      <c r="F144" s="836"/>
      <c r="G144" s="283">
        <f>SUBTOTAL(9,G134:G143)</f>
        <v>2669111.6399999997</v>
      </c>
      <c r="H144" s="657"/>
    </row>
    <row r="145" spans="1:11" ht="13.5" thickBot="1" x14ac:dyDescent="0.3"/>
    <row r="146" spans="1:11" ht="13.5" thickBot="1" x14ac:dyDescent="0.3">
      <c r="A146" s="864" t="str">
        <f>"TOTAL - "&amp;C76&amp;" - (R$):"</f>
        <v>TOTAL - EQUIPAMENTOS - CIVIL - (R$):</v>
      </c>
      <c r="B146" s="865"/>
      <c r="C146" s="865"/>
      <c r="D146" s="865"/>
      <c r="E146" s="865"/>
      <c r="F146" s="866"/>
      <c r="G146" s="212">
        <f>SUBTOTAL(9,G76:G144)</f>
        <v>13529265.599999994</v>
      </c>
      <c r="H146" s="652"/>
    </row>
    <row r="147" spans="1:11" ht="13.5" thickBot="1" x14ac:dyDescent="0.3"/>
    <row r="148" spans="1:11" ht="13.5" thickBot="1" x14ac:dyDescent="0.3">
      <c r="A148" s="864" t="str">
        <f>"TOTAL - "&amp;C13&amp;" - (R$):"</f>
        <v>TOTAL - EQUIPAMENTOS - (R$):</v>
      </c>
      <c r="B148" s="865"/>
      <c r="C148" s="865"/>
      <c r="D148" s="865"/>
      <c r="E148" s="865"/>
      <c r="F148" s="866"/>
      <c r="G148" s="212">
        <f>SUBTOTAL(9,G13:G146)</f>
        <v>13664858.779999994</v>
      </c>
      <c r="H148" s="652"/>
    </row>
    <row r="150" spans="1:11" ht="13.5" thickBot="1" x14ac:dyDescent="0.3"/>
    <row r="151" spans="1:11" ht="13.5" thickBot="1" x14ac:dyDescent="0.3">
      <c r="A151" s="843" t="str">
        <f>"RESUMO - "&amp;A$8</f>
        <v>RESUMO - EQUIPAMENTOS</v>
      </c>
      <c r="B151" s="844"/>
      <c r="C151" s="844"/>
      <c r="D151" s="844"/>
      <c r="E151" s="844"/>
      <c r="F151" s="844"/>
      <c r="G151" s="845"/>
      <c r="H151" s="658"/>
    </row>
    <row r="152" spans="1:11" ht="13.5" thickBot="1" x14ac:dyDescent="0.3">
      <c r="A152" s="208" t="s">
        <v>363</v>
      </c>
      <c r="B152" s="503"/>
      <c r="C152" s="946" t="s">
        <v>366</v>
      </c>
      <c r="D152" s="947"/>
      <c r="E152" s="948"/>
      <c r="F152" s="949" t="s">
        <v>414</v>
      </c>
      <c r="G152" s="950"/>
      <c r="H152" s="649"/>
    </row>
    <row r="153" spans="1:11" s="196" customFormat="1" x14ac:dyDescent="0.25">
      <c r="A153" s="629" t="s">
        <v>415</v>
      </c>
      <c r="B153" s="630"/>
      <c r="C153" s="1046" t="str">
        <f>C15</f>
        <v>EQUIPAMENTOS - MECÂNICA</v>
      </c>
      <c r="D153" s="1047"/>
      <c r="E153" s="1048"/>
      <c r="F153" s="1049">
        <f>G60</f>
        <v>92643.74</v>
      </c>
      <c r="G153" s="1050"/>
      <c r="H153" s="651"/>
      <c r="K153" s="671"/>
    </row>
    <row r="154" spans="1:11" s="196" customFormat="1" x14ac:dyDescent="0.25">
      <c r="A154" s="631" t="s">
        <v>416</v>
      </c>
      <c r="B154" s="631"/>
      <c r="C154" s="1043" t="str">
        <f>C62</f>
        <v>EQUIPAMENTOS - ELÉTRICA</v>
      </c>
      <c r="D154" s="1044"/>
      <c r="E154" s="1045"/>
      <c r="F154" s="1036">
        <f>G74</f>
        <v>42949.440000000002</v>
      </c>
      <c r="G154" s="1037"/>
      <c r="H154" s="651"/>
      <c r="K154" s="671"/>
    </row>
    <row r="155" spans="1:11" s="196" customFormat="1" ht="13.5" thickBot="1" x14ac:dyDescent="0.3">
      <c r="A155" s="632" t="s">
        <v>417</v>
      </c>
      <c r="B155" s="632"/>
      <c r="C155" s="1038" t="str">
        <f>C76</f>
        <v>EQUIPAMENTOS - CIVIL</v>
      </c>
      <c r="D155" s="1039"/>
      <c r="E155" s="1040"/>
      <c r="F155" s="1041">
        <f>G146</f>
        <v>13529265.599999994</v>
      </c>
      <c r="G155" s="1042"/>
      <c r="H155" s="651"/>
      <c r="K155" s="671"/>
    </row>
    <row r="156" spans="1:11" ht="13.5" thickBot="1" x14ac:dyDescent="0.3">
      <c r="A156" s="743" t="str">
        <f>"TOTAL GERAL - "&amp;A151&amp;" -  (R$):"</f>
        <v>TOTAL GERAL - RESUMO - EQUIPAMENTOS -  (R$):</v>
      </c>
      <c r="B156" s="744"/>
      <c r="C156" s="744"/>
      <c r="D156" s="744"/>
      <c r="E156" s="744"/>
      <c r="F156" s="718">
        <f>SUM(F153:G155)</f>
        <v>13664858.779999994</v>
      </c>
      <c r="G156" s="719"/>
      <c r="H156" s="659"/>
    </row>
    <row r="158" spans="1:11" ht="13.5" thickBot="1" x14ac:dyDescent="0.3"/>
    <row r="159" spans="1:11" s="196" customFormat="1" x14ac:dyDescent="0.25">
      <c r="A159" s="704" t="s">
        <v>422</v>
      </c>
      <c r="B159" s="736"/>
      <c r="C159" s="705"/>
      <c r="D159" s="705"/>
      <c r="E159" s="706"/>
      <c r="F159" s="704" t="s">
        <v>423</v>
      </c>
      <c r="G159" s="706"/>
      <c r="H159" s="644"/>
      <c r="K159" s="671"/>
    </row>
    <row r="160" spans="1:11" s="196" customFormat="1" ht="13.5" thickBot="1" x14ac:dyDescent="0.3">
      <c r="A160" s="701"/>
      <c r="B160" s="702"/>
      <c r="C160" s="702"/>
      <c r="D160" s="702"/>
      <c r="E160" s="703"/>
      <c r="F160" s="701"/>
      <c r="G160" s="703"/>
      <c r="H160" s="644"/>
      <c r="K160" s="671"/>
    </row>
    <row r="161" spans="1:11" s="196" customFormat="1" x14ac:dyDescent="0.25">
      <c r="A161" s="704" t="s">
        <v>424</v>
      </c>
      <c r="B161" s="736"/>
      <c r="C161" s="705"/>
      <c r="D161" s="705"/>
      <c r="E161" s="706"/>
      <c r="F161" s="704" t="s">
        <v>425</v>
      </c>
      <c r="G161" s="706"/>
      <c r="H161" s="644"/>
      <c r="K161" s="671"/>
    </row>
    <row r="162" spans="1:11" s="196" customFormat="1" ht="13.5" thickBot="1" x14ac:dyDescent="0.3">
      <c r="A162" s="701"/>
      <c r="B162" s="702"/>
      <c r="C162" s="702"/>
      <c r="D162" s="702"/>
      <c r="E162" s="703"/>
      <c r="F162" s="701"/>
      <c r="G162" s="703"/>
      <c r="H162" s="644"/>
      <c r="K162" s="671"/>
    </row>
    <row r="163" spans="1:11" s="196" customFormat="1" x14ac:dyDescent="0.25">
      <c r="A163" s="831" t="s">
        <v>426</v>
      </c>
      <c r="B163" s="832"/>
      <c r="C163" s="832"/>
      <c r="D163" s="832"/>
      <c r="E163" s="832"/>
      <c r="F163" s="832"/>
      <c r="G163" s="833"/>
      <c r="H163" s="645"/>
      <c r="K163" s="671"/>
    </row>
    <row r="164" spans="1:11" s="196" customFormat="1" x14ac:dyDescent="0.25">
      <c r="A164" s="959" t="s">
        <v>1432</v>
      </c>
      <c r="B164" s="960"/>
      <c r="C164" s="960"/>
      <c r="D164" s="960"/>
      <c r="E164" s="960"/>
      <c r="F164" s="960"/>
      <c r="G164" s="961"/>
      <c r="H164" s="646"/>
      <c r="K164" s="671"/>
    </row>
    <row r="165" spans="1:11" s="196" customFormat="1" x14ac:dyDescent="0.25">
      <c r="A165" s="959"/>
      <c r="B165" s="960"/>
      <c r="C165" s="960"/>
      <c r="D165" s="960"/>
      <c r="E165" s="960"/>
      <c r="F165" s="960"/>
      <c r="G165" s="961"/>
      <c r="H165" s="646"/>
      <c r="K165" s="671"/>
    </row>
    <row r="166" spans="1:11" s="196" customFormat="1" x14ac:dyDescent="0.25">
      <c r="A166" s="959" t="s">
        <v>2433</v>
      </c>
      <c r="B166" s="960"/>
      <c r="C166" s="960"/>
      <c r="D166" s="960"/>
      <c r="E166" s="960"/>
      <c r="F166" s="960"/>
      <c r="G166" s="961"/>
      <c r="H166" s="646"/>
      <c r="K166" s="671"/>
    </row>
    <row r="167" spans="1:11" s="196" customFormat="1" ht="13.5" thickBot="1" x14ac:dyDescent="0.3">
      <c r="A167" s="1033"/>
      <c r="B167" s="1034"/>
      <c r="C167" s="1034"/>
      <c r="D167" s="1034"/>
      <c r="E167" s="1034"/>
      <c r="F167" s="1034"/>
      <c r="G167" s="1035"/>
      <c r="H167" s="646"/>
      <c r="K167" s="671"/>
    </row>
    <row r="169" spans="1:11" x14ac:dyDescent="0.25">
      <c r="A169" s="64" t="s">
        <v>1421</v>
      </c>
    </row>
    <row r="171" spans="1:11" x14ac:dyDescent="0.25">
      <c r="C171" s="64" t="s">
        <v>2331</v>
      </c>
      <c r="D171" s="2">
        <v>176</v>
      </c>
      <c r="E171" s="24">
        <f>582.5/(12*30*8)</f>
        <v>0.20225694444444445</v>
      </c>
    </row>
    <row r="173" spans="1:11" x14ac:dyDescent="0.25">
      <c r="D173" s="497" t="s">
        <v>2335</v>
      </c>
      <c r="E173" s="496" t="s">
        <v>2333</v>
      </c>
      <c r="F173" s="680" t="s">
        <v>2334</v>
      </c>
      <c r="G173" s="496" t="s">
        <v>2332</v>
      </c>
      <c r="H173" s="660"/>
    </row>
    <row r="174" spans="1:11" x14ac:dyDescent="0.25">
      <c r="B174" s="635" t="s">
        <v>2437</v>
      </c>
      <c r="C174" s="636" t="s">
        <v>1232</v>
      </c>
      <c r="D174" s="496">
        <v>1</v>
      </c>
      <c r="E174" s="637"/>
      <c r="F174" s="681"/>
      <c r="G174" s="496">
        <v>382.30555555555554</v>
      </c>
      <c r="H174" s="660"/>
      <c r="I174" s="10"/>
    </row>
    <row r="175" spans="1:11" x14ac:dyDescent="0.25">
      <c r="B175" s="635" t="s">
        <v>2459</v>
      </c>
      <c r="C175" s="636" t="s">
        <v>1233</v>
      </c>
      <c r="D175" s="496">
        <v>1</v>
      </c>
      <c r="E175" s="637"/>
      <c r="F175" s="681"/>
      <c r="G175" s="496">
        <v>2.6751851851851853</v>
      </c>
      <c r="H175" s="660"/>
      <c r="I175" s="10"/>
    </row>
    <row r="176" spans="1:11" x14ac:dyDescent="0.25">
      <c r="B176" s="635" t="s">
        <v>2460</v>
      </c>
      <c r="C176" s="636" t="s">
        <v>1234</v>
      </c>
      <c r="D176" s="496">
        <v>1</v>
      </c>
      <c r="E176" s="637"/>
      <c r="F176" s="681"/>
      <c r="G176" s="496">
        <v>1.8862962962962959</v>
      </c>
      <c r="H176" s="660"/>
      <c r="I176" s="10"/>
    </row>
    <row r="177" spans="2:9" ht="25.5" x14ac:dyDescent="0.25">
      <c r="B177" s="635" t="s">
        <v>2438</v>
      </c>
      <c r="C177" s="636" t="s">
        <v>114</v>
      </c>
      <c r="D177" s="496">
        <v>1</v>
      </c>
      <c r="E177" s="637"/>
      <c r="F177" s="681"/>
      <c r="G177" s="496">
        <v>2485.67</v>
      </c>
      <c r="H177" s="660"/>
      <c r="I177" s="10"/>
    </row>
    <row r="178" spans="2:9" ht="25.5" x14ac:dyDescent="0.25">
      <c r="B178" s="635" t="s">
        <v>2439</v>
      </c>
      <c r="C178" s="636" t="s">
        <v>1235</v>
      </c>
      <c r="D178" s="496">
        <v>1</v>
      </c>
      <c r="E178" s="637"/>
      <c r="F178" s="681"/>
      <c r="G178" s="496">
        <v>2.99</v>
      </c>
      <c r="H178" s="660"/>
      <c r="I178" s="10"/>
    </row>
    <row r="179" spans="2:9" x14ac:dyDescent="0.25">
      <c r="B179" s="635" t="s">
        <v>2461</v>
      </c>
      <c r="C179" s="636" t="s">
        <v>115</v>
      </c>
      <c r="D179" s="496">
        <v>1</v>
      </c>
      <c r="E179" s="637"/>
      <c r="F179" s="681"/>
      <c r="G179" s="496">
        <v>13.76</v>
      </c>
      <c r="H179" s="660"/>
      <c r="I179" s="10"/>
    </row>
    <row r="180" spans="2:9" x14ac:dyDescent="0.25">
      <c r="B180" s="635" t="s">
        <v>2462</v>
      </c>
      <c r="C180" s="636" t="s">
        <v>1230</v>
      </c>
      <c r="D180" s="496">
        <v>1</v>
      </c>
      <c r="E180" s="637"/>
      <c r="F180" s="681"/>
      <c r="G180" s="496">
        <v>58.701481481481487</v>
      </c>
      <c r="H180" s="660"/>
      <c r="I180" s="10"/>
    </row>
    <row r="181" spans="2:9" x14ac:dyDescent="0.25">
      <c r="B181" s="635" t="s">
        <v>2463</v>
      </c>
      <c r="C181" s="636" t="s">
        <v>116</v>
      </c>
      <c r="D181" s="496">
        <v>1</v>
      </c>
      <c r="E181" s="637"/>
      <c r="F181" s="681"/>
      <c r="G181" s="496">
        <v>61.09</v>
      </c>
      <c r="H181" s="660"/>
      <c r="I181" s="10"/>
    </row>
    <row r="182" spans="2:9" ht="38.25" x14ac:dyDescent="0.25">
      <c r="B182" s="635" t="s">
        <v>2613</v>
      </c>
      <c r="C182" s="636" t="s">
        <v>2496</v>
      </c>
      <c r="D182" s="496">
        <v>1</v>
      </c>
      <c r="E182" s="637">
        <f>65.0627-28.9143</f>
        <v>36.148400000000009</v>
      </c>
      <c r="F182" s="681">
        <f>29.2579-28.9143</f>
        <v>0.34359999999999857</v>
      </c>
      <c r="G182" s="496">
        <f>ROUND($D$171*(D182*E182+(1-D182)*F182),2)-G258</f>
        <v>6012.19</v>
      </c>
      <c r="H182" s="660"/>
      <c r="I182" s="10"/>
    </row>
    <row r="183" spans="2:9" ht="25.5" x14ac:dyDescent="0.25">
      <c r="B183" s="635" t="s">
        <v>2440</v>
      </c>
      <c r="C183" s="636" t="s">
        <v>888</v>
      </c>
      <c r="D183" s="496">
        <v>1</v>
      </c>
      <c r="E183" s="637"/>
      <c r="F183" s="681"/>
      <c r="G183" s="496">
        <v>271.98</v>
      </c>
      <c r="H183" s="660"/>
      <c r="I183" s="10"/>
    </row>
    <row r="184" spans="2:9" ht="25.5" x14ac:dyDescent="0.25">
      <c r="B184" s="635" t="s">
        <v>2494</v>
      </c>
      <c r="C184" s="636" t="s">
        <v>889</v>
      </c>
      <c r="D184" s="496">
        <v>1</v>
      </c>
      <c r="E184" s="637">
        <f>18470.78/(12*30*8)</f>
        <v>6.4134652777777772</v>
      </c>
      <c r="F184" s="681"/>
      <c r="G184" s="496">
        <f t="shared" ref="G184:G235" si="19">ROUND($D$171*(D184*E184+(1-D184)*F184),2)</f>
        <v>1128.77</v>
      </c>
      <c r="H184" s="660"/>
      <c r="I184" s="10"/>
    </row>
    <row r="185" spans="2:9" x14ac:dyDescent="0.25">
      <c r="B185" s="635" t="s">
        <v>2464</v>
      </c>
      <c r="C185" s="636" t="s">
        <v>1231</v>
      </c>
      <c r="D185" s="496">
        <v>1</v>
      </c>
      <c r="E185" s="637"/>
      <c r="F185" s="681"/>
      <c r="G185" s="496">
        <v>14.312222222222223</v>
      </c>
      <c r="H185" s="660"/>
      <c r="I185" s="10"/>
    </row>
    <row r="186" spans="2:9" ht="38.25" x14ac:dyDescent="0.25">
      <c r="B186" s="635" t="s">
        <v>2465</v>
      </c>
      <c r="C186" s="636" t="s">
        <v>891</v>
      </c>
      <c r="D186" s="496">
        <v>1</v>
      </c>
      <c r="E186" s="637"/>
      <c r="F186" s="681"/>
      <c r="G186" s="496">
        <v>51.68</v>
      </c>
      <c r="H186" s="660"/>
      <c r="I186" s="10"/>
    </row>
    <row r="187" spans="2:9" ht="51" x14ac:dyDescent="0.25">
      <c r="B187" s="635" t="s">
        <v>2493</v>
      </c>
      <c r="C187" s="636" t="s">
        <v>1314</v>
      </c>
      <c r="D187" s="496">
        <v>1</v>
      </c>
      <c r="E187" s="637">
        <v>3.19</v>
      </c>
      <c r="F187" s="681"/>
      <c r="G187" s="496">
        <f t="shared" si="19"/>
        <v>561.44000000000005</v>
      </c>
      <c r="H187" s="660"/>
      <c r="I187" s="10"/>
    </row>
    <row r="188" spans="2:9" ht="25.5" x14ac:dyDescent="0.25">
      <c r="B188" s="635" t="s">
        <v>2466</v>
      </c>
      <c r="C188" s="636" t="s">
        <v>1099</v>
      </c>
      <c r="D188" s="496">
        <v>1</v>
      </c>
      <c r="E188" s="637"/>
      <c r="F188" s="681"/>
      <c r="G188" s="496">
        <v>905.89027777777778</v>
      </c>
      <c r="H188" s="660"/>
      <c r="I188" s="10"/>
    </row>
    <row r="189" spans="2:9" x14ac:dyDescent="0.25">
      <c r="B189" s="635" t="s">
        <v>2518</v>
      </c>
      <c r="C189" s="636" t="s">
        <v>894</v>
      </c>
      <c r="D189" s="496">
        <v>1</v>
      </c>
      <c r="E189" s="637">
        <v>153.78909999999999</v>
      </c>
      <c r="F189" s="681">
        <v>47.097900000000003</v>
      </c>
      <c r="G189" s="496">
        <f t="shared" si="19"/>
        <v>27066.880000000001</v>
      </c>
      <c r="H189" s="660"/>
      <c r="I189" s="10"/>
    </row>
    <row r="190" spans="2:9" x14ac:dyDescent="0.25">
      <c r="B190" s="635" t="s">
        <v>2519</v>
      </c>
      <c r="C190" s="636" t="s">
        <v>895</v>
      </c>
      <c r="D190" s="496">
        <v>1</v>
      </c>
      <c r="E190" s="637">
        <v>107.3732</v>
      </c>
      <c r="F190" s="681">
        <v>44.026699999999998</v>
      </c>
      <c r="G190" s="496">
        <f t="shared" si="19"/>
        <v>18897.68</v>
      </c>
      <c r="H190" s="660"/>
      <c r="I190" s="10"/>
    </row>
    <row r="191" spans="2:9" x14ac:dyDescent="0.25">
      <c r="B191" s="635" t="s">
        <v>2517</v>
      </c>
      <c r="C191" s="636" t="s">
        <v>1503</v>
      </c>
      <c r="D191" s="496">
        <v>1</v>
      </c>
      <c r="E191" s="637">
        <v>151.7799</v>
      </c>
      <c r="F191" s="681">
        <v>46.107799999999997</v>
      </c>
      <c r="G191" s="496">
        <f t="shared" si="19"/>
        <v>26713.26</v>
      </c>
      <c r="H191" s="660"/>
      <c r="I191" s="10"/>
    </row>
    <row r="192" spans="2:9" ht="63.75" x14ac:dyDescent="0.25">
      <c r="B192" s="635" t="s">
        <v>2441</v>
      </c>
      <c r="C192" s="636" t="s">
        <v>957</v>
      </c>
      <c r="D192" s="496">
        <v>1</v>
      </c>
      <c r="E192" s="637"/>
      <c r="F192" s="681"/>
      <c r="G192" s="496">
        <v>11000</v>
      </c>
      <c r="H192" s="660"/>
      <c r="I192" s="10"/>
    </row>
    <row r="193" spans="2:9" x14ac:dyDescent="0.25">
      <c r="B193" s="635" t="s">
        <v>2521</v>
      </c>
      <c r="C193" s="636" t="s">
        <v>1044</v>
      </c>
      <c r="D193" s="496">
        <v>1</v>
      </c>
      <c r="E193" s="637">
        <v>179.2911</v>
      </c>
      <c r="F193" s="681">
        <v>71.666300000000007</v>
      </c>
      <c r="G193" s="496">
        <f t="shared" si="19"/>
        <v>31555.23</v>
      </c>
      <c r="H193" s="660"/>
      <c r="I193" s="10"/>
    </row>
    <row r="194" spans="2:9" x14ac:dyDescent="0.25">
      <c r="B194" s="635" t="s">
        <v>2522</v>
      </c>
      <c r="C194" s="636" t="s">
        <v>896</v>
      </c>
      <c r="D194" s="496">
        <v>1</v>
      </c>
      <c r="E194" s="637">
        <v>149.4898</v>
      </c>
      <c r="F194" s="681">
        <v>45.9831</v>
      </c>
      <c r="G194" s="496">
        <f t="shared" si="19"/>
        <v>26310.2</v>
      </c>
      <c r="H194" s="660"/>
      <c r="I194" s="10"/>
    </row>
    <row r="195" spans="2:9" x14ac:dyDescent="0.25">
      <c r="B195" s="635" t="s">
        <v>2614</v>
      </c>
      <c r="C195" s="636" t="s">
        <v>715</v>
      </c>
      <c r="D195" s="496">
        <v>0</v>
      </c>
      <c r="E195" s="637">
        <v>11.354699999999999</v>
      </c>
      <c r="F195" s="681">
        <v>6.4650999999999996</v>
      </c>
      <c r="G195" s="496">
        <f t="shared" si="19"/>
        <v>1137.8599999999999</v>
      </c>
      <c r="H195" s="660"/>
      <c r="I195" s="10"/>
    </row>
    <row r="196" spans="2:9" ht="25.5" x14ac:dyDescent="0.25">
      <c r="B196" s="635" t="s">
        <v>2524</v>
      </c>
      <c r="C196" s="636" t="s">
        <v>958</v>
      </c>
      <c r="D196" s="496">
        <v>1</v>
      </c>
      <c r="E196" s="637">
        <v>229.38839999999999</v>
      </c>
      <c r="F196" s="681">
        <v>69.866799999999998</v>
      </c>
      <c r="G196" s="496">
        <f t="shared" si="19"/>
        <v>40372.36</v>
      </c>
      <c r="H196" s="660"/>
      <c r="I196" s="10"/>
    </row>
    <row r="197" spans="2:9" x14ac:dyDescent="0.25">
      <c r="B197" s="635" t="s">
        <v>2467</v>
      </c>
      <c r="C197" s="636" t="s">
        <v>1225</v>
      </c>
      <c r="D197" s="496">
        <v>1</v>
      </c>
      <c r="E197" s="637"/>
      <c r="F197" s="681"/>
      <c r="G197" s="496">
        <v>6.8411111111111111</v>
      </c>
      <c r="H197" s="660"/>
      <c r="I197" s="10"/>
    </row>
    <row r="198" spans="2:9" x14ac:dyDescent="0.25">
      <c r="B198" s="635" t="s">
        <v>2468</v>
      </c>
      <c r="C198" s="636" t="s">
        <v>1226</v>
      </c>
      <c r="D198" s="496">
        <v>1</v>
      </c>
      <c r="E198" s="637"/>
      <c r="F198" s="681"/>
      <c r="G198" s="496">
        <v>12.591481481481482</v>
      </c>
      <c r="H198" s="660"/>
      <c r="I198" s="10"/>
    </row>
    <row r="199" spans="2:9" x14ac:dyDescent="0.25">
      <c r="B199" s="635" t="s">
        <v>2469</v>
      </c>
      <c r="C199" s="636" t="s">
        <v>1227</v>
      </c>
      <c r="D199" s="496">
        <v>1</v>
      </c>
      <c r="E199" s="637"/>
      <c r="F199" s="681"/>
      <c r="G199" s="496">
        <v>13.599444444444442</v>
      </c>
      <c r="H199" s="660"/>
      <c r="I199" s="10"/>
    </row>
    <row r="200" spans="2:9" x14ac:dyDescent="0.25">
      <c r="B200" s="635" t="s">
        <v>2470</v>
      </c>
      <c r="C200" s="636" t="s">
        <v>1228</v>
      </c>
      <c r="D200" s="496">
        <v>1</v>
      </c>
      <c r="E200" s="637"/>
      <c r="F200" s="681"/>
      <c r="G200" s="496">
        <v>24.81722222222222</v>
      </c>
      <c r="H200" s="660"/>
      <c r="I200" s="10"/>
    </row>
    <row r="201" spans="2:9" x14ac:dyDescent="0.25">
      <c r="B201" s="635" t="s">
        <v>2471</v>
      </c>
      <c r="C201" s="636" t="s">
        <v>1229</v>
      </c>
      <c r="D201" s="496">
        <v>1</v>
      </c>
      <c r="E201" s="637"/>
      <c r="F201" s="681"/>
      <c r="G201" s="496">
        <v>22.496296296296297</v>
      </c>
      <c r="H201" s="660"/>
      <c r="I201" s="10"/>
    </row>
    <row r="202" spans="2:9" x14ac:dyDescent="0.25">
      <c r="B202" s="635" t="s">
        <v>2472</v>
      </c>
      <c r="C202" s="636" t="s">
        <v>2473</v>
      </c>
      <c r="D202" s="496">
        <v>1</v>
      </c>
      <c r="E202" s="637"/>
      <c r="F202" s="681"/>
      <c r="G202" s="496">
        <v>37.027592592592597</v>
      </c>
      <c r="H202" s="660"/>
      <c r="I202" s="10"/>
    </row>
    <row r="203" spans="2:9" x14ac:dyDescent="0.25">
      <c r="B203" s="635" t="s">
        <v>2474</v>
      </c>
      <c r="C203" s="636" t="s">
        <v>2475</v>
      </c>
      <c r="D203" s="496">
        <v>1</v>
      </c>
      <c r="E203" s="637"/>
      <c r="F203" s="681"/>
      <c r="G203" s="496">
        <v>62.664444444444449</v>
      </c>
      <c r="H203" s="660"/>
      <c r="I203" s="10"/>
    </row>
    <row r="204" spans="2:9" ht="25.5" x14ac:dyDescent="0.25">
      <c r="B204" s="635" t="s">
        <v>2476</v>
      </c>
      <c r="C204" s="636" t="s">
        <v>698</v>
      </c>
      <c r="D204" s="496">
        <v>1</v>
      </c>
      <c r="E204" s="637"/>
      <c r="F204" s="681"/>
      <c r="G204" s="496">
        <v>69.444444444444443</v>
      </c>
      <c r="H204" s="660"/>
      <c r="I204" s="10"/>
    </row>
    <row r="205" spans="2:9" ht="25.5" x14ac:dyDescent="0.25">
      <c r="B205" s="635" t="s">
        <v>2477</v>
      </c>
      <c r="C205" s="636" t="s">
        <v>697</v>
      </c>
      <c r="D205" s="496">
        <v>1</v>
      </c>
      <c r="E205" s="637"/>
      <c r="F205" s="681"/>
      <c r="G205" s="496">
        <v>6.4644444444444442</v>
      </c>
      <c r="H205" s="660"/>
      <c r="I205" s="10"/>
    </row>
    <row r="206" spans="2:9" ht="51" x14ac:dyDescent="0.25">
      <c r="B206" s="635" t="s">
        <v>2607</v>
      </c>
      <c r="C206" s="636" t="s">
        <v>899</v>
      </c>
      <c r="D206" s="496">
        <v>1</v>
      </c>
      <c r="E206" s="637">
        <v>4.2076000000000002</v>
      </c>
      <c r="F206" s="681">
        <v>0.61329999999999996</v>
      </c>
      <c r="G206" s="496">
        <f t="shared" si="19"/>
        <v>740.54</v>
      </c>
      <c r="H206" s="660"/>
      <c r="I206" s="10"/>
    </row>
    <row r="207" spans="2:9" ht="63.75" x14ac:dyDescent="0.25">
      <c r="B207" s="635" t="s">
        <v>2608</v>
      </c>
      <c r="C207" s="636" t="s">
        <v>900</v>
      </c>
      <c r="D207" s="496">
        <v>1</v>
      </c>
      <c r="E207" s="637">
        <v>6.8049999999999997</v>
      </c>
      <c r="F207" s="681">
        <v>1.4742</v>
      </c>
      <c r="G207" s="496">
        <f t="shared" si="19"/>
        <v>1197.68</v>
      </c>
      <c r="H207" s="660"/>
      <c r="I207" s="10"/>
    </row>
    <row r="208" spans="2:9" ht="25.5" x14ac:dyDescent="0.25">
      <c r="B208" s="635" t="s">
        <v>2610</v>
      </c>
      <c r="C208" s="636" t="s">
        <v>902</v>
      </c>
      <c r="D208" s="496">
        <v>1</v>
      </c>
      <c r="E208" s="637">
        <v>40.253700000000002</v>
      </c>
      <c r="F208" s="681">
        <v>8.5904000000000007</v>
      </c>
      <c r="G208" s="496">
        <f t="shared" si="19"/>
        <v>7084.65</v>
      </c>
      <c r="H208" s="660"/>
      <c r="I208" s="10"/>
    </row>
    <row r="209" spans="2:9" ht="25.5" x14ac:dyDescent="0.25">
      <c r="B209" s="635" t="s">
        <v>2609</v>
      </c>
      <c r="C209" s="636" t="s">
        <v>901</v>
      </c>
      <c r="D209" s="496">
        <v>1</v>
      </c>
      <c r="E209" s="637">
        <v>69.402600000000007</v>
      </c>
      <c r="F209" s="681">
        <v>14.301299999999999</v>
      </c>
      <c r="G209" s="496">
        <f t="shared" si="19"/>
        <v>12214.86</v>
      </c>
      <c r="H209" s="660"/>
      <c r="I209" s="10"/>
    </row>
    <row r="210" spans="2:9" ht="25.5" x14ac:dyDescent="0.25">
      <c r="B210" s="638" t="s">
        <v>2604</v>
      </c>
      <c r="C210" s="636" t="s">
        <v>1098</v>
      </c>
      <c r="D210" s="496">
        <v>1</v>
      </c>
      <c r="E210" s="637">
        <v>0.49940000000000001</v>
      </c>
      <c r="F210" s="681">
        <v>0.2913</v>
      </c>
      <c r="G210" s="496">
        <f t="shared" si="19"/>
        <v>87.89</v>
      </c>
      <c r="H210" s="660"/>
      <c r="I210" s="10"/>
    </row>
    <row r="211" spans="2:9" ht="38.25" x14ac:dyDescent="0.25">
      <c r="B211" s="635" t="s">
        <v>2478</v>
      </c>
      <c r="C211" s="636" t="s">
        <v>903</v>
      </c>
      <c r="D211" s="496">
        <v>1</v>
      </c>
      <c r="E211" s="637"/>
      <c r="F211" s="681"/>
      <c r="G211" s="496">
        <v>24444.44</v>
      </c>
      <c r="H211" s="660"/>
      <c r="I211" s="10"/>
    </row>
    <row r="212" spans="2:9" ht="38.25" x14ac:dyDescent="0.25">
      <c r="B212" s="635" t="s">
        <v>2479</v>
      </c>
      <c r="C212" s="636" t="s">
        <v>904</v>
      </c>
      <c r="D212" s="496">
        <v>1</v>
      </c>
      <c r="E212" s="637"/>
      <c r="F212" s="681"/>
      <c r="G212" s="660">
        <v>3361.11</v>
      </c>
      <c r="H212" s="660"/>
      <c r="I212" s="10"/>
    </row>
    <row r="213" spans="2:9" x14ac:dyDescent="0.25">
      <c r="B213" s="635" t="s">
        <v>2442</v>
      </c>
      <c r="C213" s="636" t="s">
        <v>699</v>
      </c>
      <c r="D213" s="496">
        <v>1</v>
      </c>
      <c r="E213" s="637"/>
      <c r="F213" s="681"/>
      <c r="G213" s="660">
        <v>19.653703703703702</v>
      </c>
      <c r="H213" s="660"/>
      <c r="I213" s="10"/>
    </row>
    <row r="214" spans="2:9" x14ac:dyDescent="0.25">
      <c r="B214" s="635" t="s">
        <v>2443</v>
      </c>
      <c r="C214" s="636" t="s">
        <v>700</v>
      </c>
      <c r="D214" s="496">
        <v>1</v>
      </c>
      <c r="E214" s="637"/>
      <c r="F214" s="681"/>
      <c r="G214" s="496">
        <v>78.407037037037028</v>
      </c>
      <c r="H214" s="660"/>
      <c r="I214" s="10"/>
    </row>
    <row r="215" spans="2:9" ht="25.5" x14ac:dyDescent="0.25">
      <c r="B215" s="635" t="s">
        <v>2444</v>
      </c>
      <c r="C215" s="636" t="s">
        <v>117</v>
      </c>
      <c r="D215" s="496">
        <v>1</v>
      </c>
      <c r="E215" s="637"/>
      <c r="F215" s="681"/>
      <c r="G215" s="496">
        <v>31.96</v>
      </c>
      <c r="H215" s="660"/>
      <c r="I215" s="10"/>
    </row>
    <row r="216" spans="2:9" ht="38.25" x14ac:dyDescent="0.25">
      <c r="B216" s="635" t="s">
        <v>2623</v>
      </c>
      <c r="C216" s="636" t="s">
        <v>905</v>
      </c>
      <c r="D216" s="496">
        <v>1</v>
      </c>
      <c r="E216" s="637">
        <f xml:space="preserve"> 80.6238-18.5817</f>
        <v>62.042100000000005</v>
      </c>
      <c r="F216" s="681">
        <f>38.0837-18.5817</f>
        <v>19.501999999999999</v>
      </c>
      <c r="G216" s="496">
        <f t="shared" si="19"/>
        <v>10919.41</v>
      </c>
      <c r="H216" s="660"/>
      <c r="I216" s="10"/>
    </row>
    <row r="217" spans="2:9" x14ac:dyDescent="0.25">
      <c r="B217" s="635" t="s">
        <v>2480</v>
      </c>
      <c r="C217" s="636" t="s">
        <v>701</v>
      </c>
      <c r="D217" s="496">
        <v>1</v>
      </c>
      <c r="E217" s="637"/>
      <c r="F217" s="681"/>
      <c r="G217" s="496">
        <v>19.143518518518519</v>
      </c>
      <c r="H217" s="660"/>
      <c r="I217" s="10"/>
    </row>
    <row r="218" spans="2:9" x14ac:dyDescent="0.25">
      <c r="B218" s="635" t="s">
        <v>2404</v>
      </c>
      <c r="C218" s="636" t="s">
        <v>1236</v>
      </c>
      <c r="D218" s="496">
        <v>1</v>
      </c>
      <c r="E218" s="637">
        <f>222.39/(12*30*8)</f>
        <v>7.7218749999999989E-2</v>
      </c>
      <c r="F218" s="681"/>
      <c r="G218" s="496">
        <f t="shared" si="19"/>
        <v>13.59</v>
      </c>
      <c r="H218" s="660"/>
      <c r="I218" s="10"/>
    </row>
    <row r="219" spans="2:9" ht="25.5" x14ac:dyDescent="0.25">
      <c r="B219" s="635" t="s">
        <v>2405</v>
      </c>
      <c r="C219" s="636" t="s">
        <v>1237</v>
      </c>
      <c r="D219" s="496">
        <v>1</v>
      </c>
      <c r="E219" s="637">
        <f>629.83/(12*30*8)</f>
        <v>0.21869097222222222</v>
      </c>
      <c r="F219" s="681"/>
      <c r="G219" s="496">
        <f t="shared" si="19"/>
        <v>38.49</v>
      </c>
      <c r="H219" s="660"/>
      <c r="I219" s="10"/>
    </row>
    <row r="220" spans="2:9" x14ac:dyDescent="0.25">
      <c r="B220" s="635" t="s">
        <v>2481</v>
      </c>
      <c r="C220" s="636" t="s">
        <v>1238</v>
      </c>
      <c r="D220" s="496">
        <v>1</v>
      </c>
      <c r="E220" s="637"/>
      <c r="F220" s="681"/>
      <c r="G220" s="496">
        <v>6.8944444444444448</v>
      </c>
      <c r="H220" s="660"/>
      <c r="I220" s="10"/>
    </row>
    <row r="221" spans="2:9" ht="25.5" x14ac:dyDescent="0.25">
      <c r="B221" s="635" t="s">
        <v>2482</v>
      </c>
      <c r="C221" s="636" t="s">
        <v>907</v>
      </c>
      <c r="D221" s="496">
        <v>1</v>
      </c>
      <c r="E221" s="637"/>
      <c r="F221" s="681"/>
      <c r="G221" s="660">
        <v>22831.67</v>
      </c>
      <c r="H221" s="660"/>
      <c r="I221" s="10"/>
    </row>
    <row r="222" spans="2:9" ht="25.5" x14ac:dyDescent="0.25">
      <c r="B222" s="635" t="s">
        <v>2619</v>
      </c>
      <c r="C222" s="636" t="s">
        <v>906</v>
      </c>
      <c r="D222" s="496">
        <v>1</v>
      </c>
      <c r="E222" s="637">
        <v>121.39749999999999</v>
      </c>
      <c r="F222" s="681">
        <v>63.2102</v>
      </c>
      <c r="G222" s="496">
        <f t="shared" si="19"/>
        <v>21365.96</v>
      </c>
      <c r="H222" s="660"/>
      <c r="I222" s="10"/>
    </row>
    <row r="223" spans="2:9" x14ac:dyDescent="0.25">
      <c r="B223" s="635" t="s">
        <v>2445</v>
      </c>
      <c r="C223" s="636" t="s">
        <v>1239</v>
      </c>
      <c r="D223" s="496">
        <v>1</v>
      </c>
      <c r="E223" s="637"/>
      <c r="F223" s="681"/>
      <c r="G223" s="496">
        <v>8.4977777777777774</v>
      </c>
      <c r="H223" s="660"/>
      <c r="I223" s="10"/>
    </row>
    <row r="224" spans="2:9" x14ac:dyDescent="0.25">
      <c r="B224" s="635" t="s">
        <v>2406</v>
      </c>
      <c r="C224" s="636" t="s">
        <v>1240</v>
      </c>
      <c r="D224" s="496">
        <v>1</v>
      </c>
      <c r="E224" s="637">
        <f>582.5/(12*30*8)</f>
        <v>0.20225694444444445</v>
      </c>
      <c r="F224" s="681"/>
      <c r="G224" s="496">
        <f t="shared" si="19"/>
        <v>35.6</v>
      </c>
      <c r="H224" s="660"/>
      <c r="I224" s="10"/>
    </row>
    <row r="225" spans="2:9" x14ac:dyDescent="0.25">
      <c r="B225" s="635" t="s">
        <v>2407</v>
      </c>
      <c r="C225" s="636" t="s">
        <v>118</v>
      </c>
      <c r="D225" s="496">
        <v>1</v>
      </c>
      <c r="E225" s="637">
        <f>2234.14/(12*30*8)</f>
        <v>0.77574305555555556</v>
      </c>
      <c r="F225" s="681"/>
      <c r="G225" s="496">
        <f t="shared" si="19"/>
        <v>136.53</v>
      </c>
      <c r="H225" s="660"/>
      <c r="I225" s="10"/>
    </row>
    <row r="226" spans="2:9" x14ac:dyDescent="0.25">
      <c r="B226" s="635" t="s">
        <v>2434</v>
      </c>
      <c r="C226" s="636" t="s">
        <v>119</v>
      </c>
      <c r="D226" s="496">
        <v>1</v>
      </c>
      <c r="E226" s="637">
        <f>163.8/(12*30*8)</f>
        <v>5.6875000000000002E-2</v>
      </c>
      <c r="F226" s="681"/>
      <c r="G226" s="496">
        <f t="shared" si="19"/>
        <v>10.01</v>
      </c>
      <c r="H226" s="660"/>
      <c r="I226" s="10"/>
    </row>
    <row r="227" spans="2:9" x14ac:dyDescent="0.25">
      <c r="B227" s="635" t="s">
        <v>2446</v>
      </c>
      <c r="C227" s="636" t="s">
        <v>120</v>
      </c>
      <c r="D227" s="496">
        <v>1</v>
      </c>
      <c r="E227" s="637"/>
      <c r="F227" s="681"/>
      <c r="G227" s="496">
        <v>12.13</v>
      </c>
      <c r="H227" s="660"/>
      <c r="I227" s="10"/>
    </row>
    <row r="228" spans="2:9" x14ac:dyDescent="0.25">
      <c r="B228" s="635" t="s">
        <v>2624</v>
      </c>
      <c r="C228" s="636" t="s">
        <v>713</v>
      </c>
      <c r="D228" s="496">
        <v>1</v>
      </c>
      <c r="E228" s="637">
        <v>0.13700000000000001</v>
      </c>
      <c r="F228" s="681">
        <v>9.0700000000000003E-2</v>
      </c>
      <c r="G228" s="496">
        <f t="shared" si="19"/>
        <v>24.11</v>
      </c>
      <c r="H228" s="660"/>
      <c r="I228" s="10"/>
    </row>
    <row r="229" spans="2:9" x14ac:dyDescent="0.25">
      <c r="B229" s="635" t="s">
        <v>2435</v>
      </c>
      <c r="C229" s="636" t="s">
        <v>2409</v>
      </c>
      <c r="D229" s="496">
        <v>1</v>
      </c>
      <c r="E229" s="637">
        <v>0.08</v>
      </c>
      <c r="F229" s="681">
        <v>0.12</v>
      </c>
      <c r="G229" s="496">
        <f t="shared" si="19"/>
        <v>14.08</v>
      </c>
      <c r="H229" s="660"/>
      <c r="I229" s="10"/>
    </row>
    <row r="230" spans="2:9" ht="25.5" x14ac:dyDescent="0.25">
      <c r="B230" s="635" t="s">
        <v>2447</v>
      </c>
      <c r="C230" s="636" t="s">
        <v>121</v>
      </c>
      <c r="D230" s="496">
        <v>1</v>
      </c>
      <c r="E230" s="637"/>
      <c r="F230" s="681"/>
      <c r="G230" s="496">
        <v>47.27</v>
      </c>
      <c r="H230" s="660"/>
      <c r="I230" s="10"/>
    </row>
    <row r="231" spans="2:9" ht="25.5" x14ac:dyDescent="0.25">
      <c r="B231" s="635" t="s">
        <v>2620</v>
      </c>
      <c r="C231" s="636" t="s">
        <v>931</v>
      </c>
      <c r="D231" s="496">
        <v>1</v>
      </c>
      <c r="E231" s="637">
        <v>23.264800000000001</v>
      </c>
      <c r="F231" s="681">
        <v>3.3586</v>
      </c>
      <c r="G231" s="496">
        <f t="shared" si="19"/>
        <v>4094.6</v>
      </c>
      <c r="H231" s="660"/>
      <c r="I231" s="10"/>
    </row>
    <row r="232" spans="2:9" ht="25.5" x14ac:dyDescent="0.25">
      <c r="B232" s="635" t="s">
        <v>2621</v>
      </c>
      <c r="C232" s="636" t="s">
        <v>711</v>
      </c>
      <c r="D232" s="496">
        <v>1</v>
      </c>
      <c r="E232" s="637">
        <v>9.6560000000000006</v>
      </c>
      <c r="F232" s="681">
        <v>1.9661999999999999</v>
      </c>
      <c r="G232" s="496">
        <f t="shared" si="19"/>
        <v>1699.46</v>
      </c>
      <c r="H232" s="660"/>
      <c r="I232" s="10"/>
    </row>
    <row r="233" spans="2:9" ht="25.5" x14ac:dyDescent="0.25">
      <c r="B233" s="635" t="s">
        <v>2621</v>
      </c>
      <c r="C233" s="636" t="s">
        <v>909</v>
      </c>
      <c r="D233" s="496">
        <v>1</v>
      </c>
      <c r="E233" s="637">
        <v>9.6560000000000006</v>
      </c>
      <c r="F233" s="681">
        <v>1.9661999999999999</v>
      </c>
      <c r="G233" s="496">
        <f t="shared" si="19"/>
        <v>1699.46</v>
      </c>
      <c r="H233" s="660"/>
      <c r="I233" s="10"/>
    </row>
    <row r="234" spans="2:9" ht="25.5" x14ac:dyDescent="0.25">
      <c r="B234" s="635" t="s">
        <v>2622</v>
      </c>
      <c r="C234" s="636" t="s">
        <v>710</v>
      </c>
      <c r="D234" s="496">
        <v>1</v>
      </c>
      <c r="E234" s="637">
        <v>2.7597999999999998</v>
      </c>
      <c r="F234" s="681">
        <v>0.1865</v>
      </c>
      <c r="G234" s="496">
        <f t="shared" si="19"/>
        <v>485.72</v>
      </c>
      <c r="H234" s="660"/>
      <c r="I234" s="10"/>
    </row>
    <row r="235" spans="2:9" ht="25.5" x14ac:dyDescent="0.25">
      <c r="B235" s="635" t="s">
        <v>2411</v>
      </c>
      <c r="C235" s="636" t="s">
        <v>911</v>
      </c>
      <c r="D235" s="496">
        <v>1</v>
      </c>
      <c r="E235" s="637">
        <f>128425.92/(12*30*8)</f>
        <v>44.592333333333336</v>
      </c>
      <c r="F235" s="681"/>
      <c r="G235" s="496">
        <f t="shared" si="19"/>
        <v>7848.25</v>
      </c>
      <c r="H235" s="660"/>
      <c r="I235" s="10"/>
    </row>
    <row r="236" spans="2:9" ht="38.25" x14ac:dyDescent="0.25">
      <c r="B236" s="635" t="s">
        <v>2483</v>
      </c>
      <c r="C236" s="636" t="s">
        <v>908</v>
      </c>
      <c r="D236" s="496">
        <v>1</v>
      </c>
      <c r="E236" s="637"/>
      <c r="F236" s="681"/>
      <c r="G236" s="496">
        <v>3831.28</v>
      </c>
      <c r="H236" s="660"/>
      <c r="I236" s="10"/>
    </row>
    <row r="237" spans="2:9" x14ac:dyDescent="0.25">
      <c r="B237" s="635" t="s">
        <v>2448</v>
      </c>
      <c r="C237" s="636" t="s">
        <v>1241</v>
      </c>
      <c r="D237" s="496">
        <v>1</v>
      </c>
      <c r="E237" s="637"/>
      <c r="F237" s="681"/>
      <c r="G237" s="496">
        <v>2012.1599999999999</v>
      </c>
      <c r="H237" s="660"/>
      <c r="I237" s="10"/>
    </row>
    <row r="238" spans="2:9" ht="25.5" x14ac:dyDescent="0.25">
      <c r="B238" s="635" t="s">
        <v>2449</v>
      </c>
      <c r="C238" s="636" t="s">
        <v>122</v>
      </c>
      <c r="D238" s="496">
        <v>1</v>
      </c>
      <c r="E238" s="637"/>
      <c r="F238" s="681"/>
      <c r="G238" s="496">
        <v>542.9</v>
      </c>
      <c r="H238" s="660"/>
      <c r="I238" s="10"/>
    </row>
    <row r="239" spans="2:9" x14ac:dyDescent="0.25">
      <c r="B239" s="635" t="s">
        <v>2436</v>
      </c>
      <c r="C239" s="636" t="s">
        <v>890</v>
      </c>
      <c r="D239" s="496">
        <v>1</v>
      </c>
      <c r="E239" s="637">
        <f>2200/(12*30*8)</f>
        <v>0.76388888888888884</v>
      </c>
      <c r="F239" s="681"/>
      <c r="G239" s="496">
        <f t="shared" ref="G239:G284" si="20">ROUND($D$171*(D239*E239+(1-D239)*F239),2)</f>
        <v>134.44</v>
      </c>
      <c r="H239" s="660"/>
      <c r="I239" s="10"/>
    </row>
    <row r="240" spans="2:9" x14ac:dyDescent="0.25">
      <c r="B240" s="635" t="s">
        <v>2450</v>
      </c>
      <c r="C240" s="636" t="s">
        <v>1242</v>
      </c>
      <c r="D240" s="496">
        <v>1</v>
      </c>
      <c r="E240" s="637"/>
      <c r="F240" s="681"/>
      <c r="G240" s="496">
        <v>21.661481481481484</v>
      </c>
      <c r="H240" s="660"/>
      <c r="I240" s="10"/>
    </row>
    <row r="241" spans="2:9" ht="25.5" x14ac:dyDescent="0.25">
      <c r="B241" s="635" t="s">
        <v>2412</v>
      </c>
      <c r="C241" s="636" t="s">
        <v>914</v>
      </c>
      <c r="D241" s="496">
        <v>1</v>
      </c>
      <c r="E241" s="637">
        <f>3631.23/(12*30*8)</f>
        <v>1.26084375</v>
      </c>
      <c r="F241" s="681"/>
      <c r="G241" s="496">
        <f t="shared" si="20"/>
        <v>221.91</v>
      </c>
      <c r="H241" s="660"/>
      <c r="I241" s="10"/>
    </row>
    <row r="242" spans="2:9" ht="51" x14ac:dyDescent="0.25">
      <c r="B242" s="635" t="s">
        <v>2484</v>
      </c>
      <c r="C242" s="636" t="s">
        <v>892</v>
      </c>
      <c r="D242" s="496">
        <v>1</v>
      </c>
      <c r="E242" s="637"/>
      <c r="F242" s="681"/>
      <c r="G242" s="496">
        <v>394.24</v>
      </c>
      <c r="H242" s="660"/>
      <c r="I242" s="10"/>
    </row>
    <row r="243" spans="2:9" ht="51" x14ac:dyDescent="0.25">
      <c r="B243" s="635" t="s">
        <v>2485</v>
      </c>
      <c r="C243" s="636" t="s">
        <v>893</v>
      </c>
      <c r="D243" s="496">
        <v>1</v>
      </c>
      <c r="E243" s="637"/>
      <c r="F243" s="681"/>
      <c r="G243" s="496">
        <v>281.60000000000002</v>
      </c>
      <c r="H243" s="660"/>
      <c r="I243" s="10"/>
    </row>
    <row r="244" spans="2:9" ht="25.5" x14ac:dyDescent="0.25">
      <c r="B244" s="635" t="s">
        <v>2410</v>
      </c>
      <c r="C244" s="636" t="s">
        <v>910</v>
      </c>
      <c r="D244" s="496">
        <v>1</v>
      </c>
      <c r="E244" s="637">
        <f>65745.55/(12*30*8)</f>
        <v>22.828315972222224</v>
      </c>
      <c r="F244" s="681"/>
      <c r="G244" s="496">
        <f t="shared" si="20"/>
        <v>4017.78</v>
      </c>
      <c r="H244" s="660"/>
      <c r="I244" s="10"/>
    </row>
    <row r="245" spans="2:9" ht="25.5" x14ac:dyDescent="0.25">
      <c r="B245" s="635" t="s">
        <v>2486</v>
      </c>
      <c r="C245" s="636" t="s">
        <v>702</v>
      </c>
      <c r="D245" s="496">
        <v>1</v>
      </c>
      <c r="E245" s="637"/>
      <c r="F245" s="681"/>
      <c r="G245" s="496">
        <v>10.920370370370371</v>
      </c>
      <c r="H245" s="660"/>
      <c r="I245" s="10"/>
    </row>
    <row r="246" spans="2:9" ht="25.5" x14ac:dyDescent="0.25">
      <c r="B246" s="635" t="s">
        <v>2487</v>
      </c>
      <c r="C246" s="636" t="s">
        <v>703</v>
      </c>
      <c r="D246" s="496">
        <v>1</v>
      </c>
      <c r="E246" s="637"/>
      <c r="F246" s="681"/>
      <c r="G246" s="496">
        <v>39.440555555555555</v>
      </c>
      <c r="H246" s="660"/>
      <c r="I246" s="10"/>
    </row>
    <row r="247" spans="2:9" ht="25.5" x14ac:dyDescent="0.25">
      <c r="B247" s="635" t="s">
        <v>2488</v>
      </c>
      <c r="C247" s="636" t="s">
        <v>704</v>
      </c>
      <c r="D247" s="496">
        <v>1</v>
      </c>
      <c r="E247" s="637"/>
      <c r="F247" s="681"/>
      <c r="G247" s="496">
        <v>3.088703703703704</v>
      </c>
      <c r="H247" s="660"/>
      <c r="I247" s="10"/>
    </row>
    <row r="248" spans="2:9" ht="25.5" x14ac:dyDescent="0.25">
      <c r="B248" s="635" t="s">
        <v>2489</v>
      </c>
      <c r="C248" s="636" t="s">
        <v>705</v>
      </c>
      <c r="D248" s="496">
        <v>1</v>
      </c>
      <c r="E248" s="637"/>
      <c r="F248" s="681"/>
      <c r="G248" s="496">
        <v>109.81425925925925</v>
      </c>
      <c r="H248" s="660"/>
      <c r="I248" s="10"/>
    </row>
    <row r="249" spans="2:9" x14ac:dyDescent="0.25">
      <c r="B249" s="635" t="s">
        <v>2408</v>
      </c>
      <c r="C249" s="636" t="s">
        <v>913</v>
      </c>
      <c r="D249" s="496">
        <v>1</v>
      </c>
      <c r="E249" s="637">
        <f>412.53/(12*30*8)</f>
        <v>0.14323958333333334</v>
      </c>
      <c r="F249" s="681"/>
      <c r="G249" s="496">
        <f t="shared" si="20"/>
        <v>25.21</v>
      </c>
      <c r="H249" s="660"/>
      <c r="I249" s="10"/>
    </row>
    <row r="250" spans="2:9" ht="25.5" x14ac:dyDescent="0.25">
      <c r="B250" s="635" t="s">
        <v>2413</v>
      </c>
      <c r="C250" s="636" t="s">
        <v>915</v>
      </c>
      <c r="D250" s="496">
        <v>1</v>
      </c>
      <c r="E250" s="637">
        <f>10264.49/(12*30*8)</f>
        <v>3.5640590277777777</v>
      </c>
      <c r="F250" s="681"/>
      <c r="G250" s="496">
        <f t="shared" si="20"/>
        <v>627.27</v>
      </c>
      <c r="H250" s="660"/>
      <c r="I250" s="10"/>
    </row>
    <row r="251" spans="2:9" x14ac:dyDescent="0.25">
      <c r="B251" s="635" t="s">
        <v>2415</v>
      </c>
      <c r="C251" s="636" t="s">
        <v>916</v>
      </c>
      <c r="D251" s="496">
        <v>1</v>
      </c>
      <c r="E251" s="637">
        <f>5791.5/(12*30*8)</f>
        <v>2.0109374999999998</v>
      </c>
      <c r="F251" s="681"/>
      <c r="G251" s="496">
        <f t="shared" si="20"/>
        <v>353.93</v>
      </c>
      <c r="H251" s="660"/>
      <c r="I251" s="10"/>
    </row>
    <row r="252" spans="2:9" ht="25.5" x14ac:dyDescent="0.25">
      <c r="B252" s="635" t="s">
        <v>2414</v>
      </c>
      <c r="C252" s="636" t="s">
        <v>917</v>
      </c>
      <c r="D252" s="496">
        <v>1</v>
      </c>
      <c r="E252" s="637">
        <f>12425.2/(12*30*8)</f>
        <v>4.3143055555555554</v>
      </c>
      <c r="F252" s="681"/>
      <c r="G252" s="496">
        <f t="shared" si="20"/>
        <v>759.32</v>
      </c>
      <c r="H252" s="660"/>
      <c r="I252" s="10"/>
    </row>
    <row r="253" spans="2:9" ht="25.5" x14ac:dyDescent="0.25">
      <c r="B253" s="635" t="s">
        <v>2416</v>
      </c>
      <c r="C253" s="636" t="s">
        <v>918</v>
      </c>
      <c r="D253" s="496">
        <v>1</v>
      </c>
      <c r="E253" s="637">
        <f>144877.5/(12*30*8)</f>
        <v>50.3046875</v>
      </c>
      <c r="F253" s="681"/>
      <c r="G253" s="496">
        <f t="shared" si="20"/>
        <v>8853.6299999999992</v>
      </c>
      <c r="H253" s="660"/>
      <c r="I253" s="10"/>
    </row>
    <row r="254" spans="2:9" x14ac:dyDescent="0.25">
      <c r="B254" s="635" t="s">
        <v>2451</v>
      </c>
      <c r="C254" s="636" t="s">
        <v>1243</v>
      </c>
      <c r="D254" s="496">
        <v>1</v>
      </c>
      <c r="E254" s="637"/>
      <c r="F254" s="681"/>
      <c r="G254" s="496">
        <v>15.273888888888889</v>
      </c>
      <c r="H254" s="660"/>
      <c r="I254" s="10"/>
    </row>
    <row r="255" spans="2:9" x14ac:dyDescent="0.25">
      <c r="B255" s="635" t="s">
        <v>2490</v>
      </c>
      <c r="C255" s="636" t="s">
        <v>1244</v>
      </c>
      <c r="D255" s="496">
        <v>1</v>
      </c>
      <c r="E255" s="637"/>
      <c r="F255" s="681"/>
      <c r="G255" s="496">
        <v>34.413611111111109</v>
      </c>
      <c r="H255" s="660"/>
      <c r="I255" s="10"/>
    </row>
    <row r="256" spans="2:9" ht="25.5" x14ac:dyDescent="0.25">
      <c r="B256" s="635" t="s">
        <v>2417</v>
      </c>
      <c r="C256" s="636" t="s">
        <v>932</v>
      </c>
      <c r="D256" s="496">
        <v>1</v>
      </c>
      <c r="E256" s="637">
        <f>547000/(24*30*8)</f>
        <v>94.965277777777771</v>
      </c>
      <c r="F256" s="681"/>
      <c r="G256" s="496">
        <f t="shared" si="20"/>
        <v>16713.89</v>
      </c>
      <c r="H256" s="660"/>
      <c r="I256" s="10"/>
    </row>
    <row r="257" spans="2:9" x14ac:dyDescent="0.25">
      <c r="B257" s="635" t="s">
        <v>2418</v>
      </c>
      <c r="C257" s="636" t="s">
        <v>927</v>
      </c>
      <c r="D257" s="496">
        <v>1</v>
      </c>
      <c r="E257" s="637">
        <f>2469.63/(12*30*8)</f>
        <v>0.85751041666666672</v>
      </c>
      <c r="F257" s="681"/>
      <c r="G257" s="496">
        <f t="shared" si="20"/>
        <v>150.91999999999999</v>
      </c>
      <c r="H257" s="660"/>
      <c r="I257" s="10"/>
    </row>
    <row r="258" spans="2:9" ht="63.75" x14ac:dyDescent="0.25">
      <c r="B258" s="635" t="s">
        <v>2491</v>
      </c>
      <c r="C258" s="636" t="s">
        <v>934</v>
      </c>
      <c r="D258" s="496">
        <v>1</v>
      </c>
      <c r="E258" s="637"/>
      <c r="F258" s="681"/>
      <c r="G258" s="496">
        <v>349.93</v>
      </c>
      <c r="H258" s="660"/>
      <c r="I258" s="10"/>
    </row>
    <row r="259" spans="2:9" x14ac:dyDescent="0.25">
      <c r="B259" s="635" t="s">
        <v>2419</v>
      </c>
      <c r="C259" s="636" t="s">
        <v>919</v>
      </c>
      <c r="D259" s="496">
        <v>1</v>
      </c>
      <c r="E259" s="637">
        <f>2478.93/(12*30*8)</f>
        <v>0.86073958333333322</v>
      </c>
      <c r="F259" s="681"/>
      <c r="G259" s="496">
        <f t="shared" si="20"/>
        <v>151.49</v>
      </c>
      <c r="H259" s="660"/>
      <c r="I259" s="10"/>
    </row>
    <row r="260" spans="2:9" x14ac:dyDescent="0.25">
      <c r="B260" s="635" t="s">
        <v>2452</v>
      </c>
      <c r="C260" s="636" t="s">
        <v>706</v>
      </c>
      <c r="D260" s="496">
        <v>1</v>
      </c>
      <c r="E260" s="637"/>
      <c r="F260" s="681"/>
      <c r="G260" s="496">
        <v>517.34944444444454</v>
      </c>
      <c r="H260" s="660"/>
      <c r="I260" s="10"/>
    </row>
    <row r="261" spans="2:9" x14ac:dyDescent="0.25">
      <c r="B261" s="635" t="s">
        <v>2421</v>
      </c>
      <c r="C261" s="636" t="s">
        <v>1245</v>
      </c>
      <c r="D261" s="496">
        <v>1</v>
      </c>
      <c r="E261" s="637" t="s">
        <v>2420</v>
      </c>
      <c r="F261" s="681"/>
      <c r="G261" s="496">
        <f t="shared" si="20"/>
        <v>357.28</v>
      </c>
      <c r="H261" s="660"/>
      <c r="I261" s="10"/>
    </row>
    <row r="262" spans="2:9" ht="25.5" x14ac:dyDescent="0.25">
      <c r="B262" s="635" t="s">
        <v>2422</v>
      </c>
      <c r="C262" s="636" t="s">
        <v>897</v>
      </c>
      <c r="D262" s="496">
        <v>1</v>
      </c>
      <c r="E262" s="637">
        <f>366628/(12*30*8)</f>
        <v>127.30138888888889</v>
      </c>
      <c r="F262" s="681"/>
      <c r="G262" s="496">
        <f t="shared" si="20"/>
        <v>22405.040000000001</v>
      </c>
      <c r="H262" s="660"/>
      <c r="I262" s="10"/>
    </row>
    <row r="263" spans="2:9" x14ac:dyDescent="0.25">
      <c r="B263" s="635" t="s">
        <v>2453</v>
      </c>
      <c r="C263" s="636" t="s">
        <v>1246</v>
      </c>
      <c r="D263" s="496">
        <v>1</v>
      </c>
      <c r="E263" s="637"/>
      <c r="F263" s="681"/>
      <c r="G263" s="496">
        <v>19.775925925925929</v>
      </c>
      <c r="H263" s="660"/>
      <c r="I263" s="10"/>
    </row>
    <row r="264" spans="2:9" ht="25.5" x14ac:dyDescent="0.25">
      <c r="B264" s="635" t="s">
        <v>2424</v>
      </c>
      <c r="C264" s="636" t="s">
        <v>920</v>
      </c>
      <c r="D264" s="496">
        <v>1</v>
      </c>
      <c r="E264" s="637" t="s">
        <v>2423</v>
      </c>
      <c r="F264" s="681"/>
      <c r="G264" s="496">
        <f t="shared" si="20"/>
        <v>475.2</v>
      </c>
      <c r="H264" s="660"/>
      <c r="I264" s="10"/>
    </row>
    <row r="265" spans="2:9" ht="38.25" x14ac:dyDescent="0.25">
      <c r="B265" s="635" t="s">
        <v>2454</v>
      </c>
      <c r="C265" s="636" t="s">
        <v>712</v>
      </c>
      <c r="D265" s="496">
        <v>1</v>
      </c>
      <c r="E265" s="637"/>
      <c r="F265" s="681"/>
      <c r="G265" s="496">
        <v>4606.6099999999997</v>
      </c>
      <c r="H265" s="660"/>
      <c r="I265" s="10"/>
    </row>
    <row r="266" spans="2:9" x14ac:dyDescent="0.25">
      <c r="B266" s="635" t="s">
        <v>2455</v>
      </c>
      <c r="C266" s="636" t="s">
        <v>1247</v>
      </c>
      <c r="D266" s="496">
        <v>1</v>
      </c>
      <c r="E266" s="637"/>
      <c r="F266" s="681"/>
      <c r="G266" s="496">
        <v>30.551666666666662</v>
      </c>
      <c r="H266" s="660"/>
      <c r="I266" s="10"/>
    </row>
    <row r="267" spans="2:9" x14ac:dyDescent="0.25">
      <c r="B267" s="668" t="s">
        <v>2605</v>
      </c>
      <c r="C267" s="636" t="s">
        <v>1248</v>
      </c>
      <c r="D267" s="496">
        <v>1</v>
      </c>
      <c r="E267" s="637">
        <v>0.53220000000000001</v>
      </c>
      <c r="F267" s="681">
        <v>0.29299999999999998</v>
      </c>
      <c r="G267" s="496">
        <f t="shared" si="20"/>
        <v>93.67</v>
      </c>
      <c r="H267" s="660"/>
      <c r="I267" s="10"/>
    </row>
    <row r="268" spans="2:9" ht="51" x14ac:dyDescent="0.25">
      <c r="B268" s="635" t="s">
        <v>2611</v>
      </c>
      <c r="C268" s="636" t="s">
        <v>921</v>
      </c>
      <c r="D268" s="496">
        <v>1</v>
      </c>
      <c r="E268" s="637">
        <v>86.189499999999995</v>
      </c>
      <c r="F268" s="681">
        <v>44.981699999999996</v>
      </c>
      <c r="G268" s="496">
        <f t="shared" si="20"/>
        <v>15169.35</v>
      </c>
      <c r="H268" s="660"/>
      <c r="I268" s="10"/>
    </row>
    <row r="269" spans="2:9" x14ac:dyDescent="0.25">
      <c r="B269" s="635" t="s">
        <v>2425</v>
      </c>
      <c r="C269" s="636" t="s">
        <v>923</v>
      </c>
      <c r="D269" s="496">
        <v>1</v>
      </c>
      <c r="E269" s="637">
        <f>2529.89/(12*30*8)</f>
        <v>0.87843402777777768</v>
      </c>
      <c r="F269" s="681"/>
      <c r="G269" s="496">
        <f t="shared" si="20"/>
        <v>154.6</v>
      </c>
      <c r="H269" s="660"/>
      <c r="I269" s="10"/>
    </row>
    <row r="270" spans="2:9" x14ac:dyDescent="0.25">
      <c r="B270" s="635" t="s">
        <v>2426</v>
      </c>
      <c r="C270" s="636" t="s">
        <v>922</v>
      </c>
      <c r="D270" s="496">
        <v>1</v>
      </c>
      <c r="E270" s="637">
        <f>6875.7/(12*30*8)</f>
        <v>2.3873958333333332</v>
      </c>
      <c r="F270" s="681"/>
      <c r="G270" s="496">
        <f t="shared" si="20"/>
        <v>420.18</v>
      </c>
      <c r="H270" s="660"/>
      <c r="I270" s="10"/>
    </row>
    <row r="271" spans="2:9" ht="38.25" x14ac:dyDescent="0.25">
      <c r="B271" s="635" t="s">
        <v>2612</v>
      </c>
      <c r="C271" s="636" t="s">
        <v>924</v>
      </c>
      <c r="D271" s="496">
        <v>1</v>
      </c>
      <c r="E271" s="637">
        <v>114.5548</v>
      </c>
      <c r="F271" s="681">
        <v>50.952500000000001</v>
      </c>
      <c r="G271" s="496">
        <f t="shared" si="20"/>
        <v>20161.64</v>
      </c>
      <c r="H271" s="660"/>
      <c r="I271" s="10"/>
    </row>
    <row r="272" spans="2:9" ht="25.5" x14ac:dyDescent="0.25">
      <c r="B272" s="638" t="s">
        <v>2606</v>
      </c>
      <c r="C272" s="636" t="s">
        <v>707</v>
      </c>
      <c r="D272" s="496">
        <v>1</v>
      </c>
      <c r="E272" s="637">
        <f>19.0307-18.5817</f>
        <v>0.44899999999999807</v>
      </c>
      <c r="F272" s="681">
        <f>18.8355-18.5817</f>
        <v>0.25379999999999825</v>
      </c>
      <c r="G272" s="496">
        <f t="shared" si="20"/>
        <v>79.02</v>
      </c>
      <c r="H272" s="660"/>
      <c r="I272" s="10"/>
    </row>
    <row r="273" spans="1:9" ht="38.25" x14ac:dyDescent="0.25">
      <c r="A273" s="64" t="s">
        <v>2615</v>
      </c>
      <c r="B273" s="635" t="s">
        <v>2427</v>
      </c>
      <c r="C273" s="636" t="s">
        <v>912</v>
      </c>
      <c r="D273" s="496">
        <v>1</v>
      </c>
      <c r="E273" s="637">
        <f>3531.36/(12*30*8)</f>
        <v>1.2261666666666666</v>
      </c>
      <c r="F273" s="681"/>
      <c r="G273" s="496">
        <f t="shared" si="20"/>
        <v>215.81</v>
      </c>
      <c r="H273" s="660"/>
      <c r="I273" s="10"/>
    </row>
    <row r="274" spans="1:9" x14ac:dyDescent="0.25">
      <c r="A274" s="64" t="s">
        <v>2616</v>
      </c>
      <c r="B274" s="635" t="s">
        <v>2429</v>
      </c>
      <c r="C274" s="636" t="s">
        <v>708</v>
      </c>
      <c r="D274" s="496">
        <v>1</v>
      </c>
      <c r="E274" s="637" t="s">
        <v>2428</v>
      </c>
      <c r="F274" s="681"/>
      <c r="G274" s="496">
        <f t="shared" si="20"/>
        <v>195.36</v>
      </c>
      <c r="H274" s="660"/>
      <c r="I274" s="10"/>
    </row>
    <row r="275" spans="1:9" ht="25.5" x14ac:dyDescent="0.25">
      <c r="B275" s="668" t="s">
        <v>2492</v>
      </c>
      <c r="C275" s="636" t="s">
        <v>696</v>
      </c>
      <c r="D275" s="496">
        <v>1</v>
      </c>
      <c r="E275" s="637">
        <f>705.75/(12*30*8)</f>
        <v>0.24505208333333334</v>
      </c>
      <c r="F275" s="681"/>
      <c r="G275" s="496">
        <f t="shared" si="20"/>
        <v>43.13</v>
      </c>
      <c r="H275" s="660"/>
      <c r="I275" s="10"/>
    </row>
    <row r="276" spans="1:9" x14ac:dyDescent="0.25">
      <c r="B276" s="668" t="s">
        <v>2456</v>
      </c>
      <c r="C276" s="636" t="s">
        <v>709</v>
      </c>
      <c r="D276" s="496">
        <v>1</v>
      </c>
      <c r="E276" s="637"/>
      <c r="F276" s="681"/>
      <c r="G276" s="496">
        <v>149.00425925925927</v>
      </c>
      <c r="H276" s="660"/>
      <c r="I276" s="10"/>
    </row>
    <row r="277" spans="1:9" x14ac:dyDescent="0.25">
      <c r="B277" s="635" t="s">
        <v>2457</v>
      </c>
      <c r="C277" s="636" t="s">
        <v>925</v>
      </c>
      <c r="D277" s="496">
        <v>1</v>
      </c>
      <c r="E277" s="637"/>
      <c r="F277" s="681"/>
      <c r="G277" s="496">
        <v>1500</v>
      </c>
      <c r="H277" s="660"/>
      <c r="I277" s="10"/>
    </row>
    <row r="278" spans="1:9" ht="25.5" x14ac:dyDescent="0.25">
      <c r="B278" s="635" t="s">
        <v>2524</v>
      </c>
      <c r="C278" s="636" t="s">
        <v>898</v>
      </c>
      <c r="D278" s="496">
        <v>1</v>
      </c>
      <c r="E278" s="637">
        <v>229.38839999999999</v>
      </c>
      <c r="F278" s="681">
        <v>69.866799999999998</v>
      </c>
      <c r="G278" s="496">
        <f t="shared" si="20"/>
        <v>40372.36</v>
      </c>
      <c r="H278" s="660"/>
      <c r="I278" s="10"/>
    </row>
    <row r="279" spans="1:9" x14ac:dyDescent="0.25">
      <c r="B279" s="635" t="s">
        <v>2495</v>
      </c>
      <c r="C279" s="636" t="s">
        <v>714</v>
      </c>
      <c r="D279" s="496">
        <v>1</v>
      </c>
      <c r="E279" s="637">
        <f>187207.46/(12*8*30)</f>
        <v>65.00259027777777</v>
      </c>
      <c r="F279" s="681"/>
      <c r="G279" s="496">
        <f t="shared" si="20"/>
        <v>11440.46</v>
      </c>
      <c r="H279" s="660"/>
      <c r="I279" s="10"/>
    </row>
    <row r="280" spans="1:9" ht="25.5" x14ac:dyDescent="0.25">
      <c r="B280" s="635" t="s">
        <v>2617</v>
      </c>
      <c r="C280" s="636" t="s">
        <v>926</v>
      </c>
      <c r="D280" s="496">
        <v>1</v>
      </c>
      <c r="E280" s="637">
        <v>168.8509</v>
      </c>
      <c r="F280" s="681">
        <v>71.157799999999995</v>
      </c>
      <c r="G280" s="496">
        <f t="shared" si="20"/>
        <v>29717.759999999998</v>
      </c>
      <c r="H280" s="660"/>
      <c r="I280" s="10"/>
    </row>
    <row r="281" spans="1:9" ht="25.5" x14ac:dyDescent="0.25">
      <c r="B281" s="635" t="s">
        <v>2458</v>
      </c>
      <c r="C281" s="636" t="s">
        <v>123</v>
      </c>
      <c r="D281" s="496">
        <v>1</v>
      </c>
      <c r="E281" s="637"/>
      <c r="F281" s="681"/>
      <c r="G281" s="496">
        <v>223.72</v>
      </c>
      <c r="H281" s="660"/>
      <c r="I281" s="10"/>
    </row>
    <row r="282" spans="1:9" ht="25.5" x14ac:dyDescent="0.25">
      <c r="A282" s="64" t="s">
        <v>2618</v>
      </c>
      <c r="B282" s="638" t="s">
        <v>2430</v>
      </c>
      <c r="C282" s="636" t="s">
        <v>928</v>
      </c>
      <c r="D282" s="496">
        <v>1</v>
      </c>
      <c r="E282" s="637">
        <f>804.74/(12*30*8)</f>
        <v>0.27942361111111114</v>
      </c>
      <c r="F282" s="681"/>
      <c r="G282" s="496">
        <f t="shared" si="20"/>
        <v>49.18</v>
      </c>
      <c r="H282" s="660"/>
      <c r="I282" s="10"/>
    </row>
    <row r="283" spans="1:9" ht="25.5" x14ac:dyDescent="0.25">
      <c r="A283" s="64" t="s">
        <v>2618</v>
      </c>
      <c r="B283" s="638" t="s">
        <v>2431</v>
      </c>
      <c r="C283" s="636" t="s">
        <v>929</v>
      </c>
      <c r="D283" s="496">
        <v>1</v>
      </c>
      <c r="E283" s="637">
        <f>874.72/(12*30*8)</f>
        <v>0.30372222222222223</v>
      </c>
      <c r="F283" s="681"/>
      <c r="G283" s="496">
        <f t="shared" si="20"/>
        <v>53.46</v>
      </c>
      <c r="H283" s="660"/>
      <c r="I283" s="10"/>
    </row>
    <row r="284" spans="1:9" ht="25.5" x14ac:dyDescent="0.25">
      <c r="A284" s="64" t="s">
        <v>2618</v>
      </c>
      <c r="B284" s="638" t="s">
        <v>2432</v>
      </c>
      <c r="C284" s="636" t="s">
        <v>930</v>
      </c>
      <c r="D284" s="496">
        <v>1</v>
      </c>
      <c r="E284" s="637">
        <f>981.23/(12*30*8)</f>
        <v>0.34070486111111109</v>
      </c>
      <c r="F284" s="681"/>
      <c r="G284" s="496">
        <f t="shared" si="20"/>
        <v>59.96</v>
      </c>
      <c r="H284" s="660"/>
      <c r="I284" s="10"/>
    </row>
  </sheetData>
  <autoFilter ref="A12:L145"/>
  <sortState ref="A12:H132">
    <sortCondition ref="B174"/>
  </sortState>
  <mergeCells count="46">
    <mergeCell ref="B11:B12"/>
    <mergeCell ref="A60:F60"/>
    <mergeCell ref="A74:F74"/>
    <mergeCell ref="C152:E152"/>
    <mergeCell ref="F152:G152"/>
    <mergeCell ref="A11:A12"/>
    <mergeCell ref="C11:C12"/>
    <mergeCell ref="D11:D12"/>
    <mergeCell ref="E11:E12"/>
    <mergeCell ref="F11:G11"/>
    <mergeCell ref="C15:G15"/>
    <mergeCell ref="C62:G62"/>
    <mergeCell ref="C76:G76"/>
    <mergeCell ref="C77:G77"/>
    <mergeCell ref="C134:G134"/>
    <mergeCell ref="C13:G13"/>
    <mergeCell ref="F161:G161"/>
    <mergeCell ref="F162:G162"/>
    <mergeCell ref="A163:G163"/>
    <mergeCell ref="A159:E159"/>
    <mergeCell ref="A160:E160"/>
    <mergeCell ref="A161:E161"/>
    <mergeCell ref="A162:E162"/>
    <mergeCell ref="F159:G159"/>
    <mergeCell ref="F160:G160"/>
    <mergeCell ref="F153:G153"/>
    <mergeCell ref="A146:F146"/>
    <mergeCell ref="A144:F144"/>
    <mergeCell ref="A151:G151"/>
    <mergeCell ref="A156:E156"/>
    <mergeCell ref="A167:G167"/>
    <mergeCell ref="A166:G166"/>
    <mergeCell ref="A164:G165"/>
    <mergeCell ref="F154:G154"/>
    <mergeCell ref="C1:G1"/>
    <mergeCell ref="C2:G2"/>
    <mergeCell ref="C3:G3"/>
    <mergeCell ref="A5:G6"/>
    <mergeCell ref="A8:G8"/>
    <mergeCell ref="C155:E155"/>
    <mergeCell ref="F155:G155"/>
    <mergeCell ref="F156:G156"/>
    <mergeCell ref="A132:F132"/>
    <mergeCell ref="C154:E154"/>
    <mergeCell ref="A148:F148"/>
    <mergeCell ref="C153:E153"/>
  </mergeCells>
  <conditionalFormatting sqref="B174:B281">
    <cfRule type="duplicateValues" dxfId="0" priority="74"/>
  </conditionalFormatting>
  <printOptions horizontalCentered="1"/>
  <pageMargins left="0.78740157480314965" right="0.59055118110236227" top="0.59055118110236227" bottom="0.59055118110236227" header="0.19685039370078741" footer="0.19685039370078741"/>
  <pageSetup paperSize="9" scale="34" fitToHeight="100" orientation="portrait" horizontalDpi="4294967294" verticalDpi="4294967294" r:id="rId1"/>
  <headerFooter>
    <oddFooter>&amp;R&amp;"Arial,Normal"&amp;8&amp;F
Página &amp;P de &amp;N</oddFooter>
  </headerFooter>
  <rowBreaks count="1" manualBreakCount="1">
    <brk id="74" max="6" man="1"/>
  </rowBreaks>
  <drawing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J32" sqref="J32"/>
    </sheetView>
  </sheetViews>
  <sheetFormatPr defaultColWidth="9.140625" defaultRowHeight="12.75" x14ac:dyDescent="0.2"/>
  <cols>
    <col min="1" max="1" width="8.7109375" style="1" customWidth="1"/>
    <col min="2" max="2" width="14.7109375" style="589" hidden="1" customWidth="1"/>
    <col min="3" max="3" width="60.7109375" style="1" customWidth="1"/>
    <col min="4" max="4" width="14.7109375" style="1" customWidth="1"/>
    <col min="5" max="7" width="14.7109375" style="5" customWidth="1"/>
    <col min="8" max="16384" width="9.140625" style="1"/>
  </cols>
  <sheetData>
    <row r="1" spans="1:7" s="89" customFormat="1" x14ac:dyDescent="0.25">
      <c r="A1" s="117"/>
      <c r="B1" s="495"/>
      <c r="C1" s="726" t="s">
        <v>1117</v>
      </c>
      <c r="D1" s="726"/>
      <c r="E1" s="726"/>
      <c r="F1" s="726"/>
      <c r="G1" s="726"/>
    </row>
    <row r="2" spans="1:7" s="89" customFormat="1" x14ac:dyDescent="0.25">
      <c r="A2" s="90"/>
      <c r="B2" s="428"/>
      <c r="C2" s="728" t="s">
        <v>1118</v>
      </c>
      <c r="D2" s="728"/>
      <c r="E2" s="728"/>
      <c r="F2" s="728"/>
      <c r="G2" s="728"/>
    </row>
    <row r="3" spans="1:7" s="89" customFormat="1" ht="13.5" thickBot="1" x14ac:dyDescent="0.3">
      <c r="A3" s="118"/>
      <c r="B3" s="429"/>
      <c r="C3" s="729" t="s">
        <v>1116</v>
      </c>
      <c r="D3" s="729"/>
      <c r="E3" s="729"/>
      <c r="F3" s="729"/>
      <c r="G3" s="729"/>
    </row>
    <row r="4" spans="1:7" s="78" customFormat="1" ht="13.9" thickBot="1" x14ac:dyDescent="0.35">
      <c r="A4" s="92"/>
      <c r="B4" s="507"/>
    </row>
    <row r="5" spans="1:7" s="78" customFormat="1" x14ac:dyDescent="0.25">
      <c r="A5" s="690" t="s">
        <v>1119</v>
      </c>
      <c r="B5" s="690"/>
      <c r="C5" s="690"/>
      <c r="D5" s="690"/>
      <c r="E5" s="690"/>
      <c r="F5" s="690"/>
      <c r="G5" s="690"/>
    </row>
    <row r="6" spans="1:7" s="78" customFormat="1" ht="13.5" thickBot="1" x14ac:dyDescent="0.3">
      <c r="A6" s="691"/>
      <c r="B6" s="691"/>
      <c r="C6" s="691"/>
      <c r="D6" s="691"/>
      <c r="E6" s="691"/>
      <c r="F6" s="691"/>
      <c r="G6" s="691"/>
    </row>
    <row r="7" spans="1:7" s="78" customFormat="1" ht="13.9" thickBot="1" x14ac:dyDescent="0.35">
      <c r="B7" s="72"/>
      <c r="C7" s="70"/>
      <c r="D7" s="72"/>
      <c r="E7" s="72"/>
    </row>
    <row r="8" spans="1:7" s="21" customFormat="1" ht="13.9" thickBot="1" x14ac:dyDescent="0.35">
      <c r="A8" s="686" t="s">
        <v>1109</v>
      </c>
      <c r="B8" s="687"/>
      <c r="C8" s="687"/>
      <c r="D8" s="687"/>
      <c r="E8" s="687"/>
      <c r="F8" s="687"/>
      <c r="G8" s="688"/>
    </row>
    <row r="9" spans="1:7" s="196" customFormat="1" ht="13.15" x14ac:dyDescent="0.3">
      <c r="B9" s="209"/>
      <c r="E9" s="197"/>
      <c r="F9" s="197"/>
      <c r="G9" s="197"/>
    </row>
    <row r="10" spans="1:7" s="209" customFormat="1" ht="13.9" thickBot="1" x14ac:dyDescent="0.35">
      <c r="A10" s="193"/>
      <c r="B10" s="193"/>
      <c r="C10" s="193"/>
      <c r="D10" s="194"/>
      <c r="E10" s="194"/>
      <c r="F10" s="197"/>
    </row>
    <row r="11" spans="1:7" ht="13.5" thickBot="1" x14ac:dyDescent="0.25">
      <c r="A11" s="791" t="s">
        <v>363</v>
      </c>
      <c r="B11" s="791" t="s">
        <v>1466</v>
      </c>
      <c r="C11" s="730" t="s">
        <v>366</v>
      </c>
      <c r="D11" s="791" t="s">
        <v>410</v>
      </c>
      <c r="E11" s="830" t="s">
        <v>364</v>
      </c>
      <c r="F11" s="830" t="s">
        <v>413</v>
      </c>
      <c r="G11" s="830"/>
    </row>
    <row r="12" spans="1:7" ht="13.5" thickBot="1" x14ac:dyDescent="0.25">
      <c r="A12" s="791"/>
      <c r="B12" s="791"/>
      <c r="C12" s="730"/>
      <c r="D12" s="791"/>
      <c r="E12" s="830"/>
      <c r="F12" s="218" t="s">
        <v>412</v>
      </c>
      <c r="G12" s="218" t="s">
        <v>411</v>
      </c>
    </row>
    <row r="13" spans="1:7" s="21" customFormat="1" ht="13.9" thickBot="1" x14ac:dyDescent="0.35">
      <c r="A13" s="252"/>
      <c r="B13" s="506"/>
      <c r="C13" s="998" t="str">
        <f>A8</f>
        <v>INSTRUMENTOS</v>
      </c>
      <c r="D13" s="999"/>
      <c r="E13" s="999"/>
      <c r="F13" s="999"/>
      <c r="G13" s="1000"/>
    </row>
    <row r="14" spans="1:7" ht="13.9" thickBot="1" x14ac:dyDescent="0.3"/>
    <row r="15" spans="1:7" s="21" customFormat="1" ht="13.5" thickBot="1" x14ac:dyDescent="0.3">
      <c r="A15" s="252" t="s">
        <v>360</v>
      </c>
      <c r="B15" s="506"/>
      <c r="C15" s="998" t="s">
        <v>1316</v>
      </c>
      <c r="D15" s="999"/>
      <c r="E15" s="999"/>
      <c r="F15" s="999"/>
      <c r="G15" s="1000"/>
    </row>
    <row r="16" spans="1:7" x14ac:dyDescent="0.2">
      <c r="A16" s="260" t="s">
        <v>124</v>
      </c>
      <c r="B16" s="586"/>
      <c r="C16" s="8" t="s">
        <v>1367</v>
      </c>
      <c r="D16" s="9" t="s">
        <v>1127</v>
      </c>
      <c r="E16" s="259">
        <f>1*12</f>
        <v>12</v>
      </c>
      <c r="F16" s="32">
        <v>461.43</v>
      </c>
      <c r="G16" s="259">
        <f t="shared" ref="G16:G28" si="0">ROUND(E16*F16,2)</f>
        <v>5537.16</v>
      </c>
    </row>
    <row r="17" spans="1:7" x14ac:dyDescent="0.2">
      <c r="A17" s="262" t="s">
        <v>125</v>
      </c>
      <c r="B17" s="576"/>
      <c r="C17" s="264" t="s">
        <v>1368</v>
      </c>
      <c r="D17" s="220" t="s">
        <v>1127</v>
      </c>
      <c r="E17" s="227">
        <f>4*12</f>
        <v>48</v>
      </c>
      <c r="F17" s="158">
        <v>17.66</v>
      </c>
      <c r="G17" s="227">
        <f t="shared" si="0"/>
        <v>847.68</v>
      </c>
    </row>
    <row r="18" spans="1:7" x14ac:dyDescent="0.2">
      <c r="A18" s="262" t="s">
        <v>126</v>
      </c>
      <c r="B18" s="576"/>
      <c r="C18" s="264" t="s">
        <v>1369</v>
      </c>
      <c r="D18" s="220" t="s">
        <v>1127</v>
      </c>
      <c r="E18" s="227">
        <f>2*12</f>
        <v>24</v>
      </c>
      <c r="F18" s="158">
        <v>2.2400000000000002</v>
      </c>
      <c r="G18" s="227">
        <f t="shared" si="0"/>
        <v>53.76</v>
      </c>
    </row>
    <row r="19" spans="1:7" x14ac:dyDescent="0.2">
      <c r="A19" s="262" t="s">
        <v>127</v>
      </c>
      <c r="B19" s="576"/>
      <c r="C19" s="264" t="s">
        <v>1370</v>
      </c>
      <c r="D19" s="220" t="s">
        <v>1127</v>
      </c>
      <c r="E19" s="227">
        <f t="shared" ref="E19:E21" si="1">2*12</f>
        <v>24</v>
      </c>
      <c r="F19" s="158">
        <v>82.03</v>
      </c>
      <c r="G19" s="227">
        <f t="shared" si="0"/>
        <v>1968.72</v>
      </c>
    </row>
    <row r="20" spans="1:7" x14ac:dyDescent="0.2">
      <c r="A20" s="262" t="s">
        <v>128</v>
      </c>
      <c r="B20" s="576"/>
      <c r="C20" s="264" t="s">
        <v>1371</v>
      </c>
      <c r="D20" s="220" t="s">
        <v>1127</v>
      </c>
      <c r="E20" s="227">
        <f t="shared" si="1"/>
        <v>24</v>
      </c>
      <c r="F20" s="158">
        <v>95.75</v>
      </c>
      <c r="G20" s="227">
        <f t="shared" si="0"/>
        <v>2298</v>
      </c>
    </row>
    <row r="21" spans="1:7" x14ac:dyDescent="0.2">
      <c r="A21" s="262" t="s">
        <v>129</v>
      </c>
      <c r="B21" s="576"/>
      <c r="C21" s="264" t="s">
        <v>1372</v>
      </c>
      <c r="D21" s="220" t="s">
        <v>1127</v>
      </c>
      <c r="E21" s="227">
        <f t="shared" si="1"/>
        <v>24</v>
      </c>
      <c r="F21" s="158">
        <v>153.01</v>
      </c>
      <c r="G21" s="227">
        <f t="shared" si="0"/>
        <v>3672.24</v>
      </c>
    </row>
    <row r="22" spans="1:7" x14ac:dyDescent="0.2">
      <c r="A22" s="262" t="s">
        <v>130</v>
      </c>
      <c r="B22" s="576"/>
      <c r="C22" s="264" t="s">
        <v>1373</v>
      </c>
      <c r="D22" s="220" t="s">
        <v>1127</v>
      </c>
      <c r="E22" s="227">
        <f>1*12</f>
        <v>12</v>
      </c>
      <c r="F22" s="158">
        <v>57.62</v>
      </c>
      <c r="G22" s="227">
        <f t="shared" si="0"/>
        <v>691.44</v>
      </c>
    </row>
    <row r="23" spans="1:7" x14ac:dyDescent="0.2">
      <c r="A23" s="262" t="s">
        <v>131</v>
      </c>
      <c r="B23" s="576"/>
      <c r="C23" s="264" t="s">
        <v>1366</v>
      </c>
      <c r="D23" s="220" t="s">
        <v>1127</v>
      </c>
      <c r="E23" s="227">
        <f>2*12</f>
        <v>24</v>
      </c>
      <c r="F23" s="158">
        <v>27.4</v>
      </c>
      <c r="G23" s="227">
        <f t="shared" si="0"/>
        <v>657.6</v>
      </c>
    </row>
    <row r="24" spans="1:7" x14ac:dyDescent="0.2">
      <c r="A24" s="262" t="s">
        <v>132</v>
      </c>
      <c r="B24" s="576"/>
      <c r="C24" s="264" t="s">
        <v>1365</v>
      </c>
      <c r="D24" s="220" t="s">
        <v>1127</v>
      </c>
      <c r="E24" s="227">
        <f>2*12</f>
        <v>24</v>
      </c>
      <c r="F24" s="158">
        <v>164.04</v>
      </c>
      <c r="G24" s="227">
        <f t="shared" si="0"/>
        <v>3936.96</v>
      </c>
    </row>
    <row r="25" spans="1:7" x14ac:dyDescent="0.2">
      <c r="A25" s="262" t="s">
        <v>133</v>
      </c>
      <c r="B25" s="576"/>
      <c r="C25" s="264" t="s">
        <v>1364</v>
      </c>
      <c r="D25" s="220" t="s">
        <v>1127</v>
      </c>
      <c r="E25" s="227">
        <f>4*12</f>
        <v>48</v>
      </c>
      <c r="F25" s="158">
        <v>94.16</v>
      </c>
      <c r="G25" s="227">
        <f t="shared" si="0"/>
        <v>4519.68</v>
      </c>
    </row>
    <row r="26" spans="1:7" x14ac:dyDescent="0.2">
      <c r="A26" s="262" t="s">
        <v>134</v>
      </c>
      <c r="B26" s="576"/>
      <c r="C26" s="264" t="s">
        <v>1363</v>
      </c>
      <c r="D26" s="220" t="s">
        <v>1127</v>
      </c>
      <c r="E26" s="227">
        <f>1*12</f>
        <v>12</v>
      </c>
      <c r="F26" s="158">
        <v>24.74</v>
      </c>
      <c r="G26" s="227">
        <f t="shared" si="0"/>
        <v>296.88</v>
      </c>
    </row>
    <row r="27" spans="1:7" x14ac:dyDescent="0.2">
      <c r="A27" s="262" t="s">
        <v>135</v>
      </c>
      <c r="B27" s="576"/>
      <c r="C27" s="264" t="s">
        <v>1362</v>
      </c>
      <c r="D27" s="220" t="s">
        <v>1127</v>
      </c>
      <c r="E27" s="227">
        <f>1*12</f>
        <v>12</v>
      </c>
      <c r="F27" s="158">
        <v>58.99</v>
      </c>
      <c r="G27" s="227">
        <f t="shared" si="0"/>
        <v>707.88</v>
      </c>
    </row>
    <row r="28" spans="1:7" ht="39" thickBot="1" x14ac:dyDescent="0.25">
      <c r="A28" s="267" t="s">
        <v>136</v>
      </c>
      <c r="B28" s="587"/>
      <c r="C28" s="284" t="s">
        <v>1361</v>
      </c>
      <c r="D28" s="231" t="s">
        <v>1127</v>
      </c>
      <c r="E28" s="234">
        <f>1*12</f>
        <v>12</v>
      </c>
      <c r="F28" s="165">
        <v>95.19</v>
      </c>
      <c r="G28" s="234">
        <f t="shared" si="0"/>
        <v>1142.28</v>
      </c>
    </row>
    <row r="29" spans="1:7" s="2" customFormat="1" ht="13.9" thickBot="1" x14ac:dyDescent="0.35">
      <c r="A29" s="864" t="str">
        <f>"TOTAL - "&amp;C15&amp;" - (R$):"</f>
        <v>TOTAL - INSTRUMENTOS - MECÂNICA - (R$):</v>
      </c>
      <c r="B29" s="865"/>
      <c r="C29" s="865"/>
      <c r="D29" s="865"/>
      <c r="E29" s="865"/>
      <c r="F29" s="866"/>
      <c r="G29" s="212">
        <f>SUBTOTAL(9,G15:G28)</f>
        <v>26330.280000000002</v>
      </c>
    </row>
    <row r="30" spans="1:7" ht="13.9" thickBot="1" x14ac:dyDescent="0.3"/>
    <row r="31" spans="1:7" s="21" customFormat="1" ht="13.5" thickBot="1" x14ac:dyDescent="0.3">
      <c r="A31" s="252" t="s">
        <v>361</v>
      </c>
      <c r="B31" s="506"/>
      <c r="C31" s="998" t="s">
        <v>1317</v>
      </c>
      <c r="D31" s="999"/>
      <c r="E31" s="999"/>
      <c r="F31" s="999"/>
      <c r="G31" s="1000"/>
    </row>
    <row r="32" spans="1:7" ht="25.5" x14ac:dyDescent="0.2">
      <c r="A32" s="270" t="s">
        <v>173</v>
      </c>
      <c r="B32" s="580"/>
      <c r="C32" s="8" t="s">
        <v>1318</v>
      </c>
      <c r="D32" s="9" t="s">
        <v>1127</v>
      </c>
      <c r="E32" s="259">
        <f>13*12</f>
        <v>156</v>
      </c>
      <c r="F32" s="32">
        <v>233.47083333333336</v>
      </c>
      <c r="G32" s="259">
        <f t="shared" ref="G32:G48" si="2">ROUND(E32*F32,2)</f>
        <v>36421.449999999997</v>
      </c>
    </row>
    <row r="33" spans="1:7" x14ac:dyDescent="0.2">
      <c r="A33" s="271" t="s">
        <v>174</v>
      </c>
      <c r="B33" s="582"/>
      <c r="C33" s="264" t="s">
        <v>817</v>
      </c>
      <c r="D33" s="220" t="s">
        <v>1127</v>
      </c>
      <c r="E33" s="227">
        <f>10*12</f>
        <v>120</v>
      </c>
      <c r="F33" s="158">
        <v>20.548888888888886</v>
      </c>
      <c r="G33" s="227">
        <f t="shared" si="2"/>
        <v>2465.87</v>
      </c>
    </row>
    <row r="34" spans="1:7" x14ac:dyDescent="0.2">
      <c r="A34" s="271" t="s">
        <v>175</v>
      </c>
      <c r="B34" s="582"/>
      <c r="C34" s="264" t="s">
        <v>1319</v>
      </c>
      <c r="D34" s="220" t="s">
        <v>1127</v>
      </c>
      <c r="E34" s="227">
        <f>2*12</f>
        <v>24</v>
      </c>
      <c r="F34" s="158">
        <v>1087.1404444444443</v>
      </c>
      <c r="G34" s="227">
        <f t="shared" si="2"/>
        <v>26091.37</v>
      </c>
    </row>
    <row r="35" spans="1:7" ht="25.5" x14ac:dyDescent="0.2">
      <c r="A35" s="271" t="s">
        <v>176</v>
      </c>
      <c r="B35" s="582"/>
      <c r="C35" s="264" t="s">
        <v>1320</v>
      </c>
      <c r="D35" s="220" t="s">
        <v>1127</v>
      </c>
      <c r="E35" s="227">
        <f>2*12</f>
        <v>24</v>
      </c>
      <c r="F35" s="158">
        <v>1889.9222222222222</v>
      </c>
      <c r="G35" s="227">
        <f t="shared" si="2"/>
        <v>45358.13</v>
      </c>
    </row>
    <row r="36" spans="1:7" x14ac:dyDescent="0.2">
      <c r="A36" s="271" t="s">
        <v>177</v>
      </c>
      <c r="B36" s="582"/>
      <c r="C36" s="264" t="s">
        <v>1321</v>
      </c>
      <c r="D36" s="220" t="s">
        <v>1127</v>
      </c>
      <c r="E36" s="227">
        <f>10*12</f>
        <v>120</v>
      </c>
      <c r="F36" s="158">
        <v>49.562888888888885</v>
      </c>
      <c r="G36" s="227">
        <f t="shared" si="2"/>
        <v>5947.55</v>
      </c>
    </row>
    <row r="37" spans="1:7" x14ac:dyDescent="0.2">
      <c r="A37" s="271" t="s">
        <v>178</v>
      </c>
      <c r="B37" s="582"/>
      <c r="C37" s="264" t="s">
        <v>1322</v>
      </c>
      <c r="D37" s="220" t="s">
        <v>1127</v>
      </c>
      <c r="E37" s="227">
        <f>1*12</f>
        <v>12</v>
      </c>
      <c r="F37" s="158">
        <v>56.482777777777777</v>
      </c>
      <c r="G37" s="227">
        <f t="shared" si="2"/>
        <v>677.79</v>
      </c>
    </row>
    <row r="38" spans="1:7" x14ac:dyDescent="0.2">
      <c r="A38" s="271" t="s">
        <v>179</v>
      </c>
      <c r="B38" s="582"/>
      <c r="C38" s="264" t="s">
        <v>1323</v>
      </c>
      <c r="D38" s="220" t="s">
        <v>1127</v>
      </c>
      <c r="E38" s="227">
        <f>1*12</f>
        <v>12</v>
      </c>
      <c r="F38" s="158">
        <v>52.215185185185184</v>
      </c>
      <c r="G38" s="227">
        <f t="shared" si="2"/>
        <v>626.58000000000004</v>
      </c>
    </row>
    <row r="39" spans="1:7" ht="25.5" x14ac:dyDescent="0.2">
      <c r="A39" s="271" t="s">
        <v>200</v>
      </c>
      <c r="B39" s="582"/>
      <c r="C39" s="264" t="s">
        <v>1324</v>
      </c>
      <c r="D39" s="220" t="s">
        <v>1127</v>
      </c>
      <c r="E39" s="227">
        <f t="shared" ref="E39:E40" si="3">1*12</f>
        <v>12</v>
      </c>
      <c r="F39" s="158">
        <v>206.22499999999999</v>
      </c>
      <c r="G39" s="227">
        <f t="shared" si="2"/>
        <v>2474.6999999999998</v>
      </c>
    </row>
    <row r="40" spans="1:7" x14ac:dyDescent="0.2">
      <c r="A40" s="271" t="s">
        <v>201</v>
      </c>
      <c r="B40" s="582"/>
      <c r="C40" s="263" t="s">
        <v>1325</v>
      </c>
      <c r="D40" s="229" t="s">
        <v>1127</v>
      </c>
      <c r="E40" s="227">
        <f t="shared" si="3"/>
        <v>12</v>
      </c>
      <c r="F40" s="642">
        <v>953.82</v>
      </c>
      <c r="G40" s="223">
        <f t="shared" si="2"/>
        <v>11445.84</v>
      </c>
    </row>
    <row r="41" spans="1:7" x14ac:dyDescent="0.2">
      <c r="A41" s="271" t="s">
        <v>202</v>
      </c>
      <c r="B41" s="582"/>
      <c r="C41" s="264" t="s">
        <v>1326</v>
      </c>
      <c r="D41" s="220" t="s">
        <v>1127</v>
      </c>
      <c r="E41" s="227">
        <f>2*12</f>
        <v>24</v>
      </c>
      <c r="F41" s="158">
        <v>147.86833333333331</v>
      </c>
      <c r="G41" s="227">
        <f t="shared" si="2"/>
        <v>3548.84</v>
      </c>
    </row>
    <row r="42" spans="1:7" ht="38.25" x14ac:dyDescent="0.2">
      <c r="A42" s="271" t="s">
        <v>203</v>
      </c>
      <c r="B42" s="582"/>
      <c r="C42" s="264" t="s">
        <v>816</v>
      </c>
      <c r="D42" s="220" t="s">
        <v>1127</v>
      </c>
      <c r="E42" s="227">
        <f>13*12</f>
        <v>156</v>
      </c>
      <c r="F42" s="158">
        <v>158.06166666666664</v>
      </c>
      <c r="G42" s="227">
        <f t="shared" si="2"/>
        <v>24657.62</v>
      </c>
    </row>
    <row r="43" spans="1:7" ht="25.5" x14ac:dyDescent="0.2">
      <c r="A43" s="271" t="s">
        <v>204</v>
      </c>
      <c r="B43" s="582"/>
      <c r="C43" s="264" t="s">
        <v>1327</v>
      </c>
      <c r="D43" s="220" t="s">
        <v>1127</v>
      </c>
      <c r="E43" s="227">
        <f>13*12</f>
        <v>156</v>
      </c>
      <c r="F43" s="158">
        <v>638.05537037037038</v>
      </c>
      <c r="G43" s="227">
        <f t="shared" si="2"/>
        <v>99536.639999999999</v>
      </c>
    </row>
    <row r="44" spans="1:7" ht="25.5" x14ac:dyDescent="0.2">
      <c r="A44" s="271" t="s">
        <v>205</v>
      </c>
      <c r="B44" s="582"/>
      <c r="C44" s="264" t="s">
        <v>1328</v>
      </c>
      <c r="D44" s="220" t="s">
        <v>1127</v>
      </c>
      <c r="E44" s="227">
        <f>1*12</f>
        <v>12</v>
      </c>
      <c r="F44" s="158">
        <v>1264.753611111111</v>
      </c>
      <c r="G44" s="227">
        <f t="shared" si="2"/>
        <v>15177.04</v>
      </c>
    </row>
    <row r="45" spans="1:7" ht="25.5" x14ac:dyDescent="0.2">
      <c r="A45" s="271" t="s">
        <v>206</v>
      </c>
      <c r="B45" s="582"/>
      <c r="C45" s="264" t="s">
        <v>1329</v>
      </c>
      <c r="D45" s="220" t="s">
        <v>1127</v>
      </c>
      <c r="E45" s="227">
        <f>2*12</f>
        <v>24</v>
      </c>
      <c r="F45" s="158">
        <v>23.267962962962962</v>
      </c>
      <c r="G45" s="227">
        <f t="shared" si="2"/>
        <v>558.42999999999995</v>
      </c>
    </row>
    <row r="46" spans="1:7" x14ac:dyDescent="0.2">
      <c r="A46" s="271" t="s">
        <v>207</v>
      </c>
      <c r="B46" s="582"/>
      <c r="C46" s="264" t="s">
        <v>1330</v>
      </c>
      <c r="D46" s="220" t="s">
        <v>1127</v>
      </c>
      <c r="E46" s="227">
        <f>13*12</f>
        <v>156</v>
      </c>
      <c r="F46" s="158">
        <v>31.886851851851855</v>
      </c>
      <c r="G46" s="227">
        <f t="shared" si="2"/>
        <v>4974.3500000000004</v>
      </c>
    </row>
    <row r="47" spans="1:7" ht="25.5" x14ac:dyDescent="0.2">
      <c r="A47" s="271" t="s">
        <v>208</v>
      </c>
      <c r="B47" s="582"/>
      <c r="C47" s="264" t="s">
        <v>1331</v>
      </c>
      <c r="D47" s="220" t="s">
        <v>1127</v>
      </c>
      <c r="E47" s="227">
        <f>1*12</f>
        <v>12</v>
      </c>
      <c r="F47" s="158">
        <v>217.2213888888889</v>
      </c>
      <c r="G47" s="227">
        <f t="shared" si="2"/>
        <v>2606.66</v>
      </c>
    </row>
    <row r="48" spans="1:7" ht="25.5" x14ac:dyDescent="0.2">
      <c r="A48" s="271" t="s">
        <v>209</v>
      </c>
      <c r="B48" s="582"/>
      <c r="C48" s="264" t="s">
        <v>1332</v>
      </c>
      <c r="D48" s="220" t="s">
        <v>1127</v>
      </c>
      <c r="E48" s="227">
        <f>2*12</f>
        <v>24</v>
      </c>
      <c r="F48" s="158">
        <v>20.587777777777777</v>
      </c>
      <c r="G48" s="227">
        <f t="shared" si="2"/>
        <v>494.11</v>
      </c>
    </row>
    <row r="49" spans="1:7" ht="26.25" thickBot="1" x14ac:dyDescent="0.25">
      <c r="A49" s="272" t="s">
        <v>210</v>
      </c>
      <c r="B49" s="590"/>
      <c r="C49" s="284" t="s">
        <v>1333</v>
      </c>
      <c r="D49" s="231" t="s">
        <v>1127</v>
      </c>
      <c r="E49" s="234">
        <f>13*12</f>
        <v>156</v>
      </c>
      <c r="F49" s="165">
        <v>98.888888888888886</v>
      </c>
      <c r="G49" s="234">
        <f>ROUND(E49*F49,2)</f>
        <v>15426.67</v>
      </c>
    </row>
    <row r="50" spans="1:7" s="2" customFormat="1" ht="13.5" thickBot="1" x14ac:dyDescent="0.3">
      <c r="A50" s="864" t="str">
        <f>"TOTAL - "&amp;C31&amp;" - (R$):"</f>
        <v>TOTAL - INSTRUMENTOS - ELÉTRICA - (R$):</v>
      </c>
      <c r="B50" s="865"/>
      <c r="C50" s="865"/>
      <c r="D50" s="865"/>
      <c r="E50" s="865"/>
      <c r="F50" s="866"/>
      <c r="G50" s="212">
        <f>SUBTOTAL(9,G31:G49)</f>
        <v>298489.6399999999</v>
      </c>
    </row>
    <row r="51" spans="1:7" ht="13.5" thickBot="1" x14ac:dyDescent="0.25"/>
    <row r="52" spans="1:7" s="21" customFormat="1" ht="13.5" thickBot="1" x14ac:dyDescent="0.3">
      <c r="A52" s="252" t="s">
        <v>362</v>
      </c>
      <c r="B52" s="506"/>
      <c r="C52" s="998" t="s">
        <v>1334</v>
      </c>
      <c r="D52" s="999"/>
      <c r="E52" s="999"/>
      <c r="F52" s="999"/>
      <c r="G52" s="1000"/>
    </row>
    <row r="53" spans="1:7" ht="38.25" x14ac:dyDescent="0.2">
      <c r="A53" s="270" t="s">
        <v>238</v>
      </c>
      <c r="B53" s="580"/>
      <c r="C53" s="184" t="s">
        <v>818</v>
      </c>
      <c r="D53" s="9" t="s">
        <v>1127</v>
      </c>
      <c r="E53" s="81">
        <f>9*12</f>
        <v>108</v>
      </c>
      <c r="F53" s="32">
        <v>72.17</v>
      </c>
      <c r="G53" s="259">
        <f t="shared" ref="G53:G55" si="4">ROUND(E53*F53,2)</f>
        <v>7794.36</v>
      </c>
    </row>
    <row r="54" spans="1:7" ht="51" x14ac:dyDescent="0.2">
      <c r="A54" s="271" t="s">
        <v>239</v>
      </c>
      <c r="B54" s="582"/>
      <c r="C54" s="185" t="s">
        <v>819</v>
      </c>
      <c r="D54" s="220" t="s">
        <v>1127</v>
      </c>
      <c r="E54" s="223">
        <f>1*12</f>
        <v>12</v>
      </c>
      <c r="F54" s="158">
        <v>4500</v>
      </c>
      <c r="G54" s="227">
        <f t="shared" si="4"/>
        <v>54000</v>
      </c>
    </row>
    <row r="55" spans="1:7" ht="51.75" thickBot="1" x14ac:dyDescent="0.25">
      <c r="A55" s="272" t="s">
        <v>240</v>
      </c>
      <c r="B55" s="590"/>
      <c r="C55" s="186" t="s">
        <v>820</v>
      </c>
      <c r="D55" s="231" t="s">
        <v>1127</v>
      </c>
      <c r="E55" s="285">
        <f>1*12</f>
        <v>12</v>
      </c>
      <c r="F55" s="165">
        <v>250</v>
      </c>
      <c r="G55" s="234">
        <f t="shared" si="4"/>
        <v>3000</v>
      </c>
    </row>
    <row r="56" spans="1:7" s="2" customFormat="1" ht="13.5" thickBot="1" x14ac:dyDescent="0.3">
      <c r="A56" s="864" t="str">
        <f>"TOTAL - "&amp;C52&amp;" - (R$):"</f>
        <v>TOTAL - INSTRUMENTOS - CIVIL - (R$):</v>
      </c>
      <c r="B56" s="865"/>
      <c r="C56" s="865"/>
      <c r="D56" s="865"/>
      <c r="E56" s="865"/>
      <c r="F56" s="866"/>
      <c r="G56" s="212">
        <f>SUBTOTAL(9,G52:G55)</f>
        <v>64794.36</v>
      </c>
    </row>
    <row r="57" spans="1:7" ht="13.5" thickBot="1" x14ac:dyDescent="0.25"/>
    <row r="58" spans="1:7" s="2" customFormat="1" ht="13.5" thickBot="1" x14ac:dyDescent="0.3">
      <c r="A58" s="864" t="str">
        <f>"TOTAL - "&amp;C13&amp;" - (R$):"</f>
        <v>TOTAL - INSTRUMENTOS - (R$):</v>
      </c>
      <c r="B58" s="865"/>
      <c r="C58" s="865"/>
      <c r="D58" s="865"/>
      <c r="E58" s="865"/>
      <c r="F58" s="866"/>
      <c r="G58" s="212">
        <f>SUBTOTAL(9,G13:G57)</f>
        <v>389614.27999999985</v>
      </c>
    </row>
    <row r="60" spans="1:7" ht="13.5" thickBot="1" x14ac:dyDescent="0.25"/>
    <row r="61" spans="1:7" ht="13.5" thickBot="1" x14ac:dyDescent="0.25">
      <c r="A61" s="843" t="str">
        <f>"RESUMO - "&amp;A$8</f>
        <v>RESUMO - INSTRUMENTOS</v>
      </c>
      <c r="B61" s="844"/>
      <c r="C61" s="844"/>
      <c r="D61" s="844"/>
      <c r="E61" s="844"/>
      <c r="F61" s="844"/>
      <c r="G61" s="845"/>
    </row>
    <row r="62" spans="1:7" ht="13.5" thickBot="1" x14ac:dyDescent="0.25">
      <c r="A62" s="208" t="s">
        <v>363</v>
      </c>
      <c r="B62" s="503"/>
      <c r="C62" s="946" t="s">
        <v>366</v>
      </c>
      <c r="D62" s="947"/>
      <c r="E62" s="948"/>
      <c r="F62" s="949" t="s">
        <v>414</v>
      </c>
      <c r="G62" s="950"/>
    </row>
    <row r="63" spans="1:7" x14ac:dyDescent="0.2">
      <c r="A63" s="132" t="s">
        <v>415</v>
      </c>
      <c r="B63" s="444"/>
      <c r="C63" s="1028" t="str">
        <f>C15</f>
        <v>INSTRUMENTOS - MECÂNICA</v>
      </c>
      <c r="D63" s="1029"/>
      <c r="E63" s="1030"/>
      <c r="F63" s="1024">
        <f>G29</f>
        <v>26330.280000000002</v>
      </c>
      <c r="G63" s="1025"/>
    </row>
    <row r="64" spans="1:7" x14ac:dyDescent="0.2">
      <c r="A64" s="133" t="s">
        <v>416</v>
      </c>
      <c r="B64" s="133"/>
      <c r="C64" s="951" t="str">
        <f>C31</f>
        <v>INSTRUMENTOS - ELÉTRICA</v>
      </c>
      <c r="D64" s="952"/>
      <c r="E64" s="953"/>
      <c r="F64" s="954">
        <f>G50</f>
        <v>298489.6399999999</v>
      </c>
      <c r="G64" s="955"/>
    </row>
    <row r="65" spans="1:7" ht="13.5" thickBot="1" x14ac:dyDescent="0.25">
      <c r="A65" s="274" t="s">
        <v>417</v>
      </c>
      <c r="B65" s="274"/>
      <c r="C65" s="1021" t="str">
        <f>C52</f>
        <v>INSTRUMENTOS - CIVIL</v>
      </c>
      <c r="D65" s="1022"/>
      <c r="E65" s="1023"/>
      <c r="F65" s="1026">
        <f>G56</f>
        <v>64794.36</v>
      </c>
      <c r="G65" s="1027"/>
    </row>
    <row r="66" spans="1:7" ht="13.5" thickBot="1" x14ac:dyDescent="0.25">
      <c r="A66" s="743" t="str">
        <f>"TOTAL GERAL - "&amp;A61&amp;" - (R$):"</f>
        <v>TOTAL GERAL - RESUMO - INSTRUMENTOS - (R$):</v>
      </c>
      <c r="B66" s="744"/>
      <c r="C66" s="744"/>
      <c r="D66" s="744"/>
      <c r="E66" s="744"/>
      <c r="F66" s="965">
        <f>SUM(F63:G65)</f>
        <v>389614.27999999991</v>
      </c>
      <c r="G66" s="966"/>
    </row>
    <row r="68" spans="1:7" s="345" customFormat="1" ht="13.5" thickBot="1" x14ac:dyDescent="0.25">
      <c r="B68" s="591"/>
      <c r="E68" s="364"/>
      <c r="F68" s="364"/>
      <c r="G68" s="364"/>
    </row>
    <row r="69" spans="1:7" s="345" customFormat="1" x14ac:dyDescent="0.2">
      <c r="A69" s="704" t="s">
        <v>422</v>
      </c>
      <c r="B69" s="736"/>
      <c r="C69" s="705"/>
      <c r="D69" s="705"/>
      <c r="E69" s="706"/>
      <c r="F69" s="704" t="s">
        <v>423</v>
      </c>
      <c r="G69" s="706"/>
    </row>
    <row r="70" spans="1:7" s="345" customFormat="1" ht="13.5" thickBot="1" x14ac:dyDescent="0.25">
      <c r="A70" s="701"/>
      <c r="B70" s="702"/>
      <c r="C70" s="702"/>
      <c r="D70" s="702"/>
      <c r="E70" s="703"/>
      <c r="F70" s="701"/>
      <c r="G70" s="703"/>
    </row>
    <row r="71" spans="1:7" s="345" customFormat="1" x14ac:dyDescent="0.2">
      <c r="A71" s="704" t="s">
        <v>424</v>
      </c>
      <c r="B71" s="736"/>
      <c r="C71" s="705"/>
      <c r="D71" s="705"/>
      <c r="E71" s="706"/>
      <c r="F71" s="704" t="s">
        <v>425</v>
      </c>
      <c r="G71" s="706"/>
    </row>
    <row r="72" spans="1:7" s="345" customFormat="1" ht="13.5" thickBot="1" x14ac:dyDescent="0.25">
      <c r="A72" s="701"/>
      <c r="B72" s="702"/>
      <c r="C72" s="702"/>
      <c r="D72" s="702"/>
      <c r="E72" s="703"/>
      <c r="F72" s="701"/>
      <c r="G72" s="703"/>
    </row>
    <row r="73" spans="1:7" s="345" customFormat="1" ht="15" customHeight="1" x14ac:dyDescent="0.2">
      <c r="A73" s="831" t="s">
        <v>426</v>
      </c>
      <c r="B73" s="832"/>
      <c r="C73" s="832"/>
      <c r="D73" s="832"/>
      <c r="E73" s="832"/>
      <c r="F73" s="832"/>
      <c r="G73" s="833"/>
    </row>
    <row r="74" spans="1:7" s="345" customFormat="1" ht="12.75" customHeight="1" x14ac:dyDescent="0.2">
      <c r="A74" s="870" t="s">
        <v>1432</v>
      </c>
      <c r="B74" s="871"/>
      <c r="C74" s="871"/>
      <c r="D74" s="871"/>
      <c r="E74" s="871"/>
      <c r="F74" s="871"/>
      <c r="G74" s="872"/>
    </row>
    <row r="75" spans="1:7" s="345" customFormat="1" x14ac:dyDescent="0.2">
      <c r="A75" s="870"/>
      <c r="B75" s="871"/>
      <c r="C75" s="871"/>
      <c r="D75" s="871"/>
      <c r="E75" s="871"/>
      <c r="F75" s="871"/>
      <c r="G75" s="872"/>
    </row>
    <row r="76" spans="1:7" s="345" customFormat="1" x14ac:dyDescent="0.2">
      <c r="A76" s="870"/>
      <c r="B76" s="871"/>
      <c r="C76" s="871"/>
      <c r="D76" s="871"/>
      <c r="E76" s="871"/>
      <c r="F76" s="871"/>
      <c r="G76" s="872"/>
    </row>
    <row r="77" spans="1:7" s="345" customFormat="1" ht="15.75" customHeight="1" thickBot="1" x14ac:dyDescent="0.25">
      <c r="A77" s="882"/>
      <c r="B77" s="883"/>
      <c r="C77" s="883"/>
      <c r="D77" s="883"/>
      <c r="E77" s="883"/>
      <c r="F77" s="883"/>
      <c r="G77" s="884"/>
    </row>
  </sheetData>
  <autoFilter ref="A12:G55"/>
  <mergeCells count="42">
    <mergeCell ref="C15:G15"/>
    <mergeCell ref="C31:G31"/>
    <mergeCell ref="C52:G52"/>
    <mergeCell ref="C1:G1"/>
    <mergeCell ref="C2:G2"/>
    <mergeCell ref="C3:G3"/>
    <mergeCell ref="A5:G6"/>
    <mergeCell ref="A8:G8"/>
    <mergeCell ref="A29:F29"/>
    <mergeCell ref="A11:A12"/>
    <mergeCell ref="C11:C12"/>
    <mergeCell ref="D11:D12"/>
    <mergeCell ref="E11:E12"/>
    <mergeCell ref="F11:G11"/>
    <mergeCell ref="B11:B12"/>
    <mergeCell ref="C13:G13"/>
    <mergeCell ref="A50:F50"/>
    <mergeCell ref="A70:E70"/>
    <mergeCell ref="A61:G61"/>
    <mergeCell ref="F65:G65"/>
    <mergeCell ref="F66:G66"/>
    <mergeCell ref="A69:E69"/>
    <mergeCell ref="C62:E62"/>
    <mergeCell ref="F62:G62"/>
    <mergeCell ref="C63:E63"/>
    <mergeCell ref="F63:G63"/>
    <mergeCell ref="A66:E66"/>
    <mergeCell ref="C64:E64"/>
    <mergeCell ref="F64:G64"/>
    <mergeCell ref="C65:E65"/>
    <mergeCell ref="F69:G69"/>
    <mergeCell ref="F70:G70"/>
    <mergeCell ref="A77:G77"/>
    <mergeCell ref="A74:G75"/>
    <mergeCell ref="A58:F58"/>
    <mergeCell ref="A76:G76"/>
    <mergeCell ref="A56:F56"/>
    <mergeCell ref="A73:G73"/>
    <mergeCell ref="A71:E71"/>
    <mergeCell ref="A72:E72"/>
    <mergeCell ref="F71:G71"/>
    <mergeCell ref="F72:G72"/>
  </mergeCells>
  <printOptions horizontalCentered="1"/>
  <pageMargins left="0.78740157480314965" right="0.59055118110236227" top="0.59055118110236227" bottom="0.59055118110236227" header="0.19685039370078741" footer="0.19685039370078741"/>
  <pageSetup paperSize="9" scale="60" fitToHeight="100" orientation="portrait" horizontalDpi="4294967294" verticalDpi="4294967294" r:id="rId1"/>
  <headerFooter>
    <oddFooter>&amp;R&amp;"Arial,Normal"&amp;8&amp;F
Página &amp;P de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sqref="A1:C1048576"/>
    </sheetView>
  </sheetViews>
  <sheetFormatPr defaultColWidth="9.140625" defaultRowHeight="12.75" x14ac:dyDescent="0.25"/>
  <cols>
    <col min="1" max="1" width="8.7109375" style="2" customWidth="1"/>
    <col min="2" max="2" width="14.7109375" style="2" hidden="1" customWidth="1"/>
    <col min="3" max="3" width="60.7109375" style="15" customWidth="1"/>
    <col min="4" max="4" width="14.7109375" style="2" customWidth="1"/>
    <col min="5" max="7" width="14.7109375" style="10" customWidth="1"/>
    <col min="8" max="16384" width="9.140625" style="2"/>
  </cols>
  <sheetData>
    <row r="1" spans="1:7" s="89" customFormat="1" x14ac:dyDescent="0.25">
      <c r="A1" s="117"/>
      <c r="B1" s="117"/>
      <c r="C1" s="726" t="s">
        <v>1117</v>
      </c>
      <c r="D1" s="726"/>
      <c r="E1" s="726"/>
      <c r="F1" s="726"/>
      <c r="G1" s="726"/>
    </row>
    <row r="2" spans="1:7" s="89" customFormat="1" x14ac:dyDescent="0.25">
      <c r="A2" s="90"/>
      <c r="B2" s="90"/>
      <c r="C2" s="728" t="s">
        <v>1118</v>
      </c>
      <c r="D2" s="728"/>
      <c r="E2" s="728"/>
      <c r="F2" s="728"/>
      <c r="G2" s="728"/>
    </row>
    <row r="3" spans="1:7" s="89" customFormat="1" ht="13.5" thickBot="1" x14ac:dyDescent="0.3">
      <c r="A3" s="118"/>
      <c r="B3" s="118"/>
      <c r="C3" s="729" t="s">
        <v>1116</v>
      </c>
      <c r="D3" s="729"/>
      <c r="E3" s="729"/>
      <c r="F3" s="729"/>
      <c r="G3" s="729"/>
    </row>
    <row r="4" spans="1:7" s="78" customFormat="1" ht="13.9" thickBot="1" x14ac:dyDescent="0.35">
      <c r="A4" s="92"/>
      <c r="B4" s="504"/>
    </row>
    <row r="5" spans="1:7" s="78" customFormat="1" x14ac:dyDescent="0.25">
      <c r="A5" s="690" t="s">
        <v>1119</v>
      </c>
      <c r="B5" s="690"/>
      <c r="C5" s="690"/>
      <c r="D5" s="690"/>
      <c r="E5" s="690"/>
      <c r="F5" s="690"/>
      <c r="G5" s="690"/>
    </row>
    <row r="6" spans="1:7" s="78" customFormat="1" ht="13.5" thickBot="1" x14ac:dyDescent="0.3">
      <c r="A6" s="691"/>
      <c r="B6" s="691"/>
      <c r="C6" s="691"/>
      <c r="D6" s="691"/>
      <c r="E6" s="691"/>
      <c r="F6" s="691"/>
      <c r="G6" s="691"/>
    </row>
    <row r="7" spans="1:7" s="78" customFormat="1" ht="13.9" thickBot="1" x14ac:dyDescent="0.35">
      <c r="C7" s="70"/>
      <c r="D7" s="72"/>
      <c r="E7" s="72"/>
    </row>
    <row r="8" spans="1:7" s="21" customFormat="1" ht="13.5" thickBot="1" x14ac:dyDescent="0.3">
      <c r="A8" s="686" t="s">
        <v>1335</v>
      </c>
      <c r="B8" s="687"/>
      <c r="C8" s="687"/>
      <c r="D8" s="687"/>
      <c r="E8" s="687"/>
      <c r="F8" s="687"/>
      <c r="G8" s="688"/>
    </row>
    <row r="9" spans="1:7" s="196" customFormat="1" ht="13.15" x14ac:dyDescent="0.3">
      <c r="E9" s="197"/>
      <c r="F9" s="197"/>
      <c r="G9" s="197"/>
    </row>
    <row r="10" spans="1:7" s="209" customFormat="1" ht="13.9" thickBot="1" x14ac:dyDescent="0.35">
      <c r="A10" s="193"/>
      <c r="B10" s="193"/>
      <c r="C10" s="193"/>
      <c r="D10" s="194"/>
      <c r="E10" s="194"/>
      <c r="F10" s="197"/>
    </row>
    <row r="11" spans="1:7" ht="13.5" thickBot="1" x14ac:dyDescent="0.3">
      <c r="A11" s="730" t="s">
        <v>363</v>
      </c>
      <c r="B11" s="730" t="s">
        <v>1466</v>
      </c>
      <c r="C11" s="730" t="s">
        <v>366</v>
      </c>
      <c r="D11" s="730" t="s">
        <v>410</v>
      </c>
      <c r="E11" s="731" t="s">
        <v>364</v>
      </c>
      <c r="F11" s="731" t="s">
        <v>413</v>
      </c>
      <c r="G11" s="731"/>
    </row>
    <row r="12" spans="1:7" ht="13.5" thickBot="1" x14ac:dyDescent="0.3">
      <c r="A12" s="730"/>
      <c r="B12" s="730"/>
      <c r="C12" s="730"/>
      <c r="D12" s="730"/>
      <c r="E12" s="731"/>
      <c r="F12" s="307" t="s">
        <v>412</v>
      </c>
      <c r="G12" s="307" t="s">
        <v>411</v>
      </c>
    </row>
    <row r="13" spans="1:7" ht="13.5" thickBot="1" x14ac:dyDescent="0.3">
      <c r="A13" s="59" t="s">
        <v>360</v>
      </c>
      <c r="B13" s="546"/>
      <c r="C13" s="972" t="s">
        <v>1335</v>
      </c>
      <c r="D13" s="973"/>
      <c r="E13" s="973"/>
      <c r="F13" s="973"/>
      <c r="G13" s="974"/>
    </row>
    <row r="14" spans="1:7" x14ac:dyDescent="0.25">
      <c r="A14" s="260" t="s">
        <v>124</v>
      </c>
      <c r="B14" s="260"/>
      <c r="C14" s="8" t="s">
        <v>358</v>
      </c>
      <c r="D14" s="9" t="s">
        <v>1127</v>
      </c>
      <c r="E14" s="58">
        <f>1*12</f>
        <v>12</v>
      </c>
      <c r="F14" s="32">
        <v>10176.030000000001</v>
      </c>
      <c r="G14" s="259">
        <f>ROUND(E14*F14,2)</f>
        <v>122112.36</v>
      </c>
    </row>
    <row r="15" spans="1:7" x14ac:dyDescent="0.25">
      <c r="A15" s="262" t="s">
        <v>125</v>
      </c>
      <c r="B15" s="438"/>
      <c r="C15" s="264" t="s">
        <v>356</v>
      </c>
      <c r="D15" s="220" t="s">
        <v>1127</v>
      </c>
      <c r="E15" s="310">
        <f>13*12</f>
        <v>156</v>
      </c>
      <c r="F15" s="158">
        <v>84.79</v>
      </c>
      <c r="G15" s="227">
        <f t="shared" ref="G15:G18" si="0">ROUND(E15*F15,2)</f>
        <v>13227.24</v>
      </c>
    </row>
    <row r="16" spans="1:7" x14ac:dyDescent="0.25">
      <c r="A16" s="262" t="s">
        <v>126</v>
      </c>
      <c r="B16" s="438"/>
      <c r="C16" s="264" t="s">
        <v>1337</v>
      </c>
      <c r="D16" s="220" t="s">
        <v>1127</v>
      </c>
      <c r="E16" s="310">
        <f>SUM(Veiculos!E16:E19)</f>
        <v>468</v>
      </c>
      <c r="F16" s="158">
        <v>150.75</v>
      </c>
      <c r="G16" s="227">
        <f t="shared" si="0"/>
        <v>70551</v>
      </c>
    </row>
    <row r="17" spans="1:7" ht="25.5" x14ac:dyDescent="0.25">
      <c r="A17" s="262" t="s">
        <v>127</v>
      </c>
      <c r="B17" s="438"/>
      <c r="C17" s="264" t="s">
        <v>357</v>
      </c>
      <c r="D17" s="220" t="s">
        <v>1127</v>
      </c>
      <c r="E17" s="310">
        <f>(3+6+6)*12</f>
        <v>180</v>
      </c>
      <c r="F17" s="158">
        <v>179.01</v>
      </c>
      <c r="G17" s="227">
        <f t="shared" si="0"/>
        <v>32221.8</v>
      </c>
    </row>
    <row r="18" spans="1:7" ht="26.25" thickBot="1" x14ac:dyDescent="0.3">
      <c r="A18" s="262" t="s">
        <v>128</v>
      </c>
      <c r="B18" s="545"/>
      <c r="C18" s="284" t="s">
        <v>1336</v>
      </c>
      <c r="D18" s="231" t="s">
        <v>1127</v>
      </c>
      <c r="E18" s="311">
        <v>1</v>
      </c>
      <c r="F18" s="165">
        <f>14133.37/18</f>
        <v>785.18722222222232</v>
      </c>
      <c r="G18" s="234">
        <f t="shared" si="0"/>
        <v>785.19</v>
      </c>
    </row>
    <row r="19" spans="1:7" ht="13.9" thickBot="1" x14ac:dyDescent="0.35">
      <c r="A19" s="864" t="str">
        <f>"TOTAL - "&amp;C13&amp;" - (R$):"</f>
        <v>TOTAL - SISTEMA DE RÁDIO COMUNICAÇÃO - (R$):</v>
      </c>
      <c r="B19" s="865"/>
      <c r="C19" s="865"/>
      <c r="D19" s="865"/>
      <c r="E19" s="865"/>
      <c r="F19" s="866"/>
      <c r="G19" s="212">
        <f>SUBTOTAL(9,G13:G18)</f>
        <v>238897.59</v>
      </c>
    </row>
    <row r="21" spans="1:7" ht="13.9" thickBot="1" x14ac:dyDescent="0.35"/>
    <row r="22" spans="1:7" ht="13.9" thickBot="1" x14ac:dyDescent="0.35">
      <c r="A22" s="843" t="str">
        <f>"RESUMO - "&amp;A$8</f>
        <v>RESUMO - SISTEMA DE RÁDIO COMUNICAÇÃO</v>
      </c>
      <c r="B22" s="844"/>
      <c r="C22" s="844"/>
      <c r="D22" s="844"/>
      <c r="E22" s="844"/>
      <c r="F22" s="844"/>
      <c r="G22" s="845"/>
    </row>
    <row r="23" spans="1:7" ht="13.5" thickBot="1" x14ac:dyDescent="0.3">
      <c r="A23" s="208" t="s">
        <v>363</v>
      </c>
      <c r="B23" s="503"/>
      <c r="C23" s="946" t="s">
        <v>366</v>
      </c>
      <c r="D23" s="947"/>
      <c r="E23" s="948"/>
      <c r="F23" s="949" t="s">
        <v>414</v>
      </c>
      <c r="G23" s="950"/>
    </row>
    <row r="24" spans="1:7" ht="13.9" thickBot="1" x14ac:dyDescent="0.35">
      <c r="A24" s="286">
        <v>1</v>
      </c>
      <c r="B24" s="286"/>
      <c r="C24" s="951" t="str">
        <f>C13</f>
        <v>SISTEMA DE RÁDIO COMUNICAÇÃO</v>
      </c>
      <c r="D24" s="952"/>
      <c r="E24" s="953"/>
      <c r="F24" s="954">
        <f>G19</f>
        <v>238897.59</v>
      </c>
      <c r="G24" s="955"/>
    </row>
    <row r="25" spans="1:7" ht="13.9" thickBot="1" x14ac:dyDescent="0.35">
      <c r="A25" s="743" t="str">
        <f>"TOTAL GERAL - "&amp;A22&amp;" - (R$):"</f>
        <v>TOTAL GERAL - RESUMO - SISTEMA DE RÁDIO COMUNICAÇÃO - (R$):</v>
      </c>
      <c r="B25" s="744"/>
      <c r="C25" s="744"/>
      <c r="D25" s="744"/>
      <c r="E25" s="744"/>
      <c r="F25" s="965">
        <f>SUM(F24:G24)</f>
        <v>238897.59</v>
      </c>
      <c r="G25" s="966"/>
    </row>
    <row r="27" spans="1:7" s="196" customFormat="1" ht="13.9" thickBot="1" x14ac:dyDescent="0.35">
      <c r="C27" s="363"/>
      <c r="E27" s="197"/>
      <c r="F27" s="197"/>
      <c r="G27" s="197"/>
    </row>
    <row r="28" spans="1:7" s="196" customFormat="1" x14ac:dyDescent="0.25">
      <c r="A28" s="704" t="s">
        <v>422</v>
      </c>
      <c r="B28" s="736"/>
      <c r="C28" s="705"/>
      <c r="D28" s="705"/>
      <c r="E28" s="706"/>
      <c r="F28" s="704" t="s">
        <v>423</v>
      </c>
      <c r="G28" s="706"/>
    </row>
    <row r="29" spans="1:7" s="196" customFormat="1" ht="13.9" thickBot="1" x14ac:dyDescent="0.35">
      <c r="A29" s="701"/>
      <c r="B29" s="702"/>
      <c r="C29" s="702"/>
      <c r="D29" s="702"/>
      <c r="E29" s="703"/>
      <c r="F29" s="701"/>
      <c r="G29" s="703"/>
    </row>
    <row r="30" spans="1:7" s="196" customFormat="1" ht="13.15" x14ac:dyDescent="0.3">
      <c r="A30" s="704" t="s">
        <v>424</v>
      </c>
      <c r="B30" s="736"/>
      <c r="C30" s="705"/>
      <c r="D30" s="705"/>
      <c r="E30" s="706"/>
      <c r="F30" s="704" t="s">
        <v>425</v>
      </c>
      <c r="G30" s="706"/>
    </row>
    <row r="31" spans="1:7" s="196" customFormat="1" ht="13.9" thickBot="1" x14ac:dyDescent="0.35">
      <c r="A31" s="701"/>
      <c r="B31" s="702"/>
      <c r="C31" s="702"/>
      <c r="D31" s="702"/>
      <c r="E31" s="703"/>
      <c r="F31" s="701"/>
      <c r="G31" s="703"/>
    </row>
    <row r="32" spans="1:7" s="196" customFormat="1" x14ac:dyDescent="0.25">
      <c r="A32" s="831" t="s">
        <v>426</v>
      </c>
      <c r="B32" s="832"/>
      <c r="C32" s="985"/>
      <c r="D32" s="985"/>
      <c r="E32" s="985"/>
      <c r="F32" s="985"/>
      <c r="G32" s="833"/>
    </row>
    <row r="33" spans="1:7" s="196" customFormat="1" ht="13.15" x14ac:dyDescent="0.3">
      <c r="A33" s="1051"/>
      <c r="B33" s="1052"/>
      <c r="C33" s="1052"/>
      <c r="D33" s="1052"/>
      <c r="E33" s="1052"/>
      <c r="F33" s="1052"/>
      <c r="G33" s="1053"/>
    </row>
    <row r="34" spans="1:7" s="196" customFormat="1" ht="13.9" thickBot="1" x14ac:dyDescent="0.35">
      <c r="A34" s="882"/>
      <c r="B34" s="883"/>
      <c r="C34" s="883"/>
      <c r="D34" s="883"/>
      <c r="E34" s="883"/>
      <c r="F34" s="883"/>
      <c r="G34" s="884"/>
    </row>
  </sheetData>
  <autoFilter ref="A12:G18"/>
  <mergeCells count="31">
    <mergeCell ref="C1:G1"/>
    <mergeCell ref="C2:G2"/>
    <mergeCell ref="C3:G3"/>
    <mergeCell ref="A5:G6"/>
    <mergeCell ref="A8:G8"/>
    <mergeCell ref="A22:G22"/>
    <mergeCell ref="C23:E23"/>
    <mergeCell ref="F23:G23"/>
    <mergeCell ref="A19:F19"/>
    <mergeCell ref="A11:A12"/>
    <mergeCell ref="C11:C12"/>
    <mergeCell ref="D11:D12"/>
    <mergeCell ref="E11:E12"/>
    <mergeCell ref="F11:G11"/>
    <mergeCell ref="C13:G13"/>
    <mergeCell ref="B11:B12"/>
    <mergeCell ref="A33:G33"/>
    <mergeCell ref="A34:G34"/>
    <mergeCell ref="C24:E24"/>
    <mergeCell ref="F24:G24"/>
    <mergeCell ref="A25:E25"/>
    <mergeCell ref="F25:G25"/>
    <mergeCell ref="A32:G32"/>
    <mergeCell ref="A28:E28"/>
    <mergeCell ref="A29:E29"/>
    <mergeCell ref="A30:E30"/>
    <mergeCell ref="A31:E31"/>
    <mergeCell ref="F28:G28"/>
    <mergeCell ref="F29:G29"/>
    <mergeCell ref="F30:G30"/>
    <mergeCell ref="F31:G31"/>
  </mergeCells>
  <printOptions horizontalCentered="1"/>
  <pageMargins left="0.78740157480314965" right="0.59055118110236227" top="0.59055118110236227" bottom="0.59055118110236227" header="0.19685039370078741" footer="0.19685039370078741"/>
  <pageSetup paperSize="9" scale="68" fitToHeight="100" orientation="portrait" horizontalDpi="4294967294" verticalDpi="4294967294" r:id="rId1"/>
  <headerFooter>
    <oddFooter>&amp;R&amp;"Arial,Normal"&amp;8&amp;F
Página &amp;P de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view="pageBreakPreview" zoomScale="85" zoomScaleNormal="100" zoomScaleSheetLayoutView="85" workbookViewId="0">
      <pane ySplit="11" topLeftCell="A12" activePane="bottomLeft" state="frozen"/>
      <selection activeCell="C90" sqref="C90"/>
      <selection pane="bottomLeft" activeCell="C13" sqref="C13"/>
    </sheetView>
  </sheetViews>
  <sheetFormatPr defaultColWidth="9.140625" defaultRowHeight="12.75" x14ac:dyDescent="0.2"/>
  <cols>
    <col min="1" max="1" width="8.7109375" style="345" customWidth="1"/>
    <col min="2" max="2" width="80.7109375" style="345" customWidth="1"/>
    <col min="3" max="3" width="14.7109375" style="345" customWidth="1"/>
    <col min="4" max="16384" width="9.140625" style="345"/>
  </cols>
  <sheetData>
    <row r="1" spans="1:3" s="89" customFormat="1" x14ac:dyDescent="0.25">
      <c r="A1" s="117"/>
      <c r="B1" s="709" t="s">
        <v>1117</v>
      </c>
      <c r="C1" s="709"/>
    </row>
    <row r="2" spans="1:3" s="89" customFormat="1" x14ac:dyDescent="0.25">
      <c r="A2" s="90"/>
      <c r="B2" s="710" t="s">
        <v>1118</v>
      </c>
      <c r="C2" s="710"/>
    </row>
    <row r="3" spans="1:3" s="89" customFormat="1" ht="13.5" thickBot="1" x14ac:dyDescent="0.3">
      <c r="A3" s="118"/>
      <c r="B3" s="711" t="s">
        <v>1116</v>
      </c>
      <c r="C3" s="711"/>
    </row>
    <row r="4" spans="1:3" s="78" customFormat="1" ht="13.9" thickBot="1" x14ac:dyDescent="0.35">
      <c r="A4" s="287"/>
    </row>
    <row r="5" spans="1:3" s="78" customFormat="1" x14ac:dyDescent="0.25">
      <c r="A5" s="690" t="s">
        <v>1119</v>
      </c>
      <c r="B5" s="690"/>
      <c r="C5" s="690"/>
    </row>
    <row r="6" spans="1:3" s="78" customFormat="1" ht="13.5" thickBot="1" x14ac:dyDescent="0.3">
      <c r="A6" s="691"/>
      <c r="B6" s="691"/>
      <c r="C6" s="691"/>
    </row>
    <row r="7" spans="1:3" s="78" customFormat="1" ht="13.9" thickBot="1" x14ac:dyDescent="0.35">
      <c r="B7" s="70"/>
    </row>
    <row r="8" spans="1:3" s="21" customFormat="1" ht="13.5" thickBot="1" x14ac:dyDescent="0.3">
      <c r="A8" s="686" t="s">
        <v>445</v>
      </c>
      <c r="B8" s="687"/>
      <c r="C8" s="688"/>
    </row>
    <row r="9" spans="1:3" s="196" customFormat="1" ht="13.15" x14ac:dyDescent="0.3"/>
    <row r="10" spans="1:3" s="209" customFormat="1" ht="13.9" thickBot="1" x14ac:dyDescent="0.35">
      <c r="A10" s="193"/>
      <c r="B10" s="193"/>
      <c r="C10" s="194"/>
    </row>
    <row r="11" spans="1:3" s="1" customFormat="1" ht="13.5" thickBot="1" x14ac:dyDescent="0.25">
      <c r="A11" s="317" t="s">
        <v>363</v>
      </c>
      <c r="B11" s="317" t="s">
        <v>366</v>
      </c>
      <c r="C11" s="31" t="s">
        <v>446</v>
      </c>
    </row>
    <row r="12" spans="1:3" s="2" customFormat="1" ht="13.5" thickBot="1" x14ac:dyDescent="0.3">
      <c r="A12" s="59" t="s">
        <v>360</v>
      </c>
      <c r="B12" s="972" t="s">
        <v>1338</v>
      </c>
      <c r="C12" s="974"/>
    </row>
    <row r="13" spans="1:3" s="1" customFormat="1" ht="25.5" x14ac:dyDescent="0.2">
      <c r="A13" s="322" t="s">
        <v>124</v>
      </c>
      <c r="B13" s="303" t="s">
        <v>695</v>
      </c>
      <c r="C13" s="685">
        <v>7.0000000000000007E-2</v>
      </c>
    </row>
    <row r="14" spans="1:3" s="1" customFormat="1" ht="25.5" x14ac:dyDescent="0.2">
      <c r="A14" s="323" t="s">
        <v>125</v>
      </c>
      <c r="B14" s="266" t="s">
        <v>447</v>
      </c>
      <c r="C14" s="318">
        <v>1.4999999999999999E-2</v>
      </c>
    </row>
    <row r="15" spans="1:3" s="1" customFormat="1" ht="26.25" thickBot="1" x14ac:dyDescent="0.25">
      <c r="A15" s="323" t="s">
        <v>126</v>
      </c>
      <c r="B15" s="266" t="s">
        <v>1481</v>
      </c>
      <c r="C15" s="318">
        <v>1.4999999999999999E-2</v>
      </c>
    </row>
    <row r="16" spans="1:3" s="21" customFormat="1" ht="13.9" thickBot="1" x14ac:dyDescent="0.35">
      <c r="A16" s="864" t="str">
        <f>"Total - "&amp;B12&amp;" - (R$):"</f>
        <v>Total - CUSTO DE ADMINISTRAÇÃO - (R$):</v>
      </c>
      <c r="B16" s="866"/>
      <c r="C16" s="319">
        <f>SUBTOTAL(9,C12:C15)</f>
        <v>0.1</v>
      </c>
    </row>
    <row r="17" spans="1:6" s="2" customFormat="1" ht="13.15" x14ac:dyDescent="0.3">
      <c r="B17" s="10"/>
      <c r="C17" s="10"/>
    </row>
    <row r="18" spans="1:6" s="2" customFormat="1" ht="13.9" thickBot="1" x14ac:dyDescent="0.35">
      <c r="B18" s="10"/>
      <c r="C18" s="10"/>
    </row>
    <row r="19" spans="1:6" s="2" customFormat="1" ht="13.9" thickBot="1" x14ac:dyDescent="0.35">
      <c r="A19" s="943" t="str">
        <f>"RESUMO - "&amp;A$8</f>
        <v>RESUMO - CUSTOS ADMINISTRAÇÃO - DETALHAMENTO</v>
      </c>
      <c r="B19" s="944"/>
      <c r="C19" s="945"/>
    </row>
    <row r="20" spans="1:6" s="2" customFormat="1" ht="13.5" thickBot="1" x14ac:dyDescent="0.3">
      <c r="A20" s="294" t="s">
        <v>363</v>
      </c>
      <c r="B20" s="301" t="s">
        <v>366</v>
      </c>
      <c r="C20" s="298" t="s">
        <v>1339</v>
      </c>
    </row>
    <row r="21" spans="1:6" s="2" customFormat="1" ht="13.9" thickBot="1" x14ac:dyDescent="0.35">
      <c r="A21" s="286">
        <v>1</v>
      </c>
      <c r="B21" s="300" t="str">
        <f>B12</f>
        <v>CUSTO DE ADMINISTRAÇÃO</v>
      </c>
      <c r="C21" s="320">
        <f>C16</f>
        <v>0.1</v>
      </c>
    </row>
    <row r="22" spans="1:6" s="2" customFormat="1" ht="13.9" thickBot="1" x14ac:dyDescent="0.35">
      <c r="A22" s="740" t="str">
        <f>"TOTAL GERAL - "&amp;A$8&amp;" - (R$):"</f>
        <v>TOTAL GERAL - CUSTOS ADMINISTRAÇÃO - DETALHAMENTO - (R$):</v>
      </c>
      <c r="B22" s="741"/>
      <c r="C22" s="321">
        <f>SUM(C21:C21)</f>
        <v>0.1</v>
      </c>
    </row>
    <row r="23" spans="1:6" s="78" customFormat="1" ht="13.15" x14ac:dyDescent="0.3">
      <c r="F23" s="72"/>
    </row>
    <row r="24" spans="1:6" s="78" customFormat="1" ht="13.9" thickBot="1" x14ac:dyDescent="0.35">
      <c r="F24" s="72"/>
    </row>
    <row r="25" spans="1:6" ht="15" customHeight="1" x14ac:dyDescent="0.2">
      <c r="A25" s="899" t="s">
        <v>422</v>
      </c>
      <c r="B25" s="901"/>
      <c r="C25" s="593" t="s">
        <v>423</v>
      </c>
    </row>
    <row r="26" spans="1:6" ht="15.75" customHeight="1" thickBot="1" x14ac:dyDescent="0.3">
      <c r="A26" s="905"/>
      <c r="B26" s="907"/>
      <c r="C26" s="594"/>
    </row>
    <row r="27" spans="1:6" ht="15" customHeight="1" x14ac:dyDescent="0.25">
      <c r="A27" s="899" t="s">
        <v>424</v>
      </c>
      <c r="B27" s="901"/>
      <c r="C27" s="593" t="s">
        <v>425</v>
      </c>
    </row>
    <row r="28" spans="1:6" ht="13.9" thickBot="1" x14ac:dyDescent="0.3">
      <c r="A28" s="905"/>
      <c r="B28" s="907"/>
      <c r="C28" s="595"/>
    </row>
    <row r="29" spans="1:6" ht="15" customHeight="1" x14ac:dyDescent="0.2">
      <c r="A29" s="899" t="s">
        <v>448</v>
      </c>
      <c r="B29" s="900"/>
      <c r="C29" s="901"/>
    </row>
    <row r="30" spans="1:6" ht="13.15" x14ac:dyDescent="0.25">
      <c r="A30" s="902"/>
      <c r="B30" s="903"/>
      <c r="C30" s="904"/>
    </row>
    <row r="31" spans="1:6" ht="13.15" x14ac:dyDescent="0.25">
      <c r="A31" s="902"/>
      <c r="B31" s="903"/>
      <c r="C31" s="904"/>
    </row>
    <row r="32" spans="1:6" ht="15.75" customHeight="1" thickBot="1" x14ac:dyDescent="0.3">
      <c r="A32" s="905"/>
      <c r="B32" s="906"/>
      <c r="C32" s="907"/>
    </row>
  </sheetData>
  <mergeCells count="17">
    <mergeCell ref="B1:C1"/>
    <mergeCell ref="B2:C2"/>
    <mergeCell ref="B3:C3"/>
    <mergeCell ref="A5:C6"/>
    <mergeCell ref="A8:C8"/>
    <mergeCell ref="A22:B22"/>
    <mergeCell ref="A25:B25"/>
    <mergeCell ref="A26:B26"/>
    <mergeCell ref="A32:C32"/>
    <mergeCell ref="B12:C12"/>
    <mergeCell ref="A27:B27"/>
    <mergeCell ref="A28:B28"/>
    <mergeCell ref="A29:C29"/>
    <mergeCell ref="A30:C30"/>
    <mergeCell ref="A31:C31"/>
    <mergeCell ref="A16:B16"/>
    <mergeCell ref="A19:C19"/>
  </mergeCells>
  <printOptions horizontalCentered="1"/>
  <pageMargins left="0.78740157480314965" right="0.59055118110236227" top="0.59055118110236227" bottom="0.59055118110236227" header="0.19685039370078741" footer="0.19685039370078741"/>
  <pageSetup paperSize="9" scale="84" fitToHeight="100" orientation="portrait" horizontalDpi="4294967294" verticalDpi="4294967294" r:id="rId1"/>
  <headerFooter>
    <oddFooter>&amp;R&amp;"Arial,Normal"&amp;8&amp;F
Página &amp;P de &amp;N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view="pageBreakPreview" zoomScale="85" zoomScaleNormal="100" zoomScaleSheetLayoutView="85" workbookViewId="0">
      <selection activeCell="O41" sqref="O41"/>
    </sheetView>
  </sheetViews>
  <sheetFormatPr defaultColWidth="9.140625" defaultRowHeight="12.75" x14ac:dyDescent="0.2"/>
  <cols>
    <col min="1" max="1" width="8.7109375" style="1" customWidth="1"/>
    <col min="2" max="2" width="60.7109375" style="1" customWidth="1"/>
    <col min="3" max="4" width="14.7109375" style="1" customWidth="1"/>
    <col min="5" max="16384" width="9.140625" style="1"/>
  </cols>
  <sheetData>
    <row r="1" spans="1:4" s="89" customFormat="1" x14ac:dyDescent="0.25">
      <c r="A1" s="117"/>
      <c r="B1" s="1072" t="s">
        <v>1117</v>
      </c>
      <c r="C1" s="1072"/>
      <c r="D1" s="1072"/>
    </row>
    <row r="2" spans="1:4" s="89" customFormat="1" x14ac:dyDescent="0.25">
      <c r="A2" s="90"/>
      <c r="B2" s="710" t="s">
        <v>1118</v>
      </c>
      <c r="C2" s="710"/>
      <c r="D2" s="710"/>
    </row>
    <row r="3" spans="1:4" s="89" customFormat="1" ht="13.5" thickBot="1" x14ac:dyDescent="0.3">
      <c r="A3" s="118"/>
      <c r="B3" s="711" t="s">
        <v>1116</v>
      </c>
      <c r="C3" s="711"/>
      <c r="D3" s="711"/>
    </row>
    <row r="4" spans="1:4" s="78" customFormat="1" ht="13.9" thickBot="1" x14ac:dyDescent="0.35">
      <c r="A4" s="287"/>
      <c r="B4" s="287"/>
    </row>
    <row r="5" spans="1:4" s="78" customFormat="1" x14ac:dyDescent="0.25">
      <c r="A5" s="690" t="s">
        <v>1119</v>
      </c>
      <c r="B5" s="689"/>
      <c r="C5" s="690"/>
      <c r="D5" s="690"/>
    </row>
    <row r="6" spans="1:4" s="78" customFormat="1" ht="13.5" thickBot="1" x14ac:dyDescent="0.3">
      <c r="A6" s="691"/>
      <c r="B6" s="691"/>
      <c r="C6" s="691"/>
      <c r="D6" s="691"/>
    </row>
    <row r="7" spans="1:4" s="78" customFormat="1" ht="13.9" thickBot="1" x14ac:dyDescent="0.35">
      <c r="C7" s="70"/>
    </row>
    <row r="8" spans="1:4" s="21" customFormat="1" ht="13.9" thickBot="1" x14ac:dyDescent="0.35">
      <c r="A8" s="686" t="s">
        <v>449</v>
      </c>
      <c r="B8" s="687"/>
      <c r="C8" s="687"/>
      <c r="D8" s="688"/>
    </row>
    <row r="9" spans="1:4" s="196" customFormat="1" ht="13.15" x14ac:dyDescent="0.3"/>
    <row r="10" spans="1:4" s="209" customFormat="1" ht="13.9" thickBot="1" x14ac:dyDescent="0.35">
      <c r="A10" s="193"/>
      <c r="B10" s="193"/>
      <c r="C10" s="194"/>
    </row>
    <row r="11" spans="1:4" ht="13.5" thickBot="1" x14ac:dyDescent="0.25">
      <c r="A11" s="317" t="s">
        <v>363</v>
      </c>
      <c r="B11" s="317" t="s">
        <v>366</v>
      </c>
      <c r="C11" s="317" t="s">
        <v>450</v>
      </c>
      <c r="D11" s="317" t="s">
        <v>451</v>
      </c>
    </row>
    <row r="12" spans="1:4" ht="13.9" thickBot="1" x14ac:dyDescent="0.3">
      <c r="A12" s="352" t="s">
        <v>360</v>
      </c>
      <c r="B12" s="1068" t="s">
        <v>1356</v>
      </c>
      <c r="C12" s="1069"/>
      <c r="D12" s="1070"/>
    </row>
    <row r="13" spans="1:4" s="345" customFormat="1" ht="13.15" x14ac:dyDescent="0.25">
      <c r="A13" s="249" t="s">
        <v>124</v>
      </c>
      <c r="B13" s="249" t="s">
        <v>1357</v>
      </c>
      <c r="C13" s="348">
        <v>0.05</v>
      </c>
      <c r="D13" s="348">
        <f t="shared" ref="D13:D14" si="0">ROUND((1/(1-$C$16))*C13,4)</f>
        <v>5.8299999999999998E-2</v>
      </c>
    </row>
    <row r="14" spans="1:4" s="345" customFormat="1" ht="13.15" x14ac:dyDescent="0.25">
      <c r="A14" s="250" t="s">
        <v>125</v>
      </c>
      <c r="B14" s="250" t="s">
        <v>1358</v>
      </c>
      <c r="C14" s="349">
        <v>1.6500000000000001E-2</v>
      </c>
      <c r="D14" s="349">
        <f t="shared" si="0"/>
        <v>1.9199999999999998E-2</v>
      </c>
    </row>
    <row r="15" spans="1:4" s="345" customFormat="1" ht="13.9" thickBot="1" x14ac:dyDescent="0.3">
      <c r="A15" s="251" t="s">
        <v>126</v>
      </c>
      <c r="B15" s="251" t="s">
        <v>1359</v>
      </c>
      <c r="C15" s="350">
        <v>7.5999999999999998E-2</v>
      </c>
      <c r="D15" s="350">
        <f>ROUND((1/(1-$C$16))*C15,4)</f>
        <v>8.8599999999999998E-2</v>
      </c>
    </row>
    <row r="16" spans="1:4" s="345" customFormat="1" ht="13.9" thickBot="1" x14ac:dyDescent="0.3">
      <c r="A16" s="1071" t="str">
        <f>"TOTAL - "&amp;B12&amp;" - (R$):"</f>
        <v>TOTAL - DESPESAS FISCAIS - (R$):</v>
      </c>
      <c r="B16" s="1071"/>
      <c r="C16" s="351">
        <f>SUM(C13:C15)</f>
        <v>0.14250000000000002</v>
      </c>
      <c r="D16" s="351">
        <f>SUM(D13:D15)</f>
        <v>0.1661</v>
      </c>
    </row>
    <row r="17" spans="1:4" s="2" customFormat="1" ht="13.15" x14ac:dyDescent="0.3">
      <c r="B17" s="10"/>
      <c r="C17" s="10"/>
    </row>
    <row r="18" spans="1:4" s="2" customFormat="1" ht="13.9" thickBot="1" x14ac:dyDescent="0.35">
      <c r="B18" s="10"/>
      <c r="C18" s="10"/>
    </row>
    <row r="19" spans="1:4" s="2" customFormat="1" ht="13.9" thickBot="1" x14ac:dyDescent="0.35">
      <c r="A19" s="943" t="str">
        <f>"RESUMO - "&amp;A$8</f>
        <v>RESUMO - DESPESAS FISCAIS - DETALHAMENTO</v>
      </c>
      <c r="B19" s="944"/>
      <c r="C19" s="944"/>
      <c r="D19" s="945"/>
    </row>
    <row r="20" spans="1:4" s="2" customFormat="1" ht="13.5" thickBot="1" x14ac:dyDescent="0.3">
      <c r="A20" s="294" t="s">
        <v>363</v>
      </c>
      <c r="B20" s="294" t="s">
        <v>366</v>
      </c>
      <c r="C20" s="830" t="s">
        <v>1339</v>
      </c>
      <c r="D20" s="830"/>
    </row>
    <row r="21" spans="1:4" s="2" customFormat="1" ht="13.9" thickBot="1" x14ac:dyDescent="0.35">
      <c r="A21" s="346">
        <v>1</v>
      </c>
      <c r="B21" s="347" t="str">
        <f>B12</f>
        <v>DESPESAS FISCAIS</v>
      </c>
      <c r="C21" s="1066">
        <f>D16</f>
        <v>0.1661</v>
      </c>
      <c r="D21" s="1066"/>
    </row>
    <row r="22" spans="1:4" s="2" customFormat="1" ht="13.9" thickBot="1" x14ac:dyDescent="0.35">
      <c r="A22" s="992" t="str">
        <f>"TOTAL GERAL - "&amp;A$8&amp;" - (R$):"</f>
        <v>TOTAL GERAL - DESPESAS FISCAIS - DETALHAMENTO - (R$):</v>
      </c>
      <c r="B22" s="992"/>
      <c r="C22" s="1067">
        <f>SUM(C21:C21)</f>
        <v>0.1661</v>
      </c>
      <c r="D22" s="1067"/>
    </row>
    <row r="23" spans="1:4" s="78" customFormat="1" ht="13.15" x14ac:dyDescent="0.3"/>
    <row r="24" spans="1:4" s="78" customFormat="1" ht="13.9" thickBot="1" x14ac:dyDescent="0.35"/>
    <row r="25" spans="1:4" s="345" customFormat="1" x14ac:dyDescent="0.2">
      <c r="A25" s="899" t="s">
        <v>422</v>
      </c>
      <c r="B25" s="901"/>
      <c r="C25" s="899" t="s">
        <v>423</v>
      </c>
      <c r="D25" s="901"/>
    </row>
    <row r="26" spans="1:4" s="345" customFormat="1" ht="13.5" thickBot="1" x14ac:dyDescent="0.25">
      <c r="A26" s="905"/>
      <c r="B26" s="907"/>
      <c r="C26" s="905"/>
      <c r="D26" s="907"/>
    </row>
    <row r="27" spans="1:4" s="345" customFormat="1" ht="13.15" x14ac:dyDescent="0.25">
      <c r="A27" s="899" t="s">
        <v>424</v>
      </c>
      <c r="B27" s="901"/>
      <c r="C27" s="899" t="s">
        <v>425</v>
      </c>
      <c r="D27" s="901"/>
    </row>
    <row r="28" spans="1:4" s="345" customFormat="1" ht="13.9" thickBot="1" x14ac:dyDescent="0.3">
      <c r="A28" s="905"/>
      <c r="B28" s="907"/>
      <c r="C28" s="905"/>
      <c r="D28" s="907"/>
    </row>
    <row r="29" spans="1:4" s="345" customFormat="1" ht="15" customHeight="1" x14ac:dyDescent="0.2">
      <c r="A29" s="1054" t="s">
        <v>448</v>
      </c>
      <c r="B29" s="1055"/>
      <c r="C29" s="1055"/>
      <c r="D29" s="1056"/>
    </row>
    <row r="30" spans="1:4" s="345" customFormat="1" ht="12.75" customHeight="1" x14ac:dyDescent="0.2">
      <c r="A30" s="1060" t="s">
        <v>2177</v>
      </c>
      <c r="B30" s="1061"/>
      <c r="C30" s="1061"/>
      <c r="D30" s="1062"/>
    </row>
    <row r="31" spans="1:4" s="345" customFormat="1" ht="12.75" customHeight="1" x14ac:dyDescent="0.25">
      <c r="A31" s="1060" t="s">
        <v>2178</v>
      </c>
      <c r="B31" s="1061"/>
      <c r="C31" s="1061"/>
      <c r="D31" s="1062"/>
    </row>
    <row r="32" spans="1:4" s="345" customFormat="1" ht="12.75" customHeight="1" x14ac:dyDescent="0.2">
      <c r="A32" s="1060" t="s">
        <v>2179</v>
      </c>
      <c r="B32" s="1061"/>
      <c r="C32" s="1061"/>
      <c r="D32" s="1062"/>
    </row>
    <row r="33" spans="1:4" s="345" customFormat="1" x14ac:dyDescent="0.2">
      <c r="A33" s="1060"/>
      <c r="B33" s="1061"/>
      <c r="C33" s="1061"/>
      <c r="D33" s="1062"/>
    </row>
    <row r="34" spans="1:4" s="345" customFormat="1" ht="12.75" customHeight="1" x14ac:dyDescent="0.25">
      <c r="A34" s="1057" t="s">
        <v>1360</v>
      </c>
      <c r="B34" s="1058"/>
      <c r="C34" s="1058"/>
      <c r="D34" s="1059"/>
    </row>
    <row r="35" spans="1:4" s="345" customFormat="1" ht="15.75" customHeight="1" thickBot="1" x14ac:dyDescent="0.3">
      <c r="A35" s="1063"/>
      <c r="B35" s="1064"/>
      <c r="C35" s="1064"/>
      <c r="D35" s="1065"/>
    </row>
  </sheetData>
  <mergeCells count="24">
    <mergeCell ref="A5:D6"/>
    <mergeCell ref="A8:D8"/>
    <mergeCell ref="B1:D1"/>
    <mergeCell ref="B2:D2"/>
    <mergeCell ref="B3:D3"/>
    <mergeCell ref="B12:D12"/>
    <mergeCell ref="A16:B16"/>
    <mergeCell ref="A25:B26"/>
    <mergeCell ref="C25:D26"/>
    <mergeCell ref="A27:B27"/>
    <mergeCell ref="A19:D19"/>
    <mergeCell ref="A28:B28"/>
    <mergeCell ref="C27:D27"/>
    <mergeCell ref="C28:D28"/>
    <mergeCell ref="A22:B22"/>
    <mergeCell ref="C20:D20"/>
    <mergeCell ref="C21:D21"/>
    <mergeCell ref="C22:D22"/>
    <mergeCell ref="A29:D29"/>
    <mergeCell ref="A34:D34"/>
    <mergeCell ref="A30:D30"/>
    <mergeCell ref="A31:D31"/>
    <mergeCell ref="A35:D35"/>
    <mergeCell ref="A32:D33"/>
  </mergeCells>
  <printOptions horizontalCentered="1"/>
  <pageMargins left="0.78740157480314965" right="0.59055118110236227" top="0.59055118110236227" bottom="0.59055118110236227" header="0.19685039370078741" footer="0.19685039370078741"/>
  <pageSetup paperSize="9" scale="88" fitToHeight="100" orientation="portrait" horizontalDpi="4294967294" verticalDpi="4294967294" r:id="rId1"/>
  <headerFooter>
    <oddFooter>&amp;R&amp;"Arial,Normal"&amp;8&amp;F
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A52" sqref="A52"/>
    </sheetView>
  </sheetViews>
  <sheetFormatPr defaultColWidth="9.140625" defaultRowHeight="12.75" x14ac:dyDescent="0.2"/>
  <cols>
    <col min="1" max="1" width="8.7109375" style="1" customWidth="1"/>
    <col min="2" max="2" width="14.7109375" style="1" hidden="1" customWidth="1"/>
    <col min="3" max="3" width="60.7109375" style="1" customWidth="1"/>
    <col min="4" max="7" width="14.7109375" style="1" customWidth="1"/>
    <col min="8" max="16384" width="9.140625" style="1"/>
  </cols>
  <sheetData>
    <row r="1" spans="1:7" s="89" customFormat="1" x14ac:dyDescent="0.25">
      <c r="A1" s="117"/>
      <c r="B1" s="117"/>
      <c r="C1" s="726" t="s">
        <v>1117</v>
      </c>
      <c r="D1" s="727"/>
      <c r="E1" s="727"/>
      <c r="F1" s="726"/>
      <c r="G1" s="726"/>
    </row>
    <row r="2" spans="1:7" s="89" customFormat="1" x14ac:dyDescent="0.25">
      <c r="A2" s="90"/>
      <c r="B2" s="90"/>
      <c r="C2" s="728" t="s">
        <v>1118</v>
      </c>
      <c r="D2" s="728"/>
      <c r="E2" s="728"/>
      <c r="F2" s="728"/>
      <c r="G2" s="728"/>
    </row>
    <row r="3" spans="1:7" s="89" customFormat="1" ht="13.5" thickBot="1" x14ac:dyDescent="0.3">
      <c r="A3" s="118"/>
      <c r="B3" s="118"/>
      <c r="C3" s="729" t="s">
        <v>1116</v>
      </c>
      <c r="D3" s="729"/>
      <c r="E3" s="729"/>
      <c r="F3" s="729"/>
      <c r="G3" s="729"/>
    </row>
    <row r="4" spans="1:7" s="78" customFormat="1" ht="13.9" thickBot="1" x14ac:dyDescent="0.35">
      <c r="A4" s="91"/>
      <c r="B4" s="486"/>
    </row>
    <row r="5" spans="1:7" s="78" customFormat="1" x14ac:dyDescent="0.25">
      <c r="A5" s="690" t="s">
        <v>1119</v>
      </c>
      <c r="B5" s="690"/>
      <c r="C5" s="690"/>
      <c r="D5" s="689"/>
      <c r="E5" s="689"/>
      <c r="F5" s="690"/>
      <c r="G5" s="690"/>
    </row>
    <row r="6" spans="1:7" s="78" customFormat="1" ht="13.5" thickBot="1" x14ac:dyDescent="0.3">
      <c r="A6" s="691"/>
      <c r="B6" s="691"/>
      <c r="C6" s="691"/>
      <c r="D6" s="691"/>
      <c r="E6" s="691"/>
      <c r="F6" s="691"/>
      <c r="G6" s="691"/>
    </row>
    <row r="7" spans="1:7" s="78" customFormat="1" ht="13.9" thickBot="1" x14ac:dyDescent="0.35">
      <c r="C7" s="70"/>
      <c r="D7" s="70"/>
      <c r="E7" s="70"/>
      <c r="F7" s="72"/>
    </row>
    <row r="8" spans="1:7" s="21" customFormat="1" ht="13.5" thickBot="1" x14ac:dyDescent="0.3">
      <c r="A8" s="686" t="s">
        <v>1133</v>
      </c>
      <c r="B8" s="687"/>
      <c r="C8" s="687"/>
      <c r="D8" s="687"/>
      <c r="E8" s="687"/>
      <c r="F8" s="687"/>
      <c r="G8" s="688"/>
    </row>
    <row r="9" spans="1:7" s="78" customFormat="1" ht="13.15" x14ac:dyDescent="0.3">
      <c r="C9" s="70"/>
      <c r="D9" s="70"/>
      <c r="E9" s="70"/>
      <c r="F9" s="72"/>
    </row>
    <row r="10" spans="1:7" s="2" customFormat="1" ht="13.9" thickBot="1" x14ac:dyDescent="0.35"/>
    <row r="11" spans="1:7" s="196" customFormat="1" ht="13.5" thickBot="1" x14ac:dyDescent="0.3">
      <c r="A11" s="730" t="s">
        <v>363</v>
      </c>
      <c r="B11" s="730" t="s">
        <v>1466</v>
      </c>
      <c r="C11" s="730" t="s">
        <v>366</v>
      </c>
      <c r="D11" s="730" t="s">
        <v>410</v>
      </c>
      <c r="E11" s="731" t="s">
        <v>364</v>
      </c>
      <c r="F11" s="731" t="s">
        <v>413</v>
      </c>
      <c r="G11" s="731"/>
    </row>
    <row r="12" spans="1:7" s="78" customFormat="1" ht="13.5" thickBot="1" x14ac:dyDescent="0.3">
      <c r="A12" s="730"/>
      <c r="B12" s="730"/>
      <c r="C12" s="730"/>
      <c r="D12" s="730"/>
      <c r="E12" s="731"/>
      <c r="F12" s="295" t="s">
        <v>412</v>
      </c>
      <c r="G12" s="295" t="s">
        <v>411</v>
      </c>
    </row>
    <row r="13" spans="1:7" s="196" customFormat="1" ht="13.5" thickBot="1" x14ac:dyDescent="0.3">
      <c r="A13" s="252"/>
      <c r="B13" s="252"/>
      <c r="C13" s="732" t="str">
        <f>A8</f>
        <v>MOBILIZAÇÃO E DESMOBILIZAÇAO</v>
      </c>
      <c r="D13" s="732"/>
      <c r="E13" s="732"/>
      <c r="F13" s="732"/>
      <c r="G13" s="732"/>
    </row>
    <row r="14" spans="1:7" s="345" customFormat="1" ht="13.9" thickBot="1" x14ac:dyDescent="0.3">
      <c r="A14" s="72"/>
      <c r="B14" s="72"/>
      <c r="C14" s="78"/>
      <c r="D14" s="78"/>
      <c r="E14" s="78"/>
      <c r="F14" s="78"/>
      <c r="G14" s="78"/>
    </row>
    <row r="15" spans="1:7" ht="13.5" thickBot="1" x14ac:dyDescent="0.25">
      <c r="A15" s="526" t="s">
        <v>360</v>
      </c>
      <c r="B15" s="526"/>
      <c r="C15" s="725" t="s">
        <v>1354</v>
      </c>
      <c r="D15" s="725"/>
      <c r="E15" s="725"/>
      <c r="F15" s="725"/>
      <c r="G15" s="725"/>
    </row>
    <row r="16" spans="1:7" x14ac:dyDescent="0.2">
      <c r="A16" s="527" t="s">
        <v>124</v>
      </c>
      <c r="B16" s="527"/>
      <c r="C16" s="528" t="s">
        <v>1459</v>
      </c>
      <c r="D16" s="381" t="s">
        <v>1125</v>
      </c>
      <c r="E16" s="529">
        <v>1</v>
      </c>
      <c r="F16" s="530">
        <f>CPU_MOBILIZACAO!I64</f>
        <v>62525.57</v>
      </c>
      <c r="G16" s="531">
        <f>ROUND(E16*F16,2)</f>
        <v>62525.57</v>
      </c>
    </row>
    <row r="17" spans="1:7" x14ac:dyDescent="0.2">
      <c r="A17" s="527" t="s">
        <v>125</v>
      </c>
      <c r="B17" s="518"/>
      <c r="C17" s="519" t="s">
        <v>1460</v>
      </c>
      <c r="D17" s="520" t="s">
        <v>1125</v>
      </c>
      <c r="E17" s="521">
        <v>1</v>
      </c>
      <c r="F17" s="522">
        <f>CPU_MOBILIZACAO!I112</f>
        <v>25855.51</v>
      </c>
      <c r="G17" s="523">
        <f t="shared" ref="G17:G18" si="0">ROUND(E17*F17,2)</f>
        <v>25855.51</v>
      </c>
    </row>
    <row r="18" spans="1:7" ht="13.5" thickBot="1" x14ac:dyDescent="0.25">
      <c r="A18" s="527" t="s">
        <v>126</v>
      </c>
      <c r="B18" s="179"/>
      <c r="C18" s="524" t="s">
        <v>1461</v>
      </c>
      <c r="D18" s="162" t="s">
        <v>1125</v>
      </c>
      <c r="E18" s="379">
        <v>1</v>
      </c>
      <c r="F18" s="334">
        <f>CPU_MOBILIZACAO!I164</f>
        <v>30260.87</v>
      </c>
      <c r="G18" s="167">
        <f t="shared" si="0"/>
        <v>30260.87</v>
      </c>
    </row>
    <row r="19" spans="1:7" ht="13.5" thickBot="1" x14ac:dyDescent="0.25">
      <c r="A19" s="723" t="s">
        <v>1530</v>
      </c>
      <c r="B19" s="724"/>
      <c r="C19" s="724"/>
      <c r="D19" s="724"/>
      <c r="E19" s="724"/>
      <c r="F19" s="724"/>
      <c r="G19" s="22">
        <f>SUBTOTAL(9,G16:G18)</f>
        <v>118641.95</v>
      </c>
    </row>
    <row r="20" spans="1:7" s="345" customFormat="1" ht="13.9" thickBot="1" x14ac:dyDescent="0.3">
      <c r="A20" s="72"/>
      <c r="B20" s="72"/>
      <c r="C20" s="78"/>
      <c r="D20" s="78"/>
      <c r="E20" s="78"/>
      <c r="F20" s="78"/>
      <c r="G20" s="78"/>
    </row>
    <row r="21" spans="1:7" ht="13.5" thickBot="1" x14ac:dyDescent="0.25">
      <c r="A21" s="526" t="s">
        <v>361</v>
      </c>
      <c r="B21" s="526"/>
      <c r="C21" s="725" t="s">
        <v>1355</v>
      </c>
      <c r="D21" s="725"/>
      <c r="E21" s="725"/>
      <c r="F21" s="725"/>
      <c r="G21" s="725"/>
    </row>
    <row r="22" spans="1:7" x14ac:dyDescent="0.2">
      <c r="A22" s="63" t="s">
        <v>173</v>
      </c>
      <c r="B22" s="63"/>
      <c r="C22" s="525" t="s">
        <v>1462</v>
      </c>
      <c r="D22" s="27" t="s">
        <v>1125</v>
      </c>
      <c r="E22" s="378">
        <v>1</v>
      </c>
      <c r="F22" s="333">
        <f>CPU_DESMOBILIZAZAO!I64</f>
        <v>62525.57</v>
      </c>
      <c r="G22" s="134">
        <f>ROUND(E22*F22,2)</f>
        <v>62525.57</v>
      </c>
    </row>
    <row r="23" spans="1:7" x14ac:dyDescent="0.2">
      <c r="A23" s="518" t="s">
        <v>174</v>
      </c>
      <c r="B23" s="518"/>
      <c r="C23" s="519" t="s">
        <v>1463</v>
      </c>
      <c r="D23" s="520" t="s">
        <v>1125</v>
      </c>
      <c r="E23" s="521">
        <v>1</v>
      </c>
      <c r="F23" s="522">
        <f>CPU_DESMOBILIZAZAO!I112</f>
        <v>25855.51</v>
      </c>
      <c r="G23" s="523">
        <f t="shared" ref="G23:G24" si="1">ROUND(E23*F23,2)</f>
        <v>25855.51</v>
      </c>
    </row>
    <row r="24" spans="1:7" ht="13.5" thickBot="1" x14ac:dyDescent="0.25">
      <c r="A24" s="179" t="s">
        <v>175</v>
      </c>
      <c r="B24" s="179"/>
      <c r="C24" s="524" t="s">
        <v>1464</v>
      </c>
      <c r="D24" s="162" t="s">
        <v>1125</v>
      </c>
      <c r="E24" s="379">
        <v>1</v>
      </c>
      <c r="F24" s="334">
        <f>CPU_DESMOBILIZAZAO!I164</f>
        <v>30260.89</v>
      </c>
      <c r="G24" s="167">
        <f t="shared" si="1"/>
        <v>30260.89</v>
      </c>
    </row>
    <row r="25" spans="1:7" ht="13.5" thickBot="1" x14ac:dyDescent="0.25">
      <c r="A25" s="723" t="s">
        <v>1531</v>
      </c>
      <c r="B25" s="724"/>
      <c r="C25" s="724"/>
      <c r="D25" s="724"/>
      <c r="E25" s="724"/>
      <c r="F25" s="724"/>
      <c r="G25" s="22">
        <f>SUBTOTAL(9,G22:G24)</f>
        <v>118641.97</v>
      </c>
    </row>
    <row r="26" spans="1:7" s="78" customFormat="1" ht="13.9" thickBot="1" x14ac:dyDescent="0.35">
      <c r="A26" s="244"/>
      <c r="B26" s="244"/>
      <c r="C26" s="245"/>
      <c r="D26" s="245"/>
      <c r="E26" s="245"/>
      <c r="F26" s="246"/>
      <c r="G26" s="241"/>
    </row>
    <row r="27" spans="1:7" s="21" customFormat="1" ht="13.9" thickBot="1" x14ac:dyDescent="0.35">
      <c r="A27" s="743" t="str">
        <f>"TOTAL - "&amp;C13&amp;" - (R$):"</f>
        <v>TOTAL - MOBILIZAÇÃO E DESMOBILIZAÇAO - (R$):</v>
      </c>
      <c r="B27" s="744"/>
      <c r="C27" s="744"/>
      <c r="D27" s="744"/>
      <c r="E27" s="744"/>
      <c r="F27" s="745"/>
      <c r="G27" s="30">
        <f>SUBTOTAL(9,G15:G26)</f>
        <v>237283.91999999998</v>
      </c>
    </row>
    <row r="28" spans="1:7" s="78" customFormat="1" ht="13.15" x14ac:dyDescent="0.3">
      <c r="A28" s="80"/>
      <c r="B28" s="80"/>
      <c r="C28" s="79"/>
      <c r="D28" s="79"/>
      <c r="E28" s="79"/>
      <c r="G28" s="312"/>
    </row>
    <row r="29" spans="1:7" s="345" customFormat="1" ht="13.9" thickBot="1" x14ac:dyDescent="0.3">
      <c r="A29" s="78"/>
      <c r="B29" s="78"/>
      <c r="C29" s="78"/>
      <c r="D29" s="78"/>
      <c r="E29" s="78"/>
      <c r="F29" s="78"/>
      <c r="G29" s="78"/>
    </row>
    <row r="30" spans="1:7" ht="13.9" thickBot="1" x14ac:dyDescent="0.3">
      <c r="A30" s="733" t="str">
        <f>"RESUMO - "&amp;A$8</f>
        <v>RESUMO - MOBILIZAÇÃO E DESMOBILIZAÇAO</v>
      </c>
      <c r="B30" s="734"/>
      <c r="C30" s="734"/>
      <c r="D30" s="734"/>
      <c r="E30" s="734"/>
      <c r="F30" s="734"/>
      <c r="G30" s="735"/>
    </row>
    <row r="31" spans="1:7" ht="13.5" thickBot="1" x14ac:dyDescent="0.25">
      <c r="A31" s="488" t="s">
        <v>363</v>
      </c>
      <c r="B31" s="488"/>
      <c r="C31" s="746" t="s">
        <v>366</v>
      </c>
      <c r="D31" s="746"/>
      <c r="E31" s="746"/>
      <c r="F31" s="715" t="s">
        <v>414</v>
      </c>
      <c r="G31" s="715"/>
    </row>
    <row r="32" spans="1:7" ht="13.15" x14ac:dyDescent="0.25">
      <c r="A32" s="532" t="s">
        <v>415</v>
      </c>
      <c r="B32" s="532"/>
      <c r="C32" s="737" t="str">
        <f>C15</f>
        <v>MOBILIZAÇÃO (Máquinas, Equipamentos, Ferramentas, Instrumentos, Materiais, Mobiliário)</v>
      </c>
      <c r="D32" s="737"/>
      <c r="E32" s="737"/>
      <c r="F32" s="716">
        <f>G19</f>
        <v>118641.95</v>
      </c>
      <c r="G32" s="716"/>
    </row>
    <row r="33" spans="1:7" ht="13.9" thickBot="1" x14ac:dyDescent="0.3">
      <c r="A33" s="533" t="s">
        <v>416</v>
      </c>
      <c r="B33" s="533"/>
      <c r="C33" s="739" t="str">
        <f>C21</f>
        <v>DESMOBILIZAÇÃO (Máquinas, Equip., Ferramentas, Instrumentos, Materiais, Mobiliário)</v>
      </c>
      <c r="D33" s="739"/>
      <c r="E33" s="739"/>
      <c r="F33" s="717">
        <f>G25</f>
        <v>118641.97</v>
      </c>
      <c r="G33" s="717"/>
    </row>
    <row r="34" spans="1:7" ht="13.9" thickBot="1" x14ac:dyDescent="0.3">
      <c r="A34" s="740" t="str">
        <f>"TOTAL GERAL - "&amp;A$8&amp;" - (R$):"</f>
        <v>TOTAL GERAL - MOBILIZAÇÃO E DESMOBILIZAÇAO - (R$):</v>
      </c>
      <c r="B34" s="741"/>
      <c r="C34" s="741"/>
      <c r="D34" s="741"/>
      <c r="E34" s="742"/>
      <c r="F34" s="718">
        <f>SUM(F32:G33)</f>
        <v>237283.91999999998</v>
      </c>
      <c r="G34" s="719"/>
    </row>
    <row r="36" spans="1:7" ht="13.9" thickBot="1" x14ac:dyDescent="0.3"/>
    <row r="37" spans="1:7" s="345" customFormat="1" x14ac:dyDescent="0.2">
      <c r="A37" s="704" t="s">
        <v>422</v>
      </c>
      <c r="B37" s="736"/>
      <c r="C37" s="705"/>
      <c r="D37" s="290"/>
      <c r="E37" s="290"/>
      <c r="F37" s="704" t="s">
        <v>423</v>
      </c>
      <c r="G37" s="706"/>
    </row>
    <row r="38" spans="1:7" s="345" customFormat="1" ht="13.5" thickBot="1" x14ac:dyDescent="0.25">
      <c r="A38" s="701"/>
      <c r="B38" s="702"/>
      <c r="C38" s="702"/>
      <c r="D38" s="291"/>
      <c r="E38" s="291"/>
      <c r="F38" s="701"/>
      <c r="G38" s="703"/>
    </row>
    <row r="39" spans="1:7" s="345" customFormat="1" x14ac:dyDescent="0.2">
      <c r="A39" s="695" t="s">
        <v>424</v>
      </c>
      <c r="B39" s="696"/>
      <c r="C39" s="738"/>
      <c r="D39" s="292"/>
      <c r="E39" s="292"/>
      <c r="F39" s="695" t="s">
        <v>425</v>
      </c>
      <c r="G39" s="706"/>
    </row>
    <row r="40" spans="1:7" s="345" customFormat="1" ht="13.5" thickBot="1" x14ac:dyDescent="0.25">
      <c r="A40" s="695"/>
      <c r="B40" s="696"/>
      <c r="C40" s="696"/>
      <c r="D40" s="293"/>
      <c r="E40" s="293"/>
      <c r="F40" s="695"/>
      <c r="G40" s="697"/>
    </row>
    <row r="41" spans="1:7" s="345" customFormat="1" x14ac:dyDescent="0.2">
      <c r="A41" s="704" t="s">
        <v>426</v>
      </c>
      <c r="B41" s="736"/>
      <c r="C41" s="736"/>
      <c r="D41" s="705"/>
      <c r="E41" s="705"/>
      <c r="F41" s="736"/>
      <c r="G41" s="706"/>
    </row>
    <row r="42" spans="1:7" s="345" customFormat="1" x14ac:dyDescent="0.2">
      <c r="A42" s="720" t="s">
        <v>2167</v>
      </c>
      <c r="B42" s="721"/>
      <c r="C42" s="721"/>
      <c r="D42" s="721"/>
      <c r="E42" s="721"/>
      <c r="F42" s="721"/>
      <c r="G42" s="722"/>
    </row>
    <row r="43" spans="1:7" s="345" customFormat="1" x14ac:dyDescent="0.2">
      <c r="A43" s="720" t="s">
        <v>2168</v>
      </c>
      <c r="B43" s="721"/>
      <c r="C43" s="721"/>
      <c r="D43" s="721"/>
      <c r="E43" s="721"/>
      <c r="F43" s="721"/>
      <c r="G43" s="722"/>
    </row>
    <row r="44" spans="1:7" s="345" customFormat="1" x14ac:dyDescent="0.2">
      <c r="A44" s="720" t="s">
        <v>2169</v>
      </c>
      <c r="B44" s="721"/>
      <c r="C44" s="721"/>
      <c r="D44" s="721"/>
      <c r="E44" s="721"/>
      <c r="F44" s="721"/>
      <c r="G44" s="722"/>
    </row>
    <row r="45" spans="1:7" s="345" customFormat="1" ht="13.15" x14ac:dyDescent="0.25">
      <c r="A45" s="720"/>
      <c r="B45" s="721"/>
      <c r="C45" s="721"/>
      <c r="D45" s="721"/>
      <c r="E45" s="721"/>
      <c r="F45" s="721"/>
      <c r="G45" s="722"/>
    </row>
    <row r="46" spans="1:7" s="345" customFormat="1" ht="13.15" x14ac:dyDescent="0.25">
      <c r="A46" s="720"/>
      <c r="B46" s="721"/>
      <c r="C46" s="721"/>
      <c r="D46" s="721"/>
      <c r="E46" s="721"/>
      <c r="F46" s="721"/>
      <c r="G46" s="722"/>
    </row>
    <row r="47" spans="1:7" s="345" customFormat="1" ht="13.9" thickBot="1" x14ac:dyDescent="0.3">
      <c r="A47" s="712"/>
      <c r="B47" s="713"/>
      <c r="C47" s="713"/>
      <c r="D47" s="713"/>
      <c r="E47" s="713"/>
      <c r="F47" s="713"/>
      <c r="G47" s="714"/>
    </row>
  </sheetData>
  <autoFilter ref="A12:G24"/>
  <mergeCells count="37">
    <mergeCell ref="A30:G30"/>
    <mergeCell ref="C21:G21"/>
    <mergeCell ref="A25:F25"/>
    <mergeCell ref="A43:G43"/>
    <mergeCell ref="A37:C38"/>
    <mergeCell ref="F37:G38"/>
    <mergeCell ref="C32:E32"/>
    <mergeCell ref="A39:C40"/>
    <mergeCell ref="F39:G40"/>
    <mergeCell ref="A41:G41"/>
    <mergeCell ref="C33:E33"/>
    <mergeCell ref="A34:E34"/>
    <mergeCell ref="A27:F27"/>
    <mergeCell ref="C31:E31"/>
    <mergeCell ref="A19:F19"/>
    <mergeCell ref="C15:G15"/>
    <mergeCell ref="C1:G1"/>
    <mergeCell ref="C2:G2"/>
    <mergeCell ref="C3:G3"/>
    <mergeCell ref="A5:G6"/>
    <mergeCell ref="A8:G8"/>
    <mergeCell ref="A11:A12"/>
    <mergeCell ref="C11:C12"/>
    <mergeCell ref="D11:D12"/>
    <mergeCell ref="E11:E12"/>
    <mergeCell ref="F11:G11"/>
    <mergeCell ref="C13:G13"/>
    <mergeCell ref="B11:B12"/>
    <mergeCell ref="A47:G47"/>
    <mergeCell ref="F31:G31"/>
    <mergeCell ref="F32:G32"/>
    <mergeCell ref="F33:G33"/>
    <mergeCell ref="F34:G34"/>
    <mergeCell ref="A46:G46"/>
    <mergeCell ref="A42:G42"/>
    <mergeCell ref="A44:G44"/>
    <mergeCell ref="A45:G45"/>
  </mergeCells>
  <phoneticPr fontId="25" type="noConversion"/>
  <printOptions horizontalCentered="1"/>
  <pageMargins left="0.98425196850393704" right="0.59055118110236227" top="0.78740157480314965" bottom="0.39370078740157483" header="0.31496062992125984" footer="0.31496062992125984"/>
  <pageSetup paperSize="9" scale="66" orientation="portrait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view="pageBreakPreview" topLeftCell="B1" zoomScale="85" zoomScaleNormal="100" zoomScaleSheetLayoutView="85" workbookViewId="0">
      <pane ySplit="8" topLeftCell="A9" activePane="bottomLeft" state="frozen"/>
      <selection activeCell="A9" sqref="A9:I9"/>
      <selection pane="bottomLeft" activeCell="A175" sqref="A175:I175"/>
    </sheetView>
  </sheetViews>
  <sheetFormatPr defaultColWidth="9.140625" defaultRowHeight="12.75" x14ac:dyDescent="0.25"/>
  <cols>
    <col min="1" max="1" width="15.28515625" style="29" hidden="1" customWidth="1"/>
    <col min="2" max="2" width="60.7109375" style="29" customWidth="1"/>
    <col min="3" max="3" width="14.7109375" style="29" customWidth="1"/>
    <col min="4" max="8" width="14.7109375" style="21" customWidth="1"/>
    <col min="9" max="9" width="14.7109375" style="29" customWidth="1"/>
    <col min="10" max="16384" width="9.140625" style="21"/>
  </cols>
  <sheetData>
    <row r="1" spans="1:9" s="89" customFormat="1" x14ac:dyDescent="0.25">
      <c r="A1" s="750" t="s">
        <v>2497</v>
      </c>
      <c r="B1" s="751"/>
      <c r="C1" s="750"/>
      <c r="D1" s="750"/>
      <c r="E1" s="750"/>
      <c r="F1" s="750"/>
      <c r="G1" s="750"/>
      <c r="H1" s="750"/>
      <c r="I1" s="750"/>
    </row>
    <row r="2" spans="1:9" s="89" customFormat="1" x14ac:dyDescent="0.25">
      <c r="A2" s="752" t="s">
        <v>1118</v>
      </c>
      <c r="B2" s="752"/>
      <c r="C2" s="752"/>
      <c r="D2" s="752"/>
      <c r="E2" s="752"/>
      <c r="F2" s="752"/>
      <c r="G2" s="752"/>
      <c r="H2" s="752"/>
      <c r="I2" s="752"/>
    </row>
    <row r="3" spans="1:9" s="89" customFormat="1" ht="13.5" thickBot="1" x14ac:dyDescent="0.3">
      <c r="A3" s="753" t="s">
        <v>2498</v>
      </c>
      <c r="B3" s="753"/>
      <c r="C3" s="753"/>
      <c r="D3" s="753"/>
      <c r="E3" s="753"/>
      <c r="F3" s="753"/>
      <c r="G3" s="753"/>
      <c r="H3" s="753"/>
      <c r="I3" s="753"/>
    </row>
    <row r="4" spans="1:9" s="78" customFormat="1" ht="13.9" thickBot="1" x14ac:dyDescent="0.35">
      <c r="A4" s="217"/>
      <c r="B4" s="217"/>
      <c r="C4" s="72"/>
    </row>
    <row r="5" spans="1:9" s="78" customFormat="1" x14ac:dyDescent="0.25">
      <c r="A5" s="690" t="s">
        <v>1119</v>
      </c>
      <c r="B5" s="689"/>
      <c r="C5" s="690"/>
      <c r="D5" s="690"/>
      <c r="E5" s="690"/>
      <c r="F5" s="690"/>
      <c r="G5" s="690"/>
      <c r="H5" s="690"/>
      <c r="I5" s="690"/>
    </row>
    <row r="6" spans="1:9" s="78" customFormat="1" ht="13.5" thickBot="1" x14ac:dyDescent="0.3">
      <c r="A6" s="691"/>
      <c r="B6" s="691"/>
      <c r="C6" s="691"/>
      <c r="D6" s="691"/>
      <c r="E6" s="691"/>
      <c r="F6" s="691"/>
      <c r="G6" s="691"/>
      <c r="H6" s="691"/>
      <c r="I6" s="691"/>
    </row>
    <row r="7" spans="1:9" s="78" customFormat="1" ht="13.15" x14ac:dyDescent="0.3">
      <c r="A7" s="77"/>
      <c r="B7" s="77"/>
      <c r="C7" s="77"/>
      <c r="D7" s="77"/>
      <c r="E7" s="77"/>
      <c r="F7" s="77"/>
      <c r="G7" s="77"/>
      <c r="H7" s="70"/>
      <c r="I7" s="77"/>
    </row>
    <row r="8" spans="1:9" s="78" customFormat="1" ht="13.9" thickBot="1" x14ac:dyDescent="0.35">
      <c r="A8" s="77"/>
      <c r="B8" s="77"/>
      <c r="C8" s="77"/>
      <c r="D8" s="70"/>
      <c r="E8" s="70"/>
      <c r="F8" s="70"/>
      <c r="G8" s="70"/>
      <c r="H8" s="70"/>
      <c r="I8" s="77"/>
    </row>
    <row r="9" spans="1:9" x14ac:dyDescent="0.25">
      <c r="A9" s="757" t="s">
        <v>2499</v>
      </c>
      <c r="B9" s="758"/>
      <c r="C9" s="759"/>
      <c r="D9" s="759"/>
      <c r="E9" s="759"/>
      <c r="F9" s="759"/>
      <c r="G9" s="759"/>
      <c r="H9" s="759"/>
      <c r="I9" s="760"/>
    </row>
    <row r="10" spans="1:9" ht="13.9" thickBot="1" x14ac:dyDescent="0.35">
      <c r="A10" s="754" t="s">
        <v>2500</v>
      </c>
      <c r="B10" s="755"/>
      <c r="C10" s="755"/>
      <c r="D10" s="755"/>
      <c r="E10" s="755"/>
      <c r="F10" s="755"/>
      <c r="G10" s="755"/>
      <c r="H10" s="755"/>
      <c r="I10" s="756"/>
    </row>
    <row r="11" spans="1:9" s="78" customFormat="1" ht="13.9" thickBot="1" x14ac:dyDescent="0.35">
      <c r="A11" s="77"/>
      <c r="B11" s="77"/>
      <c r="C11" s="77"/>
      <c r="D11" s="70"/>
      <c r="E11" s="70"/>
      <c r="F11" s="70"/>
      <c r="G11" s="70"/>
      <c r="H11" s="70"/>
      <c r="I11" s="77"/>
    </row>
    <row r="12" spans="1:9" s="78" customFormat="1" ht="13.5" thickBot="1" x14ac:dyDescent="0.3">
      <c r="A12" s="761" t="s">
        <v>2501</v>
      </c>
      <c r="B12" s="762"/>
      <c r="C12" s="762"/>
      <c r="D12" s="120">
        <f>Canteiros!$H$13</f>
        <v>472</v>
      </c>
      <c r="E12" s="761" t="s">
        <v>1058</v>
      </c>
      <c r="F12" s="762"/>
      <c r="G12" s="762"/>
      <c r="H12" s="762"/>
      <c r="I12" s="120">
        <v>60</v>
      </c>
    </row>
    <row r="13" spans="1:9" s="78" customFormat="1" ht="13.9" thickBot="1" x14ac:dyDescent="0.35">
      <c r="A13" s="77"/>
      <c r="B13" s="77"/>
      <c r="C13" s="77"/>
      <c r="D13" s="70"/>
      <c r="E13" s="70"/>
      <c r="F13" s="70"/>
      <c r="G13" s="70"/>
      <c r="H13" s="70"/>
      <c r="I13" s="77"/>
    </row>
    <row r="14" spans="1:9" ht="13.9" thickBot="1" x14ac:dyDescent="0.35">
      <c r="A14" s="763" t="s">
        <v>689</v>
      </c>
      <c r="B14" s="764"/>
      <c r="C14" s="764"/>
      <c r="D14" s="764"/>
      <c r="E14" s="764"/>
      <c r="F14" s="764"/>
      <c r="G14" s="764"/>
      <c r="H14" s="764"/>
      <c r="I14" s="765"/>
    </row>
    <row r="15" spans="1:9" ht="25.5" x14ac:dyDescent="0.25">
      <c r="A15" s="391" t="s">
        <v>1466</v>
      </c>
      <c r="B15" s="391" t="s">
        <v>366</v>
      </c>
      <c r="C15" s="391" t="s">
        <v>1472</v>
      </c>
      <c r="D15" s="392" t="s">
        <v>364</v>
      </c>
      <c r="E15" s="392" t="s">
        <v>1046</v>
      </c>
      <c r="F15" s="392" t="s">
        <v>1047</v>
      </c>
      <c r="G15" s="393" t="s">
        <v>1471</v>
      </c>
      <c r="H15" s="393" t="s">
        <v>1468</v>
      </c>
      <c r="I15" s="391" t="s">
        <v>1469</v>
      </c>
    </row>
    <row r="16" spans="1:9" x14ac:dyDescent="0.25">
      <c r="A16" s="431" t="s">
        <v>2517</v>
      </c>
      <c r="B16" s="394" t="s">
        <v>2502</v>
      </c>
      <c r="C16" s="395" t="s">
        <v>1049</v>
      </c>
      <c r="D16" s="396">
        <v>2</v>
      </c>
      <c r="E16" s="397">
        <v>1</v>
      </c>
      <c r="F16" s="396">
        <v>1</v>
      </c>
      <c r="G16" s="396">
        <f>$D$12</f>
        <v>472</v>
      </c>
      <c r="H16" s="396">
        <f t="shared" ref="H16:H39" si="0">VLOOKUP(A16,A$181:C$189,3,FALSE)</f>
        <v>151.7799</v>
      </c>
      <c r="I16" s="396">
        <f t="shared" ref="I16:I39" si="1">ROUND(D16*(((G16*F16*E16)/$I$12)*H16),2)</f>
        <v>2388</v>
      </c>
    </row>
    <row r="17" spans="1:9" x14ac:dyDescent="0.25">
      <c r="A17" s="156" t="s">
        <v>2518</v>
      </c>
      <c r="B17" s="185" t="s">
        <v>1504</v>
      </c>
      <c r="C17" s="395" t="s">
        <v>1049</v>
      </c>
      <c r="D17" s="396">
        <v>1</v>
      </c>
      <c r="E17" s="397">
        <v>1</v>
      </c>
      <c r="F17" s="396">
        <v>1</v>
      </c>
      <c r="G17" s="396">
        <f t="shared" ref="G17:G39" si="2">$D$12</f>
        <v>472</v>
      </c>
      <c r="H17" s="396">
        <f t="shared" si="0"/>
        <v>153.78909999999999</v>
      </c>
      <c r="I17" s="396">
        <f t="shared" si="1"/>
        <v>1209.81</v>
      </c>
    </row>
    <row r="18" spans="1:9" x14ac:dyDescent="0.25">
      <c r="A18" s="156" t="s">
        <v>2519</v>
      </c>
      <c r="B18" s="185" t="s">
        <v>1506</v>
      </c>
      <c r="C18" s="395" t="s">
        <v>1049</v>
      </c>
      <c r="D18" s="396">
        <v>1</v>
      </c>
      <c r="E18" s="397">
        <v>1</v>
      </c>
      <c r="F18" s="396">
        <v>1</v>
      </c>
      <c r="G18" s="396">
        <f t="shared" si="2"/>
        <v>472</v>
      </c>
      <c r="H18" s="396">
        <f t="shared" si="0"/>
        <v>107.3732</v>
      </c>
      <c r="I18" s="396">
        <f t="shared" si="1"/>
        <v>844.67</v>
      </c>
    </row>
    <row r="19" spans="1:9" x14ac:dyDescent="0.25">
      <c r="A19" s="156" t="s">
        <v>2517</v>
      </c>
      <c r="B19" s="185" t="s">
        <v>2502</v>
      </c>
      <c r="C19" s="395" t="s">
        <v>1049</v>
      </c>
      <c r="D19" s="396">
        <v>1</v>
      </c>
      <c r="E19" s="397">
        <v>1</v>
      </c>
      <c r="F19" s="396">
        <v>1</v>
      </c>
      <c r="G19" s="396">
        <f t="shared" si="2"/>
        <v>472</v>
      </c>
      <c r="H19" s="396">
        <f t="shared" si="0"/>
        <v>151.7799</v>
      </c>
      <c r="I19" s="396">
        <f t="shared" si="1"/>
        <v>1194</v>
      </c>
    </row>
    <row r="20" spans="1:9" ht="63.75" x14ac:dyDescent="0.25">
      <c r="A20" s="156" t="s">
        <v>2520</v>
      </c>
      <c r="B20" s="185" t="s">
        <v>1507</v>
      </c>
      <c r="C20" s="395" t="s">
        <v>1049</v>
      </c>
      <c r="D20" s="396">
        <v>1</v>
      </c>
      <c r="E20" s="397">
        <v>1</v>
      </c>
      <c r="F20" s="396">
        <v>1</v>
      </c>
      <c r="G20" s="396">
        <f t="shared" si="2"/>
        <v>472</v>
      </c>
      <c r="H20" s="396">
        <f t="shared" si="0"/>
        <v>155.98259999999999</v>
      </c>
      <c r="I20" s="396">
        <f t="shared" si="1"/>
        <v>1227.06</v>
      </c>
    </row>
    <row r="21" spans="1:9" x14ac:dyDescent="0.25">
      <c r="A21" s="156" t="s">
        <v>2521</v>
      </c>
      <c r="B21" s="185" t="s">
        <v>1509</v>
      </c>
      <c r="C21" s="395" t="s">
        <v>1049</v>
      </c>
      <c r="D21" s="396">
        <v>1</v>
      </c>
      <c r="E21" s="397">
        <v>1</v>
      </c>
      <c r="F21" s="396">
        <v>1</v>
      </c>
      <c r="G21" s="396">
        <f t="shared" si="2"/>
        <v>472</v>
      </c>
      <c r="H21" s="396">
        <f t="shared" si="0"/>
        <v>179.2911</v>
      </c>
      <c r="I21" s="396">
        <f t="shared" si="1"/>
        <v>1410.42</v>
      </c>
    </row>
    <row r="22" spans="1:9" x14ac:dyDescent="0.25">
      <c r="A22" s="156" t="s">
        <v>2522</v>
      </c>
      <c r="B22" s="185" t="s">
        <v>1508</v>
      </c>
      <c r="C22" s="395" t="s">
        <v>1049</v>
      </c>
      <c r="D22" s="396">
        <v>1</v>
      </c>
      <c r="E22" s="397">
        <v>1</v>
      </c>
      <c r="F22" s="396">
        <v>1</v>
      </c>
      <c r="G22" s="396">
        <f t="shared" si="2"/>
        <v>472</v>
      </c>
      <c r="H22" s="396">
        <f t="shared" si="0"/>
        <v>149.4898</v>
      </c>
      <c r="I22" s="396">
        <f t="shared" si="1"/>
        <v>1175.99</v>
      </c>
    </row>
    <row r="23" spans="1:9" x14ac:dyDescent="0.25">
      <c r="A23" s="156" t="s">
        <v>2523</v>
      </c>
      <c r="B23" s="185" t="s">
        <v>715</v>
      </c>
      <c r="C23" s="395" t="s">
        <v>1049</v>
      </c>
      <c r="D23" s="396">
        <v>4</v>
      </c>
      <c r="E23" s="397">
        <v>1</v>
      </c>
      <c r="F23" s="396">
        <v>1</v>
      </c>
      <c r="G23" s="396">
        <f t="shared" si="2"/>
        <v>472</v>
      </c>
      <c r="H23" s="396">
        <f t="shared" si="0"/>
        <v>24.072099999999999</v>
      </c>
      <c r="I23" s="396">
        <f t="shared" si="1"/>
        <v>757.47</v>
      </c>
    </row>
    <row r="24" spans="1:9" s="78" customFormat="1" ht="25.5" x14ac:dyDescent="0.25">
      <c r="A24" s="142" t="s">
        <v>2524</v>
      </c>
      <c r="B24" s="182" t="s">
        <v>1517</v>
      </c>
      <c r="C24" s="434" t="s">
        <v>1048</v>
      </c>
      <c r="D24" s="435">
        <v>1</v>
      </c>
      <c r="E24" s="435">
        <v>1</v>
      </c>
      <c r="F24" s="435">
        <v>2</v>
      </c>
      <c r="G24" s="435">
        <f t="shared" si="2"/>
        <v>472</v>
      </c>
      <c r="H24" s="435">
        <f t="shared" si="0"/>
        <v>229.38839999999999</v>
      </c>
      <c r="I24" s="435">
        <f t="shared" si="1"/>
        <v>3609.04</v>
      </c>
    </row>
    <row r="25" spans="1:9" ht="38.25" x14ac:dyDescent="0.25">
      <c r="A25" s="156" t="s">
        <v>2524</v>
      </c>
      <c r="B25" s="185" t="s">
        <v>905</v>
      </c>
      <c r="C25" s="395" t="s">
        <v>1048</v>
      </c>
      <c r="D25" s="396">
        <v>1</v>
      </c>
      <c r="E25" s="397">
        <v>1</v>
      </c>
      <c r="F25" s="396">
        <v>2</v>
      </c>
      <c r="G25" s="396">
        <f t="shared" si="2"/>
        <v>472</v>
      </c>
      <c r="H25" s="396">
        <f t="shared" si="0"/>
        <v>229.38839999999999</v>
      </c>
      <c r="I25" s="396">
        <f t="shared" si="1"/>
        <v>3609.04</v>
      </c>
    </row>
    <row r="26" spans="1:9" s="78" customFormat="1" ht="25.5" x14ac:dyDescent="0.25">
      <c r="A26" s="142" t="s">
        <v>2524</v>
      </c>
      <c r="B26" s="182" t="s">
        <v>906</v>
      </c>
      <c r="C26" s="434" t="s">
        <v>1048</v>
      </c>
      <c r="D26" s="435">
        <v>1</v>
      </c>
      <c r="E26" s="435">
        <v>1</v>
      </c>
      <c r="F26" s="435">
        <v>2</v>
      </c>
      <c r="G26" s="435">
        <f t="shared" si="2"/>
        <v>472</v>
      </c>
      <c r="H26" s="435">
        <f t="shared" si="0"/>
        <v>229.38839999999999</v>
      </c>
      <c r="I26" s="435">
        <f t="shared" si="1"/>
        <v>3609.04</v>
      </c>
    </row>
    <row r="27" spans="1:9" s="78" customFormat="1" ht="25.5" x14ac:dyDescent="0.25">
      <c r="A27" s="142" t="s">
        <v>2524</v>
      </c>
      <c r="B27" s="182" t="s">
        <v>907</v>
      </c>
      <c r="C27" s="434" t="s">
        <v>1048</v>
      </c>
      <c r="D27" s="435">
        <v>1</v>
      </c>
      <c r="E27" s="435">
        <v>1</v>
      </c>
      <c r="F27" s="435">
        <v>2</v>
      </c>
      <c r="G27" s="435">
        <f t="shared" si="2"/>
        <v>472</v>
      </c>
      <c r="H27" s="435">
        <f t="shared" si="0"/>
        <v>229.38839999999999</v>
      </c>
      <c r="I27" s="435">
        <f t="shared" si="1"/>
        <v>3609.04</v>
      </c>
    </row>
    <row r="28" spans="1:9" s="78" customFormat="1" ht="25.5" x14ac:dyDescent="0.25">
      <c r="A28" s="142" t="s">
        <v>2521</v>
      </c>
      <c r="B28" s="182" t="s">
        <v>1510</v>
      </c>
      <c r="C28" s="434" t="s">
        <v>1059</v>
      </c>
      <c r="D28" s="435">
        <v>1</v>
      </c>
      <c r="E28" s="435">
        <v>1</v>
      </c>
      <c r="F28" s="435">
        <v>2</v>
      </c>
      <c r="G28" s="435">
        <f t="shared" si="2"/>
        <v>472</v>
      </c>
      <c r="H28" s="435">
        <f t="shared" si="0"/>
        <v>179.2911</v>
      </c>
      <c r="I28" s="435">
        <f t="shared" si="1"/>
        <v>2820.85</v>
      </c>
    </row>
    <row r="29" spans="1:9" s="78" customFormat="1" ht="25.5" x14ac:dyDescent="0.25">
      <c r="A29" s="142" t="s">
        <v>2521</v>
      </c>
      <c r="B29" s="182" t="s">
        <v>1511</v>
      </c>
      <c r="C29" s="434" t="s">
        <v>1059</v>
      </c>
      <c r="D29" s="435">
        <v>1</v>
      </c>
      <c r="E29" s="435">
        <v>1</v>
      </c>
      <c r="F29" s="435">
        <v>2</v>
      </c>
      <c r="G29" s="435">
        <f t="shared" si="2"/>
        <v>472</v>
      </c>
      <c r="H29" s="435">
        <f t="shared" si="0"/>
        <v>179.2911</v>
      </c>
      <c r="I29" s="435">
        <f t="shared" si="1"/>
        <v>2820.85</v>
      </c>
    </row>
    <row r="30" spans="1:9" s="78" customFormat="1" ht="38.25" x14ac:dyDescent="0.25">
      <c r="A30" s="142" t="s">
        <v>2521</v>
      </c>
      <c r="B30" s="182" t="s">
        <v>1512</v>
      </c>
      <c r="C30" s="434" t="s">
        <v>1059</v>
      </c>
      <c r="D30" s="435">
        <v>1</v>
      </c>
      <c r="E30" s="435">
        <v>1</v>
      </c>
      <c r="F30" s="435">
        <v>2</v>
      </c>
      <c r="G30" s="435">
        <f t="shared" si="2"/>
        <v>472</v>
      </c>
      <c r="H30" s="435">
        <f t="shared" si="0"/>
        <v>179.2911</v>
      </c>
      <c r="I30" s="435">
        <f t="shared" si="1"/>
        <v>2820.85</v>
      </c>
    </row>
    <row r="31" spans="1:9" s="78" customFormat="1" ht="25.5" x14ac:dyDescent="0.25">
      <c r="A31" s="142" t="s">
        <v>2521</v>
      </c>
      <c r="B31" s="182" t="s">
        <v>1513</v>
      </c>
      <c r="C31" s="434" t="s">
        <v>1059</v>
      </c>
      <c r="D31" s="435">
        <v>1</v>
      </c>
      <c r="E31" s="435">
        <v>1</v>
      </c>
      <c r="F31" s="435">
        <v>2</v>
      </c>
      <c r="G31" s="435">
        <f t="shared" si="2"/>
        <v>472</v>
      </c>
      <c r="H31" s="435">
        <f t="shared" si="0"/>
        <v>179.2911</v>
      </c>
      <c r="I31" s="435">
        <f t="shared" si="1"/>
        <v>2820.85</v>
      </c>
    </row>
    <row r="32" spans="1:9" s="78" customFormat="1" ht="25.5" x14ac:dyDescent="0.25">
      <c r="A32" s="142" t="s">
        <v>2524</v>
      </c>
      <c r="B32" s="182" t="s">
        <v>932</v>
      </c>
      <c r="C32" s="434" t="s">
        <v>1048</v>
      </c>
      <c r="D32" s="435">
        <v>1</v>
      </c>
      <c r="E32" s="435">
        <v>1</v>
      </c>
      <c r="F32" s="435">
        <v>2</v>
      </c>
      <c r="G32" s="435">
        <f t="shared" si="2"/>
        <v>472</v>
      </c>
      <c r="H32" s="435">
        <f t="shared" si="0"/>
        <v>229.38839999999999</v>
      </c>
      <c r="I32" s="435">
        <f t="shared" si="1"/>
        <v>3609.04</v>
      </c>
    </row>
    <row r="33" spans="1:9" ht="25.5" x14ac:dyDescent="0.25">
      <c r="A33" s="156" t="s">
        <v>2524</v>
      </c>
      <c r="B33" s="185" t="s">
        <v>2503</v>
      </c>
      <c r="C33" s="395" t="s">
        <v>1048</v>
      </c>
      <c r="D33" s="396">
        <v>1</v>
      </c>
      <c r="E33" s="397">
        <v>1</v>
      </c>
      <c r="F33" s="396">
        <v>2</v>
      </c>
      <c r="G33" s="396">
        <f t="shared" si="2"/>
        <v>472</v>
      </c>
      <c r="H33" s="396">
        <f t="shared" si="0"/>
        <v>229.38839999999999</v>
      </c>
      <c r="I33" s="396">
        <f t="shared" si="1"/>
        <v>3609.04</v>
      </c>
    </row>
    <row r="34" spans="1:9" s="78" customFormat="1" ht="25.5" x14ac:dyDescent="0.25">
      <c r="A34" s="142" t="s">
        <v>2524</v>
      </c>
      <c r="B34" s="182" t="s">
        <v>932</v>
      </c>
      <c r="C34" s="434" t="s">
        <v>1048</v>
      </c>
      <c r="D34" s="435">
        <v>1</v>
      </c>
      <c r="E34" s="435">
        <v>1</v>
      </c>
      <c r="F34" s="435">
        <v>2</v>
      </c>
      <c r="G34" s="435">
        <f t="shared" si="2"/>
        <v>472</v>
      </c>
      <c r="H34" s="435">
        <f t="shared" si="0"/>
        <v>229.38839999999999</v>
      </c>
      <c r="I34" s="435">
        <f t="shared" si="1"/>
        <v>3609.04</v>
      </c>
    </row>
    <row r="35" spans="1:9" s="78" customFormat="1" ht="25.5" x14ac:dyDescent="0.25">
      <c r="A35" s="142" t="s">
        <v>2524</v>
      </c>
      <c r="B35" s="182" t="s">
        <v>906</v>
      </c>
      <c r="C35" s="434" t="s">
        <v>1048</v>
      </c>
      <c r="D35" s="435">
        <v>1</v>
      </c>
      <c r="E35" s="435">
        <v>1</v>
      </c>
      <c r="F35" s="435">
        <v>2</v>
      </c>
      <c r="G35" s="435">
        <f t="shared" si="2"/>
        <v>472</v>
      </c>
      <c r="H35" s="435">
        <f t="shared" si="0"/>
        <v>229.38839999999999</v>
      </c>
      <c r="I35" s="435">
        <f t="shared" si="1"/>
        <v>3609.04</v>
      </c>
    </row>
    <row r="36" spans="1:9" s="78" customFormat="1" ht="25.5" x14ac:dyDescent="0.25">
      <c r="A36" s="142" t="s">
        <v>2524</v>
      </c>
      <c r="B36" s="182" t="s">
        <v>933</v>
      </c>
      <c r="C36" s="434" t="s">
        <v>1048</v>
      </c>
      <c r="D36" s="435">
        <v>1</v>
      </c>
      <c r="E36" s="435">
        <v>1</v>
      </c>
      <c r="F36" s="435">
        <v>2</v>
      </c>
      <c r="G36" s="435">
        <f t="shared" si="2"/>
        <v>472</v>
      </c>
      <c r="H36" s="435">
        <f t="shared" si="0"/>
        <v>229.38839999999999</v>
      </c>
      <c r="I36" s="435">
        <f t="shared" si="1"/>
        <v>3609.04</v>
      </c>
    </row>
    <row r="37" spans="1:9" ht="25.5" x14ac:dyDescent="0.25">
      <c r="A37" s="156" t="s">
        <v>2524</v>
      </c>
      <c r="B37" s="185" t="s">
        <v>958</v>
      </c>
      <c r="C37" s="395" t="s">
        <v>1048</v>
      </c>
      <c r="D37" s="396">
        <v>1</v>
      </c>
      <c r="E37" s="397">
        <v>1</v>
      </c>
      <c r="F37" s="396">
        <v>2</v>
      </c>
      <c r="G37" s="396">
        <f t="shared" si="2"/>
        <v>472</v>
      </c>
      <c r="H37" s="396">
        <f t="shared" si="0"/>
        <v>229.38839999999999</v>
      </c>
      <c r="I37" s="396">
        <f t="shared" si="1"/>
        <v>3609.04</v>
      </c>
    </row>
    <row r="38" spans="1:9" ht="38.25" x14ac:dyDescent="0.25">
      <c r="A38" s="156" t="s">
        <v>2524</v>
      </c>
      <c r="B38" s="185" t="s">
        <v>924</v>
      </c>
      <c r="C38" s="395" t="s">
        <v>1048</v>
      </c>
      <c r="D38" s="396">
        <v>1</v>
      </c>
      <c r="E38" s="397">
        <v>1</v>
      </c>
      <c r="F38" s="396">
        <v>2</v>
      </c>
      <c r="G38" s="396">
        <f t="shared" si="2"/>
        <v>472</v>
      </c>
      <c r="H38" s="396">
        <f t="shared" si="0"/>
        <v>229.38839999999999</v>
      </c>
      <c r="I38" s="396">
        <f t="shared" si="1"/>
        <v>3609.04</v>
      </c>
    </row>
    <row r="39" spans="1:9" ht="89.25" x14ac:dyDescent="0.25">
      <c r="A39" s="156" t="s">
        <v>2523</v>
      </c>
      <c r="B39" s="185" t="s">
        <v>1505</v>
      </c>
      <c r="C39" s="395" t="s">
        <v>1049</v>
      </c>
      <c r="D39" s="396">
        <v>4</v>
      </c>
      <c r="E39" s="397">
        <v>1</v>
      </c>
      <c r="F39" s="396">
        <v>1</v>
      </c>
      <c r="G39" s="396">
        <f t="shared" si="2"/>
        <v>472</v>
      </c>
      <c r="H39" s="396">
        <f t="shared" si="0"/>
        <v>24.072099999999999</v>
      </c>
      <c r="I39" s="396">
        <f t="shared" si="1"/>
        <v>757.47</v>
      </c>
    </row>
    <row r="40" spans="1:9" x14ac:dyDescent="0.25">
      <c r="A40" s="156"/>
      <c r="B40" s="185"/>
      <c r="C40" s="395"/>
      <c r="D40" s="396"/>
      <c r="E40" s="397"/>
      <c r="F40" s="396"/>
      <c r="G40" s="396"/>
      <c r="H40" s="396"/>
      <c r="I40" s="396"/>
    </row>
    <row r="41" spans="1:9" ht="13.5" thickBot="1" x14ac:dyDescent="0.3">
      <c r="A41" s="766" t="s">
        <v>1050</v>
      </c>
      <c r="B41" s="766"/>
      <c r="C41" s="766"/>
      <c r="D41" s="766"/>
      <c r="E41" s="766"/>
      <c r="F41" s="766"/>
      <c r="G41" s="766"/>
      <c r="H41" s="766"/>
      <c r="I41" s="400">
        <f>SUM(I16:I39)</f>
        <v>61947.73</v>
      </c>
    </row>
    <row r="42" spans="1:9" s="91" customFormat="1" ht="13.5" thickBot="1" x14ac:dyDescent="0.3">
      <c r="A42" s="127"/>
      <c r="B42" s="127"/>
      <c r="C42" s="127"/>
      <c r="D42" s="126"/>
      <c r="E42" s="126"/>
      <c r="F42" s="126"/>
      <c r="G42" s="126"/>
      <c r="H42" s="126"/>
      <c r="I42" s="128"/>
    </row>
    <row r="43" spans="1:9" ht="13.5" thickBot="1" x14ac:dyDescent="0.3">
      <c r="A43" s="763" t="s">
        <v>690</v>
      </c>
      <c r="B43" s="764"/>
      <c r="C43" s="764"/>
      <c r="D43" s="764"/>
      <c r="E43" s="764"/>
      <c r="F43" s="764"/>
      <c r="G43" s="764"/>
      <c r="H43" s="764"/>
      <c r="I43" s="765"/>
    </row>
    <row r="44" spans="1:9" ht="25.5" x14ac:dyDescent="0.25">
      <c r="A44" s="391" t="s">
        <v>1466</v>
      </c>
      <c r="B44" s="391" t="s">
        <v>366</v>
      </c>
      <c r="C44" s="391" t="s">
        <v>410</v>
      </c>
      <c r="D44" s="392" t="s">
        <v>364</v>
      </c>
      <c r="E44" s="401"/>
      <c r="F44" s="401"/>
      <c r="G44" s="401"/>
      <c r="H44" s="391" t="s">
        <v>1470</v>
      </c>
      <c r="I44" s="391" t="s">
        <v>1469</v>
      </c>
    </row>
    <row r="45" spans="1:9" x14ac:dyDescent="0.25">
      <c r="A45" s="156" t="s">
        <v>1519</v>
      </c>
      <c r="B45" s="185" t="s">
        <v>1060</v>
      </c>
      <c r="C45" s="402" t="s">
        <v>3</v>
      </c>
      <c r="D45" s="158">
        <f>SUMIF(C16:C39,"RODANDO",D16:D39)</f>
        <v>16</v>
      </c>
      <c r="E45" s="403"/>
      <c r="F45" s="403"/>
      <c r="G45" s="403"/>
      <c r="H45" s="399">
        <f>VLOOKUP(A45,A$181:C$189,3,FALSE)</f>
        <v>18.64</v>
      </c>
      <c r="I45" s="396">
        <f>ROUND(D45*H45,2)</f>
        <v>298.24</v>
      </c>
    </row>
    <row r="46" spans="1:9" x14ac:dyDescent="0.25">
      <c r="A46" s="156" t="s">
        <v>1519</v>
      </c>
      <c r="B46" s="185" t="s">
        <v>1061</v>
      </c>
      <c r="C46" s="402" t="s">
        <v>3</v>
      </c>
      <c r="D46" s="158">
        <f>SUMIF(C16:C39,"CARRETA",D16:D39)+SUMIF(C16:C39,"REBOQUE",D16:D39)+SUMIF(C16:C39,"GUINDAUTO",D16:D39)</f>
        <v>15</v>
      </c>
      <c r="E46" s="403"/>
      <c r="F46" s="403"/>
      <c r="G46" s="403"/>
      <c r="H46" s="399">
        <f>VLOOKUP(A46,A$181:C$189,3,FALSE)</f>
        <v>18.64</v>
      </c>
      <c r="I46" s="396">
        <f>ROUND(D46*H46,2)</f>
        <v>279.60000000000002</v>
      </c>
    </row>
    <row r="47" spans="1:9" x14ac:dyDescent="0.25">
      <c r="A47" s="156"/>
      <c r="B47" s="185"/>
      <c r="C47" s="395"/>
      <c r="D47" s="404"/>
      <c r="E47" s="403"/>
      <c r="F47" s="403"/>
      <c r="G47" s="403"/>
      <c r="H47" s="396"/>
      <c r="I47" s="396"/>
    </row>
    <row r="48" spans="1:9" ht="13.5" thickBot="1" x14ac:dyDescent="0.3">
      <c r="A48" s="766" t="s">
        <v>1050</v>
      </c>
      <c r="B48" s="766"/>
      <c r="C48" s="766"/>
      <c r="D48" s="766"/>
      <c r="E48" s="766"/>
      <c r="F48" s="766"/>
      <c r="G48" s="766"/>
      <c r="H48" s="766"/>
      <c r="I48" s="400">
        <f>SUM(I45:I47)</f>
        <v>577.84</v>
      </c>
    </row>
    <row r="49" spans="1:9" s="91" customFormat="1" ht="13.5" thickBot="1" x14ac:dyDescent="0.3">
      <c r="A49" s="127"/>
      <c r="B49" s="127"/>
      <c r="C49" s="127"/>
      <c r="D49" s="126"/>
      <c r="E49" s="126"/>
      <c r="F49" s="126"/>
      <c r="G49" s="126"/>
      <c r="H49" s="126"/>
      <c r="I49" s="128"/>
    </row>
    <row r="50" spans="1:9" ht="13.5" thickBot="1" x14ac:dyDescent="0.3">
      <c r="A50" s="763" t="s">
        <v>2504</v>
      </c>
      <c r="B50" s="764"/>
      <c r="C50" s="764"/>
      <c r="D50" s="764"/>
      <c r="E50" s="764"/>
      <c r="F50" s="764"/>
      <c r="G50" s="764"/>
      <c r="H50" s="764"/>
      <c r="I50" s="765"/>
    </row>
    <row r="51" spans="1:9" ht="25.5" x14ac:dyDescent="0.25">
      <c r="A51" s="391" t="s">
        <v>1466</v>
      </c>
      <c r="B51" s="391" t="s">
        <v>366</v>
      </c>
      <c r="C51" s="391" t="s">
        <v>410</v>
      </c>
      <c r="D51" s="392" t="s">
        <v>364</v>
      </c>
      <c r="E51" s="405"/>
      <c r="F51" s="405"/>
      <c r="G51" s="405"/>
      <c r="H51" s="391" t="s">
        <v>1470</v>
      </c>
      <c r="I51" s="391" t="s">
        <v>1469</v>
      </c>
    </row>
    <row r="52" spans="1:9" x14ac:dyDescent="0.25">
      <c r="A52" s="156"/>
      <c r="B52" s="185"/>
      <c r="C52" s="395"/>
      <c r="D52" s="404"/>
      <c r="E52" s="403"/>
      <c r="F52" s="403"/>
      <c r="G52" s="403"/>
      <c r="H52" s="396"/>
      <c r="I52" s="396"/>
    </row>
    <row r="53" spans="1:9" x14ac:dyDescent="0.25">
      <c r="A53" s="156"/>
      <c r="B53" s="185"/>
      <c r="C53" s="395"/>
      <c r="D53" s="404"/>
      <c r="E53" s="403"/>
      <c r="F53" s="403"/>
      <c r="G53" s="403"/>
      <c r="H53" s="396"/>
      <c r="I53" s="396"/>
    </row>
    <row r="54" spans="1:9" ht="13.5" thickBot="1" x14ac:dyDescent="0.3">
      <c r="A54" s="766" t="s">
        <v>1050</v>
      </c>
      <c r="B54" s="766"/>
      <c r="C54" s="766"/>
      <c r="D54" s="766"/>
      <c r="E54" s="766"/>
      <c r="F54" s="766"/>
      <c r="G54" s="766"/>
      <c r="H54" s="766"/>
      <c r="I54" s="400">
        <f>SUM(I52:I53)</f>
        <v>0</v>
      </c>
    </row>
    <row r="55" spans="1:9" s="91" customFormat="1" ht="13.5" thickBot="1" x14ac:dyDescent="0.3">
      <c r="A55" s="127"/>
      <c r="B55" s="127"/>
      <c r="C55" s="127"/>
      <c r="D55" s="126"/>
      <c r="E55" s="126"/>
      <c r="F55" s="126"/>
      <c r="G55" s="126"/>
      <c r="H55" s="126"/>
      <c r="I55" s="128"/>
    </row>
    <row r="56" spans="1:9" ht="13.5" thickBot="1" x14ac:dyDescent="0.3">
      <c r="A56" s="763" t="s">
        <v>539</v>
      </c>
      <c r="B56" s="764"/>
      <c r="C56" s="764"/>
      <c r="D56" s="764"/>
      <c r="E56" s="764"/>
      <c r="F56" s="764"/>
      <c r="G56" s="764"/>
      <c r="H56" s="764"/>
      <c r="I56" s="765"/>
    </row>
    <row r="57" spans="1:9" ht="25.5" x14ac:dyDescent="0.25">
      <c r="A57" s="391" t="s">
        <v>1466</v>
      </c>
      <c r="B57" s="391" t="s">
        <v>366</v>
      </c>
      <c r="C57" s="391" t="s">
        <v>410</v>
      </c>
      <c r="D57" s="392" t="s">
        <v>364</v>
      </c>
      <c r="E57" s="401"/>
      <c r="F57" s="401"/>
      <c r="G57" s="401"/>
      <c r="H57" s="391" t="s">
        <v>1470</v>
      </c>
      <c r="I57" s="391" t="s">
        <v>1469</v>
      </c>
    </row>
    <row r="58" spans="1:9" x14ac:dyDescent="0.25">
      <c r="A58" s="156"/>
      <c r="B58" s="185"/>
      <c r="C58" s="398"/>
      <c r="D58" s="406"/>
      <c r="E58" s="407"/>
      <c r="F58" s="407"/>
      <c r="G58" s="407"/>
      <c r="H58" s="399"/>
      <c r="I58" s="399"/>
    </row>
    <row r="59" spans="1:9" x14ac:dyDescent="0.25">
      <c r="A59" s="156"/>
      <c r="B59" s="185"/>
      <c r="C59" s="395"/>
      <c r="D59" s="404"/>
      <c r="E59" s="403"/>
      <c r="F59" s="403"/>
      <c r="G59" s="403"/>
      <c r="H59" s="396"/>
      <c r="I59" s="396"/>
    </row>
    <row r="60" spans="1:9" ht="13.5" thickBot="1" x14ac:dyDescent="0.3">
      <c r="A60" s="766" t="s">
        <v>1050</v>
      </c>
      <c r="B60" s="766"/>
      <c r="C60" s="766"/>
      <c r="D60" s="766"/>
      <c r="E60" s="766"/>
      <c r="F60" s="766"/>
      <c r="G60" s="766"/>
      <c r="H60" s="766"/>
      <c r="I60" s="400">
        <f>SUM(I58:I59)</f>
        <v>0</v>
      </c>
    </row>
    <row r="61" spans="1:9" s="91" customFormat="1" ht="13.5" thickBot="1" x14ac:dyDescent="0.3">
      <c r="A61" s="127"/>
      <c r="B61" s="127"/>
      <c r="C61" s="127"/>
      <c r="D61" s="126"/>
      <c r="E61" s="126"/>
      <c r="F61" s="126"/>
      <c r="G61" s="126"/>
      <c r="H61" s="126"/>
      <c r="I61" s="128"/>
    </row>
    <row r="62" spans="1:9" ht="13.5" thickBot="1" x14ac:dyDescent="0.3">
      <c r="A62" s="767" t="s">
        <v>1467</v>
      </c>
      <c r="B62" s="768"/>
      <c r="C62" s="432">
        <v>1</v>
      </c>
      <c r="D62" s="767" t="s">
        <v>693</v>
      </c>
      <c r="E62" s="768"/>
      <c r="F62" s="768"/>
      <c r="G62" s="768"/>
      <c r="H62" s="768"/>
      <c r="I62" s="433">
        <f>I41+I48+I54+I60</f>
        <v>62525.57</v>
      </c>
    </row>
    <row r="63" spans="1:9" s="91" customFormat="1" ht="13.5" thickBot="1" x14ac:dyDescent="0.3">
      <c r="A63" s="127"/>
      <c r="B63" s="127"/>
      <c r="C63" s="127"/>
      <c r="D63" s="126"/>
      <c r="E63" s="126"/>
      <c r="F63" s="126"/>
      <c r="G63" s="126"/>
      <c r="H63" s="126"/>
      <c r="I63" s="128"/>
    </row>
    <row r="64" spans="1:9" ht="13.5" thickBot="1" x14ac:dyDescent="0.3">
      <c r="A64" s="769" t="str">
        <f>"TOTAL-"&amp;A9&amp;"-(R$):"</f>
        <v>TOTAL-COMPOSIÇÃO DE PREÇO UNITÁRIO-MOBILIZAÇÃO-(R$):</v>
      </c>
      <c r="B64" s="770"/>
      <c r="C64" s="771"/>
      <c r="D64" s="771"/>
      <c r="E64" s="771"/>
      <c r="F64" s="771"/>
      <c r="G64" s="771"/>
      <c r="H64" s="772"/>
      <c r="I64" s="26">
        <f>ROUND(C62*I62,2)</f>
        <v>62525.57</v>
      </c>
    </row>
    <row r="66" spans="1:9" ht="13.5" thickBot="1" x14ac:dyDescent="0.3"/>
    <row r="67" spans="1:9" x14ac:dyDescent="0.25">
      <c r="A67" s="757" t="s">
        <v>2499</v>
      </c>
      <c r="B67" s="758"/>
      <c r="C67" s="759"/>
      <c r="D67" s="759"/>
      <c r="E67" s="759"/>
      <c r="F67" s="759"/>
      <c r="G67" s="759"/>
      <c r="H67" s="759"/>
      <c r="I67" s="760"/>
    </row>
    <row r="68" spans="1:9" ht="13.5" thickBot="1" x14ac:dyDescent="0.3">
      <c r="A68" s="754" t="s">
        <v>2505</v>
      </c>
      <c r="B68" s="755"/>
      <c r="C68" s="755"/>
      <c r="D68" s="755"/>
      <c r="E68" s="755"/>
      <c r="F68" s="755"/>
      <c r="G68" s="755"/>
      <c r="H68" s="755"/>
      <c r="I68" s="756"/>
    </row>
    <row r="69" spans="1:9" ht="13.5" thickBot="1" x14ac:dyDescent="0.3">
      <c r="A69" s="77"/>
      <c r="B69" s="77"/>
      <c r="C69" s="77"/>
      <c r="D69" s="70"/>
      <c r="E69" s="70"/>
      <c r="F69" s="70"/>
      <c r="G69" s="70"/>
      <c r="H69" s="70"/>
      <c r="I69" s="77"/>
    </row>
    <row r="70" spans="1:9" ht="13.5" thickBot="1" x14ac:dyDescent="0.3">
      <c r="A70" s="761" t="s">
        <v>2506</v>
      </c>
      <c r="B70" s="762"/>
      <c r="C70" s="762"/>
      <c r="D70" s="120">
        <f>Canteiros!$H$17</f>
        <v>368</v>
      </c>
      <c r="E70" s="761" t="s">
        <v>1058</v>
      </c>
      <c r="F70" s="762"/>
      <c r="G70" s="762"/>
      <c r="H70" s="762"/>
      <c r="I70" s="119">
        <f>I$12</f>
        <v>60</v>
      </c>
    </row>
    <row r="71" spans="1:9" ht="13.5" thickBot="1" x14ac:dyDescent="0.3">
      <c r="A71" s="77"/>
      <c r="B71" s="77"/>
      <c r="C71" s="77"/>
      <c r="D71" s="70"/>
      <c r="E71" s="70"/>
      <c r="F71" s="70"/>
      <c r="G71" s="70"/>
      <c r="H71" s="70"/>
      <c r="I71" s="77"/>
    </row>
    <row r="72" spans="1:9" ht="13.5" thickBot="1" x14ac:dyDescent="0.3">
      <c r="A72" s="763" t="s">
        <v>689</v>
      </c>
      <c r="B72" s="764"/>
      <c r="C72" s="764"/>
      <c r="D72" s="764"/>
      <c r="E72" s="764"/>
      <c r="F72" s="764"/>
      <c r="G72" s="764"/>
      <c r="H72" s="764"/>
      <c r="I72" s="765"/>
    </row>
    <row r="73" spans="1:9" ht="25.5" x14ac:dyDescent="0.25">
      <c r="A73" s="391" t="s">
        <v>1466</v>
      </c>
      <c r="B73" s="391" t="s">
        <v>366</v>
      </c>
      <c r="C73" s="391" t="s">
        <v>1472</v>
      </c>
      <c r="D73" s="392" t="s">
        <v>364</v>
      </c>
      <c r="E73" s="392" t="s">
        <v>1046</v>
      </c>
      <c r="F73" s="392" t="s">
        <v>1047</v>
      </c>
      <c r="G73" s="393" t="s">
        <v>1471</v>
      </c>
      <c r="H73" s="393" t="s">
        <v>1468</v>
      </c>
      <c r="I73" s="391" t="s">
        <v>1469</v>
      </c>
    </row>
    <row r="74" spans="1:9" x14ac:dyDescent="0.25">
      <c r="A74" s="156" t="s">
        <v>2517</v>
      </c>
      <c r="B74" s="185" t="s">
        <v>2502</v>
      </c>
      <c r="C74" s="395" t="s">
        <v>1049</v>
      </c>
      <c r="D74" s="396">
        <v>2</v>
      </c>
      <c r="E74" s="397">
        <v>1</v>
      </c>
      <c r="F74" s="396">
        <v>1</v>
      </c>
      <c r="G74" s="396">
        <f>$D$70</f>
        <v>368</v>
      </c>
      <c r="H74" s="396">
        <f t="shared" ref="H74:H87" si="3">VLOOKUP(A74,A$181:C$189,3,FALSE)</f>
        <v>151.7799</v>
      </c>
      <c r="I74" s="396">
        <f t="shared" ref="I74:I87" si="4">ROUND(D74*(((G74*F74*E74)/$I$12)*H74),2)</f>
        <v>1861.83</v>
      </c>
    </row>
    <row r="75" spans="1:9" x14ac:dyDescent="0.25">
      <c r="A75" s="156" t="s">
        <v>2518</v>
      </c>
      <c r="B75" s="185" t="s">
        <v>1504</v>
      </c>
      <c r="C75" s="395" t="s">
        <v>1049</v>
      </c>
      <c r="D75" s="396">
        <v>1</v>
      </c>
      <c r="E75" s="397">
        <v>1</v>
      </c>
      <c r="F75" s="396">
        <v>1</v>
      </c>
      <c r="G75" s="396">
        <f>$D$70</f>
        <v>368</v>
      </c>
      <c r="H75" s="396">
        <f t="shared" si="3"/>
        <v>153.78909999999999</v>
      </c>
      <c r="I75" s="396">
        <f t="shared" si="4"/>
        <v>943.24</v>
      </c>
    </row>
    <row r="76" spans="1:9" x14ac:dyDescent="0.25">
      <c r="A76" s="156" t="s">
        <v>2519</v>
      </c>
      <c r="B76" s="185" t="s">
        <v>1506</v>
      </c>
      <c r="C76" s="395" t="s">
        <v>1049</v>
      </c>
      <c r="D76" s="396">
        <v>1</v>
      </c>
      <c r="E76" s="397">
        <v>1</v>
      </c>
      <c r="F76" s="396">
        <v>1</v>
      </c>
      <c r="G76" s="396">
        <f t="shared" ref="G76:G87" si="5">$D$70</f>
        <v>368</v>
      </c>
      <c r="H76" s="396">
        <f t="shared" si="3"/>
        <v>107.3732</v>
      </c>
      <c r="I76" s="396">
        <f t="shared" si="4"/>
        <v>658.56</v>
      </c>
    </row>
    <row r="77" spans="1:9" x14ac:dyDescent="0.25">
      <c r="A77" s="156" t="s">
        <v>2517</v>
      </c>
      <c r="B77" s="185" t="s">
        <v>2502</v>
      </c>
      <c r="C77" s="395" t="s">
        <v>1049</v>
      </c>
      <c r="D77" s="396">
        <v>1</v>
      </c>
      <c r="E77" s="397">
        <v>1</v>
      </c>
      <c r="F77" s="396">
        <v>1</v>
      </c>
      <c r="G77" s="396">
        <f t="shared" si="5"/>
        <v>368</v>
      </c>
      <c r="H77" s="396">
        <f t="shared" si="3"/>
        <v>151.7799</v>
      </c>
      <c r="I77" s="396">
        <f t="shared" si="4"/>
        <v>930.92</v>
      </c>
    </row>
    <row r="78" spans="1:9" x14ac:dyDescent="0.25">
      <c r="A78" s="156" t="s">
        <v>2521</v>
      </c>
      <c r="B78" s="185" t="s">
        <v>1509</v>
      </c>
      <c r="C78" s="395" t="s">
        <v>1049</v>
      </c>
      <c r="D78" s="396">
        <v>1</v>
      </c>
      <c r="E78" s="397">
        <v>1</v>
      </c>
      <c r="F78" s="396">
        <v>1</v>
      </c>
      <c r="G78" s="396">
        <f t="shared" si="5"/>
        <v>368</v>
      </c>
      <c r="H78" s="396">
        <f t="shared" si="3"/>
        <v>179.2911</v>
      </c>
      <c r="I78" s="396">
        <f t="shared" si="4"/>
        <v>1099.6500000000001</v>
      </c>
    </row>
    <row r="79" spans="1:9" x14ac:dyDescent="0.25">
      <c r="A79" s="156" t="s">
        <v>2522</v>
      </c>
      <c r="B79" s="185" t="s">
        <v>1508</v>
      </c>
      <c r="C79" s="395" t="s">
        <v>1049</v>
      </c>
      <c r="D79" s="396">
        <v>1</v>
      </c>
      <c r="E79" s="397">
        <v>1</v>
      </c>
      <c r="F79" s="396">
        <v>1</v>
      </c>
      <c r="G79" s="396">
        <f t="shared" si="5"/>
        <v>368</v>
      </c>
      <c r="H79" s="396">
        <f t="shared" si="3"/>
        <v>149.4898</v>
      </c>
      <c r="I79" s="396">
        <f t="shared" si="4"/>
        <v>916.87</v>
      </c>
    </row>
    <row r="80" spans="1:9" x14ac:dyDescent="0.25">
      <c r="A80" s="156" t="s">
        <v>2523</v>
      </c>
      <c r="B80" s="185" t="s">
        <v>715</v>
      </c>
      <c r="C80" s="395" t="s">
        <v>1049</v>
      </c>
      <c r="D80" s="396">
        <v>4</v>
      </c>
      <c r="E80" s="397">
        <v>1</v>
      </c>
      <c r="F80" s="396">
        <v>1</v>
      </c>
      <c r="G80" s="396">
        <f t="shared" si="5"/>
        <v>368</v>
      </c>
      <c r="H80" s="396">
        <f t="shared" si="3"/>
        <v>24.072099999999999</v>
      </c>
      <c r="I80" s="396">
        <f t="shared" si="4"/>
        <v>590.57000000000005</v>
      </c>
    </row>
    <row r="81" spans="1:9" ht="25.5" x14ac:dyDescent="0.25">
      <c r="A81" s="156" t="s">
        <v>2524</v>
      </c>
      <c r="B81" s="185" t="s">
        <v>1517</v>
      </c>
      <c r="C81" s="395" t="s">
        <v>1048</v>
      </c>
      <c r="D81" s="396">
        <v>1</v>
      </c>
      <c r="E81" s="397">
        <v>1</v>
      </c>
      <c r="F81" s="396">
        <v>2</v>
      </c>
      <c r="G81" s="396">
        <f t="shared" si="5"/>
        <v>368</v>
      </c>
      <c r="H81" s="396">
        <f t="shared" si="3"/>
        <v>229.38839999999999</v>
      </c>
      <c r="I81" s="396">
        <f t="shared" si="4"/>
        <v>2813.83</v>
      </c>
    </row>
    <row r="82" spans="1:9" ht="25.5" x14ac:dyDescent="0.25">
      <c r="A82" s="156" t="s">
        <v>2521</v>
      </c>
      <c r="B82" s="185" t="s">
        <v>1510</v>
      </c>
      <c r="C82" s="398" t="s">
        <v>1059</v>
      </c>
      <c r="D82" s="399">
        <v>1</v>
      </c>
      <c r="E82" s="399">
        <v>1</v>
      </c>
      <c r="F82" s="399">
        <v>2</v>
      </c>
      <c r="G82" s="396">
        <f t="shared" si="5"/>
        <v>368</v>
      </c>
      <c r="H82" s="399">
        <f t="shared" si="3"/>
        <v>179.2911</v>
      </c>
      <c r="I82" s="399">
        <f t="shared" si="4"/>
        <v>2199.3000000000002</v>
      </c>
    </row>
    <row r="83" spans="1:9" ht="25.5" x14ac:dyDescent="0.25">
      <c r="A83" s="156" t="s">
        <v>2521</v>
      </c>
      <c r="B83" s="185" t="s">
        <v>1511</v>
      </c>
      <c r="C83" s="398" t="s">
        <v>1059</v>
      </c>
      <c r="D83" s="399">
        <v>1</v>
      </c>
      <c r="E83" s="399">
        <v>1</v>
      </c>
      <c r="F83" s="399">
        <v>2</v>
      </c>
      <c r="G83" s="396">
        <f t="shared" si="5"/>
        <v>368</v>
      </c>
      <c r="H83" s="399">
        <f t="shared" si="3"/>
        <v>179.2911</v>
      </c>
      <c r="I83" s="399">
        <f t="shared" si="4"/>
        <v>2199.3000000000002</v>
      </c>
    </row>
    <row r="84" spans="1:9" ht="38.25" x14ac:dyDescent="0.25">
      <c r="A84" s="156" t="s">
        <v>2521</v>
      </c>
      <c r="B84" s="185" t="s">
        <v>1512</v>
      </c>
      <c r="C84" s="398" t="s">
        <v>1059</v>
      </c>
      <c r="D84" s="399">
        <v>1</v>
      </c>
      <c r="E84" s="399">
        <v>1</v>
      </c>
      <c r="F84" s="399">
        <v>2</v>
      </c>
      <c r="G84" s="396">
        <f t="shared" si="5"/>
        <v>368</v>
      </c>
      <c r="H84" s="399">
        <f t="shared" si="3"/>
        <v>179.2911</v>
      </c>
      <c r="I84" s="399">
        <f t="shared" si="4"/>
        <v>2199.3000000000002</v>
      </c>
    </row>
    <row r="85" spans="1:9" ht="25.5" x14ac:dyDescent="0.25">
      <c r="A85" s="156" t="s">
        <v>2524</v>
      </c>
      <c r="B85" s="185" t="s">
        <v>932</v>
      </c>
      <c r="C85" s="395" t="s">
        <v>1048</v>
      </c>
      <c r="D85" s="396">
        <v>1</v>
      </c>
      <c r="E85" s="397">
        <v>1</v>
      </c>
      <c r="F85" s="396">
        <v>2</v>
      </c>
      <c r="G85" s="396">
        <f t="shared" si="5"/>
        <v>368</v>
      </c>
      <c r="H85" s="396">
        <f t="shared" si="3"/>
        <v>229.38839999999999</v>
      </c>
      <c r="I85" s="396">
        <f t="shared" si="4"/>
        <v>2813.83</v>
      </c>
    </row>
    <row r="86" spans="1:9" ht="38.25" x14ac:dyDescent="0.25">
      <c r="A86" s="156" t="s">
        <v>2524</v>
      </c>
      <c r="B86" s="185" t="s">
        <v>924</v>
      </c>
      <c r="C86" s="395" t="s">
        <v>1048</v>
      </c>
      <c r="D86" s="396">
        <v>2</v>
      </c>
      <c r="E86" s="397">
        <v>1</v>
      </c>
      <c r="F86" s="396">
        <v>2</v>
      </c>
      <c r="G86" s="396">
        <f t="shared" si="5"/>
        <v>368</v>
      </c>
      <c r="H86" s="396">
        <f t="shared" si="3"/>
        <v>229.38839999999999</v>
      </c>
      <c r="I86" s="396">
        <f t="shared" si="4"/>
        <v>5627.66</v>
      </c>
    </row>
    <row r="87" spans="1:9" ht="89.25" x14ac:dyDescent="0.25">
      <c r="A87" s="156" t="s">
        <v>2523</v>
      </c>
      <c r="B87" s="185" t="s">
        <v>1505</v>
      </c>
      <c r="C87" s="395" t="s">
        <v>1049</v>
      </c>
      <c r="D87" s="396">
        <v>4</v>
      </c>
      <c r="E87" s="397">
        <v>1</v>
      </c>
      <c r="F87" s="396">
        <v>1</v>
      </c>
      <c r="G87" s="396">
        <f t="shared" si="5"/>
        <v>368</v>
      </c>
      <c r="H87" s="396">
        <f t="shared" si="3"/>
        <v>24.072099999999999</v>
      </c>
      <c r="I87" s="396">
        <f t="shared" si="4"/>
        <v>590.57000000000005</v>
      </c>
    </row>
    <row r="88" spans="1:9" x14ac:dyDescent="0.25">
      <c r="A88" s="156"/>
      <c r="B88" s="185"/>
      <c r="C88" s="395"/>
      <c r="D88" s="396"/>
      <c r="E88" s="397"/>
      <c r="F88" s="396"/>
      <c r="G88" s="396"/>
      <c r="H88" s="396"/>
      <c r="I88" s="396"/>
    </row>
    <row r="89" spans="1:9" ht="13.5" thickBot="1" x14ac:dyDescent="0.3">
      <c r="A89" s="766" t="s">
        <v>1050</v>
      </c>
      <c r="B89" s="766"/>
      <c r="C89" s="766"/>
      <c r="D89" s="766"/>
      <c r="E89" s="766"/>
      <c r="F89" s="766"/>
      <c r="G89" s="766"/>
      <c r="H89" s="766"/>
      <c r="I89" s="400">
        <f>SUM(I74:I87)</f>
        <v>25445.429999999997</v>
      </c>
    </row>
    <row r="90" spans="1:9" s="91" customFormat="1" ht="13.5" thickBot="1" x14ac:dyDescent="0.3">
      <c r="A90" s="127"/>
      <c r="B90" s="127"/>
      <c r="C90" s="127"/>
      <c r="D90" s="126"/>
      <c r="E90" s="126"/>
      <c r="F90" s="126"/>
      <c r="G90" s="126"/>
      <c r="H90" s="126"/>
      <c r="I90" s="128"/>
    </row>
    <row r="91" spans="1:9" ht="13.5" thickBot="1" x14ac:dyDescent="0.3">
      <c r="A91" s="763" t="s">
        <v>690</v>
      </c>
      <c r="B91" s="764"/>
      <c r="C91" s="764"/>
      <c r="D91" s="764"/>
      <c r="E91" s="764"/>
      <c r="F91" s="764"/>
      <c r="G91" s="764"/>
      <c r="H91" s="764"/>
      <c r="I91" s="765"/>
    </row>
    <row r="92" spans="1:9" ht="25.5" x14ac:dyDescent="0.25">
      <c r="A92" s="391" t="s">
        <v>1466</v>
      </c>
      <c r="B92" s="391" t="s">
        <v>366</v>
      </c>
      <c r="C92" s="391" t="s">
        <v>410</v>
      </c>
      <c r="D92" s="392" t="s">
        <v>364</v>
      </c>
      <c r="E92" s="401"/>
      <c r="F92" s="401"/>
      <c r="G92" s="401"/>
      <c r="H92" s="391" t="s">
        <v>1470</v>
      </c>
      <c r="I92" s="391" t="s">
        <v>1469</v>
      </c>
    </row>
    <row r="93" spans="1:9" x14ac:dyDescent="0.25">
      <c r="A93" s="156" t="s">
        <v>1519</v>
      </c>
      <c r="B93" s="185" t="s">
        <v>1060</v>
      </c>
      <c r="C93" s="402" t="s">
        <v>3</v>
      </c>
      <c r="D93" s="158">
        <f>SUMIF(C74:C87,"RODANDO",D74:D87)</f>
        <v>15</v>
      </c>
      <c r="E93" s="403"/>
      <c r="F93" s="403"/>
      <c r="G93" s="403"/>
      <c r="H93" s="399">
        <f>VLOOKUP(A93,A$181:C$189,3,FALSE)</f>
        <v>18.64</v>
      </c>
      <c r="I93" s="396">
        <f>ROUND(D93*H93,2)</f>
        <v>279.60000000000002</v>
      </c>
    </row>
    <row r="94" spans="1:9" x14ac:dyDescent="0.25">
      <c r="A94" s="156" t="s">
        <v>1519</v>
      </c>
      <c r="B94" s="185" t="s">
        <v>1061</v>
      </c>
      <c r="C94" s="402" t="s">
        <v>3</v>
      </c>
      <c r="D94" s="158">
        <f>SUMIF(C74:C87,"CARRETA",D74:D87)+SUMIF(C74:C87,"REBOQUE",D74:D87)+SUMIF(C74:C87,"GUINDAUTO",D74:D87)</f>
        <v>7</v>
      </c>
      <c r="E94" s="403"/>
      <c r="F94" s="403"/>
      <c r="G94" s="403"/>
      <c r="H94" s="399">
        <f>VLOOKUP(A94,A$181:C$189,3,FALSE)</f>
        <v>18.64</v>
      </c>
      <c r="I94" s="396">
        <f>ROUND(D94*H94,2)</f>
        <v>130.47999999999999</v>
      </c>
    </row>
    <row r="95" spans="1:9" x14ac:dyDescent="0.25">
      <c r="A95" s="156"/>
      <c r="B95" s="185"/>
      <c r="C95" s="395"/>
      <c r="D95" s="404"/>
      <c r="E95" s="403"/>
      <c r="F95" s="403"/>
      <c r="G95" s="403"/>
      <c r="H95" s="396"/>
      <c r="I95" s="396"/>
    </row>
    <row r="96" spans="1:9" ht="13.5" thickBot="1" x14ac:dyDescent="0.3">
      <c r="A96" s="766" t="s">
        <v>1050</v>
      </c>
      <c r="B96" s="766"/>
      <c r="C96" s="766"/>
      <c r="D96" s="766"/>
      <c r="E96" s="766"/>
      <c r="F96" s="766"/>
      <c r="G96" s="766"/>
      <c r="H96" s="766"/>
      <c r="I96" s="400">
        <f>SUM(I93:I95)</f>
        <v>410.08000000000004</v>
      </c>
    </row>
    <row r="97" spans="1:9" s="91" customFormat="1" ht="13.5" thickBot="1" x14ac:dyDescent="0.3">
      <c r="A97" s="127"/>
      <c r="B97" s="127"/>
      <c r="C97" s="127"/>
      <c r="D97" s="126"/>
      <c r="E97" s="126"/>
      <c r="F97" s="126"/>
      <c r="G97" s="126"/>
      <c r="H97" s="126"/>
      <c r="I97" s="128"/>
    </row>
    <row r="98" spans="1:9" ht="13.5" thickBot="1" x14ac:dyDescent="0.3">
      <c r="A98" s="763" t="s">
        <v>2504</v>
      </c>
      <c r="B98" s="764"/>
      <c r="C98" s="764"/>
      <c r="D98" s="764"/>
      <c r="E98" s="764"/>
      <c r="F98" s="764"/>
      <c r="G98" s="764"/>
      <c r="H98" s="764"/>
      <c r="I98" s="765"/>
    </row>
    <row r="99" spans="1:9" ht="25.5" x14ac:dyDescent="0.25">
      <c r="A99" s="391" t="s">
        <v>1466</v>
      </c>
      <c r="B99" s="391" t="s">
        <v>366</v>
      </c>
      <c r="C99" s="391" t="s">
        <v>410</v>
      </c>
      <c r="D99" s="392" t="s">
        <v>364</v>
      </c>
      <c r="E99" s="405"/>
      <c r="F99" s="405"/>
      <c r="G99" s="405"/>
      <c r="H99" s="391" t="s">
        <v>1470</v>
      </c>
      <c r="I99" s="391" t="s">
        <v>1469</v>
      </c>
    </row>
    <row r="100" spans="1:9" x14ac:dyDescent="0.25">
      <c r="A100" s="156"/>
      <c r="B100" s="185"/>
      <c r="C100" s="395"/>
      <c r="D100" s="404"/>
      <c r="E100" s="403"/>
      <c r="F100" s="403"/>
      <c r="G100" s="403"/>
      <c r="H100" s="396"/>
      <c r="I100" s="396"/>
    </row>
    <row r="101" spans="1:9" x14ac:dyDescent="0.25">
      <c r="A101" s="156"/>
      <c r="B101" s="185"/>
      <c r="C101" s="395"/>
      <c r="D101" s="404"/>
      <c r="E101" s="403"/>
      <c r="F101" s="403"/>
      <c r="G101" s="403"/>
      <c r="H101" s="396"/>
      <c r="I101" s="396"/>
    </row>
    <row r="102" spans="1:9" ht="13.5" thickBot="1" x14ac:dyDescent="0.3">
      <c r="A102" s="766" t="s">
        <v>1050</v>
      </c>
      <c r="B102" s="766"/>
      <c r="C102" s="766"/>
      <c r="D102" s="766"/>
      <c r="E102" s="766"/>
      <c r="F102" s="766"/>
      <c r="G102" s="766"/>
      <c r="H102" s="766"/>
      <c r="I102" s="400">
        <f>SUM(I100:I101)</f>
        <v>0</v>
      </c>
    </row>
    <row r="103" spans="1:9" s="91" customFormat="1" ht="13.5" thickBot="1" x14ac:dyDescent="0.3">
      <c r="A103" s="127"/>
      <c r="B103" s="127"/>
      <c r="C103" s="127"/>
      <c r="D103" s="126"/>
      <c r="E103" s="126"/>
      <c r="F103" s="126"/>
      <c r="G103" s="126"/>
      <c r="H103" s="126"/>
      <c r="I103" s="128"/>
    </row>
    <row r="104" spans="1:9" ht="13.5" thickBot="1" x14ac:dyDescent="0.3">
      <c r="A104" s="763" t="s">
        <v>539</v>
      </c>
      <c r="B104" s="764"/>
      <c r="C104" s="764"/>
      <c r="D104" s="764"/>
      <c r="E104" s="764"/>
      <c r="F104" s="764"/>
      <c r="G104" s="764"/>
      <c r="H104" s="764"/>
      <c r="I104" s="765"/>
    </row>
    <row r="105" spans="1:9" ht="25.5" x14ac:dyDescent="0.25">
      <c r="A105" s="391" t="s">
        <v>1466</v>
      </c>
      <c r="B105" s="391" t="s">
        <v>366</v>
      </c>
      <c r="C105" s="391" t="s">
        <v>410</v>
      </c>
      <c r="D105" s="392" t="s">
        <v>364</v>
      </c>
      <c r="E105" s="401"/>
      <c r="F105" s="401"/>
      <c r="G105" s="401"/>
      <c r="H105" s="391" t="s">
        <v>1470</v>
      </c>
      <c r="I105" s="391" t="s">
        <v>1469</v>
      </c>
    </row>
    <row r="106" spans="1:9" x14ac:dyDescent="0.25">
      <c r="A106" s="156"/>
      <c r="B106" s="185"/>
      <c r="C106" s="398"/>
      <c r="D106" s="406"/>
      <c r="E106" s="407"/>
      <c r="F106" s="407"/>
      <c r="G106" s="407"/>
      <c r="H106" s="399"/>
      <c r="I106" s="399"/>
    </row>
    <row r="107" spans="1:9" x14ac:dyDescent="0.25">
      <c r="A107" s="156"/>
      <c r="B107" s="185"/>
      <c r="C107" s="395"/>
      <c r="D107" s="404"/>
      <c r="E107" s="403"/>
      <c r="F107" s="403"/>
      <c r="G107" s="403"/>
      <c r="H107" s="396"/>
      <c r="I107" s="396"/>
    </row>
    <row r="108" spans="1:9" ht="13.5" thickBot="1" x14ac:dyDescent="0.3">
      <c r="A108" s="766" t="s">
        <v>1050</v>
      </c>
      <c r="B108" s="766"/>
      <c r="C108" s="766"/>
      <c r="D108" s="766"/>
      <c r="E108" s="766"/>
      <c r="F108" s="766"/>
      <c r="G108" s="766"/>
      <c r="H108" s="766"/>
      <c r="I108" s="400">
        <f>SUM(I106:I107)</f>
        <v>0</v>
      </c>
    </row>
    <row r="109" spans="1:9" s="91" customFormat="1" ht="13.5" thickBot="1" x14ac:dyDescent="0.3">
      <c r="A109" s="127"/>
      <c r="B109" s="127"/>
      <c r="C109" s="127"/>
      <c r="D109" s="126"/>
      <c r="E109" s="126"/>
      <c r="F109" s="126"/>
      <c r="G109" s="126"/>
      <c r="H109" s="126"/>
      <c r="I109" s="128"/>
    </row>
    <row r="110" spans="1:9" ht="13.5" thickBot="1" x14ac:dyDescent="0.3">
      <c r="A110" s="767" t="s">
        <v>1467</v>
      </c>
      <c r="B110" s="768"/>
      <c r="C110" s="432">
        <v>1</v>
      </c>
      <c r="D110" s="767" t="s">
        <v>693</v>
      </c>
      <c r="E110" s="768"/>
      <c r="F110" s="768"/>
      <c r="G110" s="768"/>
      <c r="H110" s="768"/>
      <c r="I110" s="433">
        <f>I89+I96+I102+I108</f>
        <v>25855.51</v>
      </c>
    </row>
    <row r="111" spans="1:9" s="91" customFormat="1" ht="13.5" thickBot="1" x14ac:dyDescent="0.3">
      <c r="A111" s="127"/>
      <c r="B111" s="127"/>
      <c r="C111" s="127"/>
      <c r="D111" s="126"/>
      <c r="E111" s="126"/>
      <c r="F111" s="126"/>
      <c r="G111" s="126"/>
      <c r="H111" s="126"/>
      <c r="I111" s="128"/>
    </row>
    <row r="112" spans="1:9" ht="13.5" thickBot="1" x14ac:dyDescent="0.3">
      <c r="A112" s="769" t="str">
        <f>"TOTAL-"&amp;A67&amp;"-(R$):"</f>
        <v>TOTAL-COMPOSIÇÃO DE PREÇO UNITÁRIO-MOBILIZAÇÃO-(R$):</v>
      </c>
      <c r="B112" s="770"/>
      <c r="C112" s="771"/>
      <c r="D112" s="771"/>
      <c r="E112" s="771"/>
      <c r="F112" s="771"/>
      <c r="G112" s="771"/>
      <c r="H112" s="772"/>
      <c r="I112" s="26">
        <f>ROUND(C110*I110,2)</f>
        <v>25855.51</v>
      </c>
    </row>
    <row r="114" spans="1:9" ht="13.5" thickBot="1" x14ac:dyDescent="0.3"/>
    <row r="115" spans="1:9" x14ac:dyDescent="0.25">
      <c r="A115" s="757" t="s">
        <v>2499</v>
      </c>
      <c r="B115" s="758"/>
      <c r="C115" s="759"/>
      <c r="D115" s="759"/>
      <c r="E115" s="759"/>
      <c r="F115" s="759"/>
      <c r="G115" s="759"/>
      <c r="H115" s="759"/>
      <c r="I115" s="760"/>
    </row>
    <row r="116" spans="1:9" ht="13.5" thickBot="1" x14ac:dyDescent="0.3">
      <c r="A116" s="754" t="s">
        <v>2507</v>
      </c>
      <c r="B116" s="755"/>
      <c r="C116" s="755"/>
      <c r="D116" s="755"/>
      <c r="E116" s="755"/>
      <c r="F116" s="755"/>
      <c r="G116" s="755"/>
      <c r="H116" s="755"/>
      <c r="I116" s="756"/>
    </row>
    <row r="117" spans="1:9" ht="13.5" thickBot="1" x14ac:dyDescent="0.3">
      <c r="A117" s="77"/>
      <c r="B117" s="77"/>
      <c r="C117" s="77"/>
      <c r="D117" s="70"/>
      <c r="E117" s="70"/>
      <c r="F117" s="70"/>
      <c r="G117" s="70"/>
      <c r="H117" s="70"/>
      <c r="I117" s="77"/>
    </row>
    <row r="118" spans="1:9" ht="13.5" thickBot="1" x14ac:dyDescent="0.3">
      <c r="A118" s="761" t="s">
        <v>2508</v>
      </c>
      <c r="B118" s="762"/>
      <c r="C118" s="762"/>
      <c r="D118" s="120">
        <f>Canteiros!H21</f>
        <v>320</v>
      </c>
      <c r="E118" s="761" t="s">
        <v>1058</v>
      </c>
      <c r="F118" s="762"/>
      <c r="G118" s="762"/>
      <c r="H118" s="762"/>
      <c r="I118" s="119">
        <f>$I$12</f>
        <v>60</v>
      </c>
    </row>
    <row r="119" spans="1:9" ht="13.5" thickBot="1" x14ac:dyDescent="0.3">
      <c r="A119" s="77"/>
      <c r="B119" s="77"/>
      <c r="C119" s="77"/>
      <c r="D119" s="70"/>
      <c r="E119" s="70"/>
      <c r="F119" s="70"/>
      <c r="G119" s="70"/>
      <c r="H119" s="70"/>
      <c r="I119" s="77"/>
    </row>
    <row r="120" spans="1:9" ht="13.5" thickBot="1" x14ac:dyDescent="0.3">
      <c r="A120" s="763" t="s">
        <v>689</v>
      </c>
      <c r="B120" s="764"/>
      <c r="C120" s="764"/>
      <c r="D120" s="764"/>
      <c r="E120" s="764"/>
      <c r="F120" s="764"/>
      <c r="G120" s="764"/>
      <c r="H120" s="764"/>
      <c r="I120" s="765"/>
    </row>
    <row r="121" spans="1:9" ht="25.5" x14ac:dyDescent="0.25">
      <c r="A121" s="391" t="s">
        <v>1466</v>
      </c>
      <c r="B121" s="391" t="s">
        <v>366</v>
      </c>
      <c r="C121" s="391" t="s">
        <v>1472</v>
      </c>
      <c r="D121" s="392" t="s">
        <v>364</v>
      </c>
      <c r="E121" s="392" t="s">
        <v>1046</v>
      </c>
      <c r="F121" s="392" t="s">
        <v>1047</v>
      </c>
      <c r="G121" s="393" t="s">
        <v>1471</v>
      </c>
      <c r="H121" s="393" t="s">
        <v>1468</v>
      </c>
      <c r="I121" s="391" t="s">
        <v>1469</v>
      </c>
    </row>
    <row r="122" spans="1:9" x14ac:dyDescent="0.25">
      <c r="A122" s="156" t="s">
        <v>2517</v>
      </c>
      <c r="B122" s="185" t="s">
        <v>2502</v>
      </c>
      <c r="C122" s="395" t="s">
        <v>1049</v>
      </c>
      <c r="D122" s="396">
        <v>2</v>
      </c>
      <c r="E122" s="397">
        <v>1</v>
      </c>
      <c r="F122" s="396">
        <v>1</v>
      </c>
      <c r="G122" s="396">
        <f>$D$118</f>
        <v>320</v>
      </c>
      <c r="H122" s="396">
        <f t="shared" ref="H122:H139" si="6">VLOOKUP(A122,A$181:C$189,3,FALSE)</f>
        <v>151.7799</v>
      </c>
      <c r="I122" s="396">
        <f t="shared" ref="I122:I139" si="7">D122*(((G122*F122*E122)/$I$12)*H122)</f>
        <v>1618.9856</v>
      </c>
    </row>
    <row r="123" spans="1:9" x14ac:dyDescent="0.25">
      <c r="A123" s="156" t="s">
        <v>2518</v>
      </c>
      <c r="B123" s="185" t="s">
        <v>1504</v>
      </c>
      <c r="C123" s="395" t="s">
        <v>1049</v>
      </c>
      <c r="D123" s="396">
        <v>1</v>
      </c>
      <c r="E123" s="397">
        <v>1</v>
      </c>
      <c r="F123" s="396">
        <v>1</v>
      </c>
      <c r="G123" s="396">
        <f>$D$118</f>
        <v>320</v>
      </c>
      <c r="H123" s="396">
        <f t="shared" si="6"/>
        <v>153.78909999999999</v>
      </c>
      <c r="I123" s="396">
        <f t="shared" si="7"/>
        <v>820.20853333333321</v>
      </c>
    </row>
    <row r="124" spans="1:9" x14ac:dyDescent="0.25">
      <c r="A124" s="156" t="s">
        <v>2519</v>
      </c>
      <c r="B124" s="185" t="s">
        <v>1506</v>
      </c>
      <c r="C124" s="395" t="s">
        <v>1049</v>
      </c>
      <c r="D124" s="396">
        <v>1</v>
      </c>
      <c r="E124" s="397">
        <v>1</v>
      </c>
      <c r="F124" s="396">
        <v>1</v>
      </c>
      <c r="G124" s="396">
        <f t="shared" ref="G124:G139" si="8">$D$118</f>
        <v>320</v>
      </c>
      <c r="H124" s="396">
        <f t="shared" si="6"/>
        <v>107.3732</v>
      </c>
      <c r="I124" s="396">
        <f t="shared" si="7"/>
        <v>572.65706666666665</v>
      </c>
    </row>
    <row r="125" spans="1:9" x14ac:dyDescent="0.25">
      <c r="A125" s="156" t="s">
        <v>2517</v>
      </c>
      <c r="B125" s="185" t="s">
        <v>2502</v>
      </c>
      <c r="C125" s="395" t="s">
        <v>1049</v>
      </c>
      <c r="D125" s="396">
        <v>1</v>
      </c>
      <c r="E125" s="397">
        <v>1</v>
      </c>
      <c r="F125" s="396">
        <v>1</v>
      </c>
      <c r="G125" s="396">
        <f t="shared" si="8"/>
        <v>320</v>
      </c>
      <c r="H125" s="396">
        <f t="shared" si="6"/>
        <v>151.7799</v>
      </c>
      <c r="I125" s="396">
        <f t="shared" si="7"/>
        <v>809.49279999999999</v>
      </c>
    </row>
    <row r="126" spans="1:9" x14ac:dyDescent="0.25">
      <c r="A126" s="156" t="s">
        <v>2521</v>
      </c>
      <c r="B126" s="185" t="s">
        <v>1509</v>
      </c>
      <c r="C126" s="395" t="s">
        <v>1049</v>
      </c>
      <c r="D126" s="396">
        <v>1</v>
      </c>
      <c r="E126" s="397">
        <v>1</v>
      </c>
      <c r="F126" s="396">
        <v>1</v>
      </c>
      <c r="G126" s="396">
        <f t="shared" si="8"/>
        <v>320</v>
      </c>
      <c r="H126" s="396">
        <f t="shared" si="6"/>
        <v>179.2911</v>
      </c>
      <c r="I126" s="396">
        <f t="shared" si="7"/>
        <v>956.2192</v>
      </c>
    </row>
    <row r="127" spans="1:9" x14ac:dyDescent="0.25">
      <c r="A127" s="156" t="s">
        <v>2522</v>
      </c>
      <c r="B127" s="185" t="s">
        <v>1508</v>
      </c>
      <c r="C127" s="395" t="s">
        <v>1049</v>
      </c>
      <c r="D127" s="396">
        <v>1</v>
      </c>
      <c r="E127" s="397">
        <v>1</v>
      </c>
      <c r="F127" s="396">
        <v>1</v>
      </c>
      <c r="G127" s="396">
        <f t="shared" si="8"/>
        <v>320</v>
      </c>
      <c r="H127" s="396">
        <f t="shared" si="6"/>
        <v>149.4898</v>
      </c>
      <c r="I127" s="396">
        <f t="shared" si="7"/>
        <v>797.27893333333327</v>
      </c>
    </row>
    <row r="128" spans="1:9" x14ac:dyDescent="0.25">
      <c r="A128" s="156" t="s">
        <v>2523</v>
      </c>
      <c r="B128" s="185" t="s">
        <v>715</v>
      </c>
      <c r="C128" s="395" t="s">
        <v>1049</v>
      </c>
      <c r="D128" s="396">
        <v>4</v>
      </c>
      <c r="E128" s="397">
        <v>1</v>
      </c>
      <c r="F128" s="396">
        <v>1</v>
      </c>
      <c r="G128" s="396">
        <f t="shared" si="8"/>
        <v>320</v>
      </c>
      <c r="H128" s="396">
        <f t="shared" si="6"/>
        <v>24.072099999999999</v>
      </c>
      <c r="I128" s="396">
        <f t="shared" si="7"/>
        <v>513.53813333333323</v>
      </c>
    </row>
    <row r="129" spans="1:9" ht="25.5" x14ac:dyDescent="0.25">
      <c r="A129" s="156" t="s">
        <v>2524</v>
      </c>
      <c r="B129" s="185" t="s">
        <v>1517</v>
      </c>
      <c r="C129" s="395" t="s">
        <v>1048</v>
      </c>
      <c r="D129" s="396">
        <v>1</v>
      </c>
      <c r="E129" s="397">
        <v>1</v>
      </c>
      <c r="F129" s="396">
        <v>2</v>
      </c>
      <c r="G129" s="396">
        <f t="shared" si="8"/>
        <v>320</v>
      </c>
      <c r="H129" s="396">
        <f t="shared" si="6"/>
        <v>229.38839999999999</v>
      </c>
      <c r="I129" s="396">
        <f t="shared" si="7"/>
        <v>2446.8095999999996</v>
      </c>
    </row>
    <row r="130" spans="1:9" ht="25.5" x14ac:dyDescent="0.25">
      <c r="A130" s="156" t="s">
        <v>2524</v>
      </c>
      <c r="B130" s="182" t="s">
        <v>907</v>
      </c>
      <c r="C130" s="395" t="s">
        <v>1048</v>
      </c>
      <c r="D130" s="396">
        <v>1</v>
      </c>
      <c r="E130" s="397">
        <v>1</v>
      </c>
      <c r="F130" s="396">
        <v>2</v>
      </c>
      <c r="G130" s="396">
        <f t="shared" si="8"/>
        <v>320</v>
      </c>
      <c r="H130" s="396">
        <f t="shared" si="6"/>
        <v>229.38839999999999</v>
      </c>
      <c r="I130" s="396">
        <f t="shared" si="7"/>
        <v>2446.8095999999996</v>
      </c>
    </row>
    <row r="131" spans="1:9" ht="25.5" x14ac:dyDescent="0.25">
      <c r="A131" s="156" t="s">
        <v>2521</v>
      </c>
      <c r="B131" s="185" t="s">
        <v>1510</v>
      </c>
      <c r="C131" s="395" t="s">
        <v>1059</v>
      </c>
      <c r="D131" s="396">
        <v>1</v>
      </c>
      <c r="E131" s="397">
        <v>1</v>
      </c>
      <c r="F131" s="396">
        <v>2</v>
      </c>
      <c r="G131" s="396">
        <f t="shared" si="8"/>
        <v>320</v>
      </c>
      <c r="H131" s="396">
        <f t="shared" si="6"/>
        <v>179.2911</v>
      </c>
      <c r="I131" s="396">
        <f t="shared" si="7"/>
        <v>1912.4384</v>
      </c>
    </row>
    <row r="132" spans="1:9" ht="25.5" x14ac:dyDescent="0.25">
      <c r="A132" s="156" t="s">
        <v>2521</v>
      </c>
      <c r="B132" s="185" t="s">
        <v>1511</v>
      </c>
      <c r="C132" s="395" t="s">
        <v>1059</v>
      </c>
      <c r="D132" s="396">
        <v>1</v>
      </c>
      <c r="E132" s="397">
        <v>1</v>
      </c>
      <c r="F132" s="396">
        <v>2</v>
      </c>
      <c r="G132" s="396">
        <f t="shared" si="8"/>
        <v>320</v>
      </c>
      <c r="H132" s="396">
        <f t="shared" si="6"/>
        <v>179.2911</v>
      </c>
      <c r="I132" s="396">
        <f t="shared" si="7"/>
        <v>1912.4384</v>
      </c>
    </row>
    <row r="133" spans="1:9" ht="38.25" x14ac:dyDescent="0.25">
      <c r="A133" s="156" t="s">
        <v>2521</v>
      </c>
      <c r="B133" s="185" t="s">
        <v>1512</v>
      </c>
      <c r="C133" s="395" t="s">
        <v>1059</v>
      </c>
      <c r="D133" s="396">
        <v>1</v>
      </c>
      <c r="E133" s="397">
        <v>1</v>
      </c>
      <c r="F133" s="396">
        <v>2</v>
      </c>
      <c r="G133" s="396">
        <f t="shared" si="8"/>
        <v>320</v>
      </c>
      <c r="H133" s="396">
        <f t="shared" si="6"/>
        <v>179.2911</v>
      </c>
      <c r="I133" s="396">
        <f t="shared" si="7"/>
        <v>1912.4384</v>
      </c>
    </row>
    <row r="134" spans="1:9" ht="25.5" x14ac:dyDescent="0.25">
      <c r="A134" s="156" t="s">
        <v>2521</v>
      </c>
      <c r="B134" s="185" t="s">
        <v>1514</v>
      </c>
      <c r="C134" s="395" t="s">
        <v>1059</v>
      </c>
      <c r="D134" s="396">
        <v>1</v>
      </c>
      <c r="E134" s="397">
        <v>1</v>
      </c>
      <c r="F134" s="396">
        <v>2</v>
      </c>
      <c r="G134" s="396">
        <f t="shared" si="8"/>
        <v>320</v>
      </c>
      <c r="H134" s="396">
        <f t="shared" si="6"/>
        <v>179.2911</v>
      </c>
      <c r="I134" s="396">
        <f t="shared" si="7"/>
        <v>1912.4384</v>
      </c>
    </row>
    <row r="135" spans="1:9" ht="25.5" x14ac:dyDescent="0.25">
      <c r="A135" s="156" t="s">
        <v>2521</v>
      </c>
      <c r="B135" s="185" t="s">
        <v>1515</v>
      </c>
      <c r="C135" s="395" t="s">
        <v>1059</v>
      </c>
      <c r="D135" s="396">
        <v>1</v>
      </c>
      <c r="E135" s="397">
        <v>1</v>
      </c>
      <c r="F135" s="396">
        <v>2</v>
      </c>
      <c r="G135" s="396">
        <f t="shared" si="8"/>
        <v>320</v>
      </c>
      <c r="H135" s="396">
        <f t="shared" si="6"/>
        <v>179.2911</v>
      </c>
      <c r="I135" s="396">
        <f t="shared" si="7"/>
        <v>1912.4384</v>
      </c>
    </row>
    <row r="136" spans="1:9" ht="25.5" x14ac:dyDescent="0.25">
      <c r="A136" s="156" t="s">
        <v>2521</v>
      </c>
      <c r="B136" s="185" t="s">
        <v>1516</v>
      </c>
      <c r="C136" s="395" t="s">
        <v>1059</v>
      </c>
      <c r="D136" s="396">
        <v>2</v>
      </c>
      <c r="E136" s="397">
        <v>1</v>
      </c>
      <c r="F136" s="396">
        <v>2</v>
      </c>
      <c r="G136" s="396">
        <f t="shared" si="8"/>
        <v>320</v>
      </c>
      <c r="H136" s="396">
        <f t="shared" si="6"/>
        <v>179.2911</v>
      </c>
      <c r="I136" s="396">
        <f t="shared" si="7"/>
        <v>3824.8768</v>
      </c>
    </row>
    <row r="137" spans="1:9" x14ac:dyDescent="0.25">
      <c r="A137" s="156" t="s">
        <v>2524</v>
      </c>
      <c r="B137" s="182" t="s">
        <v>714</v>
      </c>
      <c r="C137" s="395" t="s">
        <v>1048</v>
      </c>
      <c r="D137" s="396">
        <v>1</v>
      </c>
      <c r="E137" s="397">
        <v>1</v>
      </c>
      <c r="F137" s="396">
        <v>2</v>
      </c>
      <c r="G137" s="396">
        <f t="shared" si="8"/>
        <v>320</v>
      </c>
      <c r="H137" s="396">
        <f t="shared" si="6"/>
        <v>229.38839999999999</v>
      </c>
      <c r="I137" s="396">
        <f t="shared" si="7"/>
        <v>2446.8095999999996</v>
      </c>
    </row>
    <row r="138" spans="1:9" ht="25.5" x14ac:dyDescent="0.25">
      <c r="A138" s="156" t="s">
        <v>2524</v>
      </c>
      <c r="B138" s="182" t="s">
        <v>926</v>
      </c>
      <c r="C138" s="395" t="s">
        <v>1048</v>
      </c>
      <c r="D138" s="396">
        <v>1</v>
      </c>
      <c r="E138" s="397">
        <v>1</v>
      </c>
      <c r="F138" s="396">
        <v>2</v>
      </c>
      <c r="G138" s="396">
        <f t="shared" si="8"/>
        <v>320</v>
      </c>
      <c r="H138" s="396">
        <f t="shared" si="6"/>
        <v>229.38839999999999</v>
      </c>
      <c r="I138" s="396">
        <f t="shared" si="7"/>
        <v>2446.8095999999996</v>
      </c>
    </row>
    <row r="139" spans="1:9" ht="89.25" x14ac:dyDescent="0.25">
      <c r="A139" s="156" t="s">
        <v>2523</v>
      </c>
      <c r="B139" s="185" t="s">
        <v>1505</v>
      </c>
      <c r="C139" s="395" t="s">
        <v>1049</v>
      </c>
      <c r="D139" s="396">
        <v>4</v>
      </c>
      <c r="E139" s="397">
        <v>1</v>
      </c>
      <c r="F139" s="396">
        <v>1</v>
      </c>
      <c r="G139" s="396">
        <f t="shared" si="8"/>
        <v>320</v>
      </c>
      <c r="H139" s="396">
        <f t="shared" si="6"/>
        <v>24.072099999999999</v>
      </c>
      <c r="I139" s="396">
        <f t="shared" si="7"/>
        <v>513.53813333333323</v>
      </c>
    </row>
    <row r="140" spans="1:9" x14ac:dyDescent="0.25">
      <c r="A140" s="156"/>
      <c r="B140" s="156"/>
      <c r="C140" s="395"/>
      <c r="D140" s="396"/>
      <c r="E140" s="397"/>
      <c r="F140" s="396"/>
      <c r="G140" s="396"/>
      <c r="H140" s="396"/>
      <c r="I140" s="396"/>
    </row>
    <row r="141" spans="1:9" ht="13.5" thickBot="1" x14ac:dyDescent="0.3">
      <c r="A141" s="766" t="s">
        <v>1050</v>
      </c>
      <c r="B141" s="766"/>
      <c r="C141" s="766"/>
      <c r="D141" s="766"/>
      <c r="E141" s="766"/>
      <c r="F141" s="766"/>
      <c r="G141" s="766"/>
      <c r="H141" s="766"/>
      <c r="I141" s="400">
        <f>SUM(I122:I139)</f>
        <v>29776.225599999994</v>
      </c>
    </row>
    <row r="142" spans="1:9" s="91" customFormat="1" ht="13.5" thickBot="1" x14ac:dyDescent="0.3">
      <c r="A142" s="127"/>
      <c r="B142" s="127"/>
      <c r="C142" s="127"/>
      <c r="D142" s="126"/>
      <c r="E142" s="126"/>
      <c r="F142" s="126"/>
      <c r="G142" s="126"/>
      <c r="H142" s="126"/>
      <c r="I142" s="128"/>
    </row>
    <row r="143" spans="1:9" ht="13.5" thickBot="1" x14ac:dyDescent="0.3">
      <c r="A143" s="763" t="s">
        <v>690</v>
      </c>
      <c r="B143" s="764"/>
      <c r="C143" s="764"/>
      <c r="D143" s="764"/>
      <c r="E143" s="764"/>
      <c r="F143" s="764"/>
      <c r="G143" s="764"/>
      <c r="H143" s="764"/>
      <c r="I143" s="765"/>
    </row>
    <row r="144" spans="1:9" ht="25.5" x14ac:dyDescent="0.25">
      <c r="A144" s="391" t="s">
        <v>1466</v>
      </c>
      <c r="B144" s="391" t="s">
        <v>366</v>
      </c>
      <c r="C144" s="391" t="s">
        <v>410</v>
      </c>
      <c r="D144" s="392" t="s">
        <v>364</v>
      </c>
      <c r="E144" s="401"/>
      <c r="F144" s="401"/>
      <c r="G144" s="401"/>
      <c r="H144" s="391" t="s">
        <v>1470</v>
      </c>
      <c r="I144" s="391" t="s">
        <v>1469</v>
      </c>
    </row>
    <row r="145" spans="1:9" x14ac:dyDescent="0.25">
      <c r="A145" s="156" t="s">
        <v>1519</v>
      </c>
      <c r="B145" s="185" t="s">
        <v>1060</v>
      </c>
      <c r="C145" s="395" t="s">
        <v>3</v>
      </c>
      <c r="D145" s="396">
        <f>SUMIF(C122:C139,"RODANDO",D122:D139)</f>
        <v>15</v>
      </c>
      <c r="E145" s="397"/>
      <c r="F145" s="396"/>
      <c r="G145" s="396"/>
      <c r="H145" s="396">
        <f>VLOOKUP(A145,A$181:C$189,3,FALSE)</f>
        <v>18.64</v>
      </c>
      <c r="I145" s="396">
        <f>D145*H145</f>
        <v>279.60000000000002</v>
      </c>
    </row>
    <row r="146" spans="1:9" x14ac:dyDescent="0.25">
      <c r="A146" s="156" t="s">
        <v>1519</v>
      </c>
      <c r="B146" s="185" t="s">
        <v>1061</v>
      </c>
      <c r="C146" s="395" t="s">
        <v>3</v>
      </c>
      <c r="D146" s="396">
        <f>SUMIF(C122:C139,"CARRETA",D122:D139)+SUMIF(C122:C139,"REBOQUE",D122:D139)+SUMIF(C122:C139,"GUINDAUTO",D122:D139)</f>
        <v>11</v>
      </c>
      <c r="E146" s="397"/>
      <c r="F146" s="396"/>
      <c r="G146" s="396"/>
      <c r="H146" s="396">
        <f>VLOOKUP(A146,A$181:C$189,3,FALSE)</f>
        <v>18.64</v>
      </c>
      <c r="I146" s="396">
        <f>D146*H146</f>
        <v>205.04000000000002</v>
      </c>
    </row>
    <row r="147" spans="1:9" x14ac:dyDescent="0.25">
      <c r="A147" s="156"/>
      <c r="B147" s="156"/>
      <c r="C147" s="395"/>
      <c r="D147" s="396"/>
      <c r="E147" s="397"/>
      <c r="F147" s="396"/>
      <c r="G147" s="396"/>
      <c r="H147" s="396"/>
      <c r="I147" s="396"/>
    </row>
    <row r="148" spans="1:9" ht="13.5" thickBot="1" x14ac:dyDescent="0.3">
      <c r="A148" s="766" t="s">
        <v>1050</v>
      </c>
      <c r="B148" s="766"/>
      <c r="C148" s="766"/>
      <c r="D148" s="766"/>
      <c r="E148" s="766"/>
      <c r="F148" s="766"/>
      <c r="G148" s="766"/>
      <c r="H148" s="766"/>
      <c r="I148" s="400">
        <f>SUM(I145:I147)</f>
        <v>484.64000000000004</v>
      </c>
    </row>
    <row r="149" spans="1:9" s="91" customFormat="1" ht="13.5" thickBot="1" x14ac:dyDescent="0.3">
      <c r="A149" s="127"/>
      <c r="B149" s="127"/>
      <c r="C149" s="127"/>
      <c r="D149" s="126"/>
      <c r="E149" s="126"/>
      <c r="F149" s="126"/>
      <c r="G149" s="126"/>
      <c r="H149" s="126"/>
      <c r="I149" s="128"/>
    </row>
    <row r="150" spans="1:9" ht="13.5" thickBot="1" x14ac:dyDescent="0.3">
      <c r="A150" s="763" t="s">
        <v>2504</v>
      </c>
      <c r="B150" s="764"/>
      <c r="C150" s="764"/>
      <c r="D150" s="764"/>
      <c r="E150" s="764"/>
      <c r="F150" s="764"/>
      <c r="G150" s="764"/>
      <c r="H150" s="764"/>
      <c r="I150" s="765"/>
    </row>
    <row r="151" spans="1:9" ht="25.5" x14ac:dyDescent="0.25">
      <c r="A151" s="391" t="s">
        <v>1466</v>
      </c>
      <c r="B151" s="391" t="s">
        <v>366</v>
      </c>
      <c r="C151" s="391" t="s">
        <v>410</v>
      </c>
      <c r="D151" s="392" t="s">
        <v>364</v>
      </c>
      <c r="E151" s="405"/>
      <c r="F151" s="405"/>
      <c r="G151" s="405"/>
      <c r="H151" s="391" t="s">
        <v>1470</v>
      </c>
      <c r="I151" s="391" t="s">
        <v>1469</v>
      </c>
    </row>
    <row r="152" spans="1:9" x14ac:dyDescent="0.25">
      <c r="A152" s="156"/>
      <c r="B152" s="156"/>
      <c r="C152" s="395"/>
      <c r="D152" s="396"/>
      <c r="E152" s="397"/>
      <c r="F152" s="396"/>
      <c r="G152" s="396"/>
      <c r="H152" s="396"/>
      <c r="I152" s="396"/>
    </row>
    <row r="153" spans="1:9" x14ac:dyDescent="0.25">
      <c r="A153" s="156"/>
      <c r="B153" s="156"/>
      <c r="C153" s="395"/>
      <c r="D153" s="396"/>
      <c r="E153" s="397"/>
      <c r="F153" s="396"/>
      <c r="G153" s="396"/>
      <c r="H153" s="396"/>
      <c r="I153" s="396"/>
    </row>
    <row r="154" spans="1:9" ht="13.5" thickBot="1" x14ac:dyDescent="0.3">
      <c r="A154" s="766" t="s">
        <v>1050</v>
      </c>
      <c r="B154" s="766"/>
      <c r="C154" s="766"/>
      <c r="D154" s="766"/>
      <c r="E154" s="766"/>
      <c r="F154" s="766"/>
      <c r="G154" s="766"/>
      <c r="H154" s="766"/>
      <c r="I154" s="400">
        <f>SUM(I152:I153)</f>
        <v>0</v>
      </c>
    </row>
    <row r="155" spans="1:9" s="91" customFormat="1" ht="13.5" thickBot="1" x14ac:dyDescent="0.3">
      <c r="A155" s="127"/>
      <c r="B155" s="127"/>
      <c r="C155" s="127"/>
      <c r="D155" s="126"/>
      <c r="E155" s="126"/>
      <c r="F155" s="126"/>
      <c r="G155" s="126"/>
      <c r="H155" s="126"/>
      <c r="I155" s="128"/>
    </row>
    <row r="156" spans="1:9" ht="13.5" thickBot="1" x14ac:dyDescent="0.3">
      <c r="A156" s="763" t="s">
        <v>539</v>
      </c>
      <c r="B156" s="764"/>
      <c r="C156" s="764"/>
      <c r="D156" s="764"/>
      <c r="E156" s="764"/>
      <c r="F156" s="764"/>
      <c r="G156" s="764"/>
      <c r="H156" s="764"/>
      <c r="I156" s="765"/>
    </row>
    <row r="157" spans="1:9" ht="25.5" x14ac:dyDescent="0.25">
      <c r="A157" s="391" t="s">
        <v>1466</v>
      </c>
      <c r="B157" s="391" t="s">
        <v>366</v>
      </c>
      <c r="C157" s="391" t="s">
        <v>410</v>
      </c>
      <c r="D157" s="392" t="s">
        <v>364</v>
      </c>
      <c r="E157" s="401"/>
      <c r="F157" s="401"/>
      <c r="G157" s="401"/>
      <c r="H157" s="391" t="s">
        <v>1470</v>
      </c>
      <c r="I157" s="391" t="s">
        <v>1469</v>
      </c>
    </row>
    <row r="158" spans="1:9" x14ac:dyDescent="0.25">
      <c r="A158" s="156"/>
      <c r="B158" s="156"/>
      <c r="C158" s="395"/>
      <c r="D158" s="396"/>
      <c r="E158" s="397"/>
      <c r="F158" s="396"/>
      <c r="G158" s="396"/>
      <c r="H158" s="396"/>
      <c r="I158" s="396"/>
    </row>
    <row r="159" spans="1:9" x14ac:dyDescent="0.25">
      <c r="A159" s="156"/>
      <c r="B159" s="156"/>
      <c r="C159" s="395"/>
      <c r="D159" s="396"/>
      <c r="E159" s="397"/>
      <c r="F159" s="396"/>
      <c r="G159" s="396"/>
      <c r="H159" s="396"/>
      <c r="I159" s="396"/>
    </row>
    <row r="160" spans="1:9" ht="13.5" thickBot="1" x14ac:dyDescent="0.3">
      <c r="A160" s="766" t="s">
        <v>1050</v>
      </c>
      <c r="B160" s="766"/>
      <c r="C160" s="766"/>
      <c r="D160" s="766"/>
      <c r="E160" s="766"/>
      <c r="F160" s="766"/>
      <c r="G160" s="766"/>
      <c r="H160" s="766"/>
      <c r="I160" s="400">
        <f>SUM(I158:I159)</f>
        <v>0</v>
      </c>
    </row>
    <row r="161" spans="1:9" s="91" customFormat="1" ht="13.5" thickBot="1" x14ac:dyDescent="0.3">
      <c r="A161" s="127"/>
      <c r="B161" s="127"/>
      <c r="C161" s="127"/>
      <c r="D161" s="126"/>
      <c r="E161" s="126"/>
      <c r="F161" s="126"/>
      <c r="G161" s="126"/>
      <c r="H161" s="126"/>
      <c r="I161" s="128"/>
    </row>
    <row r="162" spans="1:9" ht="13.5" thickBot="1" x14ac:dyDescent="0.3">
      <c r="A162" s="767" t="s">
        <v>1467</v>
      </c>
      <c r="B162" s="768"/>
      <c r="C162" s="432">
        <v>1</v>
      </c>
      <c r="D162" s="767" t="s">
        <v>693</v>
      </c>
      <c r="E162" s="768"/>
      <c r="F162" s="768"/>
      <c r="G162" s="768"/>
      <c r="H162" s="768"/>
      <c r="I162" s="433">
        <f>I141+I148+I154+I160</f>
        <v>30260.865599999994</v>
      </c>
    </row>
    <row r="163" spans="1:9" s="91" customFormat="1" ht="13.5" thickBot="1" x14ac:dyDescent="0.3">
      <c r="A163" s="127"/>
      <c r="B163" s="127"/>
      <c r="C163" s="127"/>
      <c r="D163" s="126"/>
      <c r="E163" s="126"/>
      <c r="F163" s="126"/>
      <c r="G163" s="126"/>
      <c r="H163" s="126"/>
      <c r="I163" s="128"/>
    </row>
    <row r="164" spans="1:9" ht="13.5" thickBot="1" x14ac:dyDescent="0.3">
      <c r="A164" s="769" t="str">
        <f>"TOTAL-"&amp;A115&amp;"-(R$):"</f>
        <v>TOTAL-COMPOSIÇÃO DE PREÇO UNITÁRIO-MOBILIZAÇÃO-(R$):</v>
      </c>
      <c r="B164" s="770"/>
      <c r="C164" s="771"/>
      <c r="D164" s="771"/>
      <c r="E164" s="771"/>
      <c r="F164" s="771"/>
      <c r="G164" s="771"/>
      <c r="H164" s="772"/>
      <c r="I164" s="26">
        <f>ROUND(C162*I162,2)</f>
        <v>30260.87</v>
      </c>
    </row>
    <row r="165" spans="1:9" s="78" customFormat="1" x14ac:dyDescent="0.25">
      <c r="A165" s="72"/>
      <c r="B165" s="72"/>
      <c r="C165" s="72"/>
      <c r="I165" s="72"/>
    </row>
    <row r="166" spans="1:9" s="78" customFormat="1" ht="13.5" thickBot="1" x14ac:dyDescent="0.3">
      <c r="A166" s="72"/>
      <c r="B166" s="72"/>
      <c r="C166" s="72"/>
      <c r="I166" s="72"/>
    </row>
    <row r="167" spans="1:9" s="345" customFormat="1" x14ac:dyDescent="0.2">
      <c r="A167" s="704" t="s">
        <v>422</v>
      </c>
      <c r="B167" s="705"/>
      <c r="C167" s="705"/>
      <c r="D167" s="705"/>
      <c r="E167" s="705"/>
      <c r="F167" s="705"/>
      <c r="G167" s="706"/>
      <c r="H167" s="704" t="s">
        <v>423</v>
      </c>
      <c r="I167" s="706"/>
    </row>
    <row r="168" spans="1:9" s="345" customFormat="1" ht="13.5" thickBot="1" x14ac:dyDescent="0.25">
      <c r="A168" s="701"/>
      <c r="B168" s="702"/>
      <c r="C168" s="702"/>
      <c r="D168" s="702"/>
      <c r="E168" s="702"/>
      <c r="F168" s="702"/>
      <c r="G168" s="703"/>
      <c r="H168" s="701"/>
      <c r="I168" s="703"/>
    </row>
    <row r="169" spans="1:9" s="345" customFormat="1" x14ac:dyDescent="0.2">
      <c r="A169" s="704" t="s">
        <v>424</v>
      </c>
      <c r="B169" s="705"/>
      <c r="C169" s="705"/>
      <c r="D169" s="705"/>
      <c r="E169" s="705"/>
      <c r="F169" s="705"/>
      <c r="G169" s="706"/>
      <c r="H169" s="704" t="s">
        <v>425</v>
      </c>
      <c r="I169" s="706"/>
    </row>
    <row r="170" spans="1:9" s="345" customFormat="1" ht="13.5" thickBot="1" x14ac:dyDescent="0.25">
      <c r="A170" s="701"/>
      <c r="B170" s="702"/>
      <c r="C170" s="702"/>
      <c r="D170" s="702"/>
      <c r="E170" s="702"/>
      <c r="F170" s="702"/>
      <c r="G170" s="703"/>
      <c r="H170" s="701"/>
      <c r="I170" s="703"/>
    </row>
    <row r="171" spans="1:9" s="345" customFormat="1" x14ac:dyDescent="0.2">
      <c r="A171" s="704" t="s">
        <v>426</v>
      </c>
      <c r="B171" s="705"/>
      <c r="C171" s="705"/>
      <c r="D171" s="705"/>
      <c r="E171" s="705"/>
      <c r="F171" s="705"/>
      <c r="G171" s="705"/>
      <c r="H171" s="705"/>
      <c r="I171" s="706"/>
    </row>
    <row r="172" spans="1:9" s="108" customFormat="1" x14ac:dyDescent="0.25">
      <c r="A172" s="747" t="s">
        <v>2525</v>
      </c>
      <c r="B172" s="748"/>
      <c r="C172" s="748"/>
      <c r="D172" s="748"/>
      <c r="E172" s="748"/>
      <c r="F172" s="748"/>
      <c r="G172" s="748"/>
      <c r="H172" s="748"/>
      <c r="I172" s="749"/>
    </row>
    <row r="173" spans="1:9" s="108" customFormat="1" x14ac:dyDescent="0.25">
      <c r="A173" s="747" t="s">
        <v>2526</v>
      </c>
      <c r="B173" s="748"/>
      <c r="C173" s="748"/>
      <c r="D173" s="748"/>
      <c r="E173" s="748"/>
      <c r="F173" s="748"/>
      <c r="G173" s="748"/>
      <c r="H173" s="748"/>
      <c r="I173" s="749"/>
    </row>
    <row r="174" spans="1:9" s="108" customFormat="1" x14ac:dyDescent="0.25">
      <c r="A174" s="747" t="s">
        <v>1520</v>
      </c>
      <c r="B174" s="748"/>
      <c r="C174" s="748"/>
      <c r="D174" s="748"/>
      <c r="E174" s="748"/>
      <c r="F174" s="748"/>
      <c r="G174" s="748"/>
      <c r="H174" s="748"/>
      <c r="I174" s="749"/>
    </row>
    <row r="175" spans="1:9" s="345" customFormat="1" x14ac:dyDescent="0.2">
      <c r="A175" s="747"/>
      <c r="B175" s="748"/>
      <c r="C175" s="748"/>
      <c r="D175" s="748"/>
      <c r="E175" s="748"/>
      <c r="F175" s="748"/>
      <c r="G175" s="748"/>
      <c r="H175" s="748"/>
      <c r="I175" s="749"/>
    </row>
    <row r="176" spans="1:9" s="345" customFormat="1" x14ac:dyDescent="0.2">
      <c r="A176" s="747"/>
      <c r="B176" s="748"/>
      <c r="C176" s="748"/>
      <c r="D176" s="748"/>
      <c r="E176" s="748"/>
      <c r="F176" s="748"/>
      <c r="G176" s="748"/>
      <c r="H176" s="748"/>
      <c r="I176" s="749"/>
    </row>
    <row r="177" spans="1:9" s="78" customFormat="1" ht="13.5" thickBot="1" x14ac:dyDescent="0.3">
      <c r="A177" s="698"/>
      <c r="B177" s="699"/>
      <c r="C177" s="699"/>
      <c r="D177" s="699"/>
      <c r="E177" s="699"/>
      <c r="F177" s="699"/>
      <c r="G177" s="699"/>
      <c r="H177" s="699"/>
      <c r="I177" s="700"/>
    </row>
    <row r="180" spans="1:9" x14ac:dyDescent="0.25">
      <c r="A180" s="668" t="s">
        <v>2385</v>
      </c>
      <c r="B180" s="668" t="s">
        <v>2384</v>
      </c>
      <c r="C180" s="668" t="s">
        <v>2330</v>
      </c>
    </row>
    <row r="181" spans="1:9" x14ac:dyDescent="0.25">
      <c r="A181" s="508" t="s">
        <v>2517</v>
      </c>
      <c r="B181" s="509" t="s">
        <v>2509</v>
      </c>
      <c r="C181" s="508">
        <v>151.7799</v>
      </c>
    </row>
    <row r="182" spans="1:9" x14ac:dyDescent="0.25">
      <c r="A182" s="508" t="s">
        <v>2518</v>
      </c>
      <c r="B182" s="509" t="s">
        <v>2510</v>
      </c>
      <c r="C182" s="508">
        <v>153.78909999999999</v>
      </c>
    </row>
    <row r="183" spans="1:9" x14ac:dyDescent="0.25">
      <c r="A183" s="508" t="s">
        <v>2519</v>
      </c>
      <c r="B183" s="509" t="s">
        <v>2511</v>
      </c>
      <c r="C183" s="508">
        <v>107.3732</v>
      </c>
    </row>
    <row r="184" spans="1:9" ht="25.5" x14ac:dyDescent="0.25">
      <c r="A184" s="508" t="s">
        <v>2520</v>
      </c>
      <c r="B184" s="509" t="s">
        <v>2512</v>
      </c>
      <c r="C184" s="508">
        <v>155.98259999999999</v>
      </c>
    </row>
    <row r="185" spans="1:9" ht="25.5" x14ac:dyDescent="0.25">
      <c r="A185" s="508" t="s">
        <v>2521</v>
      </c>
      <c r="B185" s="509" t="s">
        <v>2513</v>
      </c>
      <c r="C185" s="508">
        <v>179.2911</v>
      </c>
    </row>
    <row r="186" spans="1:9" x14ac:dyDescent="0.25">
      <c r="A186" s="508" t="s">
        <v>2522</v>
      </c>
      <c r="B186" s="509" t="s">
        <v>2514</v>
      </c>
      <c r="C186" s="508">
        <v>149.4898</v>
      </c>
    </row>
    <row r="187" spans="1:9" x14ac:dyDescent="0.25">
      <c r="A187" s="508" t="s">
        <v>2523</v>
      </c>
      <c r="B187" s="509" t="s">
        <v>1518</v>
      </c>
      <c r="C187" s="508">
        <v>24.072099999999999</v>
      </c>
    </row>
    <row r="188" spans="1:9" x14ac:dyDescent="0.25">
      <c r="A188" s="508" t="s">
        <v>2524</v>
      </c>
      <c r="B188" s="509" t="s">
        <v>2515</v>
      </c>
      <c r="C188" s="508">
        <v>229.38839999999999</v>
      </c>
    </row>
    <row r="189" spans="1:9" ht="25.5" x14ac:dyDescent="0.25">
      <c r="A189" s="508" t="s">
        <v>1519</v>
      </c>
      <c r="B189" s="509" t="s">
        <v>2516</v>
      </c>
      <c r="C189" s="508">
        <f>2*9.32</f>
        <v>18.64</v>
      </c>
    </row>
  </sheetData>
  <autoFilter ref="A8:I164"/>
  <mergeCells count="64">
    <mergeCell ref="H170:I170"/>
    <mergeCell ref="A167:G167"/>
    <mergeCell ref="A168:G168"/>
    <mergeCell ref="A169:G169"/>
    <mergeCell ref="A170:G170"/>
    <mergeCell ref="A171:I171"/>
    <mergeCell ref="D162:H162"/>
    <mergeCell ref="A177:I177"/>
    <mergeCell ref="A148:H148"/>
    <mergeCell ref="A150:I150"/>
    <mergeCell ref="A154:H154"/>
    <mergeCell ref="A156:I156"/>
    <mergeCell ref="A160:H160"/>
    <mergeCell ref="A164:H164"/>
    <mergeCell ref="A176:I176"/>
    <mergeCell ref="A175:I175"/>
    <mergeCell ref="A173:I173"/>
    <mergeCell ref="A162:B162"/>
    <mergeCell ref="H167:I167"/>
    <mergeCell ref="H168:I168"/>
    <mergeCell ref="H169:I169"/>
    <mergeCell ref="A143:I143"/>
    <mergeCell ref="A112:H112"/>
    <mergeCell ref="A115:I115"/>
    <mergeCell ref="A116:I116"/>
    <mergeCell ref="A118:C118"/>
    <mergeCell ref="A120:I120"/>
    <mergeCell ref="A141:H141"/>
    <mergeCell ref="E118:H118"/>
    <mergeCell ref="D110:H110"/>
    <mergeCell ref="A68:I68"/>
    <mergeCell ref="A70:C70"/>
    <mergeCell ref="A72:I72"/>
    <mergeCell ref="A89:H89"/>
    <mergeCell ref="A91:I91"/>
    <mergeCell ref="A96:H96"/>
    <mergeCell ref="A98:I98"/>
    <mergeCell ref="A102:H102"/>
    <mergeCell ref="A104:I104"/>
    <mergeCell ref="A108:H108"/>
    <mergeCell ref="E70:H70"/>
    <mergeCell ref="A110:B110"/>
    <mergeCell ref="A54:H54"/>
    <mergeCell ref="A56:I56"/>
    <mergeCell ref="A60:H60"/>
    <mergeCell ref="D62:H62"/>
    <mergeCell ref="A64:H64"/>
    <mergeCell ref="A62:B62"/>
    <mergeCell ref="A172:I172"/>
    <mergeCell ref="A174:I174"/>
    <mergeCell ref="A5:I6"/>
    <mergeCell ref="A1:I1"/>
    <mergeCell ref="A2:I2"/>
    <mergeCell ref="A3:I3"/>
    <mergeCell ref="A10:I10"/>
    <mergeCell ref="A9:I9"/>
    <mergeCell ref="A12:C12"/>
    <mergeCell ref="A14:I14"/>
    <mergeCell ref="A41:H41"/>
    <mergeCell ref="A43:I43"/>
    <mergeCell ref="E12:H12"/>
    <mergeCell ref="A67:I67"/>
    <mergeCell ref="A48:H48"/>
    <mergeCell ref="A50:I50"/>
  </mergeCells>
  <printOptions horizontalCentered="1"/>
  <pageMargins left="0.78740157480314965" right="0.59055118110236227" top="0.59055118110236227" bottom="0.59055118110236227" header="0.19685039370078741" footer="0.19685039370078741"/>
  <pageSetup paperSize="9" scale="53" fitToHeight="100" orientation="portrait" horizontalDpi="4294967294" verticalDpi="4294967294" r:id="rId1"/>
  <headerFooter>
    <oddFooter>&amp;R&amp;"Arial,Normal"&amp;8&amp;F
Página &amp;P de &amp;N</oddFooter>
  </headerFooter>
  <rowBreaks count="2" manualBreakCount="2">
    <brk id="65" max="8" man="1"/>
    <brk id="113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7"/>
  <sheetViews>
    <sheetView view="pageBreakPreview" topLeftCell="B1" zoomScale="85" zoomScaleNormal="100" zoomScaleSheetLayoutView="85" workbookViewId="0">
      <pane ySplit="8" topLeftCell="A9" activePane="bottomLeft" state="frozen"/>
      <selection activeCell="A9" sqref="A9:I9"/>
      <selection pane="bottomLeft" activeCell="A172" sqref="A172:XFD174"/>
    </sheetView>
  </sheetViews>
  <sheetFormatPr defaultColWidth="9.140625" defaultRowHeight="12.75" x14ac:dyDescent="0.25"/>
  <cols>
    <col min="1" max="1" width="15.28515625" style="29" hidden="1" customWidth="1"/>
    <col min="2" max="2" width="60.7109375" style="21" customWidth="1"/>
    <col min="3" max="8" width="14.7109375" style="21" customWidth="1"/>
    <col min="9" max="9" width="14.7109375" style="29" customWidth="1"/>
    <col min="10" max="16384" width="9.140625" style="21"/>
  </cols>
  <sheetData>
    <row r="1" spans="1:9" s="89" customFormat="1" x14ac:dyDescent="0.25">
      <c r="A1" s="750" t="s">
        <v>1117</v>
      </c>
      <c r="B1" s="750"/>
      <c r="C1" s="750"/>
      <c r="D1" s="750"/>
      <c r="E1" s="750"/>
      <c r="F1" s="750"/>
      <c r="G1" s="750"/>
      <c r="H1" s="750"/>
      <c r="I1" s="750"/>
    </row>
    <row r="2" spans="1:9" s="89" customFormat="1" x14ac:dyDescent="0.25">
      <c r="A2" s="752" t="s">
        <v>1118</v>
      </c>
      <c r="B2" s="752"/>
      <c r="C2" s="752"/>
      <c r="D2" s="752"/>
      <c r="E2" s="752"/>
      <c r="F2" s="752"/>
      <c r="G2" s="752"/>
      <c r="H2" s="752"/>
      <c r="I2" s="752"/>
    </row>
    <row r="3" spans="1:9" s="89" customFormat="1" ht="13.5" thickBot="1" x14ac:dyDescent="0.3">
      <c r="A3" s="753" t="s">
        <v>1116</v>
      </c>
      <c r="B3" s="753"/>
      <c r="C3" s="753"/>
      <c r="D3" s="753"/>
      <c r="E3" s="753"/>
      <c r="F3" s="753"/>
      <c r="G3" s="753"/>
      <c r="H3" s="753"/>
      <c r="I3" s="753"/>
    </row>
    <row r="4" spans="1:9" s="78" customFormat="1" ht="13.9" thickBot="1" x14ac:dyDescent="0.35">
      <c r="A4" s="491"/>
      <c r="B4" s="486"/>
      <c r="C4" s="72"/>
    </row>
    <row r="5" spans="1:9" s="78" customFormat="1" x14ac:dyDescent="0.25">
      <c r="A5" s="690" t="s">
        <v>1119</v>
      </c>
      <c r="B5" s="690"/>
      <c r="C5" s="690"/>
      <c r="D5" s="690"/>
      <c r="E5" s="690"/>
      <c r="F5" s="690"/>
      <c r="G5" s="690"/>
      <c r="H5" s="690"/>
      <c r="I5" s="690"/>
    </row>
    <row r="6" spans="1:9" s="78" customFormat="1" ht="13.5" thickBot="1" x14ac:dyDescent="0.3">
      <c r="A6" s="691"/>
      <c r="B6" s="691"/>
      <c r="C6" s="691"/>
      <c r="D6" s="691"/>
      <c r="E6" s="691"/>
      <c r="F6" s="691"/>
      <c r="G6" s="691"/>
      <c r="H6" s="691"/>
      <c r="I6" s="691"/>
    </row>
    <row r="7" spans="1:9" s="78" customFormat="1" ht="13.15" x14ac:dyDescent="0.3">
      <c r="A7" s="72"/>
      <c r="C7" s="70"/>
      <c r="D7" s="72"/>
    </row>
    <row r="8" spans="1:9" s="78" customFormat="1" ht="13.9" thickBot="1" x14ac:dyDescent="0.35">
      <c r="A8" s="72"/>
      <c r="B8" s="69"/>
      <c r="C8" s="70"/>
      <c r="D8" s="72"/>
      <c r="E8" s="72"/>
      <c r="F8" s="77"/>
      <c r="G8" s="72"/>
      <c r="H8" s="72"/>
      <c r="I8" s="72"/>
    </row>
    <row r="9" spans="1:9" x14ac:dyDescent="0.25">
      <c r="A9" s="757" t="s">
        <v>1465</v>
      </c>
      <c r="B9" s="759"/>
      <c r="C9" s="759"/>
      <c r="D9" s="759"/>
      <c r="E9" s="759"/>
      <c r="F9" s="759"/>
      <c r="G9" s="759"/>
      <c r="H9" s="759"/>
      <c r="I9" s="760"/>
    </row>
    <row r="10" spans="1:9" ht="13.9" thickBot="1" x14ac:dyDescent="0.35">
      <c r="A10" s="754" t="s">
        <v>1056</v>
      </c>
      <c r="B10" s="755"/>
      <c r="C10" s="755"/>
      <c r="D10" s="755"/>
      <c r="E10" s="755"/>
      <c r="F10" s="755"/>
      <c r="G10" s="755"/>
      <c r="H10" s="755"/>
      <c r="I10" s="756"/>
    </row>
    <row r="11" spans="1:9" s="486" customFormat="1" ht="13.9" thickBot="1" x14ac:dyDescent="0.35">
      <c r="A11" s="127"/>
      <c r="B11" s="127"/>
      <c r="C11" s="127"/>
      <c r="D11" s="127"/>
      <c r="E11" s="127"/>
      <c r="F11" s="127"/>
      <c r="G11" s="127"/>
      <c r="H11" s="127"/>
      <c r="I11" s="127"/>
    </row>
    <row r="12" spans="1:9" ht="13.5" thickBot="1" x14ac:dyDescent="0.3">
      <c r="A12" s="773" t="s">
        <v>1057</v>
      </c>
      <c r="B12" s="774"/>
      <c r="C12" s="774"/>
      <c r="D12" s="131">
        <f>Canteiros!H13</f>
        <v>472</v>
      </c>
      <c r="E12" s="773" t="s">
        <v>1058</v>
      </c>
      <c r="F12" s="774"/>
      <c r="G12" s="774"/>
      <c r="H12" s="774"/>
      <c r="I12" s="131">
        <v>60</v>
      </c>
    </row>
    <row r="13" spans="1:9" ht="13.9" thickBot="1" x14ac:dyDescent="0.35">
      <c r="A13" s="510"/>
      <c r="B13" s="121"/>
      <c r="C13" s="122"/>
      <c r="D13" s="123"/>
      <c r="E13" s="122"/>
      <c r="F13" s="122"/>
      <c r="G13" s="122"/>
      <c r="H13" s="124"/>
      <c r="I13" s="125"/>
    </row>
    <row r="14" spans="1:9" ht="13.9" thickBot="1" x14ac:dyDescent="0.35">
      <c r="A14" s="763" t="s">
        <v>689</v>
      </c>
      <c r="B14" s="764"/>
      <c r="C14" s="764"/>
      <c r="D14" s="764"/>
      <c r="E14" s="764"/>
      <c r="F14" s="764"/>
      <c r="G14" s="764"/>
      <c r="H14" s="764"/>
      <c r="I14" s="765"/>
    </row>
    <row r="15" spans="1:9" ht="25.5" x14ac:dyDescent="0.25">
      <c r="A15" s="391" t="s">
        <v>1466</v>
      </c>
      <c r="B15" s="391" t="s">
        <v>421</v>
      </c>
      <c r="C15" s="391" t="s">
        <v>1472</v>
      </c>
      <c r="D15" s="392" t="s">
        <v>364</v>
      </c>
      <c r="E15" s="392" t="s">
        <v>1046</v>
      </c>
      <c r="F15" s="392" t="s">
        <v>1047</v>
      </c>
      <c r="G15" s="393" t="s">
        <v>1471</v>
      </c>
      <c r="H15" s="393" t="s">
        <v>1468</v>
      </c>
      <c r="I15" s="391" t="s">
        <v>1469</v>
      </c>
    </row>
    <row r="16" spans="1:9" x14ac:dyDescent="0.25">
      <c r="A16" s="431" t="s">
        <v>2517</v>
      </c>
      <c r="B16" s="394" t="s">
        <v>1503</v>
      </c>
      <c r="C16" s="395" t="s">
        <v>1049</v>
      </c>
      <c r="D16" s="396">
        <v>2</v>
      </c>
      <c r="E16" s="397">
        <v>1</v>
      </c>
      <c r="F16" s="396">
        <v>1</v>
      </c>
      <c r="G16" s="396">
        <f>$D$12</f>
        <v>472</v>
      </c>
      <c r="H16" s="511">
        <f>VLOOKUP(A16,CPU_MOBILIZACAO!A$181:C$189,3,FALSE)</f>
        <v>151.7799</v>
      </c>
      <c r="I16" s="396">
        <f t="shared" ref="I16:I39" si="0">ROUND(D16*(((G16*F16*E16)/$I$12)*H16),2)</f>
        <v>2388</v>
      </c>
    </row>
    <row r="17" spans="1:9" x14ac:dyDescent="0.25">
      <c r="A17" s="431" t="s">
        <v>2518</v>
      </c>
      <c r="B17" s="394" t="s">
        <v>1504</v>
      </c>
      <c r="C17" s="395" t="s">
        <v>1049</v>
      </c>
      <c r="D17" s="396">
        <v>1</v>
      </c>
      <c r="E17" s="397">
        <v>1</v>
      </c>
      <c r="F17" s="396">
        <v>1</v>
      </c>
      <c r="G17" s="396">
        <f t="shared" ref="G17:G39" si="1">$D$12</f>
        <v>472</v>
      </c>
      <c r="H17" s="396">
        <f>VLOOKUP(A17,CPU_MOBILIZACAO!A$181:C$189,3,FALSE)</f>
        <v>153.78909999999999</v>
      </c>
      <c r="I17" s="396">
        <f t="shared" si="0"/>
        <v>1209.81</v>
      </c>
    </row>
    <row r="18" spans="1:9" x14ac:dyDescent="0.25">
      <c r="A18" s="431" t="s">
        <v>2519</v>
      </c>
      <c r="B18" s="394" t="s">
        <v>1506</v>
      </c>
      <c r="C18" s="395" t="s">
        <v>1049</v>
      </c>
      <c r="D18" s="396">
        <v>1</v>
      </c>
      <c r="E18" s="397">
        <v>1</v>
      </c>
      <c r="F18" s="396">
        <v>1</v>
      </c>
      <c r="G18" s="396">
        <f t="shared" si="1"/>
        <v>472</v>
      </c>
      <c r="H18" s="396">
        <f>VLOOKUP(A18,CPU_MOBILIZACAO!A$181:C$189,3,FALSE)</f>
        <v>107.3732</v>
      </c>
      <c r="I18" s="396">
        <f t="shared" si="0"/>
        <v>844.67</v>
      </c>
    </row>
    <row r="19" spans="1:9" x14ac:dyDescent="0.25">
      <c r="A19" s="431" t="s">
        <v>2517</v>
      </c>
      <c r="B19" s="394" t="s">
        <v>1503</v>
      </c>
      <c r="C19" s="395" t="s">
        <v>1049</v>
      </c>
      <c r="D19" s="396">
        <v>1</v>
      </c>
      <c r="E19" s="397">
        <v>1</v>
      </c>
      <c r="F19" s="396">
        <v>1</v>
      </c>
      <c r="G19" s="396">
        <f t="shared" si="1"/>
        <v>472</v>
      </c>
      <c r="H19" s="396">
        <f>VLOOKUP(A19,CPU_MOBILIZACAO!A$181:C$189,3,FALSE)</f>
        <v>151.7799</v>
      </c>
      <c r="I19" s="396">
        <f t="shared" si="0"/>
        <v>1194</v>
      </c>
    </row>
    <row r="20" spans="1:9" ht="63.75" x14ac:dyDescent="0.25">
      <c r="A20" s="431" t="s">
        <v>2520</v>
      </c>
      <c r="B20" s="394" t="s">
        <v>1507</v>
      </c>
      <c r="C20" s="395" t="s">
        <v>1049</v>
      </c>
      <c r="D20" s="396">
        <v>1</v>
      </c>
      <c r="E20" s="397">
        <v>1</v>
      </c>
      <c r="F20" s="396">
        <v>1</v>
      </c>
      <c r="G20" s="396">
        <f t="shared" si="1"/>
        <v>472</v>
      </c>
      <c r="H20" s="396">
        <f>VLOOKUP(A20,CPU_MOBILIZACAO!A$181:C$189,3,FALSE)</f>
        <v>155.98259999999999</v>
      </c>
      <c r="I20" s="396">
        <f t="shared" si="0"/>
        <v>1227.06</v>
      </c>
    </row>
    <row r="21" spans="1:9" x14ac:dyDescent="0.25">
      <c r="A21" s="431" t="s">
        <v>2521</v>
      </c>
      <c r="B21" s="394" t="s">
        <v>1509</v>
      </c>
      <c r="C21" s="395" t="s">
        <v>1049</v>
      </c>
      <c r="D21" s="396">
        <v>1</v>
      </c>
      <c r="E21" s="397">
        <v>1</v>
      </c>
      <c r="F21" s="396">
        <v>1</v>
      </c>
      <c r="G21" s="396">
        <f t="shared" si="1"/>
        <v>472</v>
      </c>
      <c r="H21" s="396">
        <f>VLOOKUP(A21,CPU_MOBILIZACAO!A$181:C$189,3,FALSE)</f>
        <v>179.2911</v>
      </c>
      <c r="I21" s="396">
        <f t="shared" si="0"/>
        <v>1410.42</v>
      </c>
    </row>
    <row r="22" spans="1:9" x14ac:dyDescent="0.25">
      <c r="A22" s="431" t="s">
        <v>2522</v>
      </c>
      <c r="B22" s="394" t="s">
        <v>1508</v>
      </c>
      <c r="C22" s="395" t="s">
        <v>1049</v>
      </c>
      <c r="D22" s="396">
        <v>1</v>
      </c>
      <c r="E22" s="397">
        <v>1</v>
      </c>
      <c r="F22" s="396">
        <v>1</v>
      </c>
      <c r="G22" s="396">
        <f t="shared" si="1"/>
        <v>472</v>
      </c>
      <c r="H22" s="396">
        <f>VLOOKUP(A22,CPU_MOBILIZACAO!A$181:C$189,3,FALSE)</f>
        <v>149.4898</v>
      </c>
      <c r="I22" s="396">
        <f t="shared" si="0"/>
        <v>1175.99</v>
      </c>
    </row>
    <row r="23" spans="1:9" x14ac:dyDescent="0.25">
      <c r="A23" s="431" t="s">
        <v>2523</v>
      </c>
      <c r="B23" s="394" t="s">
        <v>715</v>
      </c>
      <c r="C23" s="395" t="s">
        <v>1049</v>
      </c>
      <c r="D23" s="396">
        <v>4</v>
      </c>
      <c r="E23" s="397">
        <v>1</v>
      </c>
      <c r="F23" s="396">
        <v>1</v>
      </c>
      <c r="G23" s="396">
        <f t="shared" si="1"/>
        <v>472</v>
      </c>
      <c r="H23" s="396">
        <f>VLOOKUP(A23,CPU_MOBILIZACAO!A$181:C$189,3,FALSE)</f>
        <v>24.072099999999999</v>
      </c>
      <c r="I23" s="396">
        <f t="shared" si="0"/>
        <v>757.47</v>
      </c>
    </row>
    <row r="24" spans="1:9" ht="25.5" x14ac:dyDescent="0.25">
      <c r="A24" s="431" t="s">
        <v>2524</v>
      </c>
      <c r="B24" s="394" t="s">
        <v>1517</v>
      </c>
      <c r="C24" s="395" t="s">
        <v>1048</v>
      </c>
      <c r="D24" s="396">
        <v>1</v>
      </c>
      <c r="E24" s="397">
        <v>1</v>
      </c>
      <c r="F24" s="396">
        <v>2</v>
      </c>
      <c r="G24" s="396">
        <f t="shared" si="1"/>
        <v>472</v>
      </c>
      <c r="H24" s="396">
        <f>VLOOKUP(A24,CPU_MOBILIZACAO!A$181:C$189,3,FALSE)</f>
        <v>229.38839999999999</v>
      </c>
      <c r="I24" s="396">
        <f t="shared" si="0"/>
        <v>3609.04</v>
      </c>
    </row>
    <row r="25" spans="1:9" ht="38.25" x14ac:dyDescent="0.25">
      <c r="A25" s="431" t="s">
        <v>2524</v>
      </c>
      <c r="B25" s="394" t="s">
        <v>2374</v>
      </c>
      <c r="C25" s="395" t="s">
        <v>1048</v>
      </c>
      <c r="D25" s="396">
        <v>1</v>
      </c>
      <c r="E25" s="397">
        <v>1</v>
      </c>
      <c r="F25" s="396">
        <v>2</v>
      </c>
      <c r="G25" s="396">
        <f t="shared" si="1"/>
        <v>472</v>
      </c>
      <c r="H25" s="396">
        <f>VLOOKUP(A25,CPU_MOBILIZACAO!A$181:C$189,3,FALSE)</f>
        <v>229.38839999999999</v>
      </c>
      <c r="I25" s="396">
        <f t="shared" si="0"/>
        <v>3609.04</v>
      </c>
    </row>
    <row r="26" spans="1:9" ht="25.5" x14ac:dyDescent="0.25">
      <c r="A26" s="431" t="s">
        <v>2524</v>
      </c>
      <c r="B26" s="394" t="s">
        <v>2375</v>
      </c>
      <c r="C26" s="395" t="s">
        <v>1048</v>
      </c>
      <c r="D26" s="396">
        <v>1</v>
      </c>
      <c r="E26" s="397">
        <v>1</v>
      </c>
      <c r="F26" s="396">
        <v>2</v>
      </c>
      <c r="G26" s="396">
        <f t="shared" si="1"/>
        <v>472</v>
      </c>
      <c r="H26" s="396">
        <f>VLOOKUP(A26,CPU_MOBILIZACAO!A$181:C$189,3,FALSE)</f>
        <v>229.38839999999999</v>
      </c>
      <c r="I26" s="396">
        <f t="shared" si="0"/>
        <v>3609.04</v>
      </c>
    </row>
    <row r="27" spans="1:9" ht="25.5" x14ac:dyDescent="0.25">
      <c r="A27" s="431" t="s">
        <v>2524</v>
      </c>
      <c r="B27" s="394" t="s">
        <v>2376</v>
      </c>
      <c r="C27" s="395" t="s">
        <v>1048</v>
      </c>
      <c r="D27" s="396">
        <v>1</v>
      </c>
      <c r="E27" s="397">
        <v>1</v>
      </c>
      <c r="F27" s="396">
        <v>2</v>
      </c>
      <c r="G27" s="396">
        <f t="shared" si="1"/>
        <v>472</v>
      </c>
      <c r="H27" s="396">
        <f>VLOOKUP(A27,CPU_MOBILIZACAO!A$181:C$189,3,FALSE)</f>
        <v>229.38839999999999</v>
      </c>
      <c r="I27" s="396">
        <f t="shared" si="0"/>
        <v>3609.04</v>
      </c>
    </row>
    <row r="28" spans="1:9" ht="25.5" x14ac:dyDescent="0.25">
      <c r="A28" s="431" t="s">
        <v>2521</v>
      </c>
      <c r="B28" s="394" t="s">
        <v>1510</v>
      </c>
      <c r="C28" s="395" t="s">
        <v>1059</v>
      </c>
      <c r="D28" s="396">
        <v>1</v>
      </c>
      <c r="E28" s="397">
        <v>1</v>
      </c>
      <c r="F28" s="396">
        <v>2</v>
      </c>
      <c r="G28" s="396">
        <f t="shared" si="1"/>
        <v>472</v>
      </c>
      <c r="H28" s="396">
        <f>VLOOKUP(A28,CPU_MOBILIZACAO!A$181:C$189,3,FALSE)</f>
        <v>179.2911</v>
      </c>
      <c r="I28" s="396">
        <f t="shared" si="0"/>
        <v>2820.85</v>
      </c>
    </row>
    <row r="29" spans="1:9" ht="25.5" x14ac:dyDescent="0.25">
      <c r="A29" s="431" t="s">
        <v>2521</v>
      </c>
      <c r="B29" s="394" t="s">
        <v>1511</v>
      </c>
      <c r="C29" s="395" t="s">
        <v>1059</v>
      </c>
      <c r="D29" s="396">
        <v>1</v>
      </c>
      <c r="E29" s="397">
        <v>1</v>
      </c>
      <c r="F29" s="396">
        <v>2</v>
      </c>
      <c r="G29" s="396">
        <f t="shared" si="1"/>
        <v>472</v>
      </c>
      <c r="H29" s="396">
        <f>VLOOKUP(A29,CPU_MOBILIZACAO!A$181:C$189,3,FALSE)</f>
        <v>179.2911</v>
      </c>
      <c r="I29" s="396">
        <f t="shared" si="0"/>
        <v>2820.85</v>
      </c>
    </row>
    <row r="30" spans="1:9" ht="38.25" x14ac:dyDescent="0.25">
      <c r="A30" s="431" t="s">
        <v>2521</v>
      </c>
      <c r="B30" s="394" t="s">
        <v>1512</v>
      </c>
      <c r="C30" s="395" t="s">
        <v>1059</v>
      </c>
      <c r="D30" s="396">
        <v>1</v>
      </c>
      <c r="E30" s="397">
        <v>1</v>
      </c>
      <c r="F30" s="396">
        <v>2</v>
      </c>
      <c r="G30" s="396">
        <f t="shared" si="1"/>
        <v>472</v>
      </c>
      <c r="H30" s="396">
        <f>VLOOKUP(A30,CPU_MOBILIZACAO!A$181:C$189,3,FALSE)</f>
        <v>179.2911</v>
      </c>
      <c r="I30" s="396">
        <f t="shared" si="0"/>
        <v>2820.85</v>
      </c>
    </row>
    <row r="31" spans="1:9" ht="25.5" x14ac:dyDescent="0.25">
      <c r="A31" s="431" t="s">
        <v>2521</v>
      </c>
      <c r="B31" s="394" t="s">
        <v>1513</v>
      </c>
      <c r="C31" s="395" t="s">
        <v>1059</v>
      </c>
      <c r="D31" s="396">
        <v>1</v>
      </c>
      <c r="E31" s="397">
        <v>1</v>
      </c>
      <c r="F31" s="396">
        <v>2</v>
      </c>
      <c r="G31" s="396">
        <f t="shared" si="1"/>
        <v>472</v>
      </c>
      <c r="H31" s="396">
        <f>VLOOKUP(A31,CPU_MOBILIZACAO!A$181:C$189,3,FALSE)</f>
        <v>179.2911</v>
      </c>
      <c r="I31" s="396">
        <f t="shared" si="0"/>
        <v>2820.85</v>
      </c>
    </row>
    <row r="32" spans="1:9" ht="25.5" x14ac:dyDescent="0.25">
      <c r="A32" s="431" t="s">
        <v>2524</v>
      </c>
      <c r="B32" s="394" t="s">
        <v>932</v>
      </c>
      <c r="C32" s="395" t="s">
        <v>1048</v>
      </c>
      <c r="D32" s="396">
        <v>1</v>
      </c>
      <c r="E32" s="397">
        <v>1</v>
      </c>
      <c r="F32" s="396">
        <v>2</v>
      </c>
      <c r="G32" s="396">
        <f t="shared" si="1"/>
        <v>472</v>
      </c>
      <c r="H32" s="396">
        <f>VLOOKUP(A32,CPU_MOBILIZACAO!A$181:C$189,3,FALSE)</f>
        <v>229.38839999999999</v>
      </c>
      <c r="I32" s="396">
        <f t="shared" si="0"/>
        <v>3609.04</v>
      </c>
    </row>
    <row r="33" spans="1:9" ht="25.5" x14ac:dyDescent="0.25">
      <c r="A33" s="431" t="s">
        <v>2524</v>
      </c>
      <c r="B33" s="394" t="s">
        <v>2377</v>
      </c>
      <c r="C33" s="395" t="s">
        <v>1048</v>
      </c>
      <c r="D33" s="396">
        <v>1</v>
      </c>
      <c r="E33" s="397">
        <v>1</v>
      </c>
      <c r="F33" s="396">
        <v>2</v>
      </c>
      <c r="G33" s="396">
        <f t="shared" si="1"/>
        <v>472</v>
      </c>
      <c r="H33" s="396">
        <f>VLOOKUP(A33,CPU_MOBILIZACAO!A$181:C$189,3,FALSE)</f>
        <v>229.38839999999999</v>
      </c>
      <c r="I33" s="396">
        <f t="shared" si="0"/>
        <v>3609.04</v>
      </c>
    </row>
    <row r="34" spans="1:9" ht="25.5" x14ac:dyDescent="0.25">
      <c r="A34" s="431" t="s">
        <v>2524</v>
      </c>
      <c r="B34" s="394" t="s">
        <v>932</v>
      </c>
      <c r="C34" s="395" t="s">
        <v>1048</v>
      </c>
      <c r="D34" s="396">
        <v>1</v>
      </c>
      <c r="E34" s="397">
        <v>1</v>
      </c>
      <c r="F34" s="396">
        <v>2</v>
      </c>
      <c r="G34" s="396">
        <f t="shared" si="1"/>
        <v>472</v>
      </c>
      <c r="H34" s="396">
        <f>VLOOKUP(A34,CPU_MOBILIZACAO!A$181:C$189,3,FALSE)</f>
        <v>229.38839999999999</v>
      </c>
      <c r="I34" s="396">
        <f t="shared" si="0"/>
        <v>3609.04</v>
      </c>
    </row>
    <row r="35" spans="1:9" ht="25.5" x14ac:dyDescent="0.25">
      <c r="A35" s="431" t="s">
        <v>2524</v>
      </c>
      <c r="B35" s="394" t="s">
        <v>2375</v>
      </c>
      <c r="C35" s="395" t="s">
        <v>1048</v>
      </c>
      <c r="D35" s="396">
        <v>1</v>
      </c>
      <c r="E35" s="397">
        <v>1</v>
      </c>
      <c r="F35" s="396">
        <v>2</v>
      </c>
      <c r="G35" s="396">
        <f t="shared" si="1"/>
        <v>472</v>
      </c>
      <c r="H35" s="396">
        <f>VLOOKUP(A35,CPU_MOBILIZACAO!A$181:C$189,3,FALSE)</f>
        <v>229.38839999999999</v>
      </c>
      <c r="I35" s="396">
        <f t="shared" si="0"/>
        <v>3609.04</v>
      </c>
    </row>
    <row r="36" spans="1:9" ht="25.5" x14ac:dyDescent="0.25">
      <c r="A36" s="431" t="s">
        <v>2524</v>
      </c>
      <c r="B36" s="394" t="s">
        <v>2378</v>
      </c>
      <c r="C36" s="395" t="s">
        <v>1048</v>
      </c>
      <c r="D36" s="396">
        <v>1</v>
      </c>
      <c r="E36" s="397">
        <v>1</v>
      </c>
      <c r="F36" s="396">
        <v>2</v>
      </c>
      <c r="G36" s="396">
        <f t="shared" si="1"/>
        <v>472</v>
      </c>
      <c r="H36" s="396">
        <f>VLOOKUP(A36,CPU_MOBILIZACAO!A$181:C$189,3,FALSE)</f>
        <v>229.38839999999999</v>
      </c>
      <c r="I36" s="396">
        <f t="shared" si="0"/>
        <v>3609.04</v>
      </c>
    </row>
    <row r="37" spans="1:9" ht="25.5" x14ac:dyDescent="0.25">
      <c r="A37" s="431" t="s">
        <v>2524</v>
      </c>
      <c r="B37" s="394" t="s">
        <v>958</v>
      </c>
      <c r="C37" s="395" t="s">
        <v>1048</v>
      </c>
      <c r="D37" s="396">
        <v>1</v>
      </c>
      <c r="E37" s="397">
        <v>1</v>
      </c>
      <c r="F37" s="396">
        <v>2</v>
      </c>
      <c r="G37" s="396">
        <f t="shared" si="1"/>
        <v>472</v>
      </c>
      <c r="H37" s="396">
        <f>VLOOKUP(A37,CPU_MOBILIZACAO!A$181:C$189,3,FALSE)</f>
        <v>229.38839999999999</v>
      </c>
      <c r="I37" s="396">
        <f t="shared" si="0"/>
        <v>3609.04</v>
      </c>
    </row>
    <row r="38" spans="1:9" ht="38.25" x14ac:dyDescent="0.25">
      <c r="A38" s="431" t="s">
        <v>2524</v>
      </c>
      <c r="B38" s="394" t="s">
        <v>2379</v>
      </c>
      <c r="C38" s="395" t="s">
        <v>1048</v>
      </c>
      <c r="D38" s="396">
        <v>1</v>
      </c>
      <c r="E38" s="397">
        <v>1</v>
      </c>
      <c r="F38" s="396">
        <v>2</v>
      </c>
      <c r="G38" s="396">
        <f t="shared" si="1"/>
        <v>472</v>
      </c>
      <c r="H38" s="396">
        <f>VLOOKUP(A38,CPU_MOBILIZACAO!A$181:C$189,3,FALSE)</f>
        <v>229.38839999999999</v>
      </c>
      <c r="I38" s="396">
        <f t="shared" si="0"/>
        <v>3609.04</v>
      </c>
    </row>
    <row r="39" spans="1:9" ht="89.25" x14ac:dyDescent="0.25">
      <c r="A39" s="431" t="s">
        <v>2523</v>
      </c>
      <c r="B39" s="394" t="s">
        <v>2380</v>
      </c>
      <c r="C39" s="395" t="s">
        <v>1049</v>
      </c>
      <c r="D39" s="396">
        <v>4</v>
      </c>
      <c r="E39" s="397">
        <v>1</v>
      </c>
      <c r="F39" s="396">
        <v>1</v>
      </c>
      <c r="G39" s="396">
        <f t="shared" si="1"/>
        <v>472</v>
      </c>
      <c r="H39" s="396">
        <f>VLOOKUP(A39,CPU_MOBILIZACAO!A$181:C$189,3,FALSE)</f>
        <v>24.072099999999999</v>
      </c>
      <c r="I39" s="396">
        <f t="shared" si="0"/>
        <v>757.47</v>
      </c>
    </row>
    <row r="40" spans="1:9" x14ac:dyDescent="0.25">
      <c r="A40" s="431"/>
      <c r="B40" s="394"/>
      <c r="C40" s="395"/>
      <c r="D40" s="396"/>
      <c r="E40" s="397"/>
      <c r="F40" s="396"/>
      <c r="G40" s="396"/>
      <c r="H40" s="396"/>
      <c r="I40" s="396"/>
    </row>
    <row r="41" spans="1:9" ht="13.5" thickBot="1" x14ac:dyDescent="0.3">
      <c r="A41" s="766" t="s">
        <v>1050</v>
      </c>
      <c r="B41" s="766"/>
      <c r="C41" s="766"/>
      <c r="D41" s="766"/>
      <c r="E41" s="766"/>
      <c r="F41" s="766"/>
      <c r="G41" s="766"/>
      <c r="H41" s="766"/>
      <c r="I41" s="400">
        <f>SUM(I16:I39)</f>
        <v>61947.73</v>
      </c>
    </row>
    <row r="42" spans="1:9" s="486" customFormat="1" ht="13.5" thickBot="1" x14ac:dyDescent="0.3">
      <c r="A42" s="127"/>
      <c r="B42" s="126"/>
      <c r="C42" s="126"/>
      <c r="D42" s="126"/>
      <c r="E42" s="126"/>
      <c r="F42" s="126"/>
      <c r="G42" s="126"/>
      <c r="H42" s="126"/>
      <c r="I42" s="128"/>
    </row>
    <row r="43" spans="1:9" ht="13.5" thickBot="1" x14ac:dyDescent="0.3">
      <c r="A43" s="763" t="s">
        <v>690</v>
      </c>
      <c r="B43" s="764"/>
      <c r="C43" s="764"/>
      <c r="D43" s="764"/>
      <c r="E43" s="764"/>
      <c r="F43" s="764"/>
      <c r="G43" s="764"/>
      <c r="H43" s="764"/>
      <c r="I43" s="765"/>
    </row>
    <row r="44" spans="1:9" ht="25.5" x14ac:dyDescent="0.25">
      <c r="A44" s="391" t="s">
        <v>1466</v>
      </c>
      <c r="B44" s="391" t="s">
        <v>421</v>
      </c>
      <c r="C44" s="391" t="s">
        <v>410</v>
      </c>
      <c r="D44" s="392" t="s">
        <v>364</v>
      </c>
      <c r="E44" s="401"/>
      <c r="F44" s="401"/>
      <c r="G44" s="401"/>
      <c r="H44" s="391" t="s">
        <v>1470</v>
      </c>
      <c r="I44" s="391" t="s">
        <v>1469</v>
      </c>
    </row>
    <row r="45" spans="1:9" x14ac:dyDescent="0.25">
      <c r="A45" s="431" t="s">
        <v>1519</v>
      </c>
      <c r="B45" s="394" t="s">
        <v>1060</v>
      </c>
      <c r="C45" s="395" t="s">
        <v>3</v>
      </c>
      <c r="D45" s="396">
        <f>SUMIF(C16:C39,"RODANDO",D16:D39)</f>
        <v>16</v>
      </c>
      <c r="E45" s="397"/>
      <c r="F45" s="396"/>
      <c r="G45" s="396"/>
      <c r="H45" s="396">
        <f>VLOOKUP(A45,CPU_MOBILIZACAO!A$181:C$189,3,FALSE)</f>
        <v>18.64</v>
      </c>
      <c r="I45" s="396">
        <f>ROUND(D45*H45,2)</f>
        <v>298.24</v>
      </c>
    </row>
    <row r="46" spans="1:9" x14ac:dyDescent="0.25">
      <c r="A46" s="431" t="s">
        <v>1519</v>
      </c>
      <c r="B46" s="394" t="s">
        <v>1061</v>
      </c>
      <c r="C46" s="395" t="s">
        <v>3</v>
      </c>
      <c r="D46" s="396">
        <f>SUMIF(C16:C39,"CARRETA",D16:D39)+SUMIF(C16:C39,"REBOQUE",D16:D39)+SUMIF(C16:C39,"GUINDAUTO",D16:D39)</f>
        <v>15</v>
      </c>
      <c r="E46" s="397"/>
      <c r="F46" s="396"/>
      <c r="G46" s="396"/>
      <c r="H46" s="396">
        <f>VLOOKUP(A46,CPU_MOBILIZACAO!A$181:C$189,3,FALSE)</f>
        <v>18.64</v>
      </c>
      <c r="I46" s="396">
        <f>ROUND(D46*H46,2)</f>
        <v>279.60000000000002</v>
      </c>
    </row>
    <row r="47" spans="1:9" x14ac:dyDescent="0.25">
      <c r="A47" s="431"/>
      <c r="B47" s="394"/>
      <c r="C47" s="395"/>
      <c r="D47" s="396"/>
      <c r="E47" s="397"/>
      <c r="F47" s="396"/>
      <c r="G47" s="396"/>
      <c r="H47" s="396"/>
      <c r="I47" s="396"/>
    </row>
    <row r="48" spans="1:9" ht="13.5" thickBot="1" x14ac:dyDescent="0.3">
      <c r="A48" s="766" t="s">
        <v>1050</v>
      </c>
      <c r="B48" s="766"/>
      <c r="C48" s="766"/>
      <c r="D48" s="766"/>
      <c r="E48" s="766"/>
      <c r="F48" s="766"/>
      <c r="G48" s="766"/>
      <c r="H48" s="766"/>
      <c r="I48" s="400">
        <f>SUM(I45:I47)</f>
        <v>577.84</v>
      </c>
    </row>
    <row r="49" spans="1:9" s="486" customFormat="1" ht="13.5" thickBot="1" x14ac:dyDescent="0.3">
      <c r="A49" s="127"/>
      <c r="B49" s="126"/>
      <c r="C49" s="126"/>
      <c r="D49" s="126"/>
      <c r="E49" s="126"/>
      <c r="F49" s="126"/>
      <c r="G49" s="126"/>
      <c r="H49" s="126"/>
      <c r="I49" s="128"/>
    </row>
    <row r="50" spans="1:9" ht="13.5" thickBot="1" x14ac:dyDescent="0.3">
      <c r="A50" s="763" t="s">
        <v>691</v>
      </c>
      <c r="B50" s="764"/>
      <c r="C50" s="764"/>
      <c r="D50" s="764"/>
      <c r="E50" s="764"/>
      <c r="F50" s="764"/>
      <c r="G50" s="764"/>
      <c r="H50" s="764"/>
      <c r="I50" s="765"/>
    </row>
    <row r="51" spans="1:9" ht="25.5" x14ac:dyDescent="0.25">
      <c r="A51" s="391" t="s">
        <v>1466</v>
      </c>
      <c r="B51" s="391" t="s">
        <v>421</v>
      </c>
      <c r="C51" s="391" t="s">
        <v>410</v>
      </c>
      <c r="D51" s="392" t="s">
        <v>364</v>
      </c>
      <c r="E51" s="401"/>
      <c r="F51" s="401"/>
      <c r="G51" s="401"/>
      <c r="H51" s="391" t="s">
        <v>1470</v>
      </c>
      <c r="I51" s="391" t="s">
        <v>1469</v>
      </c>
    </row>
    <row r="52" spans="1:9" x14ac:dyDescent="0.25">
      <c r="A52" s="431"/>
      <c r="B52" s="394"/>
      <c r="C52" s="395"/>
      <c r="D52" s="396"/>
      <c r="E52" s="397"/>
      <c r="F52" s="396"/>
      <c r="G52" s="396"/>
      <c r="H52" s="396"/>
      <c r="I52" s="396"/>
    </row>
    <row r="53" spans="1:9" x14ac:dyDescent="0.25">
      <c r="A53" s="431"/>
      <c r="B53" s="394"/>
      <c r="C53" s="395"/>
      <c r="D53" s="396"/>
      <c r="E53" s="397"/>
      <c r="F53" s="396"/>
      <c r="G53" s="396"/>
      <c r="H53" s="396"/>
      <c r="I53" s="396"/>
    </row>
    <row r="54" spans="1:9" ht="13.5" thickBot="1" x14ac:dyDescent="0.3">
      <c r="A54" s="766" t="s">
        <v>1050</v>
      </c>
      <c r="B54" s="766"/>
      <c r="C54" s="766"/>
      <c r="D54" s="766"/>
      <c r="E54" s="766"/>
      <c r="F54" s="766"/>
      <c r="G54" s="766"/>
      <c r="H54" s="766"/>
      <c r="I54" s="400">
        <f>SUM(I52:I53)</f>
        <v>0</v>
      </c>
    </row>
    <row r="55" spans="1:9" s="486" customFormat="1" ht="13.5" thickBot="1" x14ac:dyDescent="0.3">
      <c r="A55" s="127"/>
      <c r="B55" s="126"/>
      <c r="C55" s="126"/>
      <c r="D55" s="126"/>
      <c r="E55" s="126"/>
      <c r="F55" s="126"/>
      <c r="G55" s="126"/>
      <c r="H55" s="126"/>
      <c r="I55" s="128"/>
    </row>
    <row r="56" spans="1:9" ht="13.5" thickBot="1" x14ac:dyDescent="0.3">
      <c r="A56" s="763" t="s">
        <v>539</v>
      </c>
      <c r="B56" s="764"/>
      <c r="C56" s="764"/>
      <c r="D56" s="764"/>
      <c r="E56" s="764"/>
      <c r="F56" s="764"/>
      <c r="G56" s="764"/>
      <c r="H56" s="764"/>
      <c r="I56" s="765"/>
    </row>
    <row r="57" spans="1:9" ht="25.5" x14ac:dyDescent="0.25">
      <c r="A57" s="391" t="s">
        <v>1466</v>
      </c>
      <c r="B57" s="391" t="s">
        <v>421</v>
      </c>
      <c r="C57" s="391" t="s">
        <v>410</v>
      </c>
      <c r="D57" s="392" t="s">
        <v>364</v>
      </c>
      <c r="E57" s="401"/>
      <c r="F57" s="401"/>
      <c r="G57" s="401"/>
      <c r="H57" s="391" t="s">
        <v>1470</v>
      </c>
      <c r="I57" s="391" t="s">
        <v>1469</v>
      </c>
    </row>
    <row r="58" spans="1:9" x14ac:dyDescent="0.25">
      <c r="A58" s="431"/>
      <c r="B58" s="394"/>
      <c r="C58" s="395"/>
      <c r="D58" s="396"/>
      <c r="E58" s="397"/>
      <c r="F58" s="396"/>
      <c r="G58" s="396"/>
      <c r="H58" s="396"/>
      <c r="I58" s="396"/>
    </row>
    <row r="59" spans="1:9" x14ac:dyDescent="0.25">
      <c r="A59" s="431"/>
      <c r="B59" s="394"/>
      <c r="C59" s="395"/>
      <c r="D59" s="396"/>
      <c r="E59" s="397"/>
      <c r="F59" s="396"/>
      <c r="G59" s="396"/>
      <c r="H59" s="396"/>
      <c r="I59" s="396"/>
    </row>
    <row r="60" spans="1:9" ht="13.5" thickBot="1" x14ac:dyDescent="0.3">
      <c r="A60" s="766" t="s">
        <v>1050</v>
      </c>
      <c r="B60" s="766"/>
      <c r="C60" s="766"/>
      <c r="D60" s="766"/>
      <c r="E60" s="766"/>
      <c r="F60" s="766"/>
      <c r="G60" s="766"/>
      <c r="H60" s="766"/>
      <c r="I60" s="400">
        <f>SUM(I58:I59)</f>
        <v>0</v>
      </c>
    </row>
    <row r="61" spans="1:9" s="486" customFormat="1" ht="13.5" thickBot="1" x14ac:dyDescent="0.3">
      <c r="A61" s="127"/>
      <c r="B61" s="126"/>
      <c r="C61" s="126"/>
      <c r="D61" s="126"/>
      <c r="E61" s="126"/>
      <c r="F61" s="126"/>
      <c r="G61" s="126"/>
      <c r="H61" s="126"/>
      <c r="I61" s="128"/>
    </row>
    <row r="62" spans="1:9" ht="13.5" thickBot="1" x14ac:dyDescent="0.3">
      <c r="A62" s="767" t="s">
        <v>692</v>
      </c>
      <c r="B62" s="777"/>
      <c r="C62" s="129">
        <v>1</v>
      </c>
      <c r="D62" s="775" t="s">
        <v>693</v>
      </c>
      <c r="E62" s="775"/>
      <c r="F62" s="775"/>
      <c r="G62" s="775"/>
      <c r="H62" s="776"/>
      <c r="I62" s="130">
        <f>I41+I48+I54+I60</f>
        <v>62525.57</v>
      </c>
    </row>
    <row r="63" spans="1:9" s="486" customFormat="1" ht="13.5" thickBot="1" x14ac:dyDescent="0.3">
      <c r="A63" s="127"/>
      <c r="B63" s="126"/>
      <c r="C63" s="126"/>
      <c r="D63" s="126"/>
      <c r="E63" s="126"/>
      <c r="F63" s="126"/>
      <c r="G63" s="126"/>
      <c r="H63" s="126"/>
      <c r="I63" s="128"/>
    </row>
    <row r="64" spans="1:9" ht="13.5" thickBot="1" x14ac:dyDescent="0.3">
      <c r="A64" s="769" t="str">
        <f>"TOTAL - "&amp;A9&amp;" - (R$):"</f>
        <v>TOTAL - COMPOSIÇÃO DE PREÇO UNITÁRIO - DESMOBILIZAÇÃO - (R$):</v>
      </c>
      <c r="B64" s="770"/>
      <c r="C64" s="771"/>
      <c r="D64" s="771"/>
      <c r="E64" s="771"/>
      <c r="F64" s="771"/>
      <c r="G64" s="771"/>
      <c r="H64" s="772"/>
      <c r="I64" s="26">
        <f>ROUND(C62*I62,2)</f>
        <v>62525.57</v>
      </c>
    </row>
    <row r="66" spans="1:9" ht="13.5" thickBot="1" x14ac:dyDescent="0.3"/>
    <row r="67" spans="1:9" x14ac:dyDescent="0.25">
      <c r="A67" s="757" t="s">
        <v>1465</v>
      </c>
      <c r="B67" s="759"/>
      <c r="C67" s="759"/>
      <c r="D67" s="759"/>
      <c r="E67" s="759"/>
      <c r="F67" s="759"/>
      <c r="G67" s="759"/>
      <c r="H67" s="759"/>
      <c r="I67" s="760"/>
    </row>
    <row r="68" spans="1:9" ht="13.5" thickBot="1" x14ac:dyDescent="0.3">
      <c r="A68" s="754" t="s">
        <v>1062</v>
      </c>
      <c r="B68" s="755"/>
      <c r="C68" s="755"/>
      <c r="D68" s="755"/>
      <c r="E68" s="755"/>
      <c r="F68" s="755"/>
      <c r="G68" s="755"/>
      <c r="H68" s="755"/>
      <c r="I68" s="756"/>
    </row>
    <row r="69" spans="1:9" ht="13.5" thickBot="1" x14ac:dyDescent="0.3">
      <c r="A69" s="77"/>
      <c r="B69" s="70"/>
      <c r="C69" s="77"/>
      <c r="D69" s="70"/>
      <c r="E69" s="70"/>
      <c r="F69" s="70"/>
      <c r="G69" s="70"/>
      <c r="H69" s="70"/>
      <c r="I69" s="77"/>
    </row>
    <row r="70" spans="1:9" ht="13.5" thickBot="1" x14ac:dyDescent="0.3">
      <c r="A70" s="761" t="s">
        <v>1063</v>
      </c>
      <c r="B70" s="762"/>
      <c r="C70" s="762"/>
      <c r="D70" s="120">
        <f>Canteiros!H17</f>
        <v>368</v>
      </c>
      <c r="E70" s="761" t="s">
        <v>1058</v>
      </c>
      <c r="F70" s="762"/>
      <c r="G70" s="762"/>
      <c r="H70" s="762"/>
      <c r="I70" s="120">
        <f>$I$12</f>
        <v>60</v>
      </c>
    </row>
    <row r="71" spans="1:9" ht="13.5" thickBot="1" x14ac:dyDescent="0.3">
      <c r="A71" s="77"/>
      <c r="B71" s="70"/>
      <c r="C71" s="77"/>
      <c r="D71" s="70"/>
      <c r="E71" s="70"/>
      <c r="F71" s="70"/>
      <c r="G71" s="70"/>
      <c r="H71" s="70"/>
      <c r="I71" s="77"/>
    </row>
    <row r="72" spans="1:9" ht="13.5" thickBot="1" x14ac:dyDescent="0.3">
      <c r="A72" s="763" t="s">
        <v>689</v>
      </c>
      <c r="B72" s="764"/>
      <c r="C72" s="764"/>
      <c r="D72" s="764"/>
      <c r="E72" s="764"/>
      <c r="F72" s="764"/>
      <c r="G72" s="764"/>
      <c r="H72" s="764"/>
      <c r="I72" s="765"/>
    </row>
    <row r="73" spans="1:9" ht="25.5" x14ac:dyDescent="0.25">
      <c r="A73" s="391" t="s">
        <v>1466</v>
      </c>
      <c r="B73" s="391" t="s">
        <v>421</v>
      </c>
      <c r="C73" s="391" t="s">
        <v>1472</v>
      </c>
      <c r="D73" s="392" t="s">
        <v>364</v>
      </c>
      <c r="E73" s="392" t="s">
        <v>1046</v>
      </c>
      <c r="F73" s="392" t="s">
        <v>1047</v>
      </c>
      <c r="G73" s="393" t="s">
        <v>1471</v>
      </c>
      <c r="H73" s="393" t="s">
        <v>1468</v>
      </c>
      <c r="I73" s="391" t="s">
        <v>1469</v>
      </c>
    </row>
    <row r="74" spans="1:9" x14ac:dyDescent="0.25">
      <c r="A74" s="156" t="s">
        <v>2517</v>
      </c>
      <c r="B74" s="185" t="s">
        <v>1503</v>
      </c>
      <c r="C74" s="395" t="s">
        <v>1049</v>
      </c>
      <c r="D74" s="396">
        <v>2</v>
      </c>
      <c r="E74" s="397">
        <v>1</v>
      </c>
      <c r="F74" s="396">
        <v>1</v>
      </c>
      <c r="G74" s="396">
        <f>$D$70</f>
        <v>368</v>
      </c>
      <c r="H74" s="396">
        <f>VLOOKUP(A74,CPU_MOBILIZACAO!A$181:C$189,3,FALSE)</f>
        <v>151.7799</v>
      </c>
      <c r="I74" s="396">
        <f t="shared" ref="I74:I87" si="2">ROUND(D74*(((G74*F74*E74)/$I$12)*H74),2)</f>
        <v>1861.83</v>
      </c>
    </row>
    <row r="75" spans="1:9" x14ac:dyDescent="0.25">
      <c r="A75" s="156" t="s">
        <v>2518</v>
      </c>
      <c r="B75" s="185" t="s">
        <v>1504</v>
      </c>
      <c r="C75" s="395" t="s">
        <v>1049</v>
      </c>
      <c r="D75" s="396">
        <v>1</v>
      </c>
      <c r="E75" s="397">
        <v>1</v>
      </c>
      <c r="F75" s="396">
        <v>1</v>
      </c>
      <c r="G75" s="396">
        <f>$D$70</f>
        <v>368</v>
      </c>
      <c r="H75" s="396">
        <f>VLOOKUP(A75,CPU_MOBILIZACAO!A$181:C$189,3,FALSE)</f>
        <v>153.78909999999999</v>
      </c>
      <c r="I75" s="396">
        <f t="shared" si="2"/>
        <v>943.24</v>
      </c>
    </row>
    <row r="76" spans="1:9" x14ac:dyDescent="0.25">
      <c r="A76" s="156" t="s">
        <v>2519</v>
      </c>
      <c r="B76" s="185" t="s">
        <v>1506</v>
      </c>
      <c r="C76" s="395" t="s">
        <v>1049</v>
      </c>
      <c r="D76" s="396">
        <v>1</v>
      </c>
      <c r="E76" s="397">
        <v>1</v>
      </c>
      <c r="F76" s="396">
        <v>1</v>
      </c>
      <c r="G76" s="396">
        <f t="shared" ref="G76:G87" si="3">$D$70</f>
        <v>368</v>
      </c>
      <c r="H76" s="396">
        <f>VLOOKUP(A76,CPU_MOBILIZACAO!A$181:C$189,3,FALSE)</f>
        <v>107.3732</v>
      </c>
      <c r="I76" s="396">
        <f t="shared" si="2"/>
        <v>658.56</v>
      </c>
    </row>
    <row r="77" spans="1:9" x14ac:dyDescent="0.25">
      <c r="A77" s="156" t="s">
        <v>2517</v>
      </c>
      <c r="B77" s="185" t="s">
        <v>1503</v>
      </c>
      <c r="C77" s="395" t="s">
        <v>1049</v>
      </c>
      <c r="D77" s="396">
        <v>1</v>
      </c>
      <c r="E77" s="397">
        <v>1</v>
      </c>
      <c r="F77" s="396">
        <v>1</v>
      </c>
      <c r="G77" s="396">
        <f t="shared" si="3"/>
        <v>368</v>
      </c>
      <c r="H77" s="396">
        <f>VLOOKUP(A77,CPU_MOBILIZACAO!A$181:C$189,3,FALSE)</f>
        <v>151.7799</v>
      </c>
      <c r="I77" s="396">
        <f t="shared" si="2"/>
        <v>930.92</v>
      </c>
    </row>
    <row r="78" spans="1:9" x14ac:dyDescent="0.25">
      <c r="A78" s="156" t="s">
        <v>2521</v>
      </c>
      <c r="B78" s="185" t="s">
        <v>1509</v>
      </c>
      <c r="C78" s="395" t="s">
        <v>1049</v>
      </c>
      <c r="D78" s="396">
        <v>1</v>
      </c>
      <c r="E78" s="397">
        <v>1</v>
      </c>
      <c r="F78" s="396">
        <v>1</v>
      </c>
      <c r="G78" s="396">
        <f t="shared" si="3"/>
        <v>368</v>
      </c>
      <c r="H78" s="396">
        <f>VLOOKUP(A78,CPU_MOBILIZACAO!A$181:C$189,3,FALSE)</f>
        <v>179.2911</v>
      </c>
      <c r="I78" s="396">
        <f t="shared" si="2"/>
        <v>1099.6500000000001</v>
      </c>
    </row>
    <row r="79" spans="1:9" x14ac:dyDescent="0.25">
      <c r="A79" s="156" t="s">
        <v>2522</v>
      </c>
      <c r="B79" s="185" t="s">
        <v>1508</v>
      </c>
      <c r="C79" s="395" t="s">
        <v>1049</v>
      </c>
      <c r="D79" s="396">
        <v>1</v>
      </c>
      <c r="E79" s="397">
        <v>1</v>
      </c>
      <c r="F79" s="396">
        <v>1</v>
      </c>
      <c r="G79" s="396">
        <f t="shared" si="3"/>
        <v>368</v>
      </c>
      <c r="H79" s="396">
        <f>VLOOKUP(A79,CPU_MOBILIZACAO!A$181:C$189,3,FALSE)</f>
        <v>149.4898</v>
      </c>
      <c r="I79" s="396">
        <f t="shared" si="2"/>
        <v>916.87</v>
      </c>
    </row>
    <row r="80" spans="1:9" x14ac:dyDescent="0.25">
      <c r="A80" s="156" t="s">
        <v>2523</v>
      </c>
      <c r="B80" s="185" t="s">
        <v>715</v>
      </c>
      <c r="C80" s="395" t="s">
        <v>1049</v>
      </c>
      <c r="D80" s="396">
        <v>4</v>
      </c>
      <c r="E80" s="397">
        <v>1</v>
      </c>
      <c r="F80" s="396">
        <v>1</v>
      </c>
      <c r="G80" s="396">
        <f t="shared" si="3"/>
        <v>368</v>
      </c>
      <c r="H80" s="396">
        <f>VLOOKUP(A80,CPU_MOBILIZACAO!A$181:C$189,3,FALSE)</f>
        <v>24.072099999999999</v>
      </c>
      <c r="I80" s="396">
        <f t="shared" si="2"/>
        <v>590.57000000000005</v>
      </c>
    </row>
    <row r="81" spans="1:9" ht="25.5" x14ac:dyDescent="0.25">
      <c r="A81" s="156" t="s">
        <v>2524</v>
      </c>
      <c r="B81" s="185" t="s">
        <v>1517</v>
      </c>
      <c r="C81" s="395" t="s">
        <v>1048</v>
      </c>
      <c r="D81" s="396">
        <v>1</v>
      </c>
      <c r="E81" s="397">
        <v>1</v>
      </c>
      <c r="F81" s="396">
        <v>2</v>
      </c>
      <c r="G81" s="396">
        <f t="shared" si="3"/>
        <v>368</v>
      </c>
      <c r="H81" s="396">
        <f>VLOOKUP(A81,CPU_MOBILIZACAO!A$181:C$189,3,FALSE)</f>
        <v>229.38839999999999</v>
      </c>
      <c r="I81" s="396">
        <f t="shared" si="2"/>
        <v>2813.83</v>
      </c>
    </row>
    <row r="82" spans="1:9" ht="25.5" x14ac:dyDescent="0.25">
      <c r="A82" s="156" t="s">
        <v>2521</v>
      </c>
      <c r="B82" s="185" t="s">
        <v>1510</v>
      </c>
      <c r="C82" s="398" t="s">
        <v>1059</v>
      </c>
      <c r="D82" s="399">
        <v>1</v>
      </c>
      <c r="E82" s="399">
        <v>1</v>
      </c>
      <c r="F82" s="399">
        <v>2</v>
      </c>
      <c r="G82" s="396">
        <f t="shared" si="3"/>
        <v>368</v>
      </c>
      <c r="H82" s="399">
        <f>VLOOKUP(A82,CPU_MOBILIZACAO!A$181:C$189,3,FALSE)</f>
        <v>179.2911</v>
      </c>
      <c r="I82" s="399">
        <f t="shared" si="2"/>
        <v>2199.3000000000002</v>
      </c>
    </row>
    <row r="83" spans="1:9" ht="25.5" x14ac:dyDescent="0.25">
      <c r="A83" s="156" t="s">
        <v>2521</v>
      </c>
      <c r="B83" s="185" t="s">
        <v>1511</v>
      </c>
      <c r="C83" s="398" t="s">
        <v>1059</v>
      </c>
      <c r="D83" s="399">
        <v>1</v>
      </c>
      <c r="E83" s="399">
        <v>1</v>
      </c>
      <c r="F83" s="399">
        <v>2</v>
      </c>
      <c r="G83" s="396">
        <f t="shared" si="3"/>
        <v>368</v>
      </c>
      <c r="H83" s="399">
        <f>VLOOKUP(A83,CPU_MOBILIZACAO!A$181:C$189,3,FALSE)</f>
        <v>179.2911</v>
      </c>
      <c r="I83" s="399">
        <f t="shared" si="2"/>
        <v>2199.3000000000002</v>
      </c>
    </row>
    <row r="84" spans="1:9" ht="38.25" x14ac:dyDescent="0.25">
      <c r="A84" s="156" t="s">
        <v>2521</v>
      </c>
      <c r="B84" s="185" t="s">
        <v>1512</v>
      </c>
      <c r="C84" s="398" t="s">
        <v>1059</v>
      </c>
      <c r="D84" s="399">
        <v>1</v>
      </c>
      <c r="E84" s="399">
        <v>1</v>
      </c>
      <c r="F84" s="399">
        <v>2</v>
      </c>
      <c r="G84" s="396">
        <f t="shared" si="3"/>
        <v>368</v>
      </c>
      <c r="H84" s="399">
        <f>VLOOKUP(A84,CPU_MOBILIZACAO!A$181:C$189,3,FALSE)</f>
        <v>179.2911</v>
      </c>
      <c r="I84" s="399">
        <f t="shared" si="2"/>
        <v>2199.3000000000002</v>
      </c>
    </row>
    <row r="85" spans="1:9" ht="25.5" x14ac:dyDescent="0.25">
      <c r="A85" s="156" t="s">
        <v>2524</v>
      </c>
      <c r="B85" s="185" t="s">
        <v>932</v>
      </c>
      <c r="C85" s="395" t="s">
        <v>1048</v>
      </c>
      <c r="D85" s="396">
        <v>1</v>
      </c>
      <c r="E85" s="397">
        <v>1</v>
      </c>
      <c r="F85" s="396">
        <v>2</v>
      </c>
      <c r="G85" s="396">
        <f t="shared" si="3"/>
        <v>368</v>
      </c>
      <c r="H85" s="396">
        <f>VLOOKUP(A85,CPU_MOBILIZACAO!A$181:C$189,3,FALSE)</f>
        <v>229.38839999999999</v>
      </c>
      <c r="I85" s="396">
        <f t="shared" si="2"/>
        <v>2813.83</v>
      </c>
    </row>
    <row r="86" spans="1:9" ht="38.25" x14ac:dyDescent="0.25">
      <c r="A86" s="156" t="s">
        <v>2524</v>
      </c>
      <c r="B86" s="185" t="s">
        <v>2379</v>
      </c>
      <c r="C86" s="395" t="s">
        <v>1048</v>
      </c>
      <c r="D86" s="396">
        <v>2</v>
      </c>
      <c r="E86" s="397">
        <v>1</v>
      </c>
      <c r="F86" s="396">
        <v>2</v>
      </c>
      <c r="G86" s="396">
        <f t="shared" si="3"/>
        <v>368</v>
      </c>
      <c r="H86" s="396">
        <f>VLOOKUP(A86,CPU_MOBILIZACAO!A$181:C$189,3,FALSE)</f>
        <v>229.38839999999999</v>
      </c>
      <c r="I86" s="396">
        <f t="shared" si="2"/>
        <v>5627.66</v>
      </c>
    </row>
    <row r="87" spans="1:9" ht="89.25" x14ac:dyDescent="0.25">
      <c r="A87" s="156" t="s">
        <v>2523</v>
      </c>
      <c r="B87" s="185" t="s">
        <v>2380</v>
      </c>
      <c r="C87" s="395" t="s">
        <v>1049</v>
      </c>
      <c r="D87" s="396">
        <v>4</v>
      </c>
      <c r="E87" s="397">
        <v>1</v>
      </c>
      <c r="F87" s="396">
        <v>1</v>
      </c>
      <c r="G87" s="396">
        <f t="shared" si="3"/>
        <v>368</v>
      </c>
      <c r="H87" s="396">
        <f>VLOOKUP(A87,CPU_MOBILIZACAO!A$181:C$189,3,FALSE)</f>
        <v>24.072099999999999</v>
      </c>
      <c r="I87" s="396">
        <f t="shared" si="2"/>
        <v>590.57000000000005</v>
      </c>
    </row>
    <row r="88" spans="1:9" x14ac:dyDescent="0.25">
      <c r="A88" s="156"/>
      <c r="B88" s="185"/>
      <c r="C88" s="395"/>
      <c r="D88" s="396"/>
      <c r="E88" s="397"/>
      <c r="F88" s="396"/>
      <c r="G88" s="396"/>
      <c r="H88" s="396"/>
      <c r="I88" s="396"/>
    </row>
    <row r="89" spans="1:9" ht="13.5" thickBot="1" x14ac:dyDescent="0.3">
      <c r="A89" s="766" t="s">
        <v>1050</v>
      </c>
      <c r="B89" s="766"/>
      <c r="C89" s="766"/>
      <c r="D89" s="766"/>
      <c r="E89" s="766"/>
      <c r="F89" s="766"/>
      <c r="G89" s="766"/>
      <c r="H89" s="766"/>
      <c r="I89" s="400">
        <f>SUM(I74:I87)</f>
        <v>25445.429999999997</v>
      </c>
    </row>
    <row r="90" spans="1:9" ht="13.5" thickBot="1" x14ac:dyDescent="0.3">
      <c r="A90" s="127"/>
      <c r="B90" s="126"/>
      <c r="C90" s="127"/>
      <c r="D90" s="126"/>
      <c r="E90" s="126"/>
      <c r="F90" s="126"/>
      <c r="G90" s="126"/>
      <c r="H90" s="126"/>
      <c r="I90" s="128"/>
    </row>
    <row r="91" spans="1:9" ht="13.5" thickBot="1" x14ac:dyDescent="0.3">
      <c r="A91" s="763" t="s">
        <v>690</v>
      </c>
      <c r="B91" s="764"/>
      <c r="C91" s="764"/>
      <c r="D91" s="764"/>
      <c r="E91" s="764"/>
      <c r="F91" s="764"/>
      <c r="G91" s="764"/>
      <c r="H91" s="764"/>
      <c r="I91" s="765"/>
    </row>
    <row r="92" spans="1:9" ht="25.5" x14ac:dyDescent="0.25">
      <c r="A92" s="391" t="s">
        <v>1466</v>
      </c>
      <c r="B92" s="391" t="s">
        <v>421</v>
      </c>
      <c r="C92" s="391" t="s">
        <v>410</v>
      </c>
      <c r="D92" s="392" t="s">
        <v>364</v>
      </c>
      <c r="E92" s="401"/>
      <c r="F92" s="401"/>
      <c r="G92" s="401"/>
      <c r="H92" s="391" t="s">
        <v>1470</v>
      </c>
      <c r="I92" s="391" t="s">
        <v>1469</v>
      </c>
    </row>
    <row r="93" spans="1:9" x14ac:dyDescent="0.25">
      <c r="A93" s="156" t="s">
        <v>1519</v>
      </c>
      <c r="B93" s="185" t="s">
        <v>1060</v>
      </c>
      <c r="C93" s="402" t="s">
        <v>3</v>
      </c>
      <c r="D93" s="158">
        <f>SUMIF(C74:C87,"RODANDO",D74:D87)</f>
        <v>15</v>
      </c>
      <c r="E93" s="403"/>
      <c r="F93" s="403"/>
      <c r="G93" s="403"/>
      <c r="H93" s="399">
        <f>VLOOKUP(A93,CPU_MOBILIZACAO!A$181:C$189,3,FALSE)</f>
        <v>18.64</v>
      </c>
      <c r="I93" s="396">
        <f>ROUND(D93*H93,2)</f>
        <v>279.60000000000002</v>
      </c>
    </row>
    <row r="94" spans="1:9" x14ac:dyDescent="0.25">
      <c r="A94" s="156" t="s">
        <v>1519</v>
      </c>
      <c r="B94" s="185" t="s">
        <v>1061</v>
      </c>
      <c r="C94" s="402" t="s">
        <v>3</v>
      </c>
      <c r="D94" s="158">
        <f>SUMIF(C74:C87,"CARRETA",D74:D87)+SUMIF(C74:C87,"REBOQUE",D74:D87)+SUMIF(C74:C87,"GUINDAUTO",D74:D87)</f>
        <v>7</v>
      </c>
      <c r="E94" s="403"/>
      <c r="F94" s="403"/>
      <c r="G94" s="403"/>
      <c r="H94" s="399">
        <f>VLOOKUP(A94,CPU_MOBILIZACAO!A$181:C$189,3,FALSE)</f>
        <v>18.64</v>
      </c>
      <c r="I94" s="396">
        <f>ROUND(D94*H94,2)</f>
        <v>130.47999999999999</v>
      </c>
    </row>
    <row r="95" spans="1:9" x14ac:dyDescent="0.25">
      <c r="A95" s="156"/>
      <c r="B95" s="185"/>
      <c r="C95" s="395"/>
      <c r="D95" s="404"/>
      <c r="E95" s="403"/>
      <c r="F95" s="403"/>
      <c r="G95" s="403"/>
      <c r="H95" s="396"/>
      <c r="I95" s="396"/>
    </row>
    <row r="96" spans="1:9" ht="13.5" thickBot="1" x14ac:dyDescent="0.3">
      <c r="A96" s="766" t="s">
        <v>1050</v>
      </c>
      <c r="B96" s="766"/>
      <c r="C96" s="766"/>
      <c r="D96" s="766"/>
      <c r="E96" s="766"/>
      <c r="F96" s="766"/>
      <c r="G96" s="766"/>
      <c r="H96" s="766"/>
      <c r="I96" s="400">
        <f>SUM(I93:I95)</f>
        <v>410.08000000000004</v>
      </c>
    </row>
    <row r="97" spans="1:9" ht="13.5" thickBot="1" x14ac:dyDescent="0.3">
      <c r="A97" s="127"/>
      <c r="B97" s="126"/>
      <c r="C97" s="127"/>
      <c r="D97" s="126"/>
      <c r="E97" s="126"/>
      <c r="F97" s="126"/>
      <c r="G97" s="126"/>
      <c r="H97" s="126"/>
      <c r="I97" s="128"/>
    </row>
    <row r="98" spans="1:9" ht="13.5" thickBot="1" x14ac:dyDescent="0.3">
      <c r="A98" s="763" t="s">
        <v>691</v>
      </c>
      <c r="B98" s="764"/>
      <c r="C98" s="764"/>
      <c r="D98" s="764"/>
      <c r="E98" s="764"/>
      <c r="F98" s="764"/>
      <c r="G98" s="764"/>
      <c r="H98" s="764"/>
      <c r="I98" s="765"/>
    </row>
    <row r="99" spans="1:9" ht="25.5" x14ac:dyDescent="0.25">
      <c r="A99" s="391" t="s">
        <v>1466</v>
      </c>
      <c r="B99" s="391" t="s">
        <v>421</v>
      </c>
      <c r="C99" s="391" t="s">
        <v>410</v>
      </c>
      <c r="D99" s="392" t="s">
        <v>364</v>
      </c>
      <c r="E99" s="401"/>
      <c r="F99" s="401"/>
      <c r="G99" s="401"/>
      <c r="H99" s="391" t="s">
        <v>1470</v>
      </c>
      <c r="I99" s="391" t="s">
        <v>1469</v>
      </c>
    </row>
    <row r="100" spans="1:9" x14ac:dyDescent="0.25">
      <c r="A100" s="156"/>
      <c r="B100" s="185"/>
      <c r="C100" s="395"/>
      <c r="D100" s="404"/>
      <c r="E100" s="403"/>
      <c r="F100" s="403"/>
      <c r="G100" s="403"/>
      <c r="H100" s="396"/>
      <c r="I100" s="396"/>
    </row>
    <row r="101" spans="1:9" x14ac:dyDescent="0.25">
      <c r="A101" s="156"/>
      <c r="B101" s="185"/>
      <c r="C101" s="395"/>
      <c r="D101" s="404"/>
      <c r="E101" s="403"/>
      <c r="F101" s="403"/>
      <c r="G101" s="403"/>
      <c r="H101" s="396"/>
      <c r="I101" s="396"/>
    </row>
    <row r="102" spans="1:9" ht="13.5" thickBot="1" x14ac:dyDescent="0.3">
      <c r="A102" s="766" t="s">
        <v>1050</v>
      </c>
      <c r="B102" s="766"/>
      <c r="C102" s="766"/>
      <c r="D102" s="766"/>
      <c r="E102" s="766"/>
      <c r="F102" s="766"/>
      <c r="G102" s="766"/>
      <c r="H102" s="766"/>
      <c r="I102" s="400">
        <f>SUM(I100:I101)</f>
        <v>0</v>
      </c>
    </row>
    <row r="103" spans="1:9" ht="13.5" thickBot="1" x14ac:dyDescent="0.3">
      <c r="A103" s="127"/>
      <c r="B103" s="126"/>
      <c r="C103" s="127"/>
      <c r="D103" s="126"/>
      <c r="E103" s="126"/>
      <c r="F103" s="126"/>
      <c r="G103" s="126"/>
      <c r="H103" s="126"/>
      <c r="I103" s="128"/>
    </row>
    <row r="104" spans="1:9" ht="13.5" thickBot="1" x14ac:dyDescent="0.3">
      <c r="A104" s="763" t="s">
        <v>539</v>
      </c>
      <c r="B104" s="764"/>
      <c r="C104" s="764"/>
      <c r="D104" s="764"/>
      <c r="E104" s="764"/>
      <c r="F104" s="764"/>
      <c r="G104" s="764"/>
      <c r="H104" s="764"/>
      <c r="I104" s="765"/>
    </row>
    <row r="105" spans="1:9" ht="25.5" x14ac:dyDescent="0.25">
      <c r="A105" s="391" t="s">
        <v>1466</v>
      </c>
      <c r="B105" s="391" t="s">
        <v>421</v>
      </c>
      <c r="C105" s="391" t="s">
        <v>410</v>
      </c>
      <c r="D105" s="392" t="s">
        <v>364</v>
      </c>
      <c r="E105" s="401"/>
      <c r="F105" s="401"/>
      <c r="G105" s="401"/>
      <c r="H105" s="391" t="s">
        <v>1470</v>
      </c>
      <c r="I105" s="391" t="s">
        <v>1469</v>
      </c>
    </row>
    <row r="106" spans="1:9" x14ac:dyDescent="0.25">
      <c r="A106" s="156"/>
      <c r="B106" s="185"/>
      <c r="C106" s="398"/>
      <c r="D106" s="406"/>
      <c r="E106" s="407"/>
      <c r="F106" s="407"/>
      <c r="G106" s="407"/>
      <c r="H106" s="399"/>
      <c r="I106" s="399"/>
    </row>
    <row r="107" spans="1:9" x14ac:dyDescent="0.25">
      <c r="A107" s="156"/>
      <c r="B107" s="185"/>
      <c r="C107" s="395"/>
      <c r="D107" s="404"/>
      <c r="E107" s="403"/>
      <c r="F107" s="403"/>
      <c r="G107" s="403"/>
      <c r="H107" s="396"/>
      <c r="I107" s="396"/>
    </row>
    <row r="108" spans="1:9" ht="13.5" thickBot="1" x14ac:dyDescent="0.3">
      <c r="A108" s="766" t="s">
        <v>1050</v>
      </c>
      <c r="B108" s="766"/>
      <c r="C108" s="766"/>
      <c r="D108" s="766"/>
      <c r="E108" s="766"/>
      <c r="F108" s="766"/>
      <c r="G108" s="766"/>
      <c r="H108" s="766"/>
      <c r="I108" s="400">
        <f>SUM(I106:I107)</f>
        <v>0</v>
      </c>
    </row>
    <row r="109" spans="1:9" ht="13.5" thickBot="1" x14ac:dyDescent="0.3">
      <c r="A109" s="127"/>
      <c r="B109" s="126"/>
      <c r="C109" s="127"/>
      <c r="D109" s="126"/>
      <c r="E109" s="126"/>
      <c r="F109" s="126"/>
      <c r="G109" s="126"/>
      <c r="H109" s="126"/>
      <c r="I109" s="128"/>
    </row>
    <row r="110" spans="1:9" ht="13.5" thickBot="1" x14ac:dyDescent="0.3">
      <c r="A110" s="767" t="s">
        <v>692</v>
      </c>
      <c r="B110" s="777"/>
      <c r="C110" s="129">
        <v>1</v>
      </c>
      <c r="D110" s="775" t="s">
        <v>693</v>
      </c>
      <c r="E110" s="775"/>
      <c r="F110" s="775"/>
      <c r="G110" s="775"/>
      <c r="H110" s="776"/>
      <c r="I110" s="130">
        <f>I89+I96+I102+I108</f>
        <v>25855.51</v>
      </c>
    </row>
    <row r="111" spans="1:9" ht="13.5" thickBot="1" x14ac:dyDescent="0.3">
      <c r="A111" s="127"/>
      <c r="B111" s="126"/>
      <c r="C111" s="127"/>
      <c r="D111" s="126"/>
      <c r="E111" s="126"/>
      <c r="F111" s="126"/>
      <c r="G111" s="126"/>
      <c r="H111" s="126"/>
      <c r="I111" s="128"/>
    </row>
    <row r="112" spans="1:9" ht="13.5" thickBot="1" x14ac:dyDescent="0.3">
      <c r="A112" s="769" t="str">
        <f>"TOTAL - "&amp;A67&amp;" - (R$):"</f>
        <v>TOTAL - COMPOSIÇÃO DE PREÇO UNITÁRIO - DESMOBILIZAÇÃO - (R$):</v>
      </c>
      <c r="B112" s="770"/>
      <c r="C112" s="771"/>
      <c r="D112" s="771"/>
      <c r="E112" s="771"/>
      <c r="F112" s="771"/>
      <c r="G112" s="771"/>
      <c r="H112" s="772"/>
      <c r="I112" s="26">
        <f>ROUND(C110*I110,2)</f>
        <v>25855.51</v>
      </c>
    </row>
    <row r="114" spans="1:9" ht="13.5" thickBot="1" x14ac:dyDescent="0.3"/>
    <row r="115" spans="1:9" x14ac:dyDescent="0.25">
      <c r="A115" s="757" t="s">
        <v>1465</v>
      </c>
      <c r="B115" s="759"/>
      <c r="C115" s="759"/>
      <c r="D115" s="759"/>
      <c r="E115" s="759"/>
      <c r="F115" s="759"/>
      <c r="G115" s="759"/>
      <c r="H115" s="759"/>
      <c r="I115" s="760"/>
    </row>
    <row r="116" spans="1:9" ht="13.5" thickBot="1" x14ac:dyDescent="0.3">
      <c r="A116" s="754" t="s">
        <v>1064</v>
      </c>
      <c r="B116" s="755"/>
      <c r="C116" s="755"/>
      <c r="D116" s="755"/>
      <c r="E116" s="755"/>
      <c r="F116" s="755"/>
      <c r="G116" s="755"/>
      <c r="H116" s="755"/>
      <c r="I116" s="756"/>
    </row>
    <row r="117" spans="1:9" ht="13.5" thickBot="1" x14ac:dyDescent="0.3">
      <c r="A117" s="77"/>
      <c r="B117" s="70"/>
      <c r="C117" s="77"/>
      <c r="D117" s="70"/>
      <c r="E117" s="70"/>
      <c r="F117" s="70"/>
      <c r="G117" s="70"/>
      <c r="H117" s="70"/>
      <c r="I117" s="77"/>
    </row>
    <row r="118" spans="1:9" ht="13.5" thickBot="1" x14ac:dyDescent="0.3">
      <c r="A118" s="761" t="s">
        <v>1065</v>
      </c>
      <c r="B118" s="762"/>
      <c r="C118" s="762"/>
      <c r="D118" s="120">
        <f>Canteiros!H21</f>
        <v>320</v>
      </c>
      <c r="E118" s="761" t="s">
        <v>1058</v>
      </c>
      <c r="F118" s="762"/>
      <c r="G118" s="762"/>
      <c r="H118" s="762"/>
      <c r="I118" s="120">
        <f>$I$12</f>
        <v>60</v>
      </c>
    </row>
    <row r="119" spans="1:9" ht="13.5" thickBot="1" x14ac:dyDescent="0.3">
      <c r="A119" s="77"/>
      <c r="B119" s="70"/>
      <c r="C119" s="77"/>
      <c r="D119" s="70"/>
      <c r="E119" s="70"/>
      <c r="F119" s="70"/>
      <c r="G119" s="70"/>
      <c r="H119" s="70"/>
      <c r="I119" s="77"/>
    </row>
    <row r="120" spans="1:9" ht="13.5" thickBot="1" x14ac:dyDescent="0.3">
      <c r="A120" s="763" t="s">
        <v>689</v>
      </c>
      <c r="B120" s="764"/>
      <c r="C120" s="764"/>
      <c r="D120" s="764"/>
      <c r="E120" s="764"/>
      <c r="F120" s="764"/>
      <c r="G120" s="764"/>
      <c r="H120" s="764"/>
      <c r="I120" s="765"/>
    </row>
    <row r="121" spans="1:9" ht="25.5" x14ac:dyDescent="0.25">
      <c r="A121" s="391" t="s">
        <v>1466</v>
      </c>
      <c r="B121" s="391" t="s">
        <v>421</v>
      </c>
      <c r="C121" s="391" t="s">
        <v>1472</v>
      </c>
      <c r="D121" s="392" t="s">
        <v>364</v>
      </c>
      <c r="E121" s="392" t="s">
        <v>1046</v>
      </c>
      <c r="F121" s="392" t="s">
        <v>1047</v>
      </c>
      <c r="G121" s="393" t="s">
        <v>1471</v>
      </c>
      <c r="H121" s="393" t="s">
        <v>1468</v>
      </c>
      <c r="I121" s="391" t="s">
        <v>1469</v>
      </c>
    </row>
    <row r="122" spans="1:9" x14ac:dyDescent="0.25">
      <c r="A122" s="156" t="s">
        <v>2517</v>
      </c>
      <c r="B122" s="185" t="s">
        <v>1503</v>
      </c>
      <c r="C122" s="395" t="s">
        <v>1049</v>
      </c>
      <c r="D122" s="396">
        <v>2</v>
      </c>
      <c r="E122" s="397">
        <v>1</v>
      </c>
      <c r="F122" s="396">
        <v>1</v>
      </c>
      <c r="G122" s="396">
        <f>$D$118</f>
        <v>320</v>
      </c>
      <c r="H122" s="396">
        <f>VLOOKUP(A122,CPU_MOBILIZACAO!A$181:C$189,3,FALSE)</f>
        <v>151.7799</v>
      </c>
      <c r="I122" s="396">
        <f t="shared" ref="I122:I139" si="4">ROUND(D122*(((G122*F122*E122)/$I$12)*H122),2)</f>
        <v>1618.99</v>
      </c>
    </row>
    <row r="123" spans="1:9" x14ac:dyDescent="0.25">
      <c r="A123" s="156" t="s">
        <v>2518</v>
      </c>
      <c r="B123" s="185" t="s">
        <v>1504</v>
      </c>
      <c r="C123" s="395" t="s">
        <v>1049</v>
      </c>
      <c r="D123" s="396">
        <v>1</v>
      </c>
      <c r="E123" s="397">
        <v>1</v>
      </c>
      <c r="F123" s="396">
        <v>1</v>
      </c>
      <c r="G123" s="396">
        <f>$D$118</f>
        <v>320</v>
      </c>
      <c r="H123" s="396">
        <f>VLOOKUP(A123,CPU_MOBILIZACAO!A$181:C$189,3,FALSE)</f>
        <v>153.78909999999999</v>
      </c>
      <c r="I123" s="396">
        <f t="shared" si="4"/>
        <v>820.21</v>
      </c>
    </row>
    <row r="124" spans="1:9" x14ac:dyDescent="0.25">
      <c r="A124" s="156" t="s">
        <v>2519</v>
      </c>
      <c r="B124" s="185" t="s">
        <v>1506</v>
      </c>
      <c r="C124" s="395" t="s">
        <v>1049</v>
      </c>
      <c r="D124" s="396">
        <v>1</v>
      </c>
      <c r="E124" s="397">
        <v>1</v>
      </c>
      <c r="F124" s="396">
        <v>1</v>
      </c>
      <c r="G124" s="396">
        <f t="shared" ref="G124:G139" si="5">$D$118</f>
        <v>320</v>
      </c>
      <c r="H124" s="396">
        <f>VLOOKUP(A124,CPU_MOBILIZACAO!A$181:C$189,3,FALSE)</f>
        <v>107.3732</v>
      </c>
      <c r="I124" s="396">
        <f t="shared" si="4"/>
        <v>572.66</v>
      </c>
    </row>
    <row r="125" spans="1:9" x14ac:dyDescent="0.25">
      <c r="A125" s="156" t="s">
        <v>2517</v>
      </c>
      <c r="B125" s="185" t="s">
        <v>1503</v>
      </c>
      <c r="C125" s="395" t="s">
        <v>1049</v>
      </c>
      <c r="D125" s="396">
        <v>1</v>
      </c>
      <c r="E125" s="397">
        <v>1</v>
      </c>
      <c r="F125" s="396">
        <v>1</v>
      </c>
      <c r="G125" s="396">
        <f t="shared" si="5"/>
        <v>320</v>
      </c>
      <c r="H125" s="396">
        <f>VLOOKUP(A125,CPU_MOBILIZACAO!A$181:C$189,3,FALSE)</f>
        <v>151.7799</v>
      </c>
      <c r="I125" s="396">
        <f t="shared" si="4"/>
        <v>809.49</v>
      </c>
    </row>
    <row r="126" spans="1:9" x14ac:dyDescent="0.25">
      <c r="A126" s="156" t="s">
        <v>2521</v>
      </c>
      <c r="B126" s="185" t="s">
        <v>1509</v>
      </c>
      <c r="C126" s="395" t="s">
        <v>1049</v>
      </c>
      <c r="D126" s="396">
        <v>1</v>
      </c>
      <c r="E126" s="397">
        <v>1</v>
      </c>
      <c r="F126" s="396">
        <v>1</v>
      </c>
      <c r="G126" s="396">
        <f t="shared" si="5"/>
        <v>320</v>
      </c>
      <c r="H126" s="396">
        <f>VLOOKUP(A126,CPU_MOBILIZACAO!A$181:C$189,3,FALSE)</f>
        <v>179.2911</v>
      </c>
      <c r="I126" s="396">
        <f t="shared" si="4"/>
        <v>956.22</v>
      </c>
    </row>
    <row r="127" spans="1:9" x14ac:dyDescent="0.25">
      <c r="A127" s="156" t="s">
        <v>2522</v>
      </c>
      <c r="B127" s="185" t="s">
        <v>1508</v>
      </c>
      <c r="C127" s="395" t="s">
        <v>1049</v>
      </c>
      <c r="D127" s="396">
        <v>1</v>
      </c>
      <c r="E127" s="397">
        <v>1</v>
      </c>
      <c r="F127" s="396">
        <v>1</v>
      </c>
      <c r="G127" s="396">
        <f t="shared" si="5"/>
        <v>320</v>
      </c>
      <c r="H127" s="396">
        <f>VLOOKUP(A127,CPU_MOBILIZACAO!A$181:C$189,3,FALSE)</f>
        <v>149.4898</v>
      </c>
      <c r="I127" s="396">
        <f t="shared" si="4"/>
        <v>797.28</v>
      </c>
    </row>
    <row r="128" spans="1:9" x14ac:dyDescent="0.25">
      <c r="A128" s="156" t="s">
        <v>2523</v>
      </c>
      <c r="B128" s="185" t="s">
        <v>715</v>
      </c>
      <c r="C128" s="395" t="s">
        <v>1049</v>
      </c>
      <c r="D128" s="396">
        <v>4</v>
      </c>
      <c r="E128" s="397">
        <v>1</v>
      </c>
      <c r="F128" s="396">
        <v>1</v>
      </c>
      <c r="G128" s="396">
        <f t="shared" si="5"/>
        <v>320</v>
      </c>
      <c r="H128" s="396">
        <f>VLOOKUP(A128,CPU_MOBILIZACAO!A$181:C$189,3,FALSE)</f>
        <v>24.072099999999999</v>
      </c>
      <c r="I128" s="396">
        <f t="shared" si="4"/>
        <v>513.54</v>
      </c>
    </row>
    <row r="129" spans="1:9" ht="25.5" x14ac:dyDescent="0.25">
      <c r="A129" s="156" t="s">
        <v>2524</v>
      </c>
      <c r="B129" s="185" t="s">
        <v>1517</v>
      </c>
      <c r="C129" s="395" t="s">
        <v>1048</v>
      </c>
      <c r="D129" s="396">
        <v>1</v>
      </c>
      <c r="E129" s="397">
        <v>1</v>
      </c>
      <c r="F129" s="396">
        <v>2</v>
      </c>
      <c r="G129" s="396">
        <f t="shared" si="5"/>
        <v>320</v>
      </c>
      <c r="H129" s="396">
        <f>VLOOKUP(A129,CPU_MOBILIZACAO!A$181:C$189,3,FALSE)</f>
        <v>229.38839999999999</v>
      </c>
      <c r="I129" s="396">
        <f t="shared" si="4"/>
        <v>2446.81</v>
      </c>
    </row>
    <row r="130" spans="1:9" ht="25.5" x14ac:dyDescent="0.25">
      <c r="A130" s="156" t="s">
        <v>2524</v>
      </c>
      <c r="B130" s="185" t="s">
        <v>2376</v>
      </c>
      <c r="C130" s="395" t="s">
        <v>1048</v>
      </c>
      <c r="D130" s="396">
        <v>1</v>
      </c>
      <c r="E130" s="397">
        <v>1</v>
      </c>
      <c r="F130" s="396">
        <v>2</v>
      </c>
      <c r="G130" s="396">
        <f t="shared" si="5"/>
        <v>320</v>
      </c>
      <c r="H130" s="396">
        <f>VLOOKUP(A130,CPU_MOBILIZACAO!A$181:C$189,3,FALSE)</f>
        <v>229.38839999999999</v>
      </c>
      <c r="I130" s="396">
        <f t="shared" si="4"/>
        <v>2446.81</v>
      </c>
    </row>
    <row r="131" spans="1:9" ht="25.5" x14ac:dyDescent="0.25">
      <c r="A131" s="156" t="s">
        <v>2521</v>
      </c>
      <c r="B131" s="185" t="s">
        <v>1510</v>
      </c>
      <c r="C131" s="395" t="s">
        <v>1059</v>
      </c>
      <c r="D131" s="396">
        <v>1</v>
      </c>
      <c r="E131" s="397">
        <v>1</v>
      </c>
      <c r="F131" s="396">
        <v>2</v>
      </c>
      <c r="G131" s="396">
        <f t="shared" si="5"/>
        <v>320</v>
      </c>
      <c r="H131" s="396">
        <f>VLOOKUP(A131,CPU_MOBILIZACAO!A$181:C$189,3,FALSE)</f>
        <v>179.2911</v>
      </c>
      <c r="I131" s="396">
        <f t="shared" si="4"/>
        <v>1912.44</v>
      </c>
    </row>
    <row r="132" spans="1:9" ht="25.5" x14ac:dyDescent="0.25">
      <c r="A132" s="156" t="s">
        <v>2521</v>
      </c>
      <c r="B132" s="185" t="s">
        <v>1511</v>
      </c>
      <c r="C132" s="395" t="s">
        <v>1059</v>
      </c>
      <c r="D132" s="396">
        <v>1</v>
      </c>
      <c r="E132" s="397">
        <v>1</v>
      </c>
      <c r="F132" s="396">
        <v>2</v>
      </c>
      <c r="G132" s="396">
        <f t="shared" si="5"/>
        <v>320</v>
      </c>
      <c r="H132" s="396">
        <f>VLOOKUP(A132,CPU_MOBILIZACAO!A$181:C$189,3,FALSE)</f>
        <v>179.2911</v>
      </c>
      <c r="I132" s="396">
        <f t="shared" si="4"/>
        <v>1912.44</v>
      </c>
    </row>
    <row r="133" spans="1:9" ht="38.25" x14ac:dyDescent="0.25">
      <c r="A133" s="156" t="s">
        <v>2521</v>
      </c>
      <c r="B133" s="185" t="s">
        <v>1512</v>
      </c>
      <c r="C133" s="395" t="s">
        <v>1059</v>
      </c>
      <c r="D133" s="396">
        <v>1</v>
      </c>
      <c r="E133" s="397">
        <v>1</v>
      </c>
      <c r="F133" s="396">
        <v>2</v>
      </c>
      <c r="G133" s="396">
        <f t="shared" si="5"/>
        <v>320</v>
      </c>
      <c r="H133" s="396">
        <f>VLOOKUP(A133,CPU_MOBILIZACAO!A$181:C$189,3,FALSE)</f>
        <v>179.2911</v>
      </c>
      <c r="I133" s="396">
        <f t="shared" si="4"/>
        <v>1912.44</v>
      </c>
    </row>
    <row r="134" spans="1:9" ht="25.5" x14ac:dyDescent="0.25">
      <c r="A134" s="156" t="s">
        <v>2521</v>
      </c>
      <c r="B134" s="185" t="s">
        <v>1514</v>
      </c>
      <c r="C134" s="395" t="s">
        <v>1059</v>
      </c>
      <c r="D134" s="396">
        <v>1</v>
      </c>
      <c r="E134" s="397">
        <v>1</v>
      </c>
      <c r="F134" s="396">
        <v>2</v>
      </c>
      <c r="G134" s="396">
        <f t="shared" si="5"/>
        <v>320</v>
      </c>
      <c r="H134" s="396">
        <f>VLOOKUP(A134,CPU_MOBILIZACAO!A$181:C$189,3,FALSE)</f>
        <v>179.2911</v>
      </c>
      <c r="I134" s="396">
        <f t="shared" si="4"/>
        <v>1912.44</v>
      </c>
    </row>
    <row r="135" spans="1:9" ht="25.5" x14ac:dyDescent="0.25">
      <c r="A135" s="156" t="s">
        <v>2521</v>
      </c>
      <c r="B135" s="185" t="s">
        <v>1515</v>
      </c>
      <c r="C135" s="395" t="s">
        <v>1059</v>
      </c>
      <c r="D135" s="396">
        <v>1</v>
      </c>
      <c r="E135" s="397">
        <v>1</v>
      </c>
      <c r="F135" s="396">
        <v>2</v>
      </c>
      <c r="G135" s="396">
        <f t="shared" si="5"/>
        <v>320</v>
      </c>
      <c r="H135" s="396">
        <f>VLOOKUP(A135,CPU_MOBILIZACAO!A$181:C$189,3,FALSE)</f>
        <v>179.2911</v>
      </c>
      <c r="I135" s="396">
        <f t="shared" si="4"/>
        <v>1912.44</v>
      </c>
    </row>
    <row r="136" spans="1:9" ht="25.5" x14ac:dyDescent="0.25">
      <c r="A136" s="156" t="s">
        <v>2521</v>
      </c>
      <c r="B136" s="185" t="s">
        <v>1516</v>
      </c>
      <c r="C136" s="395" t="s">
        <v>1059</v>
      </c>
      <c r="D136" s="396">
        <v>2</v>
      </c>
      <c r="E136" s="397">
        <v>1</v>
      </c>
      <c r="F136" s="396">
        <v>2</v>
      </c>
      <c r="G136" s="396">
        <f t="shared" si="5"/>
        <v>320</v>
      </c>
      <c r="H136" s="396">
        <f>VLOOKUP(A136,CPU_MOBILIZACAO!A$181:C$189,3,FALSE)</f>
        <v>179.2911</v>
      </c>
      <c r="I136" s="396">
        <f t="shared" si="4"/>
        <v>3824.88</v>
      </c>
    </row>
    <row r="137" spans="1:9" x14ac:dyDescent="0.25">
      <c r="A137" s="156" t="s">
        <v>2524</v>
      </c>
      <c r="B137" s="185" t="s">
        <v>714</v>
      </c>
      <c r="C137" s="395" t="s">
        <v>1048</v>
      </c>
      <c r="D137" s="396">
        <v>1</v>
      </c>
      <c r="E137" s="397">
        <v>1</v>
      </c>
      <c r="F137" s="396">
        <v>2</v>
      </c>
      <c r="G137" s="396">
        <f t="shared" si="5"/>
        <v>320</v>
      </c>
      <c r="H137" s="396">
        <f>VLOOKUP(A137,CPU_MOBILIZACAO!A$181:C$189,3,FALSE)</f>
        <v>229.38839999999999</v>
      </c>
      <c r="I137" s="396">
        <f t="shared" si="4"/>
        <v>2446.81</v>
      </c>
    </row>
    <row r="138" spans="1:9" ht="25.5" x14ac:dyDescent="0.25">
      <c r="A138" s="156" t="s">
        <v>2524</v>
      </c>
      <c r="B138" s="185" t="s">
        <v>2381</v>
      </c>
      <c r="C138" s="395" t="s">
        <v>1048</v>
      </c>
      <c r="D138" s="396">
        <v>1</v>
      </c>
      <c r="E138" s="397">
        <v>1</v>
      </c>
      <c r="F138" s="396">
        <v>2</v>
      </c>
      <c r="G138" s="396">
        <f t="shared" si="5"/>
        <v>320</v>
      </c>
      <c r="H138" s="396">
        <f>VLOOKUP(A138,CPU_MOBILIZACAO!A$181:C$189,3,FALSE)</f>
        <v>229.38839999999999</v>
      </c>
      <c r="I138" s="396">
        <f t="shared" si="4"/>
        <v>2446.81</v>
      </c>
    </row>
    <row r="139" spans="1:9" ht="89.25" x14ac:dyDescent="0.25">
      <c r="A139" s="156" t="s">
        <v>2523</v>
      </c>
      <c r="B139" s="185" t="s">
        <v>2380</v>
      </c>
      <c r="C139" s="395" t="s">
        <v>1049</v>
      </c>
      <c r="D139" s="396">
        <v>4</v>
      </c>
      <c r="E139" s="397">
        <v>1</v>
      </c>
      <c r="F139" s="396">
        <v>1</v>
      </c>
      <c r="G139" s="396">
        <f t="shared" si="5"/>
        <v>320</v>
      </c>
      <c r="H139" s="396">
        <f>VLOOKUP(A139,CPU_MOBILIZACAO!A$181:C$189,3,FALSE)</f>
        <v>24.072099999999999</v>
      </c>
      <c r="I139" s="396">
        <f t="shared" si="4"/>
        <v>513.54</v>
      </c>
    </row>
    <row r="140" spans="1:9" x14ac:dyDescent="0.25">
      <c r="A140" s="156"/>
      <c r="B140" s="185"/>
      <c r="C140" s="395"/>
      <c r="D140" s="396"/>
      <c r="E140" s="397"/>
      <c r="F140" s="396"/>
      <c r="G140" s="396"/>
      <c r="H140" s="396"/>
      <c r="I140" s="396"/>
    </row>
    <row r="141" spans="1:9" ht="13.5" thickBot="1" x14ac:dyDescent="0.3">
      <c r="A141" s="766" t="s">
        <v>1050</v>
      </c>
      <c r="B141" s="766"/>
      <c r="C141" s="766"/>
      <c r="D141" s="766"/>
      <c r="E141" s="766"/>
      <c r="F141" s="766"/>
      <c r="G141" s="766"/>
      <c r="H141" s="766"/>
      <c r="I141" s="400">
        <f>SUM(I122:I139)</f>
        <v>29776.25</v>
      </c>
    </row>
    <row r="142" spans="1:9" ht="13.5" thickBot="1" x14ac:dyDescent="0.3">
      <c r="A142" s="127"/>
      <c r="B142" s="126"/>
      <c r="C142" s="127"/>
      <c r="D142" s="126"/>
      <c r="E142" s="126"/>
      <c r="F142" s="126"/>
      <c r="G142" s="126"/>
      <c r="H142" s="126"/>
      <c r="I142" s="128"/>
    </row>
    <row r="143" spans="1:9" ht="13.5" thickBot="1" x14ac:dyDescent="0.3">
      <c r="A143" s="763" t="s">
        <v>690</v>
      </c>
      <c r="B143" s="764"/>
      <c r="C143" s="764"/>
      <c r="D143" s="764"/>
      <c r="E143" s="764"/>
      <c r="F143" s="764"/>
      <c r="G143" s="764"/>
      <c r="H143" s="764"/>
      <c r="I143" s="765"/>
    </row>
    <row r="144" spans="1:9" ht="25.5" x14ac:dyDescent="0.25">
      <c r="A144" s="391" t="s">
        <v>1466</v>
      </c>
      <c r="B144" s="391" t="s">
        <v>421</v>
      </c>
      <c r="C144" s="391" t="s">
        <v>410</v>
      </c>
      <c r="D144" s="392" t="s">
        <v>364</v>
      </c>
      <c r="E144" s="401"/>
      <c r="F144" s="401"/>
      <c r="G144" s="401"/>
      <c r="H144" s="391" t="s">
        <v>1470</v>
      </c>
      <c r="I144" s="391" t="s">
        <v>1469</v>
      </c>
    </row>
    <row r="145" spans="1:9" x14ac:dyDescent="0.25">
      <c r="A145" s="156" t="s">
        <v>1519</v>
      </c>
      <c r="B145" s="185" t="s">
        <v>1060</v>
      </c>
      <c r="C145" s="395" t="s">
        <v>3</v>
      </c>
      <c r="D145" s="396">
        <f>SUMIF(C122:C139,"RODANDO",D122:D139)</f>
        <v>15</v>
      </c>
      <c r="E145" s="397"/>
      <c r="F145" s="396"/>
      <c r="G145" s="396"/>
      <c r="H145" s="396">
        <f>VLOOKUP(A145,CPU_MOBILIZACAO!A$181:C$189,3,FALSE)</f>
        <v>18.64</v>
      </c>
      <c r="I145" s="396">
        <f>ROUND(D145*H145,2)</f>
        <v>279.60000000000002</v>
      </c>
    </row>
    <row r="146" spans="1:9" x14ac:dyDescent="0.25">
      <c r="A146" s="156" t="s">
        <v>1519</v>
      </c>
      <c r="B146" s="185" t="s">
        <v>1061</v>
      </c>
      <c r="C146" s="395" t="s">
        <v>3</v>
      </c>
      <c r="D146" s="396">
        <f>SUMIF(C122:C139,"CARRETA",D122:D139)+SUMIF(C122:C139,"REBOQUE",D122:D139)+SUMIF(C122:C139,"GUINDAUTO",D122:D139)</f>
        <v>11</v>
      </c>
      <c r="E146" s="397"/>
      <c r="F146" s="396"/>
      <c r="G146" s="396"/>
      <c r="H146" s="396">
        <f>VLOOKUP(A146,CPU_MOBILIZACAO!A$181:C$189,3,FALSE)</f>
        <v>18.64</v>
      </c>
      <c r="I146" s="396">
        <f>ROUND(D146*H146,2)</f>
        <v>205.04</v>
      </c>
    </row>
    <row r="147" spans="1:9" x14ac:dyDescent="0.25">
      <c r="A147" s="156"/>
      <c r="B147" s="185"/>
      <c r="C147" s="395"/>
      <c r="D147" s="396"/>
      <c r="E147" s="397"/>
      <c r="F147" s="396"/>
      <c r="G147" s="396"/>
      <c r="H147" s="396"/>
      <c r="I147" s="396"/>
    </row>
    <row r="148" spans="1:9" ht="13.5" thickBot="1" x14ac:dyDescent="0.3">
      <c r="A148" s="766" t="s">
        <v>1050</v>
      </c>
      <c r="B148" s="766"/>
      <c r="C148" s="766"/>
      <c r="D148" s="766"/>
      <c r="E148" s="766"/>
      <c r="F148" s="766"/>
      <c r="G148" s="766"/>
      <c r="H148" s="766"/>
      <c r="I148" s="400">
        <f>SUM(I145:I147)</f>
        <v>484.64</v>
      </c>
    </row>
    <row r="149" spans="1:9" ht="13.5" thickBot="1" x14ac:dyDescent="0.3">
      <c r="A149" s="127"/>
      <c r="B149" s="126"/>
      <c r="C149" s="127"/>
      <c r="D149" s="126"/>
      <c r="E149" s="126"/>
      <c r="F149" s="126"/>
      <c r="G149" s="126"/>
      <c r="H149" s="126"/>
      <c r="I149" s="128"/>
    </row>
    <row r="150" spans="1:9" ht="13.5" thickBot="1" x14ac:dyDescent="0.3">
      <c r="A150" s="763" t="s">
        <v>691</v>
      </c>
      <c r="B150" s="764"/>
      <c r="C150" s="764"/>
      <c r="D150" s="764"/>
      <c r="E150" s="764"/>
      <c r="F150" s="764"/>
      <c r="G150" s="764"/>
      <c r="H150" s="764"/>
      <c r="I150" s="765"/>
    </row>
    <row r="151" spans="1:9" ht="25.5" x14ac:dyDescent="0.25">
      <c r="A151" s="391" t="s">
        <v>1466</v>
      </c>
      <c r="B151" s="391" t="s">
        <v>421</v>
      </c>
      <c r="C151" s="391" t="s">
        <v>410</v>
      </c>
      <c r="D151" s="392" t="s">
        <v>364</v>
      </c>
      <c r="E151" s="401"/>
      <c r="F151" s="401"/>
      <c r="G151" s="401"/>
      <c r="H151" s="391" t="s">
        <v>1470</v>
      </c>
      <c r="I151" s="391" t="s">
        <v>1469</v>
      </c>
    </row>
    <row r="152" spans="1:9" x14ac:dyDescent="0.25">
      <c r="A152" s="156"/>
      <c r="B152" s="185"/>
      <c r="C152" s="395"/>
      <c r="D152" s="396"/>
      <c r="E152" s="397"/>
      <c r="F152" s="396"/>
      <c r="G152" s="396"/>
      <c r="H152" s="396"/>
      <c r="I152" s="396"/>
    </row>
    <row r="153" spans="1:9" x14ac:dyDescent="0.25">
      <c r="A153" s="156"/>
      <c r="B153" s="185"/>
      <c r="C153" s="395"/>
      <c r="D153" s="396"/>
      <c r="E153" s="397"/>
      <c r="F153" s="396"/>
      <c r="G153" s="396"/>
      <c r="H153" s="396"/>
      <c r="I153" s="396"/>
    </row>
    <row r="154" spans="1:9" ht="13.5" thickBot="1" x14ac:dyDescent="0.3">
      <c r="A154" s="766" t="s">
        <v>1050</v>
      </c>
      <c r="B154" s="766"/>
      <c r="C154" s="766"/>
      <c r="D154" s="766"/>
      <c r="E154" s="766"/>
      <c r="F154" s="766"/>
      <c r="G154" s="766"/>
      <c r="H154" s="766"/>
      <c r="I154" s="400">
        <f>SUM(I152:I153)</f>
        <v>0</v>
      </c>
    </row>
    <row r="155" spans="1:9" ht="13.5" thickBot="1" x14ac:dyDescent="0.3">
      <c r="A155" s="127"/>
      <c r="B155" s="126"/>
      <c r="C155" s="127"/>
      <c r="D155" s="126"/>
      <c r="E155" s="126"/>
      <c r="F155" s="126"/>
      <c r="G155" s="126"/>
      <c r="H155" s="126"/>
      <c r="I155" s="128"/>
    </row>
    <row r="156" spans="1:9" ht="13.5" thickBot="1" x14ac:dyDescent="0.3">
      <c r="A156" s="763" t="s">
        <v>539</v>
      </c>
      <c r="B156" s="764"/>
      <c r="C156" s="764"/>
      <c r="D156" s="764"/>
      <c r="E156" s="764"/>
      <c r="F156" s="764"/>
      <c r="G156" s="764"/>
      <c r="H156" s="764"/>
      <c r="I156" s="765"/>
    </row>
    <row r="157" spans="1:9" ht="25.5" x14ac:dyDescent="0.25">
      <c r="A157" s="391" t="s">
        <v>1466</v>
      </c>
      <c r="B157" s="391" t="s">
        <v>421</v>
      </c>
      <c r="C157" s="391" t="s">
        <v>410</v>
      </c>
      <c r="D157" s="392" t="s">
        <v>364</v>
      </c>
      <c r="E157" s="401"/>
      <c r="F157" s="401"/>
      <c r="G157" s="401"/>
      <c r="H157" s="391" t="s">
        <v>1470</v>
      </c>
      <c r="I157" s="391" t="s">
        <v>1469</v>
      </c>
    </row>
    <row r="158" spans="1:9" x14ac:dyDescent="0.25">
      <c r="A158" s="156"/>
      <c r="B158" s="185"/>
      <c r="C158" s="395"/>
      <c r="D158" s="396"/>
      <c r="E158" s="397"/>
      <c r="F158" s="396"/>
      <c r="G158" s="396"/>
      <c r="H158" s="396"/>
      <c r="I158" s="396"/>
    </row>
    <row r="159" spans="1:9" x14ac:dyDescent="0.25">
      <c r="A159" s="156"/>
      <c r="B159" s="185"/>
      <c r="C159" s="395"/>
      <c r="D159" s="396"/>
      <c r="E159" s="397"/>
      <c r="F159" s="396"/>
      <c r="G159" s="396"/>
      <c r="H159" s="396"/>
      <c r="I159" s="396"/>
    </row>
    <row r="160" spans="1:9" ht="13.5" thickBot="1" x14ac:dyDescent="0.3">
      <c r="A160" s="766" t="s">
        <v>1050</v>
      </c>
      <c r="B160" s="766"/>
      <c r="C160" s="766"/>
      <c r="D160" s="766"/>
      <c r="E160" s="766"/>
      <c r="F160" s="766"/>
      <c r="G160" s="766"/>
      <c r="H160" s="766"/>
      <c r="I160" s="400">
        <f>SUM(I158:I159)</f>
        <v>0</v>
      </c>
    </row>
    <row r="161" spans="1:9" ht="13.5" thickBot="1" x14ac:dyDescent="0.3">
      <c r="A161" s="127"/>
      <c r="B161" s="126"/>
      <c r="C161" s="127"/>
      <c r="D161" s="126"/>
      <c r="E161" s="126"/>
      <c r="F161" s="126"/>
      <c r="G161" s="126"/>
      <c r="H161" s="126"/>
      <c r="I161" s="128"/>
    </row>
    <row r="162" spans="1:9" ht="13.5" thickBot="1" x14ac:dyDescent="0.3">
      <c r="A162" s="767" t="s">
        <v>692</v>
      </c>
      <c r="B162" s="777"/>
      <c r="C162" s="129">
        <v>1</v>
      </c>
      <c r="D162" s="775" t="s">
        <v>693</v>
      </c>
      <c r="E162" s="775"/>
      <c r="F162" s="775"/>
      <c r="G162" s="775"/>
      <c r="H162" s="776"/>
      <c r="I162" s="130">
        <f>I141+I148+I154+I160</f>
        <v>30260.89</v>
      </c>
    </row>
    <row r="163" spans="1:9" ht="13.5" thickBot="1" x14ac:dyDescent="0.3">
      <c r="A163" s="127"/>
      <c r="B163" s="126"/>
      <c r="C163" s="127"/>
      <c r="D163" s="126"/>
      <c r="E163" s="126"/>
      <c r="F163" s="126"/>
      <c r="G163" s="126"/>
      <c r="H163" s="126"/>
      <c r="I163" s="128"/>
    </row>
    <row r="164" spans="1:9" ht="13.5" thickBot="1" x14ac:dyDescent="0.3">
      <c r="A164" s="769" t="str">
        <f>"TOTAL - "&amp;A115&amp;" - (R$):"</f>
        <v>TOTAL - COMPOSIÇÃO DE PREÇO UNITÁRIO - DESMOBILIZAÇÃO - (R$):</v>
      </c>
      <c r="B164" s="770"/>
      <c r="C164" s="771"/>
      <c r="D164" s="771"/>
      <c r="E164" s="771"/>
      <c r="F164" s="771"/>
      <c r="G164" s="771"/>
      <c r="H164" s="772"/>
      <c r="I164" s="26">
        <f>ROUND(C162*I162,2)</f>
        <v>30260.89</v>
      </c>
    </row>
    <row r="165" spans="1:9" x14ac:dyDescent="0.25">
      <c r="C165" s="29"/>
    </row>
    <row r="166" spans="1:9" ht="13.5" thickBot="1" x14ac:dyDescent="0.3">
      <c r="C166" s="29"/>
    </row>
    <row r="167" spans="1:9" s="196" customFormat="1" x14ac:dyDescent="0.25">
      <c r="A167" s="781" t="s">
        <v>422</v>
      </c>
      <c r="B167" s="782"/>
      <c r="C167" s="783"/>
      <c r="D167" s="783"/>
      <c r="E167" s="783"/>
      <c r="F167" s="783"/>
      <c r="G167" s="784"/>
      <c r="H167" s="781" t="s">
        <v>423</v>
      </c>
      <c r="I167" s="784"/>
    </row>
    <row r="168" spans="1:9" s="196" customFormat="1" ht="13.5" thickBot="1" x14ac:dyDescent="0.3">
      <c r="A168" s="778"/>
      <c r="B168" s="779"/>
      <c r="C168" s="779"/>
      <c r="D168" s="779"/>
      <c r="E168" s="779"/>
      <c r="F168" s="779"/>
      <c r="G168" s="780"/>
      <c r="H168" s="778"/>
      <c r="I168" s="780"/>
    </row>
    <row r="169" spans="1:9" s="196" customFormat="1" x14ac:dyDescent="0.25">
      <c r="A169" s="781" t="s">
        <v>424</v>
      </c>
      <c r="B169" s="782"/>
      <c r="C169" s="783"/>
      <c r="D169" s="783"/>
      <c r="E169" s="783"/>
      <c r="F169" s="783"/>
      <c r="G169" s="784"/>
      <c r="H169" s="781" t="s">
        <v>425</v>
      </c>
      <c r="I169" s="784"/>
    </row>
    <row r="170" spans="1:9" s="196" customFormat="1" ht="13.5" thickBot="1" x14ac:dyDescent="0.3">
      <c r="A170" s="778"/>
      <c r="B170" s="779"/>
      <c r="C170" s="779"/>
      <c r="D170" s="779"/>
      <c r="E170" s="779"/>
      <c r="F170" s="779"/>
      <c r="G170" s="780"/>
      <c r="H170" s="778"/>
      <c r="I170" s="780"/>
    </row>
    <row r="171" spans="1:9" s="196" customFormat="1" x14ac:dyDescent="0.25">
      <c r="A171" s="704" t="s">
        <v>426</v>
      </c>
      <c r="B171" s="705"/>
      <c r="C171" s="705"/>
      <c r="D171" s="705"/>
      <c r="E171" s="705"/>
      <c r="F171" s="705"/>
      <c r="G171" s="705"/>
      <c r="H171" s="705"/>
      <c r="I171" s="706"/>
    </row>
    <row r="172" spans="1:9" s="108" customFormat="1" x14ac:dyDescent="0.25">
      <c r="A172" s="747" t="s">
        <v>2525</v>
      </c>
      <c r="B172" s="748"/>
      <c r="C172" s="748"/>
      <c r="D172" s="748"/>
      <c r="E172" s="748"/>
      <c r="F172" s="748"/>
      <c r="G172" s="748"/>
      <c r="H172" s="748"/>
      <c r="I172" s="749"/>
    </row>
    <row r="173" spans="1:9" s="108" customFormat="1" x14ac:dyDescent="0.25">
      <c r="A173" s="747" t="s">
        <v>2526</v>
      </c>
      <c r="B173" s="748"/>
      <c r="C173" s="748"/>
      <c r="D173" s="748"/>
      <c r="E173" s="748"/>
      <c r="F173" s="748"/>
      <c r="G173" s="748"/>
      <c r="H173" s="748"/>
      <c r="I173" s="749"/>
    </row>
    <row r="174" spans="1:9" s="108" customFormat="1" x14ac:dyDescent="0.25">
      <c r="A174" s="747" t="s">
        <v>1520</v>
      </c>
      <c r="B174" s="748"/>
      <c r="C174" s="748"/>
      <c r="D174" s="748"/>
      <c r="E174" s="748"/>
      <c r="F174" s="748"/>
      <c r="G174" s="748"/>
      <c r="H174" s="748"/>
      <c r="I174" s="749"/>
    </row>
    <row r="175" spans="1:9" s="196" customFormat="1" x14ac:dyDescent="0.25">
      <c r="A175" s="747"/>
      <c r="B175" s="748"/>
      <c r="C175" s="748"/>
      <c r="D175" s="748"/>
      <c r="E175" s="748"/>
      <c r="F175" s="748"/>
      <c r="G175" s="748"/>
      <c r="H175" s="748"/>
      <c r="I175" s="749"/>
    </row>
    <row r="176" spans="1:9" s="196" customFormat="1" x14ac:dyDescent="0.25">
      <c r="A176" s="747"/>
      <c r="B176" s="748"/>
      <c r="C176" s="748"/>
      <c r="D176" s="748"/>
      <c r="E176" s="748"/>
      <c r="F176" s="748"/>
      <c r="G176" s="748"/>
      <c r="H176" s="748"/>
      <c r="I176" s="749"/>
    </row>
    <row r="177" spans="1:9" s="78" customFormat="1" ht="13.5" thickBot="1" x14ac:dyDescent="0.3">
      <c r="A177" s="698"/>
      <c r="B177" s="699"/>
      <c r="C177" s="699"/>
      <c r="D177" s="699"/>
      <c r="E177" s="699"/>
      <c r="F177" s="699"/>
      <c r="G177" s="699"/>
      <c r="H177" s="699"/>
      <c r="I177" s="700"/>
    </row>
  </sheetData>
  <autoFilter ref="A8:I164"/>
  <mergeCells count="64">
    <mergeCell ref="A162:B162"/>
    <mergeCell ref="A177:I177"/>
    <mergeCell ref="A170:G170"/>
    <mergeCell ref="H170:I170"/>
    <mergeCell ref="A171:I171"/>
    <mergeCell ref="A176:I176"/>
    <mergeCell ref="A173:I173"/>
    <mergeCell ref="A167:G167"/>
    <mergeCell ref="H167:I167"/>
    <mergeCell ref="A168:G168"/>
    <mergeCell ref="H168:I168"/>
    <mergeCell ref="A169:G169"/>
    <mergeCell ref="H169:I169"/>
    <mergeCell ref="A172:I172"/>
    <mergeCell ref="A174:I174"/>
    <mergeCell ref="A67:I67"/>
    <mergeCell ref="A56:I56"/>
    <mergeCell ref="A60:H60"/>
    <mergeCell ref="D62:H62"/>
    <mergeCell ref="A10:I10"/>
    <mergeCell ref="A12:C12"/>
    <mergeCell ref="A14:I14"/>
    <mergeCell ref="A41:H41"/>
    <mergeCell ref="A43:I43"/>
    <mergeCell ref="A48:H48"/>
    <mergeCell ref="A50:I50"/>
    <mergeCell ref="A54:H54"/>
    <mergeCell ref="A62:B62"/>
    <mergeCell ref="A116:I116"/>
    <mergeCell ref="A118:C118"/>
    <mergeCell ref="D110:H110"/>
    <mergeCell ref="A68:I68"/>
    <mergeCell ref="A70:C70"/>
    <mergeCell ref="A72:I72"/>
    <mergeCell ref="A89:H89"/>
    <mergeCell ref="A91:I91"/>
    <mergeCell ref="A96:H96"/>
    <mergeCell ref="A98:I98"/>
    <mergeCell ref="A102:H102"/>
    <mergeCell ref="A104:I104"/>
    <mergeCell ref="A108:H108"/>
    <mergeCell ref="A110:B110"/>
    <mergeCell ref="A1:I1"/>
    <mergeCell ref="A2:I2"/>
    <mergeCell ref="A3:I3"/>
    <mergeCell ref="A5:I6"/>
    <mergeCell ref="A64:H64"/>
    <mergeCell ref="A9:I9"/>
    <mergeCell ref="A148:H148"/>
    <mergeCell ref="E12:H12"/>
    <mergeCell ref="E70:H70"/>
    <mergeCell ref="E118:H118"/>
    <mergeCell ref="A175:I175"/>
    <mergeCell ref="A150:I150"/>
    <mergeCell ref="A154:H154"/>
    <mergeCell ref="A156:I156"/>
    <mergeCell ref="A160:H160"/>
    <mergeCell ref="A164:H164"/>
    <mergeCell ref="D162:H162"/>
    <mergeCell ref="A120:I120"/>
    <mergeCell ref="A141:H141"/>
    <mergeCell ref="A143:I143"/>
    <mergeCell ref="A112:H112"/>
    <mergeCell ref="A115:I115"/>
  </mergeCells>
  <printOptions horizontalCentered="1"/>
  <pageMargins left="0.78740157480314965" right="0.59055118110236227" top="0.59055118110236227" bottom="0.59055118110236227" header="0.19685039370078741" footer="0.19685039370078741"/>
  <pageSetup paperSize="9" scale="53" fitToHeight="100" orientation="portrait" horizontalDpi="4294967294" verticalDpi="4294967294" r:id="rId1"/>
  <headerFooter>
    <oddFooter>&amp;R&amp;"Arial,Normal"&amp;8&amp;F
Página &amp;P de &amp;N</oddFooter>
  </headerFooter>
  <rowBreaks count="2" manualBreakCount="2">
    <brk id="65" max="8" man="1"/>
    <brk id="113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E37" sqref="E37"/>
    </sheetView>
  </sheetViews>
  <sheetFormatPr defaultColWidth="9.140625" defaultRowHeight="12.75" x14ac:dyDescent="0.25"/>
  <cols>
    <col min="1" max="1" width="8.7109375" style="2" customWidth="1"/>
    <col min="2" max="8" width="24.7109375" style="2" customWidth="1"/>
    <col min="9" max="16384" width="9.140625" style="2"/>
  </cols>
  <sheetData>
    <row r="1" spans="1:8" s="89" customFormat="1" x14ac:dyDescent="0.25">
      <c r="A1" s="117"/>
      <c r="B1" s="296"/>
      <c r="C1" s="785" t="s">
        <v>1117</v>
      </c>
      <c r="D1" s="785"/>
      <c r="E1" s="785"/>
      <c r="F1" s="785"/>
      <c r="G1" s="785"/>
      <c r="H1" s="785"/>
    </row>
    <row r="2" spans="1:8" s="89" customFormat="1" x14ac:dyDescent="0.25">
      <c r="A2" s="90"/>
      <c r="B2" s="289"/>
      <c r="C2" s="786" t="s">
        <v>1118</v>
      </c>
      <c r="D2" s="786"/>
      <c r="E2" s="786"/>
      <c r="F2" s="786"/>
      <c r="G2" s="786"/>
      <c r="H2" s="786"/>
    </row>
    <row r="3" spans="1:8" s="89" customFormat="1" ht="13.5" thickBot="1" x14ac:dyDescent="0.3">
      <c r="A3" s="118"/>
      <c r="B3" s="288"/>
      <c r="C3" s="787" t="s">
        <v>1116</v>
      </c>
      <c r="D3" s="787"/>
      <c r="E3" s="787"/>
      <c r="F3" s="787"/>
      <c r="G3" s="787"/>
      <c r="H3" s="787"/>
    </row>
    <row r="4" spans="1:8" s="78" customFormat="1" ht="13.9" thickBot="1" x14ac:dyDescent="0.35">
      <c r="A4" s="287"/>
    </row>
    <row r="5" spans="1:8" s="78" customFormat="1" x14ac:dyDescent="0.25">
      <c r="A5" s="690" t="s">
        <v>1119</v>
      </c>
      <c r="B5" s="690"/>
      <c r="C5" s="690"/>
      <c r="D5" s="690"/>
      <c r="E5" s="689"/>
      <c r="F5" s="689"/>
      <c r="G5" s="690"/>
      <c r="H5" s="690"/>
    </row>
    <row r="6" spans="1:8" s="78" customFormat="1" ht="13.5" thickBot="1" x14ac:dyDescent="0.3">
      <c r="A6" s="691"/>
      <c r="B6" s="691"/>
      <c r="C6" s="691"/>
      <c r="D6" s="691"/>
      <c r="E6" s="691"/>
      <c r="F6" s="691"/>
      <c r="G6" s="691"/>
      <c r="H6" s="691"/>
    </row>
    <row r="7" spans="1:8" s="78" customFormat="1" ht="13.9" thickBot="1" x14ac:dyDescent="0.35">
      <c r="B7" s="70"/>
      <c r="C7" s="70"/>
      <c r="D7" s="72"/>
      <c r="E7" s="72"/>
      <c r="F7" s="72"/>
      <c r="G7" s="72"/>
    </row>
    <row r="8" spans="1:8" s="21" customFormat="1" ht="13.5" thickBot="1" x14ac:dyDescent="0.3">
      <c r="A8" s="686" t="s">
        <v>1382</v>
      </c>
      <c r="B8" s="687"/>
      <c r="C8" s="687"/>
      <c r="D8" s="687"/>
      <c r="E8" s="687"/>
      <c r="F8" s="687"/>
      <c r="G8" s="687"/>
      <c r="H8" s="688"/>
    </row>
    <row r="9" spans="1:8" s="196" customFormat="1" ht="13.15" x14ac:dyDescent="0.3">
      <c r="E9" s="197"/>
      <c r="F9" s="197"/>
      <c r="G9" s="197"/>
    </row>
    <row r="10" spans="1:8" s="196" customFormat="1" ht="13.9" thickBot="1" x14ac:dyDescent="0.35">
      <c r="E10" s="197"/>
      <c r="F10" s="197"/>
      <c r="G10" s="197"/>
    </row>
    <row r="11" spans="1:8" ht="13.5" thickBot="1" x14ac:dyDescent="0.3">
      <c r="A11" s="791" t="s">
        <v>363</v>
      </c>
      <c r="B11" s="791" t="s">
        <v>547</v>
      </c>
      <c r="C11" s="791" t="s">
        <v>1383</v>
      </c>
      <c r="D11" s="791" t="s">
        <v>516</v>
      </c>
      <c r="E11" s="730" t="s">
        <v>631</v>
      </c>
      <c r="F11" s="791" t="s">
        <v>1380</v>
      </c>
      <c r="G11" s="730" t="s">
        <v>1381</v>
      </c>
      <c r="H11" s="730"/>
    </row>
    <row r="12" spans="1:8" ht="13.5" thickBot="1" x14ac:dyDescent="0.3">
      <c r="A12" s="791"/>
      <c r="B12" s="791"/>
      <c r="C12" s="791"/>
      <c r="D12" s="791"/>
      <c r="E12" s="730"/>
      <c r="F12" s="791"/>
      <c r="G12" s="294" t="s">
        <v>1053</v>
      </c>
      <c r="H12" s="294" t="s">
        <v>1055</v>
      </c>
    </row>
    <row r="13" spans="1:8" x14ac:dyDescent="0.25">
      <c r="A13" s="816">
        <v>1</v>
      </c>
      <c r="B13" s="792" t="s">
        <v>1347</v>
      </c>
      <c r="C13" s="788" t="s">
        <v>1384</v>
      </c>
      <c r="D13" s="792" t="s">
        <v>1478</v>
      </c>
      <c r="E13" s="19" t="s">
        <v>632</v>
      </c>
      <c r="F13" s="19" t="s">
        <v>1374</v>
      </c>
      <c r="G13" s="819" t="s">
        <v>1054</v>
      </c>
      <c r="H13" s="788">
        <v>472</v>
      </c>
    </row>
    <row r="14" spans="1:8" x14ac:dyDescent="0.25">
      <c r="A14" s="817"/>
      <c r="B14" s="793"/>
      <c r="C14" s="789"/>
      <c r="D14" s="793"/>
      <c r="E14" s="229" t="s">
        <v>633</v>
      </c>
      <c r="F14" s="229" t="s">
        <v>1375</v>
      </c>
      <c r="G14" s="820"/>
      <c r="H14" s="789"/>
    </row>
    <row r="15" spans="1:8" x14ac:dyDescent="0.25">
      <c r="A15" s="817"/>
      <c r="B15" s="793"/>
      <c r="C15" s="789"/>
      <c r="D15" s="793"/>
      <c r="E15" s="229" t="s">
        <v>634</v>
      </c>
      <c r="F15" s="229" t="s">
        <v>1376</v>
      </c>
      <c r="G15" s="820"/>
      <c r="H15" s="789"/>
    </row>
    <row r="16" spans="1:8" ht="13.5" thickBot="1" x14ac:dyDescent="0.3">
      <c r="A16" s="818"/>
      <c r="B16" s="794"/>
      <c r="C16" s="790"/>
      <c r="D16" s="794"/>
      <c r="E16" s="353" t="s">
        <v>635</v>
      </c>
      <c r="F16" s="353"/>
      <c r="G16" s="821"/>
      <c r="H16" s="790"/>
    </row>
    <row r="17" spans="1:8" x14ac:dyDescent="0.25">
      <c r="A17" s="816">
        <v>2</v>
      </c>
      <c r="B17" s="792" t="s">
        <v>887</v>
      </c>
      <c r="C17" s="788" t="s">
        <v>1385</v>
      </c>
      <c r="D17" s="792" t="s">
        <v>1479</v>
      </c>
      <c r="E17" s="19" t="s">
        <v>636</v>
      </c>
      <c r="F17" s="19" t="s">
        <v>1377</v>
      </c>
      <c r="G17" s="819" t="s">
        <v>1054</v>
      </c>
      <c r="H17" s="788">
        <v>368</v>
      </c>
    </row>
    <row r="18" spans="1:8" x14ac:dyDescent="0.25">
      <c r="A18" s="817"/>
      <c r="B18" s="793"/>
      <c r="C18" s="789"/>
      <c r="D18" s="793"/>
      <c r="E18" s="229" t="s">
        <v>637</v>
      </c>
      <c r="F18" s="229"/>
      <c r="G18" s="820"/>
      <c r="H18" s="789"/>
    </row>
    <row r="19" spans="1:8" x14ac:dyDescent="0.25">
      <c r="A19" s="817"/>
      <c r="B19" s="793"/>
      <c r="C19" s="789"/>
      <c r="D19" s="793"/>
      <c r="E19" s="229" t="s">
        <v>638</v>
      </c>
      <c r="F19" s="229"/>
      <c r="G19" s="820"/>
      <c r="H19" s="789"/>
    </row>
    <row r="20" spans="1:8" ht="13.5" thickBot="1" x14ac:dyDescent="0.3">
      <c r="A20" s="818"/>
      <c r="B20" s="794"/>
      <c r="C20" s="790"/>
      <c r="D20" s="794"/>
      <c r="E20" s="353" t="s">
        <v>639</v>
      </c>
      <c r="F20" s="353"/>
      <c r="G20" s="821"/>
      <c r="H20" s="790"/>
    </row>
    <row r="21" spans="1:8" x14ac:dyDescent="0.25">
      <c r="A21" s="816">
        <v>3</v>
      </c>
      <c r="B21" s="792" t="s">
        <v>603</v>
      </c>
      <c r="C21" s="788" t="s">
        <v>1386</v>
      </c>
      <c r="D21" s="792" t="s">
        <v>1480</v>
      </c>
      <c r="E21" s="19" t="s">
        <v>640</v>
      </c>
      <c r="F21" s="19" t="s">
        <v>1378</v>
      </c>
      <c r="G21" s="819" t="s">
        <v>1054</v>
      </c>
      <c r="H21" s="788">
        <v>320</v>
      </c>
    </row>
    <row r="22" spans="1:8" x14ac:dyDescent="0.25">
      <c r="A22" s="817"/>
      <c r="B22" s="793"/>
      <c r="C22" s="789"/>
      <c r="D22" s="793"/>
      <c r="E22" s="229" t="s">
        <v>641</v>
      </c>
      <c r="F22" s="229" t="s">
        <v>1379</v>
      </c>
      <c r="G22" s="820"/>
      <c r="H22" s="789"/>
    </row>
    <row r="23" spans="1:8" x14ac:dyDescent="0.25">
      <c r="A23" s="817"/>
      <c r="B23" s="793"/>
      <c r="C23" s="789"/>
      <c r="D23" s="793"/>
      <c r="E23" s="229" t="s">
        <v>642</v>
      </c>
      <c r="F23" s="229"/>
      <c r="G23" s="820"/>
      <c r="H23" s="789"/>
    </row>
    <row r="24" spans="1:8" x14ac:dyDescent="0.25">
      <c r="A24" s="817"/>
      <c r="B24" s="793"/>
      <c r="C24" s="789"/>
      <c r="D24" s="793"/>
      <c r="E24" s="229" t="s">
        <v>643</v>
      </c>
      <c r="F24" s="229"/>
      <c r="G24" s="820"/>
      <c r="H24" s="789"/>
    </row>
    <row r="25" spans="1:8" ht="13.5" thickBot="1" x14ac:dyDescent="0.3">
      <c r="A25" s="818"/>
      <c r="B25" s="794"/>
      <c r="C25" s="790"/>
      <c r="D25" s="794"/>
      <c r="E25" s="353" t="s">
        <v>644</v>
      </c>
      <c r="F25" s="353"/>
      <c r="G25" s="821"/>
      <c r="H25" s="790"/>
    </row>
    <row r="27" spans="1:8" s="78" customFormat="1" ht="13.9" thickBot="1" x14ac:dyDescent="0.35">
      <c r="G27" s="72"/>
    </row>
    <row r="28" spans="1:8" s="196" customFormat="1" x14ac:dyDescent="0.25">
      <c r="A28" s="810" t="s">
        <v>422</v>
      </c>
      <c r="B28" s="811"/>
      <c r="C28" s="812"/>
      <c r="D28" s="811"/>
      <c r="E28" s="811"/>
      <c r="F28" s="813"/>
      <c r="G28" s="814" t="s">
        <v>423</v>
      </c>
      <c r="H28" s="815"/>
    </row>
    <row r="29" spans="1:8" s="196" customFormat="1" ht="13.9" thickBot="1" x14ac:dyDescent="0.35">
      <c r="A29" s="807"/>
      <c r="B29" s="808"/>
      <c r="C29" s="808"/>
      <c r="D29" s="808"/>
      <c r="E29" s="808"/>
      <c r="F29" s="809"/>
      <c r="G29" s="805"/>
      <c r="H29" s="806"/>
    </row>
    <row r="30" spans="1:8" s="196" customFormat="1" ht="13.15" x14ac:dyDescent="0.3">
      <c r="A30" s="810" t="s">
        <v>424</v>
      </c>
      <c r="B30" s="811"/>
      <c r="C30" s="812"/>
      <c r="D30" s="811"/>
      <c r="E30" s="811"/>
      <c r="F30" s="813"/>
      <c r="G30" s="814" t="s">
        <v>425</v>
      </c>
      <c r="H30" s="815"/>
    </row>
    <row r="31" spans="1:8" s="196" customFormat="1" ht="13.9" thickBot="1" x14ac:dyDescent="0.35">
      <c r="A31" s="807"/>
      <c r="B31" s="808"/>
      <c r="C31" s="808"/>
      <c r="D31" s="808"/>
      <c r="E31" s="808"/>
      <c r="F31" s="809"/>
      <c r="G31" s="805"/>
      <c r="H31" s="806"/>
    </row>
    <row r="32" spans="1:8" s="196" customFormat="1" x14ac:dyDescent="0.25">
      <c r="A32" s="795" t="s">
        <v>448</v>
      </c>
      <c r="B32" s="796"/>
      <c r="C32" s="797"/>
      <c r="D32" s="796"/>
      <c r="E32" s="796"/>
      <c r="F32" s="796"/>
      <c r="G32" s="796"/>
      <c r="H32" s="798"/>
    </row>
    <row r="33" spans="1:8" s="196" customFormat="1" ht="13.15" x14ac:dyDescent="0.3">
      <c r="A33" s="799"/>
      <c r="B33" s="800"/>
      <c r="C33" s="800"/>
      <c r="D33" s="800"/>
      <c r="E33" s="800"/>
      <c r="F33" s="800"/>
      <c r="G33" s="800"/>
      <c r="H33" s="801"/>
    </row>
    <row r="34" spans="1:8" s="196" customFormat="1" ht="13.15" x14ac:dyDescent="0.3">
      <c r="A34" s="799"/>
      <c r="B34" s="800"/>
      <c r="C34" s="800"/>
      <c r="D34" s="800"/>
      <c r="E34" s="800"/>
      <c r="F34" s="800"/>
      <c r="G34" s="800"/>
      <c r="H34" s="801"/>
    </row>
    <row r="35" spans="1:8" s="196" customFormat="1" ht="13.9" thickBot="1" x14ac:dyDescent="0.35">
      <c r="A35" s="802"/>
      <c r="B35" s="803"/>
      <c r="C35" s="803"/>
      <c r="D35" s="803"/>
      <c r="E35" s="803"/>
      <c r="F35" s="803"/>
      <c r="G35" s="803"/>
      <c r="H35" s="804"/>
    </row>
  </sheetData>
  <autoFilter ref="A12:H25"/>
  <mergeCells count="42">
    <mergeCell ref="G28:H28"/>
    <mergeCell ref="B21:B25"/>
    <mergeCell ref="A13:A16"/>
    <mergeCell ref="A17:A20"/>
    <mergeCell ref="A21:A25"/>
    <mergeCell ref="B13:B16"/>
    <mergeCell ref="A28:F28"/>
    <mergeCell ref="B17:B20"/>
    <mergeCell ref="C13:C16"/>
    <mergeCell ref="C17:C20"/>
    <mergeCell ref="C21:C25"/>
    <mergeCell ref="G13:G16"/>
    <mergeCell ref="G21:G25"/>
    <mergeCell ref="H21:H25"/>
    <mergeCell ref="H13:H16"/>
    <mergeCell ref="G17:G20"/>
    <mergeCell ref="A29:F29"/>
    <mergeCell ref="A30:F30"/>
    <mergeCell ref="G29:H29"/>
    <mergeCell ref="G30:H30"/>
    <mergeCell ref="A31:F31"/>
    <mergeCell ref="A32:H32"/>
    <mergeCell ref="A33:H33"/>
    <mergeCell ref="A34:H34"/>
    <mergeCell ref="A35:H35"/>
    <mergeCell ref="G31:H31"/>
    <mergeCell ref="D21:D25"/>
    <mergeCell ref="A11:A12"/>
    <mergeCell ref="B11:B12"/>
    <mergeCell ref="E11:E12"/>
    <mergeCell ref="C11:C12"/>
    <mergeCell ref="C1:H1"/>
    <mergeCell ref="C2:H2"/>
    <mergeCell ref="C3:H3"/>
    <mergeCell ref="H17:H20"/>
    <mergeCell ref="D11:D12"/>
    <mergeCell ref="D13:D16"/>
    <mergeCell ref="D17:D20"/>
    <mergeCell ref="G11:H11"/>
    <mergeCell ref="F11:F12"/>
    <mergeCell ref="A5:H6"/>
    <mergeCell ref="A8:H8"/>
  </mergeCells>
  <printOptions horizontalCentered="1"/>
  <pageMargins left="0.59055118110236227" right="0.59055118110236227" top="0.78740157480314965" bottom="0.59055118110236227" header="0.19685039370078741" footer="0.19685039370078741"/>
  <pageSetup paperSize="9" scale="73" fitToHeight="100" orientation="landscape" horizontalDpi="4294967294" verticalDpi="4294967294" r:id="rId1"/>
  <headerFooter>
    <oddFooter>&amp;R&amp;"Arial,Normal"&amp;8&amp;F
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A66" sqref="A66:G66"/>
    </sheetView>
  </sheetViews>
  <sheetFormatPr defaultColWidth="9.140625" defaultRowHeight="12.75" x14ac:dyDescent="0.25"/>
  <cols>
    <col min="1" max="1" width="8.7109375" style="4" customWidth="1"/>
    <col min="2" max="2" width="14.7109375" style="4" hidden="1" customWidth="1"/>
    <col min="3" max="3" width="60.7109375" style="3" customWidth="1"/>
    <col min="4" max="4" width="14.7109375" style="4" customWidth="1"/>
    <col min="5" max="7" width="14.7109375" style="24" customWidth="1"/>
    <col min="8" max="16384" width="9.140625" style="4"/>
  </cols>
  <sheetData>
    <row r="1" spans="1:7" s="89" customFormat="1" x14ac:dyDescent="0.25">
      <c r="A1" s="117"/>
      <c r="B1" s="495"/>
      <c r="C1" s="726" t="s">
        <v>1117</v>
      </c>
      <c r="D1" s="726"/>
      <c r="E1" s="726"/>
      <c r="F1" s="726"/>
      <c r="G1" s="726"/>
    </row>
    <row r="2" spans="1:7" s="89" customFormat="1" x14ac:dyDescent="0.25">
      <c r="A2" s="90"/>
      <c r="B2" s="428"/>
      <c r="C2" s="728" t="s">
        <v>1118</v>
      </c>
      <c r="D2" s="728"/>
      <c r="E2" s="728"/>
      <c r="F2" s="728"/>
      <c r="G2" s="728"/>
    </row>
    <row r="3" spans="1:7" s="89" customFormat="1" ht="13.5" thickBot="1" x14ac:dyDescent="0.3">
      <c r="A3" s="118"/>
      <c r="B3" s="429"/>
      <c r="C3" s="729" t="s">
        <v>1116</v>
      </c>
      <c r="D3" s="729"/>
      <c r="E3" s="729"/>
      <c r="F3" s="729"/>
      <c r="G3" s="729"/>
    </row>
    <row r="4" spans="1:7" s="78" customFormat="1" ht="13.9" thickBot="1" x14ac:dyDescent="0.35">
      <c r="A4" s="91"/>
      <c r="B4" s="483"/>
      <c r="D4" s="72"/>
    </row>
    <row r="5" spans="1:7" s="78" customFormat="1" x14ac:dyDescent="0.25">
      <c r="A5" s="690" t="s">
        <v>1119</v>
      </c>
      <c r="B5" s="690"/>
      <c r="C5" s="690"/>
      <c r="D5" s="690"/>
      <c r="E5" s="690"/>
      <c r="F5" s="690"/>
      <c r="G5" s="690"/>
    </row>
    <row r="6" spans="1:7" s="78" customFormat="1" ht="13.5" thickBot="1" x14ac:dyDescent="0.3">
      <c r="A6" s="691"/>
      <c r="B6" s="691"/>
      <c r="C6" s="691"/>
      <c r="D6" s="691"/>
      <c r="E6" s="691"/>
      <c r="F6" s="691"/>
      <c r="G6" s="691"/>
    </row>
    <row r="7" spans="1:7" s="78" customFormat="1" ht="13.9" thickBot="1" x14ac:dyDescent="0.35">
      <c r="B7" s="72"/>
      <c r="C7" s="70"/>
      <c r="D7" s="77"/>
      <c r="E7" s="72"/>
    </row>
    <row r="8" spans="1:7" s="21" customFormat="1" ht="13.9" thickBot="1" x14ac:dyDescent="0.35">
      <c r="A8" s="686" t="s">
        <v>1129</v>
      </c>
      <c r="B8" s="687"/>
      <c r="C8" s="687"/>
      <c r="D8" s="687"/>
      <c r="E8" s="687"/>
      <c r="F8" s="687"/>
      <c r="G8" s="688"/>
    </row>
    <row r="9" spans="1:7" s="196" customFormat="1" ht="13.15" x14ac:dyDescent="0.3">
      <c r="B9" s="209"/>
      <c r="D9" s="209"/>
      <c r="F9" s="197"/>
      <c r="G9" s="197"/>
    </row>
    <row r="10" spans="1:7" s="209" customFormat="1" ht="13.9" thickBot="1" x14ac:dyDescent="0.35">
      <c r="A10" s="193"/>
      <c r="B10" s="193"/>
      <c r="C10" s="193"/>
      <c r="D10" s="193"/>
      <c r="E10" s="194"/>
      <c r="F10" s="194"/>
      <c r="G10" s="197"/>
    </row>
    <row r="11" spans="1:7" s="209" customFormat="1" ht="13.5" thickBot="1" x14ac:dyDescent="0.3">
      <c r="A11" s="791" t="s">
        <v>363</v>
      </c>
      <c r="B11" s="791" t="s">
        <v>1466</v>
      </c>
      <c r="C11" s="791" t="s">
        <v>547</v>
      </c>
      <c r="D11" s="791" t="s">
        <v>410</v>
      </c>
      <c r="E11" s="830" t="s">
        <v>364</v>
      </c>
      <c r="F11" s="830" t="s">
        <v>413</v>
      </c>
      <c r="G11" s="830"/>
    </row>
    <row r="12" spans="1:7" ht="13.5" thickBot="1" x14ac:dyDescent="0.3">
      <c r="A12" s="791"/>
      <c r="B12" s="791"/>
      <c r="C12" s="791"/>
      <c r="D12" s="791"/>
      <c r="E12" s="830"/>
      <c r="F12" s="298" t="s">
        <v>412</v>
      </c>
      <c r="G12" s="298" t="s">
        <v>411</v>
      </c>
    </row>
    <row r="13" spans="1:7" s="196" customFormat="1" ht="13.9" thickBot="1" x14ac:dyDescent="0.35">
      <c r="A13" s="252"/>
      <c r="B13" s="252"/>
      <c r="C13" s="732" t="str">
        <f>A8</f>
        <v>REFORMA DOS CANTEIROS</v>
      </c>
      <c r="D13" s="732"/>
      <c r="E13" s="732"/>
      <c r="F13" s="732"/>
      <c r="G13" s="732"/>
    </row>
    <row r="14" spans="1:7" s="209" customFormat="1" ht="13.9" thickBot="1" x14ac:dyDescent="0.35">
      <c r="A14" s="214"/>
      <c r="B14" s="240"/>
      <c r="C14" s="214"/>
      <c r="D14" s="240"/>
      <c r="E14" s="215"/>
      <c r="F14" s="216"/>
      <c r="G14" s="216"/>
    </row>
    <row r="15" spans="1:7" s="2" customFormat="1" ht="13.9" thickBot="1" x14ac:dyDescent="0.35">
      <c r="A15" s="534">
        <v>1</v>
      </c>
      <c r="B15" s="535"/>
      <c r="C15" s="861" t="s">
        <v>1130</v>
      </c>
      <c r="D15" s="862"/>
      <c r="E15" s="862"/>
      <c r="F15" s="862"/>
      <c r="G15" s="863"/>
    </row>
    <row r="16" spans="1:7" s="209" customFormat="1" x14ac:dyDescent="0.25">
      <c r="A16" s="499" t="s">
        <v>124</v>
      </c>
      <c r="B16" s="411" t="s">
        <v>2528</v>
      </c>
      <c r="C16" s="499" t="s">
        <v>1486</v>
      </c>
      <c r="D16" s="500" t="s">
        <v>670</v>
      </c>
      <c r="E16" s="501">
        <v>174.06</v>
      </c>
      <c r="F16" s="501">
        <f t="shared" ref="F16:F23" si="0">VLOOKUP(B16,$B$78:$E$83,IF(RIGHT(B16,1)="*",4,3),FALSE)</f>
        <v>198.42</v>
      </c>
      <c r="G16" s="501">
        <f>ROUND(E16*F16,2)</f>
        <v>34536.99</v>
      </c>
    </row>
    <row r="17" spans="1:7" s="209" customFormat="1" x14ac:dyDescent="0.25">
      <c r="A17" s="499" t="s">
        <v>125</v>
      </c>
      <c r="B17" s="502" t="s">
        <v>2528</v>
      </c>
      <c r="C17" s="176" t="s">
        <v>1488</v>
      </c>
      <c r="D17" s="141" t="s">
        <v>670</v>
      </c>
      <c r="E17" s="144">
        <v>276.75</v>
      </c>
      <c r="F17" s="144">
        <f t="shared" si="0"/>
        <v>198.42</v>
      </c>
      <c r="G17" s="144">
        <f t="shared" ref="G17:G23" si="1">ROUND(E17*F17,2)</f>
        <v>54912.74</v>
      </c>
    </row>
    <row r="18" spans="1:7" s="209" customFormat="1" x14ac:dyDescent="0.25">
      <c r="A18" s="499" t="s">
        <v>126</v>
      </c>
      <c r="B18" s="502" t="s">
        <v>2529</v>
      </c>
      <c r="C18" s="176" t="s">
        <v>1490</v>
      </c>
      <c r="D18" s="141" t="s">
        <v>670</v>
      </c>
      <c r="E18" s="144">
        <v>57.29</v>
      </c>
      <c r="F18" s="144">
        <f t="shared" si="0"/>
        <v>171.86</v>
      </c>
      <c r="G18" s="144">
        <f t="shared" si="1"/>
        <v>9845.86</v>
      </c>
    </row>
    <row r="19" spans="1:7" s="209" customFormat="1" x14ac:dyDescent="0.25">
      <c r="A19" s="499" t="s">
        <v>127</v>
      </c>
      <c r="B19" s="502" t="s">
        <v>2530</v>
      </c>
      <c r="C19" s="176" t="s">
        <v>1491</v>
      </c>
      <c r="D19" s="141" t="s">
        <v>670</v>
      </c>
      <c r="E19" s="144">
        <v>108.24</v>
      </c>
      <c r="F19" s="144">
        <f t="shared" si="0"/>
        <v>184.53</v>
      </c>
      <c r="G19" s="144">
        <f t="shared" si="1"/>
        <v>19973.53</v>
      </c>
    </row>
    <row r="20" spans="1:7" s="209" customFormat="1" x14ac:dyDescent="0.25">
      <c r="A20" s="499" t="s">
        <v>128</v>
      </c>
      <c r="B20" s="502" t="s">
        <v>2531</v>
      </c>
      <c r="C20" s="176" t="s">
        <v>1492</v>
      </c>
      <c r="D20" s="141" t="s">
        <v>670</v>
      </c>
      <c r="E20" s="144">
        <v>427.68</v>
      </c>
      <c r="F20" s="144">
        <f t="shared" si="0"/>
        <v>101.07</v>
      </c>
      <c r="G20" s="144">
        <f t="shared" si="1"/>
        <v>43225.62</v>
      </c>
    </row>
    <row r="21" spans="1:7" s="209" customFormat="1" x14ac:dyDescent="0.25">
      <c r="A21" s="499" t="s">
        <v>129</v>
      </c>
      <c r="B21" s="502" t="s">
        <v>2530</v>
      </c>
      <c r="C21" s="176" t="s">
        <v>1487</v>
      </c>
      <c r="D21" s="141" t="s">
        <v>670</v>
      </c>
      <c r="E21" s="144">
        <v>142.21</v>
      </c>
      <c r="F21" s="144">
        <f t="shared" si="0"/>
        <v>184.53</v>
      </c>
      <c r="G21" s="144">
        <f t="shared" si="1"/>
        <v>26242.01</v>
      </c>
    </row>
    <row r="22" spans="1:7" s="209" customFormat="1" x14ac:dyDescent="0.25">
      <c r="A22" s="499" t="s">
        <v>130</v>
      </c>
      <c r="B22" s="502" t="s">
        <v>2532</v>
      </c>
      <c r="C22" s="176" t="s">
        <v>1493</v>
      </c>
      <c r="D22" s="141" t="s">
        <v>670</v>
      </c>
      <c r="E22" s="144">
        <v>264.95999999999998</v>
      </c>
      <c r="F22" s="144">
        <f t="shared" si="0"/>
        <v>164.03</v>
      </c>
      <c r="G22" s="144">
        <f t="shared" si="1"/>
        <v>43461.39</v>
      </c>
    </row>
    <row r="23" spans="1:7" s="209" customFormat="1" ht="13.5" thickBot="1" x14ac:dyDescent="0.3">
      <c r="A23" s="499" t="s">
        <v>131</v>
      </c>
      <c r="B23" s="502" t="s">
        <v>2533</v>
      </c>
      <c r="C23" s="176" t="s">
        <v>1494</v>
      </c>
      <c r="D23" s="141" t="s">
        <v>670</v>
      </c>
      <c r="E23" s="144">
        <v>702.74</v>
      </c>
      <c r="F23" s="144">
        <f t="shared" si="0"/>
        <v>46.98</v>
      </c>
      <c r="G23" s="144">
        <f t="shared" si="1"/>
        <v>33014.730000000003</v>
      </c>
    </row>
    <row r="24" spans="1:7" ht="13.9" thickBot="1" x14ac:dyDescent="0.35">
      <c r="A24" s="834" t="str">
        <f>"TOTAL - "&amp;C15&amp;" - (R$):"</f>
        <v>TOTAL - REFORMA DO CANTEIRO DO LOTE 09 (FLOPRESTA/PE) - (R$):</v>
      </c>
      <c r="B24" s="835"/>
      <c r="C24" s="835"/>
      <c r="D24" s="835"/>
      <c r="E24" s="835"/>
      <c r="F24" s="836"/>
      <c r="G24" s="283">
        <f>SUBTOTAL(9,G15:G23)</f>
        <v>265212.87</v>
      </c>
    </row>
    <row r="25" spans="1:7" s="209" customFormat="1" ht="13.9" thickBot="1" x14ac:dyDescent="0.35">
      <c r="A25" s="214"/>
      <c r="B25" s="240"/>
      <c r="C25" s="214"/>
      <c r="D25" s="240"/>
      <c r="E25" s="215"/>
      <c r="F25" s="216"/>
      <c r="G25" s="216"/>
    </row>
    <row r="26" spans="1:7" s="2" customFormat="1" ht="13.5" thickBot="1" x14ac:dyDescent="0.3">
      <c r="A26" s="534" t="s">
        <v>361</v>
      </c>
      <c r="B26" s="535"/>
      <c r="C26" s="861" t="s">
        <v>1131</v>
      </c>
      <c r="D26" s="862"/>
      <c r="E26" s="862"/>
      <c r="F26" s="862"/>
      <c r="G26" s="863"/>
    </row>
    <row r="27" spans="1:7" s="209" customFormat="1" x14ac:dyDescent="0.25">
      <c r="A27" s="176" t="s">
        <v>173</v>
      </c>
      <c r="B27" s="502" t="s">
        <v>2534</v>
      </c>
      <c r="C27" s="176" t="s">
        <v>1486</v>
      </c>
      <c r="D27" s="141" t="s">
        <v>670</v>
      </c>
      <c r="E27" s="144">
        <v>255.16</v>
      </c>
      <c r="F27" s="144">
        <f t="shared" ref="F27:F35" si="2">VLOOKUP(B27,$B$78:$E$83,IF(RIGHT(B27,1)="*",4,3),FALSE)</f>
        <v>793.66</v>
      </c>
      <c r="G27" s="144">
        <f t="shared" ref="G27:G35" si="3">ROUND(E27*F27,2)</f>
        <v>202510.29</v>
      </c>
    </row>
    <row r="28" spans="1:7" s="209" customFormat="1" x14ac:dyDescent="0.25">
      <c r="A28" s="176" t="s">
        <v>174</v>
      </c>
      <c r="B28" s="502" t="s">
        <v>2534</v>
      </c>
      <c r="C28" s="176" t="s">
        <v>1488</v>
      </c>
      <c r="D28" s="141" t="s">
        <v>670</v>
      </c>
      <c r="E28" s="144">
        <v>297.08</v>
      </c>
      <c r="F28" s="144">
        <f t="shared" si="2"/>
        <v>793.66</v>
      </c>
      <c r="G28" s="144">
        <f t="shared" si="3"/>
        <v>235780.51</v>
      </c>
    </row>
    <row r="29" spans="1:7" s="209" customFormat="1" x14ac:dyDescent="0.25">
      <c r="A29" s="176" t="s">
        <v>175</v>
      </c>
      <c r="B29" s="502" t="s">
        <v>2529</v>
      </c>
      <c r="C29" s="176" t="s">
        <v>1490</v>
      </c>
      <c r="D29" s="141" t="s">
        <v>670</v>
      </c>
      <c r="E29" s="144">
        <v>12.46</v>
      </c>
      <c r="F29" s="144">
        <f t="shared" si="2"/>
        <v>171.86</v>
      </c>
      <c r="G29" s="144">
        <f t="shared" si="3"/>
        <v>2141.38</v>
      </c>
    </row>
    <row r="30" spans="1:7" s="209" customFormat="1" x14ac:dyDescent="0.25">
      <c r="A30" s="176" t="s">
        <v>176</v>
      </c>
      <c r="B30" s="502" t="s">
        <v>2535</v>
      </c>
      <c r="C30" s="176" t="s">
        <v>1491</v>
      </c>
      <c r="D30" s="141" t="s">
        <v>670</v>
      </c>
      <c r="E30" s="144">
        <v>268.64</v>
      </c>
      <c r="F30" s="144">
        <f t="shared" si="2"/>
        <v>738.13</v>
      </c>
      <c r="G30" s="144">
        <f t="shared" si="3"/>
        <v>198291.24</v>
      </c>
    </row>
    <row r="31" spans="1:7" s="209" customFormat="1" x14ac:dyDescent="0.25">
      <c r="A31" s="176" t="s">
        <v>177</v>
      </c>
      <c r="B31" s="502" t="s">
        <v>2536</v>
      </c>
      <c r="C31" s="176" t="s">
        <v>1492</v>
      </c>
      <c r="D31" s="141" t="s">
        <v>670</v>
      </c>
      <c r="E31" s="144">
        <v>1477.66</v>
      </c>
      <c r="F31" s="144">
        <f t="shared" si="2"/>
        <v>404.27</v>
      </c>
      <c r="G31" s="144">
        <f t="shared" si="3"/>
        <v>597373.61</v>
      </c>
    </row>
    <row r="32" spans="1:7" s="209" customFormat="1" x14ac:dyDescent="0.25">
      <c r="A32" s="176" t="s">
        <v>178</v>
      </c>
      <c r="B32" s="502" t="s">
        <v>2530</v>
      </c>
      <c r="C32" s="176" t="s">
        <v>1487</v>
      </c>
      <c r="D32" s="141" t="s">
        <v>670</v>
      </c>
      <c r="E32" s="144">
        <v>350</v>
      </c>
      <c r="F32" s="144">
        <f t="shared" si="2"/>
        <v>184.53</v>
      </c>
      <c r="G32" s="144">
        <f t="shared" si="3"/>
        <v>64585.5</v>
      </c>
    </row>
    <row r="33" spans="1:7" s="209" customFormat="1" x14ac:dyDescent="0.25">
      <c r="A33" s="176" t="s">
        <v>179</v>
      </c>
      <c r="B33" s="502" t="s">
        <v>2532</v>
      </c>
      <c r="C33" s="176" t="s">
        <v>1493</v>
      </c>
      <c r="D33" s="141" t="s">
        <v>670</v>
      </c>
      <c r="E33" s="144">
        <v>456.2</v>
      </c>
      <c r="F33" s="144">
        <f t="shared" si="2"/>
        <v>164.03</v>
      </c>
      <c r="G33" s="144">
        <f t="shared" si="3"/>
        <v>74830.490000000005</v>
      </c>
    </row>
    <row r="34" spans="1:7" s="209" customFormat="1" x14ac:dyDescent="0.25">
      <c r="A34" s="176" t="s">
        <v>200</v>
      </c>
      <c r="B34" s="502" t="s">
        <v>2533</v>
      </c>
      <c r="C34" s="176" t="s">
        <v>1494</v>
      </c>
      <c r="D34" s="141" t="s">
        <v>670</v>
      </c>
      <c r="E34" s="144">
        <v>663.82</v>
      </c>
      <c r="F34" s="144">
        <f t="shared" si="2"/>
        <v>46.98</v>
      </c>
      <c r="G34" s="144">
        <f t="shared" si="3"/>
        <v>31186.26</v>
      </c>
    </row>
    <row r="35" spans="1:7" s="209" customFormat="1" ht="13.5" thickBot="1" x14ac:dyDescent="0.3">
      <c r="A35" s="176" t="s">
        <v>201</v>
      </c>
      <c r="B35" s="502" t="s">
        <v>2534</v>
      </c>
      <c r="C35" s="176" t="s">
        <v>1489</v>
      </c>
      <c r="D35" s="141" t="s">
        <v>670</v>
      </c>
      <c r="E35" s="144">
        <v>53.72</v>
      </c>
      <c r="F35" s="144">
        <f t="shared" si="2"/>
        <v>793.66</v>
      </c>
      <c r="G35" s="144">
        <f t="shared" si="3"/>
        <v>42635.42</v>
      </c>
    </row>
    <row r="36" spans="1:7" ht="13.9" thickBot="1" x14ac:dyDescent="0.35">
      <c r="A36" s="834" t="str">
        <f>"TOTAL - "&amp;C26&amp;" - (R$):"</f>
        <v>TOTAL - REFORMA DO CANTEIRO DO LOTE 10 (CUSTÓDIA/PE) - (R$):</v>
      </c>
      <c r="B36" s="835"/>
      <c r="C36" s="835"/>
      <c r="D36" s="835"/>
      <c r="E36" s="835"/>
      <c r="F36" s="836"/>
      <c r="G36" s="283">
        <f>SUBTOTAL(9,G26:G35)</f>
        <v>1449334.7</v>
      </c>
    </row>
    <row r="37" spans="1:7" s="209" customFormat="1" ht="13.9" thickBot="1" x14ac:dyDescent="0.35">
      <c r="A37" s="214"/>
      <c r="B37" s="240"/>
      <c r="C37" s="214"/>
      <c r="D37" s="240"/>
      <c r="E37" s="215"/>
      <c r="F37" s="216"/>
      <c r="G37" s="216"/>
    </row>
    <row r="38" spans="1:7" s="2" customFormat="1" ht="13.5" thickBot="1" x14ac:dyDescent="0.3">
      <c r="A38" s="534" t="s">
        <v>362</v>
      </c>
      <c r="B38" s="535"/>
      <c r="C38" s="861" t="s">
        <v>1132</v>
      </c>
      <c r="D38" s="862"/>
      <c r="E38" s="862"/>
      <c r="F38" s="862"/>
      <c r="G38" s="863"/>
    </row>
    <row r="39" spans="1:7" s="209" customFormat="1" x14ac:dyDescent="0.25">
      <c r="A39" s="176" t="s">
        <v>238</v>
      </c>
      <c r="B39" s="502" t="s">
        <v>2528</v>
      </c>
      <c r="C39" s="176" t="s">
        <v>1486</v>
      </c>
      <c r="D39" s="141" t="s">
        <v>670</v>
      </c>
      <c r="E39" s="144">
        <v>285.33</v>
      </c>
      <c r="F39" s="144">
        <f t="shared" ref="F39:F47" si="4">VLOOKUP(B39,$B$78:$E$83,IF(RIGHT(B39,1)="*",4,3),FALSE)</f>
        <v>198.42</v>
      </c>
      <c r="G39" s="144">
        <f t="shared" ref="G39:G47" si="5">ROUND(E39*F39,2)</f>
        <v>56615.18</v>
      </c>
    </row>
    <row r="40" spans="1:7" s="209" customFormat="1" x14ac:dyDescent="0.25">
      <c r="A40" s="176" t="s">
        <v>239</v>
      </c>
      <c r="B40" s="502" t="s">
        <v>2528</v>
      </c>
      <c r="C40" s="176" t="s">
        <v>1488</v>
      </c>
      <c r="D40" s="141" t="s">
        <v>670</v>
      </c>
      <c r="E40" s="144">
        <v>323.2</v>
      </c>
      <c r="F40" s="144">
        <f t="shared" si="4"/>
        <v>198.42</v>
      </c>
      <c r="G40" s="144">
        <f t="shared" si="5"/>
        <v>64129.34</v>
      </c>
    </row>
    <row r="41" spans="1:7" s="209" customFormat="1" x14ac:dyDescent="0.25">
      <c r="A41" s="176" t="s">
        <v>240</v>
      </c>
      <c r="B41" s="502" t="s">
        <v>2529</v>
      </c>
      <c r="C41" s="176" t="s">
        <v>1490</v>
      </c>
      <c r="D41" s="141" t="s">
        <v>670</v>
      </c>
      <c r="E41" s="144">
        <v>9.9</v>
      </c>
      <c r="F41" s="144">
        <f t="shared" si="4"/>
        <v>171.86</v>
      </c>
      <c r="G41" s="144">
        <f t="shared" si="5"/>
        <v>1701.41</v>
      </c>
    </row>
    <row r="42" spans="1:7" s="209" customFormat="1" x14ac:dyDescent="0.25">
      <c r="A42" s="176" t="s">
        <v>241</v>
      </c>
      <c r="B42" s="502" t="s">
        <v>2530</v>
      </c>
      <c r="C42" s="176" t="s">
        <v>1491</v>
      </c>
      <c r="D42" s="141" t="s">
        <v>670</v>
      </c>
      <c r="E42" s="144">
        <v>616.98</v>
      </c>
      <c r="F42" s="144">
        <f t="shared" si="4"/>
        <v>184.53</v>
      </c>
      <c r="G42" s="144">
        <f t="shared" si="5"/>
        <v>113851.32</v>
      </c>
    </row>
    <row r="43" spans="1:7" s="209" customFormat="1" x14ac:dyDescent="0.25">
      <c r="A43" s="176" t="s">
        <v>242</v>
      </c>
      <c r="B43" s="502" t="s">
        <v>2531</v>
      </c>
      <c r="C43" s="176" t="s">
        <v>1492</v>
      </c>
      <c r="D43" s="141" t="s">
        <v>670</v>
      </c>
      <c r="E43" s="144">
        <v>690.8</v>
      </c>
      <c r="F43" s="144">
        <f t="shared" si="4"/>
        <v>101.07</v>
      </c>
      <c r="G43" s="144">
        <f t="shared" si="5"/>
        <v>69819.16</v>
      </c>
    </row>
    <row r="44" spans="1:7" s="209" customFormat="1" x14ac:dyDescent="0.25">
      <c r="A44" s="176" t="s">
        <v>243</v>
      </c>
      <c r="B44" s="502" t="s">
        <v>2530</v>
      </c>
      <c r="C44" s="176" t="s">
        <v>1487</v>
      </c>
      <c r="D44" s="141" t="s">
        <v>670</v>
      </c>
      <c r="E44" s="144">
        <v>58.76</v>
      </c>
      <c r="F44" s="144">
        <f t="shared" si="4"/>
        <v>184.53</v>
      </c>
      <c r="G44" s="144">
        <f t="shared" si="5"/>
        <v>10842.98</v>
      </c>
    </row>
    <row r="45" spans="1:7" s="209" customFormat="1" x14ac:dyDescent="0.25">
      <c r="A45" s="176" t="s">
        <v>244</v>
      </c>
      <c r="B45" s="502" t="s">
        <v>2532</v>
      </c>
      <c r="C45" s="176" t="s">
        <v>1493</v>
      </c>
      <c r="D45" s="141" t="s">
        <v>670</v>
      </c>
      <c r="E45" s="144">
        <v>229.35</v>
      </c>
      <c r="F45" s="144">
        <f t="shared" si="4"/>
        <v>164.03</v>
      </c>
      <c r="G45" s="144">
        <f t="shared" si="5"/>
        <v>37620.28</v>
      </c>
    </row>
    <row r="46" spans="1:7" s="209" customFormat="1" x14ac:dyDescent="0.25">
      <c r="A46" s="176" t="s">
        <v>245</v>
      </c>
      <c r="B46" s="502" t="s">
        <v>2533</v>
      </c>
      <c r="C46" s="176" t="s">
        <v>1494</v>
      </c>
      <c r="D46" s="141" t="s">
        <v>670</v>
      </c>
      <c r="E46" s="144">
        <v>216.72</v>
      </c>
      <c r="F46" s="144">
        <f t="shared" si="4"/>
        <v>46.98</v>
      </c>
      <c r="G46" s="144">
        <f t="shared" si="5"/>
        <v>10181.51</v>
      </c>
    </row>
    <row r="47" spans="1:7" s="209" customFormat="1" ht="13.5" thickBot="1" x14ac:dyDescent="0.3">
      <c r="A47" s="176" t="s">
        <v>246</v>
      </c>
      <c r="B47" s="356" t="s">
        <v>2528</v>
      </c>
      <c r="C47" s="177" t="s">
        <v>1489</v>
      </c>
      <c r="D47" s="147" t="s">
        <v>670</v>
      </c>
      <c r="E47" s="150">
        <v>53.72</v>
      </c>
      <c r="F47" s="150">
        <f t="shared" si="4"/>
        <v>198.42</v>
      </c>
      <c r="G47" s="144">
        <f t="shared" si="5"/>
        <v>10659.12</v>
      </c>
    </row>
    <row r="48" spans="1:7" ht="13.9" thickBot="1" x14ac:dyDescent="0.35">
      <c r="A48" s="834" t="str">
        <f>"TOTAL - "&amp;C38&amp;" - (R$):"</f>
        <v>TOTAL - REFORMA DO CANTEIRO DO LOTE 12 (SERTÂNIA/PE) - (R$):</v>
      </c>
      <c r="B48" s="835"/>
      <c r="C48" s="835"/>
      <c r="D48" s="835"/>
      <c r="E48" s="835"/>
      <c r="F48" s="836"/>
      <c r="G48" s="283">
        <f>SUBTOTAL(9,G38:G47)</f>
        <v>375420.30000000005</v>
      </c>
    </row>
    <row r="49" spans="1:7" s="209" customFormat="1" ht="13.9" thickBot="1" x14ac:dyDescent="0.35">
      <c r="A49" s="214"/>
      <c r="B49" s="240"/>
      <c r="C49" s="214"/>
      <c r="D49" s="240"/>
      <c r="E49" s="215"/>
      <c r="F49" s="216"/>
      <c r="G49" s="216"/>
    </row>
    <row r="50" spans="1:7" ht="13.9" thickBot="1" x14ac:dyDescent="0.35">
      <c r="A50" s="837" t="str">
        <f>"TOTAL - "&amp;C13&amp;" - (R$):"</f>
        <v>TOTAL - REFORMA DOS CANTEIROS - (R$):</v>
      </c>
      <c r="B50" s="838"/>
      <c r="C50" s="838"/>
      <c r="D50" s="838"/>
      <c r="E50" s="838"/>
      <c r="F50" s="839"/>
      <c r="G50" s="16">
        <f>SUBTOTAL(9,G15:G49)</f>
        <v>2089967.8699999999</v>
      </c>
    </row>
    <row r="51" spans="1:7" s="21" customFormat="1" ht="13.15" x14ac:dyDescent="0.3">
      <c r="A51" s="235"/>
      <c r="B51" s="481"/>
      <c r="C51" s="236"/>
      <c r="E51" s="237"/>
      <c r="F51" s="237"/>
      <c r="G51" s="238"/>
    </row>
    <row r="52" spans="1:7" s="21" customFormat="1" ht="13.9" thickBot="1" x14ac:dyDescent="0.35">
      <c r="A52" s="235"/>
      <c r="B52" s="481"/>
      <c r="C52" s="236"/>
      <c r="E52" s="237"/>
      <c r="F52" s="237"/>
      <c r="G52" s="238"/>
    </row>
    <row r="53" spans="1:7" s="21" customFormat="1" ht="13.9" thickBot="1" x14ac:dyDescent="0.35">
      <c r="A53" s="843" t="str">
        <f>"RESUMO - "&amp;A8</f>
        <v>RESUMO - REFORMA DOS CANTEIROS</v>
      </c>
      <c r="B53" s="844"/>
      <c r="C53" s="844"/>
      <c r="D53" s="844"/>
      <c r="E53" s="844"/>
      <c r="F53" s="844"/>
      <c r="G53" s="845"/>
    </row>
    <row r="54" spans="1:7" s="21" customFormat="1" ht="13.5" thickBot="1" x14ac:dyDescent="0.3">
      <c r="A54" s="31" t="s">
        <v>363</v>
      </c>
      <c r="B54" s="436"/>
      <c r="C54" s="846" t="s">
        <v>366</v>
      </c>
      <c r="D54" s="847"/>
      <c r="E54" s="848"/>
      <c r="F54" s="856" t="s">
        <v>414</v>
      </c>
      <c r="G54" s="857"/>
    </row>
    <row r="55" spans="1:7" s="21" customFormat="1" x14ac:dyDescent="0.25">
      <c r="A55" s="242">
        <v>1</v>
      </c>
      <c r="B55" s="494"/>
      <c r="C55" s="858" t="str">
        <f>C15</f>
        <v>REFORMA DO CANTEIRO DO LOTE 09 (FLOPRESTA/PE)</v>
      </c>
      <c r="D55" s="859"/>
      <c r="E55" s="860"/>
      <c r="F55" s="852">
        <f>G24</f>
        <v>265212.87</v>
      </c>
      <c r="G55" s="853"/>
    </row>
    <row r="56" spans="1:7" s="21" customFormat="1" x14ac:dyDescent="0.25">
      <c r="A56" s="243">
        <v>2</v>
      </c>
      <c r="B56" s="243"/>
      <c r="C56" s="849" t="str">
        <f>C26</f>
        <v>REFORMA DO CANTEIRO DO LOTE 10 (CUSTÓDIA/PE)</v>
      </c>
      <c r="D56" s="850"/>
      <c r="E56" s="851"/>
      <c r="F56" s="852">
        <f>G36</f>
        <v>1449334.7</v>
      </c>
      <c r="G56" s="853"/>
    </row>
    <row r="57" spans="1:7" s="21" customFormat="1" ht="13.5" thickBot="1" x14ac:dyDescent="0.3">
      <c r="A57" s="243">
        <v>3</v>
      </c>
      <c r="B57" s="243"/>
      <c r="C57" s="849" t="str">
        <f>C38</f>
        <v>REFORMA DO CANTEIRO DO LOTE 12 (SERTÂNIA/PE)</v>
      </c>
      <c r="D57" s="850"/>
      <c r="E57" s="851"/>
      <c r="F57" s="852">
        <f>G48</f>
        <v>375420.30000000005</v>
      </c>
      <c r="G57" s="853"/>
    </row>
    <row r="58" spans="1:7" s="21" customFormat="1" ht="13.5" thickBot="1" x14ac:dyDescent="0.3">
      <c r="A58" s="743" t="str">
        <f>"TOTAL GERAL - "&amp;A53&amp;" -  (R$):"</f>
        <v>TOTAL GERAL - RESUMO - REFORMA DOS CANTEIROS -  (R$):</v>
      </c>
      <c r="B58" s="744"/>
      <c r="C58" s="744"/>
      <c r="D58" s="744"/>
      <c r="E58" s="744"/>
      <c r="F58" s="854">
        <f>SUM(F55:G57)</f>
        <v>2089967.8699999999</v>
      </c>
      <c r="G58" s="855"/>
    </row>
    <row r="59" spans="1:7" s="21" customFormat="1" x14ac:dyDescent="0.25">
      <c r="A59" s="235"/>
      <c r="B59" s="481"/>
      <c r="C59" s="236"/>
      <c r="E59" s="237"/>
      <c r="F59" s="237"/>
      <c r="G59" s="238"/>
    </row>
    <row r="60" spans="1:7" s="21" customFormat="1" ht="13.5" thickBot="1" x14ac:dyDescent="0.3">
      <c r="A60" s="235"/>
      <c r="B60" s="481"/>
      <c r="C60" s="236"/>
      <c r="E60" s="237"/>
      <c r="F60" s="237"/>
      <c r="G60" s="238"/>
    </row>
    <row r="61" spans="1:7" s="209" customFormat="1" x14ac:dyDescent="0.25">
      <c r="A61" s="781" t="s">
        <v>422</v>
      </c>
      <c r="B61" s="782"/>
      <c r="C61" s="783"/>
      <c r="D61" s="782"/>
      <c r="E61" s="784"/>
      <c r="F61" s="781" t="s">
        <v>423</v>
      </c>
      <c r="G61" s="784"/>
    </row>
    <row r="62" spans="1:7" s="209" customFormat="1" ht="13.5" thickBot="1" x14ac:dyDescent="0.3">
      <c r="A62" s="778"/>
      <c r="B62" s="779"/>
      <c r="C62" s="779"/>
      <c r="D62" s="779"/>
      <c r="E62" s="780"/>
      <c r="F62" s="778"/>
      <c r="G62" s="780"/>
    </row>
    <row r="63" spans="1:7" s="209" customFormat="1" x14ac:dyDescent="0.25">
      <c r="A63" s="781" t="s">
        <v>424</v>
      </c>
      <c r="B63" s="782"/>
      <c r="C63" s="783"/>
      <c r="D63" s="782"/>
      <c r="E63" s="784"/>
      <c r="F63" s="781" t="s">
        <v>425</v>
      </c>
      <c r="G63" s="784"/>
    </row>
    <row r="64" spans="1:7" s="209" customFormat="1" ht="13.5" thickBot="1" x14ac:dyDescent="0.3">
      <c r="A64" s="840"/>
      <c r="B64" s="842"/>
      <c r="C64" s="842"/>
      <c r="D64" s="842"/>
      <c r="E64" s="841"/>
      <c r="F64" s="840"/>
      <c r="G64" s="841"/>
    </row>
    <row r="65" spans="1:7" s="209" customFormat="1" x14ac:dyDescent="0.25">
      <c r="A65" s="831" t="s">
        <v>426</v>
      </c>
      <c r="B65" s="832"/>
      <c r="C65" s="832"/>
      <c r="D65" s="832"/>
      <c r="E65" s="832"/>
      <c r="F65" s="832"/>
      <c r="G65" s="833"/>
    </row>
    <row r="66" spans="1:7" s="209" customFormat="1" x14ac:dyDescent="0.25">
      <c r="A66" s="824" t="s">
        <v>1501</v>
      </c>
      <c r="B66" s="825"/>
      <c r="C66" s="825"/>
      <c r="D66" s="825"/>
      <c r="E66" s="825"/>
      <c r="F66" s="825"/>
      <c r="G66" s="826"/>
    </row>
    <row r="67" spans="1:7" s="209" customFormat="1" x14ac:dyDescent="0.25">
      <c r="A67" s="824" t="s">
        <v>1502</v>
      </c>
      <c r="B67" s="825"/>
      <c r="C67" s="825"/>
      <c r="D67" s="825"/>
      <c r="E67" s="825"/>
      <c r="F67" s="825"/>
      <c r="G67" s="826"/>
    </row>
    <row r="68" spans="1:7" s="209" customFormat="1" x14ac:dyDescent="0.25">
      <c r="A68" s="824" t="s">
        <v>2115</v>
      </c>
      <c r="B68" s="825"/>
      <c r="C68" s="825"/>
      <c r="D68" s="825"/>
      <c r="E68" s="825"/>
      <c r="F68" s="825"/>
      <c r="G68" s="826"/>
    </row>
    <row r="69" spans="1:7" s="209" customFormat="1" x14ac:dyDescent="0.25">
      <c r="A69" s="824" t="s">
        <v>2116</v>
      </c>
      <c r="B69" s="825"/>
      <c r="C69" s="825"/>
      <c r="D69" s="825"/>
      <c r="E69" s="825"/>
      <c r="F69" s="825"/>
      <c r="G69" s="826"/>
    </row>
    <row r="70" spans="1:7" s="209" customFormat="1" x14ac:dyDescent="0.25">
      <c r="A70" s="824" t="s">
        <v>2117</v>
      </c>
      <c r="B70" s="825"/>
      <c r="C70" s="825"/>
      <c r="D70" s="825"/>
      <c r="E70" s="825"/>
      <c r="F70" s="825"/>
      <c r="G70" s="826"/>
    </row>
    <row r="71" spans="1:7" s="209" customFormat="1" x14ac:dyDescent="0.25">
      <c r="A71" s="824" t="s">
        <v>2170</v>
      </c>
      <c r="B71" s="825"/>
      <c r="C71" s="825"/>
      <c r="D71" s="825"/>
      <c r="E71" s="825"/>
      <c r="F71" s="825"/>
      <c r="G71" s="826"/>
    </row>
    <row r="72" spans="1:7" s="209" customFormat="1" x14ac:dyDescent="0.25">
      <c r="A72" s="824"/>
      <c r="B72" s="825"/>
      <c r="C72" s="825"/>
      <c r="D72" s="825"/>
      <c r="E72" s="825"/>
      <c r="F72" s="825"/>
      <c r="G72" s="826"/>
    </row>
    <row r="73" spans="1:7" s="209" customFormat="1" x14ac:dyDescent="0.25">
      <c r="A73" s="824"/>
      <c r="B73" s="825"/>
      <c r="C73" s="825"/>
      <c r="D73" s="825"/>
      <c r="E73" s="825"/>
      <c r="F73" s="825"/>
      <c r="G73" s="826"/>
    </row>
    <row r="74" spans="1:7" s="209" customFormat="1" ht="13.5" thickBot="1" x14ac:dyDescent="0.3">
      <c r="A74" s="827"/>
      <c r="B74" s="828"/>
      <c r="C74" s="828"/>
      <c r="D74" s="828"/>
      <c r="E74" s="828"/>
      <c r="F74" s="828"/>
      <c r="G74" s="829"/>
    </row>
    <row r="76" spans="1:7" ht="14.45" customHeight="1" x14ac:dyDescent="0.25">
      <c r="B76" s="822" t="s">
        <v>2385</v>
      </c>
      <c r="C76" s="823" t="s">
        <v>2384</v>
      </c>
      <c r="D76" s="822" t="s">
        <v>2527</v>
      </c>
      <c r="E76" s="822"/>
    </row>
    <row r="77" spans="1:7" x14ac:dyDescent="0.25">
      <c r="B77" s="822"/>
      <c r="C77" s="823"/>
      <c r="D77" s="676">
        <v>1</v>
      </c>
      <c r="E77" s="676">
        <v>0.25</v>
      </c>
    </row>
    <row r="78" spans="1:7" ht="38.25" x14ac:dyDescent="0.25">
      <c r="B78" s="497" t="s">
        <v>2534</v>
      </c>
      <c r="C78" s="498" t="s">
        <v>1495</v>
      </c>
      <c r="D78" s="496">
        <v>793.66</v>
      </c>
      <c r="E78" s="496">
        <f t="shared" ref="E78:E83" si="6">ROUND(D78*E$77,2)</f>
        <v>198.42</v>
      </c>
    </row>
    <row r="79" spans="1:7" ht="38.25" x14ac:dyDescent="0.25">
      <c r="B79" s="497" t="s">
        <v>2537</v>
      </c>
      <c r="C79" s="498" t="s">
        <v>1496</v>
      </c>
      <c r="D79" s="496">
        <v>687.44</v>
      </c>
      <c r="E79" s="496">
        <f t="shared" si="6"/>
        <v>171.86</v>
      </c>
    </row>
    <row r="80" spans="1:7" ht="25.5" x14ac:dyDescent="0.25">
      <c r="B80" s="497" t="s">
        <v>2535</v>
      </c>
      <c r="C80" s="498" t="s">
        <v>1497</v>
      </c>
      <c r="D80" s="496">
        <v>738.13</v>
      </c>
      <c r="E80" s="496">
        <f t="shared" si="6"/>
        <v>184.53</v>
      </c>
    </row>
    <row r="81" spans="2:5" ht="38.25" x14ac:dyDescent="0.25">
      <c r="B81" s="497" t="s">
        <v>2536</v>
      </c>
      <c r="C81" s="498" t="s">
        <v>1498</v>
      </c>
      <c r="D81" s="496">
        <v>404.27</v>
      </c>
      <c r="E81" s="496">
        <f t="shared" si="6"/>
        <v>101.07</v>
      </c>
    </row>
    <row r="82" spans="2:5" ht="25.5" x14ac:dyDescent="0.25">
      <c r="B82" s="497" t="s">
        <v>2538</v>
      </c>
      <c r="C82" s="498" t="s">
        <v>1499</v>
      </c>
      <c r="D82" s="496">
        <v>656.1</v>
      </c>
      <c r="E82" s="496">
        <f t="shared" si="6"/>
        <v>164.03</v>
      </c>
    </row>
    <row r="83" spans="2:5" ht="38.25" x14ac:dyDescent="0.25">
      <c r="B83" s="497" t="s">
        <v>2539</v>
      </c>
      <c r="C83" s="498" t="s">
        <v>1500</v>
      </c>
      <c r="D83" s="496">
        <v>187.93</v>
      </c>
      <c r="E83" s="496">
        <f t="shared" si="6"/>
        <v>46.98</v>
      </c>
    </row>
  </sheetData>
  <autoFilter ref="A12:I49"/>
  <mergeCells count="51">
    <mergeCell ref="C13:G13"/>
    <mergeCell ref="F58:G58"/>
    <mergeCell ref="F54:G54"/>
    <mergeCell ref="C55:E55"/>
    <mergeCell ref="F55:G55"/>
    <mergeCell ref="C56:E56"/>
    <mergeCell ref="F56:G56"/>
    <mergeCell ref="A36:F36"/>
    <mergeCell ref="C38:G38"/>
    <mergeCell ref="C15:G15"/>
    <mergeCell ref="A24:F24"/>
    <mergeCell ref="C26:G26"/>
    <mergeCell ref="A65:G65"/>
    <mergeCell ref="A48:F48"/>
    <mergeCell ref="A50:F50"/>
    <mergeCell ref="F64:G64"/>
    <mergeCell ref="A61:E61"/>
    <mergeCell ref="A62:E62"/>
    <mergeCell ref="A63:E63"/>
    <mergeCell ref="A64:E64"/>
    <mergeCell ref="F61:G61"/>
    <mergeCell ref="F62:G62"/>
    <mergeCell ref="F63:G63"/>
    <mergeCell ref="A53:G53"/>
    <mergeCell ref="C54:E54"/>
    <mergeCell ref="C57:E57"/>
    <mergeCell ref="F57:G57"/>
    <mergeCell ref="A58:E58"/>
    <mergeCell ref="C1:G1"/>
    <mergeCell ref="C2:G2"/>
    <mergeCell ref="C3:G3"/>
    <mergeCell ref="A5:G6"/>
    <mergeCell ref="A8:G8"/>
    <mergeCell ref="D11:D12"/>
    <mergeCell ref="E11:E12"/>
    <mergeCell ref="F11:G11"/>
    <mergeCell ref="C11:C12"/>
    <mergeCell ref="A11:A12"/>
    <mergeCell ref="B11:B12"/>
    <mergeCell ref="D76:E76"/>
    <mergeCell ref="C76:C77"/>
    <mergeCell ref="B76:B77"/>
    <mergeCell ref="A66:G66"/>
    <mergeCell ref="A67:G67"/>
    <mergeCell ref="A68:G68"/>
    <mergeCell ref="A69:G69"/>
    <mergeCell ref="A70:G70"/>
    <mergeCell ref="A71:G71"/>
    <mergeCell ref="A74:G74"/>
    <mergeCell ref="A73:G73"/>
    <mergeCell ref="A72:G72"/>
  </mergeCells>
  <phoneticPr fontId="25" type="noConversion"/>
  <printOptions horizontalCentered="1"/>
  <pageMargins left="0.78740157480314965" right="0.59055118110236227" top="0.59055118110236227" bottom="0.59055118110236227" header="0.19685039370078741" footer="0.19685039370078741"/>
  <pageSetup paperSize="9" scale="68" fitToHeight="100" orientation="portrait" horizontalDpi="4294967294" verticalDpi="4294967294" r:id="rId1"/>
  <headerFooter>
    <oddFooter>&amp;R&amp;"Arial,Normal"&amp;8&amp;F
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52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C16" sqref="C16"/>
    </sheetView>
  </sheetViews>
  <sheetFormatPr defaultColWidth="9.140625" defaultRowHeight="12.75" x14ac:dyDescent="0.25"/>
  <cols>
    <col min="1" max="1" width="8.7109375" style="2" customWidth="1"/>
    <col min="2" max="2" width="14.7109375" style="4" customWidth="1"/>
    <col min="3" max="3" width="60.7109375" style="2" customWidth="1"/>
    <col min="4" max="4" width="14.7109375" style="2" customWidth="1"/>
    <col min="5" max="6" width="14.7109375" style="10" customWidth="1"/>
    <col min="7" max="7" width="14.7109375" style="11" customWidth="1"/>
    <col min="8" max="16384" width="9.140625" style="2"/>
  </cols>
  <sheetData>
    <row r="1" spans="1:7" s="89" customFormat="1" x14ac:dyDescent="0.25">
      <c r="A1" s="117"/>
      <c r="B1" s="495"/>
      <c r="C1" s="726" t="s">
        <v>2497</v>
      </c>
      <c r="D1" s="726"/>
      <c r="E1" s="726"/>
      <c r="F1" s="726"/>
      <c r="G1" s="726"/>
    </row>
    <row r="2" spans="1:7" s="89" customFormat="1" x14ac:dyDescent="0.25">
      <c r="A2" s="90"/>
      <c r="B2" s="428"/>
      <c r="C2" s="728" t="s">
        <v>1118</v>
      </c>
      <c r="D2" s="728"/>
      <c r="E2" s="728"/>
      <c r="F2" s="728"/>
      <c r="G2" s="728"/>
    </row>
    <row r="3" spans="1:7" s="89" customFormat="1" ht="13.5" thickBot="1" x14ac:dyDescent="0.3">
      <c r="A3" s="118"/>
      <c r="B3" s="429"/>
      <c r="C3" s="729" t="s">
        <v>2498</v>
      </c>
      <c r="D3" s="729"/>
      <c r="E3" s="729"/>
      <c r="F3" s="729"/>
      <c r="G3" s="729"/>
    </row>
    <row r="4" spans="1:7" s="78" customFormat="1" ht="13.9" thickBot="1" x14ac:dyDescent="0.35">
      <c r="A4" s="92"/>
      <c r="B4" s="662"/>
    </row>
    <row r="5" spans="1:7" s="78" customFormat="1" x14ac:dyDescent="0.25">
      <c r="A5" s="690" t="s">
        <v>1119</v>
      </c>
      <c r="B5" s="690"/>
      <c r="C5" s="690"/>
      <c r="D5" s="690"/>
      <c r="E5" s="690"/>
      <c r="F5" s="690"/>
      <c r="G5" s="690"/>
    </row>
    <row r="6" spans="1:7" s="78" customFormat="1" ht="13.5" thickBot="1" x14ac:dyDescent="0.3">
      <c r="A6" s="691"/>
      <c r="B6" s="691"/>
      <c r="C6" s="691"/>
      <c r="D6" s="691"/>
      <c r="E6" s="691"/>
      <c r="F6" s="691"/>
      <c r="G6" s="691"/>
    </row>
    <row r="7" spans="1:7" s="78" customFormat="1" ht="13.9" thickBot="1" x14ac:dyDescent="0.35">
      <c r="B7" s="72"/>
      <c r="C7" s="70"/>
      <c r="D7" s="72"/>
      <c r="E7" s="72"/>
    </row>
    <row r="8" spans="1:7" s="21" customFormat="1" ht="13.5" thickBot="1" x14ac:dyDescent="0.3">
      <c r="A8" s="686" t="s">
        <v>1134</v>
      </c>
      <c r="B8" s="687"/>
      <c r="C8" s="687"/>
      <c r="D8" s="687"/>
      <c r="E8" s="687"/>
      <c r="F8" s="687"/>
      <c r="G8" s="688"/>
    </row>
    <row r="9" spans="1:7" s="196" customFormat="1" ht="13.15" x14ac:dyDescent="0.3">
      <c r="B9" s="209"/>
      <c r="E9" s="197"/>
      <c r="F9" s="197"/>
      <c r="G9" s="197"/>
    </row>
    <row r="10" spans="1:7" s="209" customFormat="1" ht="13.9" thickBot="1" x14ac:dyDescent="0.35">
      <c r="A10" s="193"/>
      <c r="B10" s="193"/>
      <c r="C10" s="193"/>
      <c r="D10" s="194"/>
      <c r="E10" s="194"/>
      <c r="F10" s="197"/>
    </row>
    <row r="11" spans="1:7" ht="13.5" thickBot="1" x14ac:dyDescent="0.3">
      <c r="A11" s="791" t="s">
        <v>363</v>
      </c>
      <c r="B11" s="791" t="s">
        <v>1466</v>
      </c>
      <c r="C11" s="730" t="s">
        <v>366</v>
      </c>
      <c r="D11" s="791" t="s">
        <v>410</v>
      </c>
      <c r="E11" s="830" t="s">
        <v>364</v>
      </c>
      <c r="F11" s="830" t="s">
        <v>413</v>
      </c>
      <c r="G11" s="830"/>
    </row>
    <row r="12" spans="1:7" ht="13.5" thickBot="1" x14ac:dyDescent="0.3">
      <c r="A12" s="791"/>
      <c r="B12" s="791"/>
      <c r="C12" s="730"/>
      <c r="D12" s="791"/>
      <c r="E12" s="830"/>
      <c r="F12" s="218" t="s">
        <v>412</v>
      </c>
      <c r="G12" s="218" t="s">
        <v>411</v>
      </c>
    </row>
    <row r="13" spans="1:7" ht="13.5" thickBot="1" x14ac:dyDescent="0.3">
      <c r="A13" s="299" t="s">
        <v>360</v>
      </c>
      <c r="B13" s="661"/>
      <c r="C13" s="867" t="s">
        <v>1353</v>
      </c>
      <c r="D13" s="868"/>
      <c r="E13" s="868"/>
      <c r="F13" s="868"/>
      <c r="G13" s="869"/>
    </row>
    <row r="14" spans="1:7" ht="25.5" x14ac:dyDescent="0.25">
      <c r="A14" s="343" t="s">
        <v>124</v>
      </c>
      <c r="B14" s="9" t="s">
        <v>2589</v>
      </c>
      <c r="C14" s="219" t="s">
        <v>2600</v>
      </c>
      <c r="D14" s="9" t="s">
        <v>1127</v>
      </c>
      <c r="E14" s="65">
        <f>3*12+5*3*12</f>
        <v>216</v>
      </c>
      <c r="F14" s="677">
        <f t="shared" ref="F14:F45" si="0">VLOOKUP(B14,B$98:E$152,4,FALSE)</f>
        <v>225.08</v>
      </c>
      <c r="G14" s="66">
        <f>ROUND(E14*F14,2)</f>
        <v>48617.279999999999</v>
      </c>
    </row>
    <row r="15" spans="1:7" x14ac:dyDescent="0.25">
      <c r="A15" s="342" t="s">
        <v>125</v>
      </c>
      <c r="B15" s="446" t="s">
        <v>2584</v>
      </c>
      <c r="C15" s="221" t="s">
        <v>2601</v>
      </c>
      <c r="D15" s="220" t="s">
        <v>1127</v>
      </c>
      <c r="E15" s="222">
        <f>3*12</f>
        <v>36</v>
      </c>
      <c r="F15" s="642">
        <f t="shared" si="0"/>
        <v>320</v>
      </c>
      <c r="G15" s="204">
        <f t="shared" ref="G15:G66" si="1">ROUND(E15*F15,2)</f>
        <v>11520</v>
      </c>
    </row>
    <row r="16" spans="1:7" ht="13.15" x14ac:dyDescent="0.3">
      <c r="A16" s="342" t="s">
        <v>126</v>
      </c>
      <c r="B16" s="446" t="s">
        <v>2591</v>
      </c>
      <c r="C16" s="221" t="s">
        <v>2387</v>
      </c>
      <c r="D16" s="220" t="s">
        <v>1125</v>
      </c>
      <c r="E16" s="222">
        <f>3*12</f>
        <v>36</v>
      </c>
      <c r="F16" s="642">
        <f t="shared" si="0"/>
        <v>3652</v>
      </c>
      <c r="G16" s="204">
        <f t="shared" si="1"/>
        <v>131472</v>
      </c>
    </row>
    <row r="17" spans="1:7" ht="25.5" x14ac:dyDescent="0.25">
      <c r="A17" s="342" t="s">
        <v>127</v>
      </c>
      <c r="B17" s="446" t="s">
        <v>2592</v>
      </c>
      <c r="C17" s="224" t="s">
        <v>2593</v>
      </c>
      <c r="D17" s="220" t="s">
        <v>1125</v>
      </c>
      <c r="E17" s="225">
        <f>(44+29)</f>
        <v>73</v>
      </c>
      <c r="F17" s="642">
        <f t="shared" si="0"/>
        <v>2505.11</v>
      </c>
      <c r="G17" s="204">
        <f t="shared" si="1"/>
        <v>182873.03</v>
      </c>
    </row>
    <row r="18" spans="1:7" ht="25.5" x14ac:dyDescent="0.25">
      <c r="A18" s="342" t="s">
        <v>128</v>
      </c>
      <c r="B18" s="446" t="s">
        <v>2594</v>
      </c>
      <c r="C18" s="224" t="s">
        <v>2595</v>
      </c>
      <c r="D18" s="220" t="s">
        <v>2570</v>
      </c>
      <c r="E18" s="225">
        <f>(3+6+7)</f>
        <v>16</v>
      </c>
      <c r="F18" s="642">
        <f t="shared" si="0"/>
        <v>2343.44</v>
      </c>
      <c r="G18" s="204">
        <f t="shared" si="1"/>
        <v>37495.040000000001</v>
      </c>
    </row>
    <row r="19" spans="1:7" ht="13.15" x14ac:dyDescent="0.3">
      <c r="A19" s="342" t="s">
        <v>129</v>
      </c>
      <c r="B19" s="446" t="s">
        <v>2596</v>
      </c>
      <c r="C19" s="226" t="s">
        <v>373</v>
      </c>
      <c r="D19" s="220" t="s">
        <v>1125</v>
      </c>
      <c r="E19" s="222">
        <v>1</v>
      </c>
      <c r="F19" s="158">
        <f t="shared" si="0"/>
        <v>326.55</v>
      </c>
      <c r="G19" s="204">
        <f t="shared" si="1"/>
        <v>326.55</v>
      </c>
    </row>
    <row r="20" spans="1:7" ht="13.15" x14ac:dyDescent="0.3">
      <c r="A20" s="342" t="s">
        <v>130</v>
      </c>
      <c r="B20" s="446" t="s">
        <v>2390</v>
      </c>
      <c r="C20" s="221" t="s">
        <v>374</v>
      </c>
      <c r="D20" s="220" t="s">
        <v>1125</v>
      </c>
      <c r="E20" s="222">
        <v>20</v>
      </c>
      <c r="F20" s="158">
        <f t="shared" si="0"/>
        <v>199.97</v>
      </c>
      <c r="G20" s="204">
        <f t="shared" si="1"/>
        <v>3999.4</v>
      </c>
    </row>
    <row r="21" spans="1:7" x14ac:dyDescent="0.25">
      <c r="A21" s="342" t="s">
        <v>131</v>
      </c>
      <c r="B21" s="446" t="s">
        <v>2585</v>
      </c>
      <c r="C21" s="221" t="s">
        <v>375</v>
      </c>
      <c r="D21" s="220" t="s">
        <v>1125</v>
      </c>
      <c r="E21" s="222">
        <v>3</v>
      </c>
      <c r="F21" s="158">
        <f t="shared" si="0"/>
        <v>499</v>
      </c>
      <c r="G21" s="204">
        <f t="shared" si="1"/>
        <v>1497</v>
      </c>
    </row>
    <row r="22" spans="1:7" x14ac:dyDescent="0.25">
      <c r="A22" s="342" t="s">
        <v>132</v>
      </c>
      <c r="B22" s="446" t="s">
        <v>2586</v>
      </c>
      <c r="C22" s="221" t="s">
        <v>369</v>
      </c>
      <c r="D22" s="220" t="s">
        <v>1125</v>
      </c>
      <c r="E22" s="222">
        <v>11</v>
      </c>
      <c r="F22" s="158">
        <f t="shared" si="0"/>
        <v>195.33</v>
      </c>
      <c r="G22" s="204">
        <f t="shared" si="1"/>
        <v>2148.63</v>
      </c>
    </row>
    <row r="23" spans="1:7" x14ac:dyDescent="0.25">
      <c r="A23" s="342" t="s">
        <v>133</v>
      </c>
      <c r="B23" s="446" t="s">
        <v>2597</v>
      </c>
      <c r="C23" s="221" t="s">
        <v>2388</v>
      </c>
      <c r="D23" s="220" t="s">
        <v>1125</v>
      </c>
      <c r="E23" s="222">
        <v>3</v>
      </c>
      <c r="F23" s="158">
        <f t="shared" si="0"/>
        <v>1726.59</v>
      </c>
      <c r="G23" s="204">
        <f t="shared" si="1"/>
        <v>5179.7700000000004</v>
      </c>
    </row>
    <row r="24" spans="1:7" ht="13.15" x14ac:dyDescent="0.3">
      <c r="A24" s="342" t="s">
        <v>134</v>
      </c>
      <c r="B24" s="446" t="s">
        <v>2598</v>
      </c>
      <c r="C24" s="221" t="s">
        <v>2389</v>
      </c>
      <c r="D24" s="220" t="s">
        <v>1125</v>
      </c>
      <c r="E24" s="222">
        <v>4</v>
      </c>
      <c r="F24" s="158">
        <f t="shared" si="0"/>
        <v>997.4</v>
      </c>
      <c r="G24" s="204">
        <f t="shared" si="1"/>
        <v>3989.6</v>
      </c>
    </row>
    <row r="25" spans="1:7" x14ac:dyDescent="0.25">
      <c r="A25" s="342" t="s">
        <v>135</v>
      </c>
      <c r="B25" s="446" t="s">
        <v>2599</v>
      </c>
      <c r="C25" s="221" t="s">
        <v>2391</v>
      </c>
      <c r="D25" s="220" t="s">
        <v>1125</v>
      </c>
      <c r="E25" s="222">
        <v>89</v>
      </c>
      <c r="F25" s="158">
        <f t="shared" si="0"/>
        <v>280</v>
      </c>
      <c r="G25" s="204">
        <f t="shared" si="1"/>
        <v>24920</v>
      </c>
    </row>
    <row r="26" spans="1:7" x14ac:dyDescent="0.25">
      <c r="A26" s="342" t="s">
        <v>136</v>
      </c>
      <c r="B26" s="446" t="s">
        <v>2587</v>
      </c>
      <c r="C26" s="221" t="s">
        <v>2382</v>
      </c>
      <c r="D26" s="220" t="s">
        <v>1125</v>
      </c>
      <c r="E26" s="222">
        <v>15</v>
      </c>
      <c r="F26" s="158">
        <f t="shared" si="0"/>
        <v>21</v>
      </c>
      <c r="G26" s="204">
        <f t="shared" si="1"/>
        <v>315</v>
      </c>
    </row>
    <row r="27" spans="1:7" x14ac:dyDescent="0.25">
      <c r="A27" s="342" t="s">
        <v>137</v>
      </c>
      <c r="B27" s="446" t="s">
        <v>2540</v>
      </c>
      <c r="C27" s="226" t="s">
        <v>376</v>
      </c>
      <c r="D27" s="220" t="s">
        <v>1125</v>
      </c>
      <c r="E27" s="222">
        <v>25</v>
      </c>
      <c r="F27" s="158">
        <f t="shared" si="0"/>
        <v>279.3</v>
      </c>
      <c r="G27" s="204">
        <f t="shared" si="1"/>
        <v>6982.5</v>
      </c>
    </row>
    <row r="28" spans="1:7" x14ac:dyDescent="0.25">
      <c r="A28" s="342" t="s">
        <v>138</v>
      </c>
      <c r="B28" s="446" t="s">
        <v>2541</v>
      </c>
      <c r="C28" s="221" t="s">
        <v>370</v>
      </c>
      <c r="D28" s="220" t="s">
        <v>1125</v>
      </c>
      <c r="E28" s="222">
        <v>3</v>
      </c>
      <c r="F28" s="158">
        <f t="shared" si="0"/>
        <v>1835.21</v>
      </c>
      <c r="G28" s="204">
        <f t="shared" si="1"/>
        <v>5505.63</v>
      </c>
    </row>
    <row r="29" spans="1:7" ht="13.15" x14ac:dyDescent="0.3">
      <c r="A29" s="342" t="s">
        <v>139</v>
      </c>
      <c r="B29" s="446" t="s">
        <v>2542</v>
      </c>
      <c r="C29" s="228" t="s">
        <v>948</v>
      </c>
      <c r="D29" s="220" t="s">
        <v>1125</v>
      </c>
      <c r="E29" s="204">
        <v>7</v>
      </c>
      <c r="F29" s="158">
        <f t="shared" si="0"/>
        <v>429.02</v>
      </c>
      <c r="G29" s="204">
        <f t="shared" si="1"/>
        <v>3003.14</v>
      </c>
    </row>
    <row r="30" spans="1:7" ht="13.15" x14ac:dyDescent="0.3">
      <c r="A30" s="342" t="s">
        <v>140</v>
      </c>
      <c r="B30" s="446" t="s">
        <v>2543</v>
      </c>
      <c r="C30" s="228" t="s">
        <v>947</v>
      </c>
      <c r="D30" s="220" t="s">
        <v>1125</v>
      </c>
      <c r="E30" s="204">
        <v>12</v>
      </c>
      <c r="F30" s="158">
        <f t="shared" si="0"/>
        <v>96</v>
      </c>
      <c r="G30" s="204">
        <f t="shared" si="1"/>
        <v>1152</v>
      </c>
    </row>
    <row r="31" spans="1:7" x14ac:dyDescent="0.25">
      <c r="A31" s="342" t="s">
        <v>141</v>
      </c>
      <c r="B31" s="446" t="s">
        <v>2544</v>
      </c>
      <c r="C31" s="228" t="s">
        <v>945</v>
      </c>
      <c r="D31" s="220" t="s">
        <v>1125</v>
      </c>
      <c r="E31" s="204">
        <v>4</v>
      </c>
      <c r="F31" s="158">
        <f t="shared" si="0"/>
        <v>674.18666666666661</v>
      </c>
      <c r="G31" s="204">
        <f t="shared" si="1"/>
        <v>2696.75</v>
      </c>
    </row>
    <row r="32" spans="1:7" ht="13.15" x14ac:dyDescent="0.3">
      <c r="A32" s="342" t="s">
        <v>142</v>
      </c>
      <c r="B32" s="446" t="s">
        <v>2548</v>
      </c>
      <c r="C32" s="228" t="s">
        <v>946</v>
      </c>
      <c r="D32" s="220" t="s">
        <v>1125</v>
      </c>
      <c r="E32" s="204">
        <v>4</v>
      </c>
      <c r="F32" s="158">
        <f t="shared" si="0"/>
        <v>1679.3</v>
      </c>
      <c r="G32" s="204">
        <f t="shared" si="1"/>
        <v>6717.2</v>
      </c>
    </row>
    <row r="33" spans="1:7" ht="13.15" x14ac:dyDescent="0.3">
      <c r="A33" s="342" t="s">
        <v>143</v>
      </c>
      <c r="B33" s="446" t="s">
        <v>2549</v>
      </c>
      <c r="C33" s="221" t="s">
        <v>875</v>
      </c>
      <c r="D33" s="220" t="s">
        <v>1125</v>
      </c>
      <c r="E33" s="222">
        <v>15</v>
      </c>
      <c r="F33" s="158">
        <f t="shared" si="0"/>
        <v>1629.96</v>
      </c>
      <c r="G33" s="204">
        <f t="shared" si="1"/>
        <v>24449.4</v>
      </c>
    </row>
    <row r="34" spans="1:7" x14ac:dyDescent="0.25">
      <c r="A34" s="342" t="s">
        <v>144</v>
      </c>
      <c r="B34" s="446" t="s">
        <v>2553</v>
      </c>
      <c r="C34" s="228" t="s">
        <v>882</v>
      </c>
      <c r="D34" s="220" t="s">
        <v>1125</v>
      </c>
      <c r="E34" s="222">
        <v>4</v>
      </c>
      <c r="F34" s="158">
        <f t="shared" si="0"/>
        <v>550.63</v>
      </c>
      <c r="G34" s="204">
        <f t="shared" si="1"/>
        <v>2202.52</v>
      </c>
    </row>
    <row r="35" spans="1:7" x14ac:dyDescent="0.25">
      <c r="A35" s="342" t="s">
        <v>184</v>
      </c>
      <c r="B35" s="446" t="s">
        <v>2555</v>
      </c>
      <c r="C35" s="221" t="s">
        <v>367</v>
      </c>
      <c r="D35" s="220" t="s">
        <v>1023</v>
      </c>
      <c r="E35" s="204">
        <v>3</v>
      </c>
      <c r="F35" s="158">
        <f t="shared" si="0"/>
        <v>55.153333333333336</v>
      </c>
      <c r="G35" s="204">
        <f t="shared" si="1"/>
        <v>165.46</v>
      </c>
    </row>
    <row r="36" spans="1:7" x14ac:dyDescent="0.25">
      <c r="A36" s="342" t="s">
        <v>145</v>
      </c>
      <c r="B36" s="446" t="s">
        <v>2557</v>
      </c>
      <c r="C36" s="221" t="s">
        <v>377</v>
      </c>
      <c r="D36" s="220" t="s">
        <v>1125</v>
      </c>
      <c r="E36" s="222">
        <v>17</v>
      </c>
      <c r="F36" s="158">
        <f t="shared" si="0"/>
        <v>45.613333333333323</v>
      </c>
      <c r="G36" s="204">
        <f t="shared" si="1"/>
        <v>775.43</v>
      </c>
    </row>
    <row r="37" spans="1:7" x14ac:dyDescent="0.25">
      <c r="A37" s="342" t="s">
        <v>146</v>
      </c>
      <c r="B37" s="446" t="s">
        <v>2551</v>
      </c>
      <c r="C37" s="221" t="s">
        <v>876</v>
      </c>
      <c r="D37" s="220" t="s">
        <v>1125</v>
      </c>
      <c r="E37" s="222">
        <v>3</v>
      </c>
      <c r="F37" s="158">
        <f t="shared" si="0"/>
        <v>591.87</v>
      </c>
      <c r="G37" s="204">
        <f t="shared" si="1"/>
        <v>1775.61</v>
      </c>
    </row>
    <row r="38" spans="1:7" x14ac:dyDescent="0.25">
      <c r="A38" s="342" t="s">
        <v>147</v>
      </c>
      <c r="B38" s="446" t="s">
        <v>2552</v>
      </c>
      <c r="C38" s="221" t="s">
        <v>883</v>
      </c>
      <c r="D38" s="220" t="s">
        <v>1125</v>
      </c>
      <c r="E38" s="222">
        <v>3</v>
      </c>
      <c r="F38" s="158">
        <f t="shared" si="0"/>
        <v>1797.94</v>
      </c>
      <c r="G38" s="204">
        <f t="shared" si="1"/>
        <v>5393.82</v>
      </c>
    </row>
    <row r="39" spans="1:7" x14ac:dyDescent="0.25">
      <c r="A39" s="342" t="s">
        <v>148</v>
      </c>
      <c r="B39" s="446" t="s">
        <v>2559</v>
      </c>
      <c r="C39" s="228" t="s">
        <v>952</v>
      </c>
      <c r="D39" s="220" t="s">
        <v>1125</v>
      </c>
      <c r="E39" s="204">
        <v>3</v>
      </c>
      <c r="F39" s="158">
        <f t="shared" si="0"/>
        <v>1670.6133333333335</v>
      </c>
      <c r="G39" s="204">
        <f t="shared" si="1"/>
        <v>5011.84</v>
      </c>
    </row>
    <row r="40" spans="1:7" x14ac:dyDescent="0.25">
      <c r="A40" s="342" t="s">
        <v>149</v>
      </c>
      <c r="B40" s="446" t="s">
        <v>2561</v>
      </c>
      <c r="C40" s="221" t="s">
        <v>877</v>
      </c>
      <c r="D40" s="220" t="s">
        <v>1125</v>
      </c>
      <c r="E40" s="222">
        <v>3</v>
      </c>
      <c r="F40" s="158">
        <f t="shared" si="0"/>
        <v>469</v>
      </c>
      <c r="G40" s="204">
        <f t="shared" si="1"/>
        <v>1407</v>
      </c>
    </row>
    <row r="41" spans="1:7" ht="13.15" x14ac:dyDescent="0.3">
      <c r="A41" s="342" t="s">
        <v>150</v>
      </c>
      <c r="B41" s="446" t="s">
        <v>2562</v>
      </c>
      <c r="C41" s="221" t="s">
        <v>878</v>
      </c>
      <c r="D41" s="220" t="s">
        <v>1125</v>
      </c>
      <c r="E41" s="222">
        <v>1</v>
      </c>
      <c r="F41" s="158">
        <f t="shared" si="0"/>
        <v>1183.99</v>
      </c>
      <c r="G41" s="204">
        <f t="shared" si="1"/>
        <v>1183.99</v>
      </c>
    </row>
    <row r="42" spans="1:7" x14ac:dyDescent="0.25">
      <c r="A42" s="342" t="s">
        <v>151</v>
      </c>
      <c r="B42" s="446" t="s">
        <v>2546</v>
      </c>
      <c r="C42" s="328" t="s">
        <v>2545</v>
      </c>
      <c r="D42" s="220" t="s">
        <v>1125</v>
      </c>
      <c r="E42" s="204">
        <f>2*3+1</f>
        <v>7</v>
      </c>
      <c r="F42" s="158">
        <f t="shared" si="0"/>
        <v>535.16999999999996</v>
      </c>
      <c r="G42" s="204">
        <f t="shared" ref="G42:G43" si="2">ROUND(E42*F42,2)</f>
        <v>3746.19</v>
      </c>
    </row>
    <row r="43" spans="1:7" x14ac:dyDescent="0.25">
      <c r="A43" s="342" t="s">
        <v>152</v>
      </c>
      <c r="B43" s="446" t="s">
        <v>2547</v>
      </c>
      <c r="C43" s="328" t="s">
        <v>2588</v>
      </c>
      <c r="D43" s="220" t="s">
        <v>187</v>
      </c>
      <c r="E43" s="204">
        <f>E42*45*12</f>
        <v>3780</v>
      </c>
      <c r="F43" s="158">
        <f t="shared" si="0"/>
        <v>4.97</v>
      </c>
      <c r="G43" s="204">
        <f t="shared" si="2"/>
        <v>18786.599999999999</v>
      </c>
    </row>
    <row r="44" spans="1:7" ht="13.15" x14ac:dyDescent="0.3">
      <c r="A44" s="342" t="s">
        <v>153</v>
      </c>
      <c r="B44" s="446" t="s">
        <v>2563</v>
      </c>
      <c r="C44" s="221" t="s">
        <v>2564</v>
      </c>
      <c r="D44" s="220" t="s">
        <v>1125</v>
      </c>
      <c r="E44" s="222">
        <v>3</v>
      </c>
      <c r="F44" s="158">
        <f t="shared" si="0"/>
        <v>789.33</v>
      </c>
      <c r="G44" s="204">
        <f t="shared" si="1"/>
        <v>2367.9899999999998</v>
      </c>
    </row>
    <row r="45" spans="1:7" ht="13.15" x14ac:dyDescent="0.3">
      <c r="A45" s="342" t="s">
        <v>154</v>
      </c>
      <c r="B45" s="446" t="s">
        <v>2566</v>
      </c>
      <c r="C45" s="221" t="s">
        <v>2565</v>
      </c>
      <c r="D45" s="220" t="s">
        <v>1125</v>
      </c>
      <c r="E45" s="204">
        <v>3</v>
      </c>
      <c r="F45" s="158">
        <f t="shared" si="0"/>
        <v>1616.1</v>
      </c>
      <c r="G45" s="204">
        <f t="shared" si="1"/>
        <v>4848.3</v>
      </c>
    </row>
    <row r="46" spans="1:7" x14ac:dyDescent="0.25">
      <c r="A46" s="342" t="s">
        <v>155</v>
      </c>
      <c r="B46" s="446" t="s">
        <v>2560</v>
      </c>
      <c r="C46" s="221" t="s">
        <v>879</v>
      </c>
      <c r="D46" s="220" t="s">
        <v>1125</v>
      </c>
      <c r="E46" s="222">
        <v>3</v>
      </c>
      <c r="F46" s="158">
        <f t="shared" ref="F46:F66" si="3">VLOOKUP(B46,B$98:E$152,4,FALSE)</f>
        <v>321.97000000000003</v>
      </c>
      <c r="G46" s="204">
        <f t="shared" si="1"/>
        <v>965.91</v>
      </c>
    </row>
    <row r="47" spans="1:7" x14ac:dyDescent="0.25">
      <c r="A47" s="342" t="s">
        <v>156</v>
      </c>
      <c r="B47" s="446" t="s">
        <v>2567</v>
      </c>
      <c r="C47" s="221" t="s">
        <v>378</v>
      </c>
      <c r="D47" s="220" t="s">
        <v>1125</v>
      </c>
      <c r="E47" s="222">
        <v>2</v>
      </c>
      <c r="F47" s="158">
        <f t="shared" si="3"/>
        <v>287.26333333333332</v>
      </c>
      <c r="G47" s="204">
        <f t="shared" si="1"/>
        <v>574.53</v>
      </c>
    </row>
    <row r="48" spans="1:7" x14ac:dyDescent="0.25">
      <c r="A48" s="342" t="s">
        <v>157</v>
      </c>
      <c r="B48" s="446" t="s">
        <v>2550</v>
      </c>
      <c r="C48" s="221" t="s">
        <v>1025</v>
      </c>
      <c r="D48" s="220" t="s">
        <v>1125</v>
      </c>
      <c r="E48" s="222">
        <v>50</v>
      </c>
      <c r="F48" s="158">
        <f t="shared" si="3"/>
        <v>31.323333333333334</v>
      </c>
      <c r="G48" s="204">
        <f t="shared" si="1"/>
        <v>1566.17</v>
      </c>
    </row>
    <row r="49" spans="1:7" x14ac:dyDescent="0.25">
      <c r="A49" s="342" t="s">
        <v>158</v>
      </c>
      <c r="B49" s="446" t="s">
        <v>2554</v>
      </c>
      <c r="C49" s="221" t="s">
        <v>1113</v>
      </c>
      <c r="D49" s="220" t="s">
        <v>1125</v>
      </c>
      <c r="E49" s="222">
        <v>4</v>
      </c>
      <c r="F49" s="158">
        <f t="shared" si="3"/>
        <v>235.96333333333334</v>
      </c>
      <c r="G49" s="204">
        <f t="shared" si="1"/>
        <v>943.85</v>
      </c>
    </row>
    <row r="50" spans="1:7" x14ac:dyDescent="0.25">
      <c r="A50" s="342" t="s">
        <v>159</v>
      </c>
      <c r="B50" s="446" t="s">
        <v>2568</v>
      </c>
      <c r="C50" s="221" t="s">
        <v>379</v>
      </c>
      <c r="D50" s="220" t="s">
        <v>1125</v>
      </c>
      <c r="E50" s="222">
        <f>E27</f>
        <v>25</v>
      </c>
      <c r="F50" s="158">
        <f t="shared" si="3"/>
        <v>96.626666666666665</v>
      </c>
      <c r="G50" s="204">
        <f t="shared" si="1"/>
        <v>2415.67</v>
      </c>
    </row>
    <row r="51" spans="1:7" x14ac:dyDescent="0.25">
      <c r="A51" s="342" t="s">
        <v>160</v>
      </c>
      <c r="B51" s="446" t="s">
        <v>2569</v>
      </c>
      <c r="C51" s="221" t="s">
        <v>380</v>
      </c>
      <c r="D51" s="220" t="s">
        <v>1125</v>
      </c>
      <c r="E51" s="222">
        <f>E$27*2</f>
        <v>50</v>
      </c>
      <c r="F51" s="158">
        <f t="shared" si="3"/>
        <v>147.63333333333333</v>
      </c>
      <c r="G51" s="204">
        <f t="shared" si="1"/>
        <v>7381.67</v>
      </c>
    </row>
    <row r="52" spans="1:7" x14ac:dyDescent="0.25">
      <c r="A52" s="342" t="s">
        <v>161</v>
      </c>
      <c r="B52" s="446" t="s">
        <v>2556</v>
      </c>
      <c r="C52" s="221" t="s">
        <v>1024</v>
      </c>
      <c r="D52" s="220" t="s">
        <v>1125</v>
      </c>
      <c r="E52" s="222">
        <v>5</v>
      </c>
      <c r="F52" s="158">
        <f t="shared" si="3"/>
        <v>495.66666666666669</v>
      </c>
      <c r="G52" s="204">
        <f t="shared" si="1"/>
        <v>2478.33</v>
      </c>
    </row>
    <row r="53" spans="1:7" x14ac:dyDescent="0.25">
      <c r="A53" s="342" t="s">
        <v>162</v>
      </c>
      <c r="B53" s="446" t="s">
        <v>2558</v>
      </c>
      <c r="C53" s="228" t="s">
        <v>949</v>
      </c>
      <c r="D53" s="220" t="s">
        <v>1125</v>
      </c>
      <c r="E53" s="204">
        <v>4</v>
      </c>
      <c r="F53" s="158">
        <f t="shared" si="3"/>
        <v>616.17333333333329</v>
      </c>
      <c r="G53" s="204">
        <f t="shared" si="1"/>
        <v>2464.69</v>
      </c>
    </row>
    <row r="54" spans="1:7" x14ac:dyDescent="0.25">
      <c r="A54" s="342" t="s">
        <v>163</v>
      </c>
      <c r="B54" s="446" t="s">
        <v>2571</v>
      </c>
      <c r="C54" s="230" t="s">
        <v>1072</v>
      </c>
      <c r="D54" s="220" t="s">
        <v>1125</v>
      </c>
      <c r="E54" s="204">
        <v>3</v>
      </c>
      <c r="F54" s="642">
        <f t="shared" si="3"/>
        <v>1050</v>
      </c>
      <c r="G54" s="204">
        <f t="shared" si="1"/>
        <v>3150</v>
      </c>
    </row>
    <row r="55" spans="1:7" x14ac:dyDescent="0.25">
      <c r="A55" s="342" t="s">
        <v>164</v>
      </c>
      <c r="B55" s="446" t="s">
        <v>2572</v>
      </c>
      <c r="C55" s="221" t="s">
        <v>884</v>
      </c>
      <c r="D55" s="220" t="s">
        <v>1125</v>
      </c>
      <c r="E55" s="222">
        <v>3</v>
      </c>
      <c r="F55" s="158">
        <f t="shared" si="3"/>
        <v>1450.0733333333335</v>
      </c>
      <c r="G55" s="204">
        <f t="shared" si="1"/>
        <v>4350.22</v>
      </c>
    </row>
    <row r="56" spans="1:7" x14ac:dyDescent="0.25">
      <c r="A56" s="342" t="s">
        <v>165</v>
      </c>
      <c r="B56" s="446" t="s">
        <v>2573</v>
      </c>
      <c r="C56" s="228" t="s">
        <v>950</v>
      </c>
      <c r="D56" s="220" t="s">
        <v>1125</v>
      </c>
      <c r="E56" s="204">
        <v>5</v>
      </c>
      <c r="F56" s="158">
        <f t="shared" si="3"/>
        <v>1577.7033333333331</v>
      </c>
      <c r="G56" s="204">
        <f t="shared" si="1"/>
        <v>7888.52</v>
      </c>
    </row>
    <row r="57" spans="1:7" x14ac:dyDescent="0.25">
      <c r="A57" s="342" t="s">
        <v>166</v>
      </c>
      <c r="B57" s="446" t="s">
        <v>2574</v>
      </c>
      <c r="C57" s="226" t="s">
        <v>881</v>
      </c>
      <c r="D57" s="220" t="s">
        <v>1125</v>
      </c>
      <c r="E57" s="222">
        <v>20</v>
      </c>
      <c r="F57" s="158">
        <f t="shared" si="3"/>
        <v>1280.48</v>
      </c>
      <c r="G57" s="204">
        <f t="shared" si="1"/>
        <v>25609.599999999999</v>
      </c>
    </row>
    <row r="58" spans="1:7" x14ac:dyDescent="0.25">
      <c r="A58" s="342" t="s">
        <v>167</v>
      </c>
      <c r="B58" s="446" t="s">
        <v>2575</v>
      </c>
      <c r="C58" s="226" t="s">
        <v>371</v>
      </c>
      <c r="D58" s="220" t="s">
        <v>1125</v>
      </c>
      <c r="E58" s="222">
        <v>3</v>
      </c>
      <c r="F58" s="158">
        <f t="shared" si="3"/>
        <v>3669.7433333333333</v>
      </c>
      <c r="G58" s="204">
        <f t="shared" si="1"/>
        <v>11009.23</v>
      </c>
    </row>
    <row r="59" spans="1:7" x14ac:dyDescent="0.25">
      <c r="A59" s="342" t="s">
        <v>168</v>
      </c>
      <c r="B59" s="446" t="s">
        <v>2576</v>
      </c>
      <c r="C59" s="221" t="s">
        <v>944</v>
      </c>
      <c r="D59" s="220" t="s">
        <v>1125</v>
      </c>
      <c r="E59" s="204">
        <v>3</v>
      </c>
      <c r="F59" s="158">
        <f t="shared" si="3"/>
        <v>187.995</v>
      </c>
      <c r="G59" s="204">
        <f t="shared" si="1"/>
        <v>563.99</v>
      </c>
    </row>
    <row r="60" spans="1:7" x14ac:dyDescent="0.25">
      <c r="A60" s="342" t="s">
        <v>169</v>
      </c>
      <c r="B60" s="446" t="s">
        <v>2577</v>
      </c>
      <c r="C60" s="221" t="s">
        <v>880</v>
      </c>
      <c r="D60" s="220" t="s">
        <v>1125</v>
      </c>
      <c r="E60" s="222">
        <v>89</v>
      </c>
      <c r="F60" s="158">
        <f t="shared" si="3"/>
        <v>390.96333333333331</v>
      </c>
      <c r="G60" s="204">
        <f t="shared" si="1"/>
        <v>34795.74</v>
      </c>
    </row>
    <row r="61" spans="1:7" x14ac:dyDescent="0.25">
      <c r="A61" s="342" t="s">
        <v>170</v>
      </c>
      <c r="B61" s="446" t="s">
        <v>2578</v>
      </c>
      <c r="C61" s="228" t="s">
        <v>953</v>
      </c>
      <c r="D61" s="220" t="s">
        <v>1125</v>
      </c>
      <c r="E61" s="204">
        <v>300</v>
      </c>
      <c r="F61" s="158">
        <f t="shared" si="3"/>
        <v>6.73</v>
      </c>
      <c r="G61" s="204">
        <f t="shared" si="1"/>
        <v>2019</v>
      </c>
    </row>
    <row r="62" spans="1:7" x14ac:dyDescent="0.25">
      <c r="A62" s="342" t="s">
        <v>171</v>
      </c>
      <c r="B62" s="446" t="s">
        <v>2579</v>
      </c>
      <c r="C62" s="226" t="s">
        <v>372</v>
      </c>
      <c r="D62" s="220" t="s">
        <v>1125</v>
      </c>
      <c r="E62" s="222">
        <v>3</v>
      </c>
      <c r="F62" s="158">
        <f t="shared" si="3"/>
        <v>1270.25</v>
      </c>
      <c r="G62" s="204">
        <f t="shared" si="1"/>
        <v>3810.75</v>
      </c>
    </row>
    <row r="63" spans="1:7" x14ac:dyDescent="0.25">
      <c r="A63" s="342" t="s">
        <v>359</v>
      </c>
      <c r="B63" s="446" t="s">
        <v>2580</v>
      </c>
      <c r="C63" s="221" t="s">
        <v>885</v>
      </c>
      <c r="D63" s="220" t="s">
        <v>1125</v>
      </c>
      <c r="E63" s="222">
        <v>3</v>
      </c>
      <c r="F63" s="158">
        <f t="shared" si="3"/>
        <v>210.29999999999998</v>
      </c>
      <c r="G63" s="204">
        <f t="shared" si="1"/>
        <v>630.9</v>
      </c>
    </row>
    <row r="64" spans="1:7" x14ac:dyDescent="0.25">
      <c r="A64" s="342" t="s">
        <v>193</v>
      </c>
      <c r="B64" s="446" t="s">
        <v>2581</v>
      </c>
      <c r="C64" s="228" t="s">
        <v>951</v>
      </c>
      <c r="D64" s="220" t="s">
        <v>1125</v>
      </c>
      <c r="E64" s="204">
        <v>4</v>
      </c>
      <c r="F64" s="158">
        <f t="shared" si="3"/>
        <v>1606.88</v>
      </c>
      <c r="G64" s="204">
        <f t="shared" si="1"/>
        <v>6427.52</v>
      </c>
    </row>
    <row r="65" spans="1:7" x14ac:dyDescent="0.25">
      <c r="A65" s="342" t="s">
        <v>194</v>
      </c>
      <c r="B65" s="446" t="s">
        <v>2583</v>
      </c>
      <c r="C65" s="228" t="s">
        <v>954</v>
      </c>
      <c r="D65" s="220" t="s">
        <v>1125</v>
      </c>
      <c r="E65" s="204">
        <v>4</v>
      </c>
      <c r="F65" s="158">
        <f t="shared" si="3"/>
        <v>91.596666666666678</v>
      </c>
      <c r="G65" s="204">
        <f t="shared" si="1"/>
        <v>366.39</v>
      </c>
    </row>
    <row r="66" spans="1:7" ht="13.5" thickBot="1" x14ac:dyDescent="0.3">
      <c r="A66" s="342" t="s">
        <v>195</v>
      </c>
      <c r="B66" s="663" t="s">
        <v>2582</v>
      </c>
      <c r="C66" s="232" t="s">
        <v>886</v>
      </c>
      <c r="D66" s="231" t="s">
        <v>1125</v>
      </c>
      <c r="E66" s="233">
        <v>3</v>
      </c>
      <c r="F66" s="165">
        <f t="shared" si="3"/>
        <v>913.48333333333323</v>
      </c>
      <c r="G66" s="207">
        <f t="shared" si="1"/>
        <v>2740.45</v>
      </c>
    </row>
    <row r="67" spans="1:7" s="4" customFormat="1" ht="13.5" thickBot="1" x14ac:dyDescent="0.3">
      <c r="A67" s="864" t="str">
        <f>"TOTAL-"&amp;C13&amp;"-(R$):"</f>
        <v>TOTAL-MOBILIÁRIO E EQUIPAMENTOS DE ESCRTÓRIO-(R$):</v>
      </c>
      <c r="B67" s="865"/>
      <c r="C67" s="865"/>
      <c r="D67" s="865"/>
      <c r="E67" s="865"/>
      <c r="F67" s="866"/>
      <c r="G67" s="212">
        <f>SUBTOTAL(9,G13:G66)</f>
        <v>674677.8</v>
      </c>
    </row>
    <row r="68" spans="1:7" s="21" customFormat="1" x14ac:dyDescent="0.25">
      <c r="A68" s="235"/>
      <c r="B68" s="481"/>
      <c r="C68" s="236"/>
      <c r="E68" s="237"/>
      <c r="F68" s="237"/>
      <c r="G68" s="238"/>
    </row>
    <row r="69" spans="1:7" s="21" customFormat="1" ht="13.5" thickBot="1" x14ac:dyDescent="0.3">
      <c r="A69" s="235"/>
      <c r="B69" s="481"/>
      <c r="C69" s="236"/>
      <c r="E69" s="237"/>
      <c r="F69" s="237"/>
      <c r="G69" s="238"/>
    </row>
    <row r="70" spans="1:7" s="21" customFormat="1" ht="13.5" thickBot="1" x14ac:dyDescent="0.3">
      <c r="A70" s="843" t="str">
        <f>"RESUMO-"&amp;A$8</f>
        <v>RESUMO-MOBILIÁRIO E EQUIPAMENTOS DE ESCRITÓRIO</v>
      </c>
      <c r="B70" s="844"/>
      <c r="C70" s="844"/>
      <c r="D70" s="844"/>
      <c r="E70" s="844"/>
      <c r="F70" s="844"/>
      <c r="G70" s="845"/>
    </row>
    <row r="71" spans="1:7" s="21" customFormat="1" ht="13.5" thickBot="1" x14ac:dyDescent="0.3">
      <c r="A71" s="31" t="s">
        <v>363</v>
      </c>
      <c r="B71" s="436"/>
      <c r="C71" s="846" t="s">
        <v>366</v>
      </c>
      <c r="D71" s="847"/>
      <c r="E71" s="848"/>
      <c r="F71" s="856" t="s">
        <v>414</v>
      </c>
      <c r="G71" s="857"/>
    </row>
    <row r="72" spans="1:7" s="21" customFormat="1" ht="13.5" thickBot="1" x14ac:dyDescent="0.3">
      <c r="A72" s="242">
        <v>1</v>
      </c>
      <c r="B72" s="494"/>
      <c r="C72" s="858" t="str">
        <f>C13</f>
        <v>MOBILIÁRIO E EQUIPAMENTOS DE ESCRTÓRIO</v>
      </c>
      <c r="D72" s="859"/>
      <c r="E72" s="860"/>
      <c r="F72" s="852">
        <f>G67</f>
        <v>674677.8</v>
      </c>
      <c r="G72" s="853"/>
    </row>
    <row r="73" spans="1:7" s="21" customFormat="1" ht="13.5" thickBot="1" x14ac:dyDescent="0.3">
      <c r="A73" s="743" t="str">
        <f>"TOTAL GERAL-"&amp;A70&amp;"- (R$):"</f>
        <v>TOTAL GERAL-RESUMO-MOBILIÁRIO E EQUIPAMENTOS DE ESCRITÓRIO- (R$):</v>
      </c>
      <c r="B73" s="744"/>
      <c r="C73" s="744"/>
      <c r="D73" s="744"/>
      <c r="E73" s="744"/>
      <c r="F73" s="854">
        <f>SUM(F72:G72)</f>
        <v>674677.8</v>
      </c>
      <c r="G73" s="855"/>
    </row>
    <row r="74" spans="1:7" s="21" customFormat="1" x14ac:dyDescent="0.25">
      <c r="A74" s="235"/>
      <c r="B74" s="481"/>
      <c r="C74" s="236"/>
      <c r="E74" s="237"/>
      <c r="F74" s="237"/>
      <c r="G74" s="238"/>
    </row>
    <row r="75" spans="1:7" s="78" customFormat="1" ht="13.5" thickBot="1" x14ac:dyDescent="0.3">
      <c r="A75" s="80"/>
      <c r="B75" s="71"/>
      <c r="C75" s="79"/>
      <c r="E75" s="312"/>
      <c r="F75" s="312"/>
      <c r="G75" s="74"/>
    </row>
    <row r="76" spans="1:7" s="196" customFormat="1" x14ac:dyDescent="0.25">
      <c r="A76" s="704" t="s">
        <v>422</v>
      </c>
      <c r="B76" s="736"/>
      <c r="C76" s="705"/>
      <c r="D76" s="705"/>
      <c r="E76" s="706"/>
      <c r="F76" s="704" t="s">
        <v>423</v>
      </c>
      <c r="G76" s="706"/>
    </row>
    <row r="77" spans="1:7" s="196" customFormat="1" ht="13.5" thickBot="1" x14ac:dyDescent="0.3">
      <c r="A77" s="701"/>
      <c r="B77" s="702"/>
      <c r="C77" s="702"/>
      <c r="D77" s="702"/>
      <c r="E77" s="703"/>
      <c r="F77" s="701"/>
      <c r="G77" s="703"/>
    </row>
    <row r="78" spans="1:7" s="196" customFormat="1" x14ac:dyDescent="0.25">
      <c r="A78" s="695" t="s">
        <v>424</v>
      </c>
      <c r="B78" s="696"/>
      <c r="C78" s="738"/>
      <c r="D78" s="738"/>
      <c r="E78" s="697"/>
      <c r="F78" s="695" t="s">
        <v>425</v>
      </c>
      <c r="G78" s="697"/>
    </row>
    <row r="79" spans="1:7" s="196" customFormat="1" ht="13.5" thickBot="1" x14ac:dyDescent="0.3">
      <c r="A79" s="695"/>
      <c r="B79" s="696"/>
      <c r="C79" s="696"/>
      <c r="D79" s="696"/>
      <c r="E79" s="697"/>
      <c r="F79" s="695"/>
      <c r="G79" s="697"/>
    </row>
    <row r="80" spans="1:7" s="196" customFormat="1" x14ac:dyDescent="0.25">
      <c r="A80" s="831" t="s">
        <v>426</v>
      </c>
      <c r="B80" s="832"/>
      <c r="C80" s="832"/>
      <c r="D80" s="832"/>
      <c r="E80" s="832"/>
      <c r="F80" s="832"/>
      <c r="G80" s="833"/>
    </row>
    <row r="81" spans="1:7" s="196" customFormat="1" x14ac:dyDescent="0.25">
      <c r="A81" s="870" t="s">
        <v>2603</v>
      </c>
      <c r="B81" s="871"/>
      <c r="C81" s="871"/>
      <c r="D81" s="871"/>
      <c r="E81" s="871"/>
      <c r="F81" s="871"/>
      <c r="G81" s="872"/>
    </row>
    <row r="82" spans="1:7" s="196" customFormat="1" x14ac:dyDescent="0.25">
      <c r="A82" s="870"/>
      <c r="B82" s="871"/>
      <c r="C82" s="871"/>
      <c r="D82" s="871"/>
      <c r="E82" s="871"/>
      <c r="F82" s="871"/>
      <c r="G82" s="872"/>
    </row>
    <row r="83" spans="1:7" s="196" customFormat="1" x14ac:dyDescent="0.25">
      <c r="A83" s="870"/>
      <c r="B83" s="871"/>
      <c r="C83" s="871"/>
      <c r="D83" s="871"/>
      <c r="E83" s="871"/>
      <c r="F83" s="871"/>
      <c r="G83" s="872"/>
    </row>
    <row r="84" spans="1:7" s="196" customFormat="1" x14ac:dyDescent="0.25">
      <c r="A84" s="870"/>
      <c r="B84" s="871"/>
      <c r="C84" s="871"/>
      <c r="D84" s="871"/>
      <c r="E84" s="871"/>
      <c r="F84" s="871"/>
      <c r="G84" s="872"/>
    </row>
    <row r="85" spans="1:7" s="196" customFormat="1" x14ac:dyDescent="0.25">
      <c r="A85" s="870"/>
      <c r="B85" s="871"/>
      <c r="C85" s="871"/>
      <c r="D85" s="871"/>
      <c r="E85" s="871"/>
      <c r="F85" s="871"/>
      <c r="G85" s="872"/>
    </row>
    <row r="86" spans="1:7" s="196" customFormat="1" x14ac:dyDescent="0.25">
      <c r="A86" s="870"/>
      <c r="B86" s="871"/>
      <c r="C86" s="871"/>
      <c r="D86" s="871"/>
      <c r="E86" s="871"/>
      <c r="F86" s="871"/>
      <c r="G86" s="872"/>
    </row>
    <row r="87" spans="1:7" s="196" customFormat="1" x14ac:dyDescent="0.25">
      <c r="A87" s="870"/>
      <c r="B87" s="871"/>
      <c r="C87" s="871"/>
      <c r="D87" s="871"/>
      <c r="E87" s="871"/>
      <c r="F87" s="871"/>
      <c r="G87" s="872"/>
    </row>
    <row r="88" spans="1:7" s="196" customFormat="1" x14ac:dyDescent="0.25">
      <c r="A88" s="870"/>
      <c r="B88" s="871"/>
      <c r="C88" s="871"/>
      <c r="D88" s="871"/>
      <c r="E88" s="871"/>
      <c r="F88" s="871"/>
      <c r="G88" s="872"/>
    </row>
    <row r="89" spans="1:7" s="196" customFormat="1" x14ac:dyDescent="0.25">
      <c r="A89" s="870"/>
      <c r="B89" s="871"/>
      <c r="C89" s="871"/>
      <c r="D89" s="871"/>
      <c r="E89" s="871"/>
      <c r="F89" s="871"/>
      <c r="G89" s="872"/>
    </row>
    <row r="90" spans="1:7" s="196" customFormat="1" x14ac:dyDescent="0.25">
      <c r="A90" s="870"/>
      <c r="B90" s="871"/>
      <c r="C90" s="871"/>
      <c r="D90" s="871"/>
      <c r="E90" s="871"/>
      <c r="F90" s="871"/>
      <c r="G90" s="872"/>
    </row>
    <row r="91" spans="1:7" s="196" customFormat="1" x14ac:dyDescent="0.25">
      <c r="A91" s="870"/>
      <c r="B91" s="871"/>
      <c r="C91" s="871"/>
      <c r="D91" s="871"/>
      <c r="E91" s="871"/>
      <c r="F91" s="871"/>
      <c r="G91" s="872"/>
    </row>
    <row r="92" spans="1:7" s="196" customFormat="1" x14ac:dyDescent="0.25">
      <c r="A92" s="870"/>
      <c r="B92" s="871"/>
      <c r="C92" s="871"/>
      <c r="D92" s="871"/>
      <c r="E92" s="871"/>
      <c r="F92" s="871"/>
      <c r="G92" s="872"/>
    </row>
    <row r="93" spans="1:7" s="196" customFormat="1" x14ac:dyDescent="0.25">
      <c r="A93" s="870"/>
      <c r="B93" s="871"/>
      <c r="C93" s="871"/>
      <c r="D93" s="871"/>
      <c r="E93" s="871"/>
      <c r="F93" s="871"/>
      <c r="G93" s="872"/>
    </row>
    <row r="94" spans="1:7" s="196" customFormat="1" ht="15" customHeight="1" thickBot="1" x14ac:dyDescent="0.3">
      <c r="A94" s="873"/>
      <c r="B94" s="874"/>
      <c r="C94" s="874"/>
      <c r="D94" s="874"/>
      <c r="E94" s="874"/>
      <c r="F94" s="874"/>
      <c r="G94" s="875"/>
    </row>
    <row r="95" spans="1:7" s="196" customFormat="1" x14ac:dyDescent="0.25">
      <c r="B95" s="209"/>
      <c r="E95" s="197"/>
      <c r="F95" s="197"/>
      <c r="G95" s="592"/>
    </row>
    <row r="97" spans="2:7" x14ac:dyDescent="0.25">
      <c r="G97" s="2"/>
    </row>
    <row r="98" spans="2:7" x14ac:dyDescent="0.25">
      <c r="B98" s="635" t="s">
        <v>2385</v>
      </c>
      <c r="C98" s="635" t="s">
        <v>2384</v>
      </c>
      <c r="D98" s="635" t="s">
        <v>2386</v>
      </c>
      <c r="E98" s="665" t="s">
        <v>2383</v>
      </c>
      <c r="G98" s="2"/>
    </row>
    <row r="99" spans="2:7" x14ac:dyDescent="0.25">
      <c r="B99" s="497" t="s">
        <v>2589</v>
      </c>
      <c r="C99" s="606" t="s">
        <v>2590</v>
      </c>
      <c r="D99" s="497" t="s">
        <v>1127</v>
      </c>
      <c r="E99" s="664">
        <v>225.08</v>
      </c>
      <c r="G99" s="2"/>
    </row>
    <row r="100" spans="2:7" x14ac:dyDescent="0.25">
      <c r="B100" s="497" t="s">
        <v>2589</v>
      </c>
      <c r="C100" s="606" t="s">
        <v>2590</v>
      </c>
      <c r="D100" s="497" t="s">
        <v>1127</v>
      </c>
      <c r="E100" s="664">
        <v>225.08</v>
      </c>
      <c r="G100" s="2"/>
    </row>
    <row r="101" spans="2:7" x14ac:dyDescent="0.25">
      <c r="B101" s="497" t="s">
        <v>2584</v>
      </c>
      <c r="C101" s="606" t="s">
        <v>368</v>
      </c>
      <c r="D101" s="497" t="s">
        <v>1127</v>
      </c>
      <c r="E101" s="664">
        <v>320</v>
      </c>
      <c r="G101" s="2"/>
    </row>
    <row r="102" spans="2:7" x14ac:dyDescent="0.25">
      <c r="B102" s="508" t="s">
        <v>2591</v>
      </c>
      <c r="C102" s="666" t="s">
        <v>2387</v>
      </c>
      <c r="D102" s="508" t="s">
        <v>1125</v>
      </c>
      <c r="E102" s="667">
        <v>3652</v>
      </c>
      <c r="G102" s="2"/>
    </row>
    <row r="103" spans="2:7" x14ac:dyDescent="0.25">
      <c r="B103" s="497" t="s">
        <v>2592</v>
      </c>
      <c r="C103" s="606" t="s">
        <v>2593</v>
      </c>
      <c r="D103" s="497" t="s">
        <v>1125</v>
      </c>
      <c r="E103" s="664">
        <v>2505.11</v>
      </c>
      <c r="G103" s="2"/>
    </row>
    <row r="104" spans="2:7" x14ac:dyDescent="0.25">
      <c r="B104" s="497" t="s">
        <v>2594</v>
      </c>
      <c r="C104" s="606" t="s">
        <v>2595</v>
      </c>
      <c r="D104" s="497" t="s">
        <v>1125</v>
      </c>
      <c r="E104" s="664">
        <v>2343.44</v>
      </c>
      <c r="G104" s="2"/>
    </row>
    <row r="105" spans="2:7" x14ac:dyDescent="0.25">
      <c r="B105" s="497" t="s">
        <v>2596</v>
      </c>
      <c r="C105" s="606" t="s">
        <v>373</v>
      </c>
      <c r="D105" s="497" t="s">
        <v>1125</v>
      </c>
      <c r="E105" s="664">
        <v>326.55</v>
      </c>
      <c r="G105" s="2"/>
    </row>
    <row r="106" spans="2:7" x14ac:dyDescent="0.25">
      <c r="B106" s="497" t="s">
        <v>2390</v>
      </c>
      <c r="C106" s="606" t="s">
        <v>374</v>
      </c>
      <c r="D106" s="497" t="s">
        <v>1125</v>
      </c>
      <c r="E106" s="664">
        <v>199.97</v>
      </c>
      <c r="G106" s="2"/>
    </row>
    <row r="107" spans="2:7" x14ac:dyDescent="0.25">
      <c r="B107" s="497" t="s">
        <v>2585</v>
      </c>
      <c r="C107" s="606" t="s">
        <v>375</v>
      </c>
      <c r="D107" s="497" t="s">
        <v>1125</v>
      </c>
      <c r="E107" s="664">
        <v>499</v>
      </c>
      <c r="G107" s="2"/>
    </row>
    <row r="108" spans="2:7" x14ac:dyDescent="0.25">
      <c r="B108" s="497" t="s">
        <v>2586</v>
      </c>
      <c r="C108" s="606" t="s">
        <v>369</v>
      </c>
      <c r="D108" s="497" t="s">
        <v>1125</v>
      </c>
      <c r="E108" s="664">
        <v>195.33</v>
      </c>
      <c r="G108" s="2"/>
    </row>
    <row r="109" spans="2:7" x14ac:dyDescent="0.25">
      <c r="B109" s="497" t="s">
        <v>2597</v>
      </c>
      <c r="C109" s="606" t="s">
        <v>2388</v>
      </c>
      <c r="D109" s="497" t="s">
        <v>1125</v>
      </c>
      <c r="E109" s="664">
        <v>1726.59</v>
      </c>
      <c r="G109" s="2"/>
    </row>
    <row r="110" spans="2:7" x14ac:dyDescent="0.25">
      <c r="B110" s="497" t="s">
        <v>2598</v>
      </c>
      <c r="C110" s="606" t="s">
        <v>2389</v>
      </c>
      <c r="D110" s="497" t="s">
        <v>1125</v>
      </c>
      <c r="E110" s="664">
        <v>997.4</v>
      </c>
      <c r="G110" s="2"/>
    </row>
    <row r="111" spans="2:7" x14ac:dyDescent="0.25">
      <c r="B111" s="497" t="s">
        <v>2599</v>
      </c>
      <c r="C111" s="606" t="s">
        <v>2391</v>
      </c>
      <c r="D111" s="497" t="s">
        <v>1125</v>
      </c>
      <c r="E111" s="664">
        <v>280</v>
      </c>
      <c r="G111" s="2"/>
    </row>
    <row r="112" spans="2:7" x14ac:dyDescent="0.25">
      <c r="B112" s="497" t="s">
        <v>2587</v>
      </c>
      <c r="C112" s="606" t="s">
        <v>2382</v>
      </c>
      <c r="D112" s="497" t="s">
        <v>1125</v>
      </c>
      <c r="E112" s="664">
        <v>21</v>
      </c>
      <c r="G112" s="2"/>
    </row>
    <row r="113" spans="2:7" x14ac:dyDescent="0.25">
      <c r="B113" s="497" t="s">
        <v>2540</v>
      </c>
      <c r="C113" s="606" t="s">
        <v>376</v>
      </c>
      <c r="D113" s="497" t="s">
        <v>1125</v>
      </c>
      <c r="E113" s="664">
        <v>279.3</v>
      </c>
      <c r="G113" s="2"/>
    </row>
    <row r="114" spans="2:7" x14ac:dyDescent="0.25">
      <c r="B114" s="497" t="s">
        <v>2541</v>
      </c>
      <c r="C114" s="606" t="s">
        <v>370</v>
      </c>
      <c r="D114" s="497" t="s">
        <v>1125</v>
      </c>
      <c r="E114" s="664">
        <v>1835.21</v>
      </c>
      <c r="G114" s="2"/>
    </row>
    <row r="115" spans="2:7" x14ac:dyDescent="0.25">
      <c r="B115" s="497" t="s">
        <v>2542</v>
      </c>
      <c r="C115" s="606" t="s">
        <v>948</v>
      </c>
      <c r="D115" s="497" t="s">
        <v>1125</v>
      </c>
      <c r="E115" s="664">
        <v>429.02</v>
      </c>
      <c r="G115" s="2"/>
    </row>
    <row r="116" spans="2:7" x14ac:dyDescent="0.25">
      <c r="B116" s="497" t="s">
        <v>2543</v>
      </c>
      <c r="C116" s="606" t="s">
        <v>947</v>
      </c>
      <c r="D116" s="497" t="s">
        <v>1125</v>
      </c>
      <c r="E116" s="664">
        <v>96</v>
      </c>
      <c r="G116" s="2"/>
    </row>
    <row r="117" spans="2:7" x14ac:dyDescent="0.25">
      <c r="B117" s="497" t="s">
        <v>2544</v>
      </c>
      <c r="C117" s="606" t="s">
        <v>945</v>
      </c>
      <c r="D117" s="497" t="s">
        <v>1125</v>
      </c>
      <c r="E117" s="664">
        <v>674.18666666666661</v>
      </c>
      <c r="G117" s="2"/>
    </row>
    <row r="118" spans="2:7" x14ac:dyDescent="0.25">
      <c r="B118" s="497" t="s">
        <v>2548</v>
      </c>
      <c r="C118" s="606" t="s">
        <v>946</v>
      </c>
      <c r="D118" s="497" t="s">
        <v>1125</v>
      </c>
      <c r="E118" s="664">
        <v>1679.3</v>
      </c>
      <c r="G118" s="2"/>
    </row>
    <row r="119" spans="2:7" x14ac:dyDescent="0.25">
      <c r="B119" s="497" t="s">
        <v>2549</v>
      </c>
      <c r="C119" s="606" t="s">
        <v>875</v>
      </c>
      <c r="D119" s="497" t="s">
        <v>1125</v>
      </c>
      <c r="E119" s="664">
        <v>1629.96</v>
      </c>
      <c r="G119" s="2"/>
    </row>
    <row r="120" spans="2:7" x14ac:dyDescent="0.25">
      <c r="B120" s="497" t="s">
        <v>2550</v>
      </c>
      <c r="C120" s="606" t="s">
        <v>1025</v>
      </c>
      <c r="D120" s="497" t="s">
        <v>1125</v>
      </c>
      <c r="E120" s="664">
        <v>31.323333333333334</v>
      </c>
      <c r="G120" s="2"/>
    </row>
    <row r="121" spans="2:7" x14ac:dyDescent="0.25">
      <c r="B121" s="497" t="s">
        <v>2553</v>
      </c>
      <c r="C121" s="606" t="s">
        <v>882</v>
      </c>
      <c r="D121" s="497" t="s">
        <v>1125</v>
      </c>
      <c r="E121" s="664">
        <v>550.63</v>
      </c>
      <c r="G121" s="2"/>
    </row>
    <row r="122" spans="2:7" x14ac:dyDescent="0.25">
      <c r="B122" s="497" t="s">
        <v>2554</v>
      </c>
      <c r="C122" s="606" t="s">
        <v>1113</v>
      </c>
      <c r="D122" s="497" t="s">
        <v>1125</v>
      </c>
      <c r="E122" s="664">
        <v>235.96333333333334</v>
      </c>
      <c r="G122" s="2"/>
    </row>
    <row r="123" spans="2:7" x14ac:dyDescent="0.25">
      <c r="B123" s="497" t="s">
        <v>2556</v>
      </c>
      <c r="C123" s="606" t="s">
        <v>1024</v>
      </c>
      <c r="D123" s="497" t="s">
        <v>1125</v>
      </c>
      <c r="E123" s="664">
        <v>495.66666666666669</v>
      </c>
      <c r="G123" s="2"/>
    </row>
    <row r="124" spans="2:7" x14ac:dyDescent="0.25">
      <c r="B124" s="497" t="s">
        <v>2555</v>
      </c>
      <c r="C124" s="606" t="s">
        <v>367</v>
      </c>
      <c r="D124" s="497" t="s">
        <v>1023</v>
      </c>
      <c r="E124" s="664">
        <v>55.153333333333336</v>
      </c>
      <c r="G124" s="2"/>
    </row>
    <row r="125" spans="2:7" x14ac:dyDescent="0.25">
      <c r="B125" s="497" t="s">
        <v>2557</v>
      </c>
      <c r="C125" s="606" t="s">
        <v>377</v>
      </c>
      <c r="D125" s="497" t="s">
        <v>1125</v>
      </c>
      <c r="E125" s="664">
        <v>45.613333333333323</v>
      </c>
      <c r="G125" s="2"/>
    </row>
    <row r="126" spans="2:7" x14ac:dyDescent="0.25">
      <c r="B126" s="497" t="s">
        <v>2551</v>
      </c>
      <c r="C126" s="606" t="s">
        <v>876</v>
      </c>
      <c r="D126" s="497" t="s">
        <v>1125</v>
      </c>
      <c r="E126" s="664">
        <v>591.87</v>
      </c>
      <c r="G126" s="2"/>
    </row>
    <row r="127" spans="2:7" x14ac:dyDescent="0.25">
      <c r="B127" s="497" t="s">
        <v>2552</v>
      </c>
      <c r="C127" s="606" t="s">
        <v>883</v>
      </c>
      <c r="D127" s="497" t="s">
        <v>1125</v>
      </c>
      <c r="E127" s="664">
        <v>1797.94</v>
      </c>
      <c r="G127" s="2"/>
    </row>
    <row r="128" spans="2:7" x14ac:dyDescent="0.25">
      <c r="B128" s="497" t="s">
        <v>2559</v>
      </c>
      <c r="C128" s="606" t="s">
        <v>952</v>
      </c>
      <c r="D128" s="497" t="s">
        <v>1125</v>
      </c>
      <c r="E128" s="664">
        <v>1670.6133333333335</v>
      </c>
      <c r="G128" s="2"/>
    </row>
    <row r="129" spans="2:7" x14ac:dyDescent="0.25">
      <c r="B129" s="497" t="s">
        <v>2561</v>
      </c>
      <c r="C129" s="606" t="s">
        <v>877</v>
      </c>
      <c r="D129" s="497" t="s">
        <v>1125</v>
      </c>
      <c r="E129" s="664">
        <v>469</v>
      </c>
      <c r="G129" s="2"/>
    </row>
    <row r="130" spans="2:7" x14ac:dyDescent="0.25">
      <c r="B130" s="497" t="s">
        <v>2562</v>
      </c>
      <c r="C130" s="606" t="s">
        <v>878</v>
      </c>
      <c r="D130" s="497" t="s">
        <v>1125</v>
      </c>
      <c r="E130" s="664">
        <v>1183.99</v>
      </c>
      <c r="G130" s="2"/>
    </row>
    <row r="131" spans="2:7" x14ac:dyDescent="0.25">
      <c r="B131" s="497" t="s">
        <v>2546</v>
      </c>
      <c r="C131" s="606" t="s">
        <v>2545</v>
      </c>
      <c r="D131" s="497" t="s">
        <v>1125</v>
      </c>
      <c r="E131" s="664">
        <v>535.16999999999996</v>
      </c>
      <c r="G131" s="2"/>
    </row>
    <row r="132" spans="2:7" x14ac:dyDescent="0.25">
      <c r="B132" s="497" t="s">
        <v>2547</v>
      </c>
      <c r="C132" s="606" t="s">
        <v>2588</v>
      </c>
      <c r="D132" s="497" t="s">
        <v>187</v>
      </c>
      <c r="E132" s="664">
        <v>4.97</v>
      </c>
      <c r="G132" s="2"/>
    </row>
    <row r="133" spans="2:7" x14ac:dyDescent="0.25">
      <c r="B133" s="497" t="s">
        <v>2563</v>
      </c>
      <c r="C133" s="606" t="s">
        <v>2564</v>
      </c>
      <c r="D133" s="497" t="s">
        <v>1125</v>
      </c>
      <c r="E133" s="664">
        <v>789.33</v>
      </c>
      <c r="G133" s="2"/>
    </row>
    <row r="134" spans="2:7" x14ac:dyDescent="0.25">
      <c r="B134" s="497" t="s">
        <v>2566</v>
      </c>
      <c r="C134" s="606" t="s">
        <v>2565</v>
      </c>
      <c r="D134" s="497" t="s">
        <v>1125</v>
      </c>
      <c r="E134" s="664">
        <v>1616.1</v>
      </c>
      <c r="G134" s="2"/>
    </row>
    <row r="135" spans="2:7" x14ac:dyDescent="0.25">
      <c r="B135" s="497" t="s">
        <v>2560</v>
      </c>
      <c r="C135" s="606" t="s">
        <v>879</v>
      </c>
      <c r="D135" s="497" t="s">
        <v>1125</v>
      </c>
      <c r="E135" s="664">
        <v>321.97000000000003</v>
      </c>
      <c r="G135" s="2"/>
    </row>
    <row r="136" spans="2:7" x14ac:dyDescent="0.25">
      <c r="B136" s="497" t="s">
        <v>2567</v>
      </c>
      <c r="C136" s="606" t="s">
        <v>378</v>
      </c>
      <c r="D136" s="497" t="s">
        <v>1125</v>
      </c>
      <c r="E136" s="664">
        <v>287.26333333333332</v>
      </c>
      <c r="G136" s="2"/>
    </row>
    <row r="137" spans="2:7" x14ac:dyDescent="0.25">
      <c r="B137" s="497" t="s">
        <v>2568</v>
      </c>
      <c r="C137" s="606" t="s">
        <v>379</v>
      </c>
      <c r="D137" s="497" t="s">
        <v>1125</v>
      </c>
      <c r="E137" s="664">
        <v>96.626666666666665</v>
      </c>
      <c r="G137" s="2"/>
    </row>
    <row r="138" spans="2:7" x14ac:dyDescent="0.25">
      <c r="B138" s="497" t="s">
        <v>2569</v>
      </c>
      <c r="C138" s="606" t="s">
        <v>380</v>
      </c>
      <c r="D138" s="497" t="s">
        <v>1125</v>
      </c>
      <c r="E138" s="664">
        <v>147.63333333333333</v>
      </c>
      <c r="G138" s="2"/>
    </row>
    <row r="139" spans="2:7" x14ac:dyDescent="0.25">
      <c r="B139" s="497" t="s">
        <v>2558</v>
      </c>
      <c r="C139" s="606" t="s">
        <v>949</v>
      </c>
      <c r="D139" s="497" t="s">
        <v>1125</v>
      </c>
      <c r="E139" s="664">
        <v>616.17333333333329</v>
      </c>
      <c r="G139" s="2"/>
    </row>
    <row r="140" spans="2:7" x14ac:dyDescent="0.25">
      <c r="B140" s="497" t="s">
        <v>2571</v>
      </c>
      <c r="C140" s="606" t="s">
        <v>1072</v>
      </c>
      <c r="D140" s="497" t="s">
        <v>2570</v>
      </c>
      <c r="E140" s="664">
        <v>1050</v>
      </c>
      <c r="G140" s="2"/>
    </row>
    <row r="141" spans="2:7" x14ac:dyDescent="0.25">
      <c r="B141" s="497" t="s">
        <v>2572</v>
      </c>
      <c r="C141" s="606" t="s">
        <v>884</v>
      </c>
      <c r="D141" s="497" t="s">
        <v>1125</v>
      </c>
      <c r="E141" s="664">
        <v>1450.0733333333335</v>
      </c>
      <c r="G141" s="2"/>
    </row>
    <row r="142" spans="2:7" x14ac:dyDescent="0.25">
      <c r="B142" s="497" t="s">
        <v>2573</v>
      </c>
      <c r="C142" s="606" t="s">
        <v>950</v>
      </c>
      <c r="D142" s="497" t="s">
        <v>1125</v>
      </c>
      <c r="E142" s="664">
        <v>1577.7033333333331</v>
      </c>
      <c r="G142" s="2"/>
    </row>
    <row r="143" spans="2:7" x14ac:dyDescent="0.25">
      <c r="B143" s="497" t="s">
        <v>2574</v>
      </c>
      <c r="C143" s="606" t="s">
        <v>881</v>
      </c>
      <c r="D143" s="497" t="s">
        <v>1125</v>
      </c>
      <c r="E143" s="664">
        <v>1280.48</v>
      </c>
      <c r="G143" s="2"/>
    </row>
    <row r="144" spans="2:7" x14ac:dyDescent="0.25">
      <c r="B144" s="497" t="s">
        <v>2575</v>
      </c>
      <c r="C144" s="606" t="s">
        <v>371</v>
      </c>
      <c r="D144" s="497" t="s">
        <v>1125</v>
      </c>
      <c r="E144" s="664">
        <v>3669.7433333333333</v>
      </c>
      <c r="G144" s="2"/>
    </row>
    <row r="145" spans="2:7" x14ac:dyDescent="0.25">
      <c r="B145" s="497" t="s">
        <v>2576</v>
      </c>
      <c r="C145" s="606" t="s">
        <v>944</v>
      </c>
      <c r="D145" s="497" t="s">
        <v>1125</v>
      </c>
      <c r="E145" s="664">
        <v>187.995</v>
      </c>
      <c r="G145" s="2"/>
    </row>
    <row r="146" spans="2:7" x14ac:dyDescent="0.25">
      <c r="B146" s="497" t="s">
        <v>2577</v>
      </c>
      <c r="C146" s="606" t="s">
        <v>880</v>
      </c>
      <c r="D146" s="497" t="s">
        <v>1125</v>
      </c>
      <c r="E146" s="664">
        <v>390.96333333333331</v>
      </c>
      <c r="G146" s="2"/>
    </row>
    <row r="147" spans="2:7" x14ac:dyDescent="0.25">
      <c r="B147" s="497" t="s">
        <v>2578</v>
      </c>
      <c r="C147" s="606" t="s">
        <v>953</v>
      </c>
      <c r="D147" s="497" t="s">
        <v>1125</v>
      </c>
      <c r="E147" s="664">
        <v>6.73</v>
      </c>
      <c r="G147" s="2"/>
    </row>
    <row r="148" spans="2:7" x14ac:dyDescent="0.25">
      <c r="B148" s="497" t="s">
        <v>2579</v>
      </c>
      <c r="C148" s="606" t="s">
        <v>372</v>
      </c>
      <c r="D148" s="497" t="s">
        <v>1125</v>
      </c>
      <c r="E148" s="664">
        <v>1270.25</v>
      </c>
      <c r="G148" s="2"/>
    </row>
    <row r="149" spans="2:7" x14ac:dyDescent="0.25">
      <c r="B149" s="497" t="s">
        <v>2580</v>
      </c>
      <c r="C149" s="606" t="s">
        <v>885</v>
      </c>
      <c r="D149" s="497" t="s">
        <v>1125</v>
      </c>
      <c r="E149" s="664">
        <v>210.29999999999998</v>
      </c>
      <c r="G149" s="2"/>
    </row>
    <row r="150" spans="2:7" x14ac:dyDescent="0.25">
      <c r="B150" s="497" t="s">
        <v>2581</v>
      </c>
      <c r="C150" s="606" t="s">
        <v>951</v>
      </c>
      <c r="D150" s="497" t="s">
        <v>1125</v>
      </c>
      <c r="E150" s="664">
        <v>1606.88</v>
      </c>
      <c r="G150" s="2"/>
    </row>
    <row r="151" spans="2:7" x14ac:dyDescent="0.25">
      <c r="B151" s="497" t="s">
        <v>2583</v>
      </c>
      <c r="C151" s="606" t="s">
        <v>954</v>
      </c>
      <c r="D151" s="497" t="s">
        <v>1125</v>
      </c>
      <c r="E151" s="664">
        <v>91.596666666666678</v>
      </c>
      <c r="G151" s="2"/>
    </row>
    <row r="152" spans="2:7" x14ac:dyDescent="0.25">
      <c r="B152" s="497" t="s">
        <v>2582</v>
      </c>
      <c r="C152" s="606" t="s">
        <v>886</v>
      </c>
      <c r="D152" s="497" t="s">
        <v>1125</v>
      </c>
      <c r="E152" s="664">
        <v>913.48333333333323</v>
      </c>
      <c r="G152" s="2"/>
    </row>
  </sheetData>
  <autoFilter ref="A12:G66"/>
  <sortState ref="B99:E152">
    <sortCondition ref="C99:C152"/>
  </sortState>
  <mergeCells count="31">
    <mergeCell ref="C1:G1"/>
    <mergeCell ref="C2:G2"/>
    <mergeCell ref="C3:G3"/>
    <mergeCell ref="A5:G6"/>
    <mergeCell ref="A8:G8"/>
    <mergeCell ref="A92:G92"/>
    <mergeCell ref="A93:G93"/>
    <mergeCell ref="A94:G94"/>
    <mergeCell ref="F76:G76"/>
    <mergeCell ref="F77:G77"/>
    <mergeCell ref="F78:G78"/>
    <mergeCell ref="F79:G79"/>
    <mergeCell ref="A76:E77"/>
    <mergeCell ref="A78:E79"/>
    <mergeCell ref="A80:G80"/>
    <mergeCell ref="A81:G91"/>
    <mergeCell ref="C13:G13"/>
    <mergeCell ref="A11:A12"/>
    <mergeCell ref="C11:C12"/>
    <mergeCell ref="D11:D12"/>
    <mergeCell ref="E11:E12"/>
    <mergeCell ref="F11:G11"/>
    <mergeCell ref="B11:B12"/>
    <mergeCell ref="F73:G73"/>
    <mergeCell ref="A73:E73"/>
    <mergeCell ref="A67:F67"/>
    <mergeCell ref="A70:G70"/>
    <mergeCell ref="C71:E71"/>
    <mergeCell ref="F71:G71"/>
    <mergeCell ref="C72:E72"/>
    <mergeCell ref="F72:G72"/>
  </mergeCells>
  <phoneticPr fontId="25" type="noConversion"/>
  <printOptions horizontalCentered="1"/>
  <pageMargins left="0.78740157480314965" right="0.59055118110236227" top="0.59055118110236227" bottom="0.59055118110236227" header="0.19685039370078741" footer="0.19685039370078741"/>
  <pageSetup paperSize="9" scale="61" fitToHeight="100" orientation="portrait" horizontalDpi="4294967294" verticalDpi="4294967294" r:id="rId1"/>
  <headerFooter>
    <oddFooter>&amp;R&amp;"Arial,Normal"&amp;8&amp;F
Página &amp;P de &amp;N</oddFooter>
  </headerFooter>
  <rowBreaks count="1" manualBreakCount="1">
    <brk id="91" max="6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view="pageBreakPreview" zoomScale="85" zoomScaleNormal="100" zoomScaleSheetLayoutView="85" workbookViewId="0">
      <pane ySplit="12" topLeftCell="A13" activePane="bottomLeft" state="frozen"/>
      <selection activeCell="C90" sqref="C90"/>
      <selection pane="bottomLeft" activeCell="A104" sqref="A104"/>
    </sheetView>
  </sheetViews>
  <sheetFormatPr defaultColWidth="9.140625" defaultRowHeight="12.75" x14ac:dyDescent="0.25"/>
  <cols>
    <col min="1" max="1" width="8.7109375" style="78" customWidth="1"/>
    <col min="2" max="2" width="14.7109375" style="78" customWidth="1"/>
    <col min="3" max="3" width="60.7109375" style="78" customWidth="1"/>
    <col min="4" max="7" width="14.7109375" style="78" customWidth="1"/>
    <col min="8" max="16384" width="9.140625" style="78"/>
  </cols>
  <sheetData>
    <row r="1" spans="1:7" s="89" customFormat="1" x14ac:dyDescent="0.25">
      <c r="A1" s="117"/>
      <c r="B1" s="117"/>
      <c r="C1" s="709" t="s">
        <v>1117</v>
      </c>
      <c r="D1" s="709"/>
      <c r="E1" s="709"/>
      <c r="F1" s="709"/>
      <c r="G1" s="709"/>
    </row>
    <row r="2" spans="1:7" s="89" customFormat="1" x14ac:dyDescent="0.25">
      <c r="A2" s="90"/>
      <c r="B2" s="90"/>
      <c r="C2" s="710" t="s">
        <v>1118</v>
      </c>
      <c r="D2" s="710"/>
      <c r="E2" s="710"/>
      <c r="F2" s="710"/>
      <c r="G2" s="710"/>
    </row>
    <row r="3" spans="1:7" s="89" customFormat="1" ht="13.5" thickBot="1" x14ac:dyDescent="0.3">
      <c r="A3" s="118"/>
      <c r="B3" s="118"/>
      <c r="C3" s="711" t="s">
        <v>1116</v>
      </c>
      <c r="D3" s="711"/>
      <c r="E3" s="711"/>
      <c r="F3" s="711"/>
      <c r="G3" s="711"/>
    </row>
    <row r="4" spans="1:7" ht="13.9" thickBot="1" x14ac:dyDescent="0.35">
      <c r="A4" s="287"/>
      <c r="B4" s="486"/>
    </row>
    <row r="5" spans="1:7" x14ac:dyDescent="0.25">
      <c r="A5" s="690" t="s">
        <v>1119</v>
      </c>
      <c r="B5" s="690"/>
      <c r="C5" s="690"/>
      <c r="D5" s="690"/>
      <c r="E5" s="690"/>
      <c r="F5" s="690"/>
      <c r="G5" s="690"/>
    </row>
    <row r="6" spans="1:7" ht="13.5" thickBot="1" x14ac:dyDescent="0.3">
      <c r="A6" s="691"/>
      <c r="B6" s="691"/>
      <c r="C6" s="691"/>
      <c r="D6" s="691"/>
      <c r="E6" s="691"/>
      <c r="F6" s="691"/>
      <c r="G6" s="691"/>
    </row>
    <row r="7" spans="1:7" ht="13.9" thickBot="1" x14ac:dyDescent="0.35">
      <c r="C7" s="70"/>
      <c r="D7" s="72"/>
    </row>
    <row r="8" spans="1:7" s="21" customFormat="1" ht="13.5" thickBot="1" x14ac:dyDescent="0.3">
      <c r="A8" s="686" t="s">
        <v>1420</v>
      </c>
      <c r="B8" s="687"/>
      <c r="C8" s="687"/>
      <c r="D8" s="687"/>
      <c r="E8" s="687"/>
      <c r="F8" s="687"/>
      <c r="G8" s="688"/>
    </row>
    <row r="9" spans="1:7" ht="13.15" x14ac:dyDescent="0.3">
      <c r="C9" s="70"/>
      <c r="D9" s="72"/>
    </row>
    <row r="10" spans="1:7" s="196" customFormat="1" ht="13.9" thickBot="1" x14ac:dyDescent="0.35">
      <c r="E10" s="197"/>
      <c r="F10" s="197"/>
      <c r="G10" s="195"/>
    </row>
    <row r="11" spans="1:7" s="2" customFormat="1" ht="13.5" thickBot="1" x14ac:dyDescent="0.3">
      <c r="A11" s="730" t="s">
        <v>363</v>
      </c>
      <c r="B11" s="730" t="s">
        <v>1466</v>
      </c>
      <c r="C11" s="730" t="s">
        <v>366</v>
      </c>
      <c r="D11" s="730" t="s">
        <v>410</v>
      </c>
      <c r="E11" s="731" t="s">
        <v>364</v>
      </c>
      <c r="F11" s="731" t="s">
        <v>413</v>
      </c>
      <c r="G11" s="731"/>
    </row>
    <row r="12" spans="1:7" s="2" customFormat="1" ht="13.5" thickBot="1" x14ac:dyDescent="0.3">
      <c r="A12" s="730"/>
      <c r="B12" s="730"/>
      <c r="C12" s="730"/>
      <c r="D12" s="730"/>
      <c r="E12" s="731"/>
      <c r="F12" s="295" t="s">
        <v>412</v>
      </c>
      <c r="G12" s="295" t="s">
        <v>411</v>
      </c>
    </row>
    <row r="13" spans="1:7" s="196" customFormat="1" ht="13.5" thickBot="1" x14ac:dyDescent="0.3">
      <c r="A13" s="344" t="s">
        <v>360</v>
      </c>
      <c r="B13" s="344"/>
      <c r="C13" s="879" t="str">
        <f>A8</f>
        <v>EQUIPE - MÃO DE OBRA</v>
      </c>
      <c r="D13" s="880"/>
      <c r="E13" s="880"/>
      <c r="F13" s="880"/>
      <c r="G13" s="881"/>
    </row>
    <row r="14" spans="1:7" s="196" customFormat="1" ht="25.5" x14ac:dyDescent="0.25">
      <c r="A14" s="338" t="s">
        <v>124</v>
      </c>
      <c r="B14" s="512" t="str">
        <f>VLOOKUP(C14,'Mao_de_Obra (Total)'!B$15:C$108,2,FALSE)</f>
        <v>P0</v>
      </c>
      <c r="C14" s="198" t="s">
        <v>551</v>
      </c>
      <c r="D14" s="199" t="s">
        <v>1419</v>
      </c>
      <c r="E14" s="200">
        <f>SUMIF('Mao_de_Obra (Total)'!B$14:B$109,C14,'Mao_de_Obra (Total)'!F$14:F$109)</f>
        <v>12</v>
      </c>
      <c r="F14" s="66">
        <f>VLOOKUP(C14,'Mao_de_Obra (Total)'!B$11:P$109,15,FALSE)</f>
        <v>33438.83</v>
      </c>
      <c r="G14" s="66">
        <f t="shared" ref="G14:G67" si="0">ROUND(E14*F14,2)</f>
        <v>401265.96</v>
      </c>
    </row>
    <row r="15" spans="1:7" s="196" customFormat="1" x14ac:dyDescent="0.25">
      <c r="A15" s="339" t="s">
        <v>125</v>
      </c>
      <c r="B15" s="450" t="str">
        <f>VLOOKUP(C15,'Mao_de_Obra (Total)'!B$15:C$108,2,FALSE)</f>
        <v>A1</v>
      </c>
      <c r="C15" s="201" t="s">
        <v>553</v>
      </c>
      <c r="D15" s="202" t="s">
        <v>1419</v>
      </c>
      <c r="E15" s="203">
        <f>SUMIF('Mao_de_Obra (Total)'!B$14:B$109,C15,'Mao_de_Obra (Total)'!F$14:F$109)</f>
        <v>12</v>
      </c>
      <c r="F15" s="204">
        <f>VLOOKUP(C15,'Mao_de_Obra (Total)'!B$11:P$109,15,FALSE)</f>
        <v>8556.15</v>
      </c>
      <c r="G15" s="204">
        <f t="shared" si="0"/>
        <v>102673.8</v>
      </c>
    </row>
    <row r="16" spans="1:7" s="196" customFormat="1" x14ac:dyDescent="0.25">
      <c r="A16" s="339" t="s">
        <v>126</v>
      </c>
      <c r="B16" s="450" t="str">
        <f>VLOOKUP(C16,'Mao_de_Obra (Total)'!B$15:C$108,2,FALSE)</f>
        <v>A3</v>
      </c>
      <c r="C16" s="201" t="s">
        <v>554</v>
      </c>
      <c r="D16" s="202" t="s">
        <v>1419</v>
      </c>
      <c r="E16" s="203">
        <f>SUMIF('Mao_de_Obra (Total)'!B$14:B$109,C16,'Mao_de_Obra (Total)'!F$14:F$109)</f>
        <v>48</v>
      </c>
      <c r="F16" s="204">
        <f>VLOOKUP(C16,'Mao_de_Obra (Total)'!B$11:P$109,15,FALSE)</f>
        <v>4368.5</v>
      </c>
      <c r="G16" s="204">
        <f t="shared" si="0"/>
        <v>209688</v>
      </c>
    </row>
    <row r="17" spans="1:7" s="196" customFormat="1" ht="25.5" x14ac:dyDescent="0.25">
      <c r="A17" s="339" t="s">
        <v>127</v>
      </c>
      <c r="B17" s="450" t="str">
        <f>VLOOKUP(C17,'Mao_de_Obra (Total)'!B$15:C$108,2,FALSE)</f>
        <v>P1</v>
      </c>
      <c r="C17" s="201" t="s">
        <v>1114</v>
      </c>
      <c r="D17" s="202" t="s">
        <v>1419</v>
      </c>
      <c r="E17" s="203">
        <f>SUMIF('Mao_de_Obra (Total)'!B$14:B$109,C17,'Mao_de_Obra (Total)'!F$14:F$109)</f>
        <v>12</v>
      </c>
      <c r="F17" s="204">
        <f>VLOOKUP(C17,'Mao_de_Obra (Total)'!B$11:P$109,15,FALSE)</f>
        <v>25871.129999999997</v>
      </c>
      <c r="G17" s="204">
        <f t="shared" si="0"/>
        <v>310453.56</v>
      </c>
    </row>
    <row r="18" spans="1:7" s="196" customFormat="1" ht="25.5" x14ac:dyDescent="0.25">
      <c r="A18" s="339" t="s">
        <v>128</v>
      </c>
      <c r="B18" s="450" t="str">
        <f>VLOOKUP(C18,'Mao_de_Obra (Total)'!B$15:C$108,2,FALSE)</f>
        <v>P1</v>
      </c>
      <c r="C18" s="201" t="s">
        <v>1115</v>
      </c>
      <c r="D18" s="202" t="s">
        <v>1419</v>
      </c>
      <c r="E18" s="203">
        <f>SUMIF('Mao_de_Obra (Total)'!B$14:B$109,C18,'Mao_de_Obra (Total)'!F$14:F$109)</f>
        <v>12</v>
      </c>
      <c r="F18" s="204">
        <f>VLOOKUP(C18,'Mao_de_Obra (Total)'!B$11:P$109,15,FALSE)</f>
        <v>25871.129999999997</v>
      </c>
      <c r="G18" s="204">
        <f t="shared" si="0"/>
        <v>310453.56</v>
      </c>
    </row>
    <row r="19" spans="1:7" s="196" customFormat="1" x14ac:dyDescent="0.25">
      <c r="A19" s="339" t="s">
        <v>129</v>
      </c>
      <c r="B19" s="450" t="str">
        <f>VLOOKUP(C19,'Mao_de_Obra (Total)'!B$15:C$108,2,FALSE)</f>
        <v>AS</v>
      </c>
      <c r="C19" s="201" t="s">
        <v>558</v>
      </c>
      <c r="D19" s="202" t="s">
        <v>1419</v>
      </c>
      <c r="E19" s="203">
        <f>SUMIF('Mao_de_Obra (Total)'!B$14:B$109,C19,'Mao_de_Obra (Total)'!F$14:F$109)</f>
        <v>12</v>
      </c>
      <c r="F19" s="204">
        <f>VLOOKUP(C19,'Mao_de_Obra (Total)'!B$11:P$109,15,FALSE)</f>
        <v>9940.6</v>
      </c>
      <c r="G19" s="204">
        <f t="shared" si="0"/>
        <v>119287.2</v>
      </c>
    </row>
    <row r="20" spans="1:7" s="196" customFormat="1" x14ac:dyDescent="0.25">
      <c r="A20" s="339" t="s">
        <v>130</v>
      </c>
      <c r="B20" s="450" t="str">
        <f>VLOOKUP(C20,'Mao_de_Obra (Total)'!B$15:C$108,2,FALSE)</f>
        <v>T1</v>
      </c>
      <c r="C20" s="201" t="s">
        <v>559</v>
      </c>
      <c r="D20" s="202" t="s">
        <v>1419</v>
      </c>
      <c r="E20" s="203">
        <f>SUMIF('Mao_de_Obra (Total)'!B$14:B$109,C20,'Mao_de_Obra (Total)'!F$14:F$109)</f>
        <v>12</v>
      </c>
      <c r="F20" s="204">
        <f>VLOOKUP(C20,'Mao_de_Obra (Total)'!B$11:P$109,15,FALSE)</f>
        <v>7255.8899999999994</v>
      </c>
      <c r="G20" s="204">
        <f t="shared" si="0"/>
        <v>87070.68</v>
      </c>
    </row>
    <row r="21" spans="1:7" s="196" customFormat="1" x14ac:dyDescent="0.25">
      <c r="A21" s="339" t="s">
        <v>131</v>
      </c>
      <c r="B21" s="450" t="str">
        <f>VLOOKUP(C21,'Mao_de_Obra (Total)'!B$15:C$108,2,FALSE)</f>
        <v>A3</v>
      </c>
      <c r="C21" s="201" t="s">
        <v>561</v>
      </c>
      <c r="D21" s="202" t="s">
        <v>1419</v>
      </c>
      <c r="E21" s="203">
        <f>SUMIF('Mao_de_Obra (Total)'!B$14:B$109,C21,'Mao_de_Obra (Total)'!F$14:F$109)</f>
        <v>60</v>
      </c>
      <c r="F21" s="204">
        <f>VLOOKUP(C21,'Mao_de_Obra (Total)'!B$11:P$109,15,FALSE)</f>
        <v>4368.5</v>
      </c>
      <c r="G21" s="204">
        <f t="shared" si="0"/>
        <v>262110</v>
      </c>
    </row>
    <row r="22" spans="1:7" s="196" customFormat="1" x14ac:dyDescent="0.25">
      <c r="A22" s="339" t="s">
        <v>132</v>
      </c>
      <c r="B22" s="450" t="str">
        <f>VLOOKUP(C22,'Mao_de_Obra (Total)'!B$15:C$108,2,FALSE)</f>
        <v>A1</v>
      </c>
      <c r="C22" s="201" t="s">
        <v>562</v>
      </c>
      <c r="D22" s="202" t="s">
        <v>1419</v>
      </c>
      <c r="E22" s="203">
        <f>SUMIF('Mao_de_Obra (Total)'!B$14:B$109,C22,'Mao_de_Obra (Total)'!F$14:F$109)</f>
        <v>12</v>
      </c>
      <c r="F22" s="204">
        <f>VLOOKUP(C22,'Mao_de_Obra (Total)'!B$11:P$109,15,FALSE)</f>
        <v>8556.15</v>
      </c>
      <c r="G22" s="204">
        <f t="shared" si="0"/>
        <v>102673.8</v>
      </c>
    </row>
    <row r="23" spans="1:7" s="196" customFormat="1" x14ac:dyDescent="0.25">
      <c r="A23" s="339" t="s">
        <v>133</v>
      </c>
      <c r="B23" s="450" t="str">
        <f>VLOOKUP(C23,'Mao_de_Obra (Total)'!B$15:C$108,2,FALSE)</f>
        <v>A3</v>
      </c>
      <c r="C23" s="201" t="s">
        <v>563</v>
      </c>
      <c r="D23" s="202" t="s">
        <v>1419</v>
      </c>
      <c r="E23" s="203">
        <f>SUMIF('Mao_de_Obra (Total)'!B$14:B$109,C23,'Mao_de_Obra (Total)'!F$14:F$109)</f>
        <v>36</v>
      </c>
      <c r="F23" s="204">
        <f>VLOOKUP(C23,'Mao_de_Obra (Total)'!B$11:P$109,15,FALSE)</f>
        <v>4368.5</v>
      </c>
      <c r="G23" s="204">
        <f t="shared" si="0"/>
        <v>157266</v>
      </c>
    </row>
    <row r="24" spans="1:7" s="196" customFormat="1" x14ac:dyDescent="0.25">
      <c r="A24" s="339" t="s">
        <v>134</v>
      </c>
      <c r="B24" s="450" t="str">
        <f>VLOOKUP(C24,'Mao_de_Obra (Total)'!B$15:C$108,2,FALSE)</f>
        <v>A4</v>
      </c>
      <c r="C24" s="201" t="s">
        <v>564</v>
      </c>
      <c r="D24" s="202" t="s">
        <v>1419</v>
      </c>
      <c r="E24" s="203">
        <f>SUMIF('Mao_de_Obra (Total)'!B$14:B$109,C24,'Mao_de_Obra (Total)'!F$14:F$109)</f>
        <v>144</v>
      </c>
      <c r="F24" s="204">
        <f>VLOOKUP(C24,'Mao_de_Obra (Total)'!B$11:P$109,15,FALSE)</f>
        <v>2556.87</v>
      </c>
      <c r="G24" s="204">
        <f t="shared" si="0"/>
        <v>368189.28</v>
      </c>
    </row>
    <row r="25" spans="1:7" s="196" customFormat="1" x14ac:dyDescent="0.25">
      <c r="A25" s="339" t="s">
        <v>135</v>
      </c>
      <c r="B25" s="450" t="str">
        <f>VLOOKUP(C25,'Mao_de_Obra (Total)'!B$15:C$108,2,FALSE)</f>
        <v>P1</v>
      </c>
      <c r="C25" s="201" t="s">
        <v>567</v>
      </c>
      <c r="D25" s="202" t="s">
        <v>1419</v>
      </c>
      <c r="E25" s="203">
        <f>SUMIF('Mao_de_Obra (Total)'!B$14:B$109,C25,'Mao_de_Obra (Total)'!F$14:F$109)</f>
        <v>12</v>
      </c>
      <c r="F25" s="204">
        <f>VLOOKUP(C25,'Mao_de_Obra (Total)'!B$11:P$109,15,FALSE)</f>
        <v>25871.129999999997</v>
      </c>
      <c r="G25" s="204">
        <f t="shared" si="0"/>
        <v>310453.56</v>
      </c>
    </row>
    <row r="26" spans="1:7" s="196" customFormat="1" x14ac:dyDescent="0.25">
      <c r="A26" s="339" t="s">
        <v>136</v>
      </c>
      <c r="B26" s="450" t="str">
        <f>VLOOKUP(C26,'Mao_de_Obra (Total)'!B$15:C$108,2,FALSE)</f>
        <v>T2</v>
      </c>
      <c r="C26" s="201" t="s">
        <v>568</v>
      </c>
      <c r="D26" s="202" t="s">
        <v>1419</v>
      </c>
      <c r="E26" s="203">
        <f>SUMIF('Mao_de_Obra (Total)'!B$14:B$109,C26,'Mao_de_Obra (Total)'!F$14:F$109)</f>
        <v>24</v>
      </c>
      <c r="F26" s="204">
        <f>VLOOKUP(C26,'Mao_de_Obra (Total)'!B$11:P$109,15,FALSE)</f>
        <v>6014.87</v>
      </c>
      <c r="G26" s="204">
        <f t="shared" si="0"/>
        <v>144356.88</v>
      </c>
    </row>
    <row r="27" spans="1:7" s="196" customFormat="1" x14ac:dyDescent="0.25">
      <c r="A27" s="339" t="s">
        <v>137</v>
      </c>
      <c r="B27" s="450" t="str">
        <f>VLOOKUP(C27,'Mao_de_Obra (Total)'!B$15:C$108,2,FALSE)</f>
        <v>P1</v>
      </c>
      <c r="C27" s="201" t="s">
        <v>570</v>
      </c>
      <c r="D27" s="202" t="s">
        <v>1419</v>
      </c>
      <c r="E27" s="203">
        <f>SUMIF('Mao_de_Obra (Total)'!B$14:B$109,C27,'Mao_de_Obra (Total)'!F$14:F$109)</f>
        <v>12</v>
      </c>
      <c r="F27" s="204">
        <f>VLOOKUP(C27,'Mao_de_Obra (Total)'!B$11:P$109,15,FALSE)</f>
        <v>25871.129999999997</v>
      </c>
      <c r="G27" s="204">
        <f t="shared" si="0"/>
        <v>310453.56</v>
      </c>
    </row>
    <row r="28" spans="1:7" s="196" customFormat="1" x14ac:dyDescent="0.25">
      <c r="A28" s="339" t="s">
        <v>138</v>
      </c>
      <c r="B28" s="450" t="str">
        <f>VLOOKUP(C28,'Mao_de_Obra (Total)'!B$15:C$108,2,FALSE)</f>
        <v>P1</v>
      </c>
      <c r="C28" s="201" t="s">
        <v>572</v>
      </c>
      <c r="D28" s="202" t="s">
        <v>1419</v>
      </c>
      <c r="E28" s="203">
        <f>SUMIF('Mao_de_Obra (Total)'!B$14:B$109,C28,'Mao_de_Obra (Total)'!F$14:F$109)</f>
        <v>12</v>
      </c>
      <c r="F28" s="204">
        <f>VLOOKUP(C28,'Mao_de_Obra (Total)'!B$11:P$109,15,FALSE)</f>
        <v>25871.129999999997</v>
      </c>
      <c r="G28" s="204">
        <f t="shared" si="0"/>
        <v>310453.56</v>
      </c>
    </row>
    <row r="29" spans="1:7" s="196" customFormat="1" x14ac:dyDescent="0.25">
      <c r="A29" s="339" t="s">
        <v>139</v>
      </c>
      <c r="B29" s="450" t="str">
        <f>VLOOKUP(C29,'Mao_de_Obra (Total)'!B$15:C$108,2,FALSE)</f>
        <v>P1</v>
      </c>
      <c r="C29" s="201" t="s">
        <v>574</v>
      </c>
      <c r="D29" s="202" t="s">
        <v>1419</v>
      </c>
      <c r="E29" s="203">
        <f>SUMIF('Mao_de_Obra (Total)'!B$14:B$109,C29,'Mao_de_Obra (Total)'!F$14:F$109)</f>
        <v>12</v>
      </c>
      <c r="F29" s="204">
        <f>VLOOKUP(C29,'Mao_de_Obra (Total)'!B$11:P$109,15,FALSE)</f>
        <v>25871.129999999997</v>
      </c>
      <c r="G29" s="204">
        <f t="shared" si="0"/>
        <v>310453.56</v>
      </c>
    </row>
    <row r="30" spans="1:7" s="196" customFormat="1" x14ac:dyDescent="0.25">
      <c r="A30" s="339" t="s">
        <v>140</v>
      </c>
      <c r="B30" s="450" t="str">
        <f>VLOOKUP(C30,'Mao_de_Obra (Total)'!B$15:C$108,2,FALSE)</f>
        <v>P3</v>
      </c>
      <c r="C30" s="201" t="s">
        <v>575</v>
      </c>
      <c r="D30" s="202" t="s">
        <v>1419</v>
      </c>
      <c r="E30" s="203">
        <f>SUMIF('Mao_de_Obra (Total)'!B$14:B$109,C30,'Mao_de_Obra (Total)'!F$14:F$109)</f>
        <v>12</v>
      </c>
      <c r="F30" s="204">
        <f>VLOOKUP(C30,'Mao_de_Obra (Total)'!B$11:P$109,15,FALSE)</f>
        <v>16451.25</v>
      </c>
      <c r="G30" s="204">
        <f t="shared" si="0"/>
        <v>197415</v>
      </c>
    </row>
    <row r="31" spans="1:7" s="196" customFormat="1" x14ac:dyDescent="0.25">
      <c r="A31" s="339" t="s">
        <v>141</v>
      </c>
      <c r="B31" s="450" t="str">
        <f>VLOOKUP(C31,'Mao_de_Obra (Total)'!B$15:C$108,2,FALSE)</f>
        <v>P1</v>
      </c>
      <c r="C31" s="201" t="s">
        <v>576</v>
      </c>
      <c r="D31" s="202" t="s">
        <v>1419</v>
      </c>
      <c r="E31" s="203">
        <f>SUMIF('Mao_de_Obra (Total)'!B$14:B$109,C31,'Mao_de_Obra (Total)'!F$14:F$109)</f>
        <v>12</v>
      </c>
      <c r="F31" s="204">
        <f>VLOOKUP(C31,'Mao_de_Obra (Total)'!B$11:P$109,15,FALSE)</f>
        <v>25871.129999999997</v>
      </c>
      <c r="G31" s="204">
        <f t="shared" si="0"/>
        <v>310453.56</v>
      </c>
    </row>
    <row r="32" spans="1:7" s="196" customFormat="1" ht="25.5" x14ac:dyDescent="0.25">
      <c r="A32" s="339" t="s">
        <v>142</v>
      </c>
      <c r="B32" s="450" t="str">
        <f>VLOOKUP(C32,'Mao_de_Obra (Total)'!B$15:C$108,2,FALSE)</f>
        <v>P1</v>
      </c>
      <c r="C32" s="201" t="s">
        <v>579</v>
      </c>
      <c r="D32" s="202" t="s">
        <v>1419</v>
      </c>
      <c r="E32" s="203">
        <f>SUMIF('Mao_de_Obra (Total)'!B$14:B$109,C32,'Mao_de_Obra (Total)'!F$14:F$109)</f>
        <v>12</v>
      </c>
      <c r="F32" s="204">
        <f>VLOOKUP(C32,'Mao_de_Obra (Total)'!B$11:P$109,15,FALSE)</f>
        <v>25871.129999999997</v>
      </c>
      <c r="G32" s="204">
        <f t="shared" si="0"/>
        <v>310453.56</v>
      </c>
    </row>
    <row r="33" spans="1:7" s="196" customFormat="1" ht="25.5" x14ac:dyDescent="0.25">
      <c r="A33" s="339" t="s">
        <v>143</v>
      </c>
      <c r="B33" s="450" t="str">
        <f>VLOOKUP(C33,'Mao_de_Obra (Total)'!B$15:C$108,2,FALSE)</f>
        <v>P1</v>
      </c>
      <c r="C33" s="201" t="s">
        <v>580</v>
      </c>
      <c r="D33" s="202" t="s">
        <v>1419</v>
      </c>
      <c r="E33" s="203">
        <f>SUMIF('Mao_de_Obra (Total)'!B$14:B$109,C33,'Mao_de_Obra (Total)'!F$14:F$109)</f>
        <v>12</v>
      </c>
      <c r="F33" s="204">
        <f>VLOOKUP(C33,'Mao_de_Obra (Total)'!B$11:P$109,15,FALSE)</f>
        <v>25871.129999999997</v>
      </c>
      <c r="G33" s="204">
        <f t="shared" si="0"/>
        <v>310453.56</v>
      </c>
    </row>
    <row r="34" spans="1:7" s="196" customFormat="1" ht="25.5" x14ac:dyDescent="0.25">
      <c r="A34" s="339" t="s">
        <v>144</v>
      </c>
      <c r="B34" s="450" t="str">
        <f>VLOOKUP(C34,'Mao_de_Obra (Total)'!B$15:C$108,2,FALSE)</f>
        <v>P1</v>
      </c>
      <c r="C34" s="201" t="s">
        <v>581</v>
      </c>
      <c r="D34" s="202" t="s">
        <v>1419</v>
      </c>
      <c r="E34" s="203">
        <f>SUMIF('Mao_de_Obra (Total)'!B$14:B$109,C34,'Mao_de_Obra (Total)'!F$14:F$109)</f>
        <v>12</v>
      </c>
      <c r="F34" s="204">
        <f>VLOOKUP(C34,'Mao_de_Obra (Total)'!B$11:P$109,15,FALSE)</f>
        <v>25871.129999999997</v>
      </c>
      <c r="G34" s="204">
        <f t="shared" si="0"/>
        <v>310453.56</v>
      </c>
    </row>
    <row r="35" spans="1:7" s="196" customFormat="1" x14ac:dyDescent="0.25">
      <c r="A35" s="339" t="s">
        <v>184</v>
      </c>
      <c r="B35" s="450" t="str">
        <f>VLOOKUP(C35,'Mao_de_Obra (Total)'!B$15:C$108,2,FALSE)</f>
        <v>P1</v>
      </c>
      <c r="C35" s="201" t="s">
        <v>582</v>
      </c>
      <c r="D35" s="202" t="s">
        <v>1419</v>
      </c>
      <c r="E35" s="203">
        <f>SUMIF('Mao_de_Obra (Total)'!B$14:B$109,C35,'Mao_de_Obra (Total)'!F$14:F$109)</f>
        <v>12</v>
      </c>
      <c r="F35" s="204">
        <f>VLOOKUP(C35,'Mao_de_Obra (Total)'!B$11:P$109,15,FALSE)</f>
        <v>25871.129999999997</v>
      </c>
      <c r="G35" s="204">
        <f t="shared" si="0"/>
        <v>310453.56</v>
      </c>
    </row>
    <row r="36" spans="1:7" s="196" customFormat="1" x14ac:dyDescent="0.25">
      <c r="A36" s="339" t="s">
        <v>145</v>
      </c>
      <c r="B36" s="450" t="str">
        <f>VLOOKUP(C36,'Mao_de_Obra (Total)'!B$15:C$108,2,FALSE)</f>
        <v>P1</v>
      </c>
      <c r="C36" s="201" t="s">
        <v>584</v>
      </c>
      <c r="D36" s="202" t="s">
        <v>1419</v>
      </c>
      <c r="E36" s="203">
        <f>SUMIF('Mao_de_Obra (Total)'!B$14:B$109,C36,'Mao_de_Obra (Total)'!F$14:F$109)</f>
        <v>12</v>
      </c>
      <c r="F36" s="204">
        <f>VLOOKUP(C36,'Mao_de_Obra (Total)'!B$11:P$109,15,FALSE)</f>
        <v>25871.129999999997</v>
      </c>
      <c r="G36" s="204">
        <f t="shared" si="0"/>
        <v>310453.56</v>
      </c>
    </row>
    <row r="37" spans="1:7" s="196" customFormat="1" x14ac:dyDescent="0.25">
      <c r="A37" s="339" t="s">
        <v>146</v>
      </c>
      <c r="B37" s="450" t="str">
        <f>VLOOKUP(C37,'Mao_de_Obra (Total)'!B$15:C$108,2,FALSE)</f>
        <v>P1</v>
      </c>
      <c r="C37" s="201" t="s">
        <v>585</v>
      </c>
      <c r="D37" s="202" t="s">
        <v>1419</v>
      </c>
      <c r="E37" s="203">
        <f>SUMIF('Mao_de_Obra (Total)'!B$14:B$109,C37,'Mao_de_Obra (Total)'!F$14:F$109)</f>
        <v>12</v>
      </c>
      <c r="F37" s="204">
        <f>VLOOKUP(C37,'Mao_de_Obra (Total)'!B$11:P$109,15,FALSE)</f>
        <v>25871.129999999997</v>
      </c>
      <c r="G37" s="204">
        <f t="shared" si="0"/>
        <v>310453.56</v>
      </c>
    </row>
    <row r="38" spans="1:7" s="196" customFormat="1" x14ac:dyDescent="0.25">
      <c r="A38" s="339" t="s">
        <v>147</v>
      </c>
      <c r="B38" s="450" t="str">
        <f>VLOOKUP(C38,'Mao_de_Obra (Total)'!B$15:C$108,2,FALSE)</f>
        <v>P1</v>
      </c>
      <c r="C38" s="201" t="s">
        <v>587</v>
      </c>
      <c r="D38" s="202" t="s">
        <v>1419</v>
      </c>
      <c r="E38" s="203">
        <f>SUMIF('Mao_de_Obra (Total)'!B$14:B$109,C38,'Mao_de_Obra (Total)'!F$14:F$109)</f>
        <v>12</v>
      </c>
      <c r="F38" s="204">
        <f>VLOOKUP(C38,'Mao_de_Obra (Total)'!B$11:P$109,15,FALSE)</f>
        <v>25871.129999999997</v>
      </c>
      <c r="G38" s="204">
        <f t="shared" si="0"/>
        <v>310453.56</v>
      </c>
    </row>
    <row r="39" spans="1:7" s="196" customFormat="1" ht="25.5" x14ac:dyDescent="0.25">
      <c r="A39" s="339" t="s">
        <v>148</v>
      </c>
      <c r="B39" s="450" t="str">
        <f>VLOOKUP(C39,'Mao_de_Obra (Total)'!B$15:C$108,2,FALSE)</f>
        <v>T1</v>
      </c>
      <c r="C39" s="201" t="s">
        <v>2212</v>
      </c>
      <c r="D39" s="202" t="s">
        <v>1419</v>
      </c>
      <c r="E39" s="203">
        <f>SUMIF('Mao_de_Obra (Total)'!B$14:B$109,C39,'Mao_de_Obra (Total)'!F$14:F$109)</f>
        <v>12</v>
      </c>
      <c r="F39" s="204">
        <f>VLOOKUP(C39,'Mao_de_Obra (Total)'!B$11:P$109,15,FALSE)</f>
        <v>7255.8899999999994</v>
      </c>
      <c r="G39" s="204">
        <f t="shared" si="0"/>
        <v>87070.68</v>
      </c>
    </row>
    <row r="40" spans="1:7" s="196" customFormat="1" ht="25.5" x14ac:dyDescent="0.25">
      <c r="A40" s="339" t="s">
        <v>149</v>
      </c>
      <c r="B40" s="450" t="str">
        <f>VLOOKUP(C40,'Mao_de_Obra (Total)'!B$15:C$108,2,FALSE)</f>
        <v>T1</v>
      </c>
      <c r="C40" s="201" t="s">
        <v>2213</v>
      </c>
      <c r="D40" s="202" t="s">
        <v>1419</v>
      </c>
      <c r="E40" s="203">
        <f>SUMIF('Mao_de_Obra (Total)'!B$14:B$109,C40,'Mao_de_Obra (Total)'!F$14:F$109)</f>
        <v>12</v>
      </c>
      <c r="F40" s="204">
        <f>VLOOKUP(C40,'Mao_de_Obra (Total)'!B$11:P$109,15,FALSE)</f>
        <v>7255.8899999999994</v>
      </c>
      <c r="G40" s="204">
        <f t="shared" si="0"/>
        <v>87070.68</v>
      </c>
    </row>
    <row r="41" spans="1:7" s="196" customFormat="1" ht="25.5" x14ac:dyDescent="0.25">
      <c r="A41" s="339" t="s">
        <v>150</v>
      </c>
      <c r="B41" s="450" t="str">
        <f>VLOOKUP(C41,'Mao_de_Obra (Total)'!B$15:C$108,2,FALSE)</f>
        <v>T1</v>
      </c>
      <c r="C41" s="201" t="s">
        <v>2214</v>
      </c>
      <c r="D41" s="202" t="s">
        <v>1419</v>
      </c>
      <c r="E41" s="203">
        <f>SUMIF('Mao_de_Obra (Total)'!B$14:B$109,C41,'Mao_de_Obra (Total)'!F$14:F$109)</f>
        <v>12</v>
      </c>
      <c r="F41" s="204">
        <f>VLOOKUP(C41,'Mao_de_Obra (Total)'!B$11:P$109,15,FALSE)</f>
        <v>7255.8899999999994</v>
      </c>
      <c r="G41" s="204">
        <f t="shared" si="0"/>
        <v>87070.68</v>
      </c>
    </row>
    <row r="42" spans="1:7" s="196" customFormat="1" x14ac:dyDescent="0.25">
      <c r="A42" s="339" t="s">
        <v>151</v>
      </c>
      <c r="B42" s="450" t="str">
        <f>VLOOKUP(C42,'Mao_de_Obra (Total)'!B$15:C$108,2,FALSE)</f>
        <v>T1</v>
      </c>
      <c r="C42" s="201" t="s">
        <v>2215</v>
      </c>
      <c r="D42" s="202" t="s">
        <v>1419</v>
      </c>
      <c r="E42" s="203">
        <f>SUMIF('Mao_de_Obra (Total)'!B$14:B$109,C42,'Mao_de_Obra (Total)'!F$14:F$109)</f>
        <v>12</v>
      </c>
      <c r="F42" s="204">
        <f>VLOOKUP(C42,'Mao_de_Obra (Total)'!B$11:P$109,15,FALSE)</f>
        <v>7255.8899999999994</v>
      </c>
      <c r="G42" s="204">
        <f t="shared" si="0"/>
        <v>87070.68</v>
      </c>
    </row>
    <row r="43" spans="1:7" s="196" customFormat="1" x14ac:dyDescent="0.25">
      <c r="A43" s="339" t="s">
        <v>152</v>
      </c>
      <c r="B43" s="450" t="str">
        <f>VLOOKUP(C43,'Mao_de_Obra (Total)'!B$15:C$108,2,FALSE)</f>
        <v>T1</v>
      </c>
      <c r="C43" s="201" t="s">
        <v>2216</v>
      </c>
      <c r="D43" s="202" t="s">
        <v>1419</v>
      </c>
      <c r="E43" s="203">
        <f>SUMIF('Mao_de_Obra (Total)'!B$14:B$109,C43,'Mao_de_Obra (Total)'!F$14:F$109)</f>
        <v>12</v>
      </c>
      <c r="F43" s="204">
        <f>VLOOKUP(C43,'Mao_de_Obra (Total)'!B$11:P$109,15,FALSE)</f>
        <v>7255.8899999999994</v>
      </c>
      <c r="G43" s="204">
        <f t="shared" si="0"/>
        <v>87070.68</v>
      </c>
    </row>
    <row r="44" spans="1:7" s="196" customFormat="1" x14ac:dyDescent="0.25">
      <c r="A44" s="339" t="s">
        <v>153</v>
      </c>
      <c r="B44" s="450" t="str">
        <f>VLOOKUP(C44,'Mao_de_Obra (Total)'!B$15:C$108,2,FALSE)</f>
        <v>P1</v>
      </c>
      <c r="C44" s="201" t="s">
        <v>593</v>
      </c>
      <c r="D44" s="202" t="s">
        <v>1419</v>
      </c>
      <c r="E44" s="203">
        <f>SUMIF('Mao_de_Obra (Total)'!B$14:B$109,C44,'Mao_de_Obra (Total)'!F$14:F$109)</f>
        <v>12</v>
      </c>
      <c r="F44" s="204">
        <f>VLOOKUP(C44,'Mao_de_Obra (Total)'!B$11:P$109,15,FALSE)</f>
        <v>25871.129999999997</v>
      </c>
      <c r="G44" s="204">
        <f t="shared" si="0"/>
        <v>310453.56</v>
      </c>
    </row>
    <row r="45" spans="1:7" s="196" customFormat="1" ht="25.5" x14ac:dyDescent="0.25">
      <c r="A45" s="339" t="s">
        <v>154</v>
      </c>
      <c r="B45" s="450" t="str">
        <f>VLOOKUP(C45,'Mao_de_Obra (Total)'!B$15:C$108,2,FALSE)</f>
        <v>T1</v>
      </c>
      <c r="C45" s="201" t="s">
        <v>2202</v>
      </c>
      <c r="D45" s="202" t="s">
        <v>1419</v>
      </c>
      <c r="E45" s="203">
        <f>SUMIF('Mao_de_Obra (Total)'!B$14:B$109,C45,'Mao_de_Obra (Total)'!F$14:F$109)</f>
        <v>216</v>
      </c>
      <c r="F45" s="204">
        <f>VLOOKUP(C45,'Mao_de_Obra (Total)'!B$11:P$109,15,FALSE)</f>
        <v>9432.66</v>
      </c>
      <c r="G45" s="204">
        <f t="shared" si="0"/>
        <v>2037454.56</v>
      </c>
    </row>
    <row r="46" spans="1:7" s="196" customFormat="1" ht="25.5" x14ac:dyDescent="0.25">
      <c r="A46" s="339" t="s">
        <v>155</v>
      </c>
      <c r="B46" s="450" t="str">
        <f>VLOOKUP(C46,'Mao_de_Obra (Total)'!B$15:C$108,2,FALSE)</f>
        <v>T1</v>
      </c>
      <c r="C46" s="201" t="s">
        <v>2203</v>
      </c>
      <c r="D46" s="202" t="s">
        <v>1419</v>
      </c>
      <c r="E46" s="203">
        <f>SUMIF('Mao_de_Obra (Total)'!B$14:B$109,C46,'Mao_de_Obra (Total)'!F$14:F$109)</f>
        <v>216</v>
      </c>
      <c r="F46" s="204">
        <f ca="1">VLOOKUP(C46,'Mao_de_Obra (Total)'!B$11:P$109,15,FALSE)</f>
        <v>11542.836545454546</v>
      </c>
      <c r="G46" s="204">
        <f t="shared" ca="1" si="0"/>
        <v>2493252.69</v>
      </c>
    </row>
    <row r="47" spans="1:7" s="196" customFormat="1" ht="25.5" x14ac:dyDescent="0.25">
      <c r="A47" s="339" t="s">
        <v>156</v>
      </c>
      <c r="B47" s="450" t="str">
        <f>VLOOKUP(C47,'Mao_de_Obra (Total)'!B$15:C$108,2,FALSE)</f>
        <v>T2</v>
      </c>
      <c r="C47" s="201" t="s">
        <v>2204</v>
      </c>
      <c r="D47" s="202" t="s">
        <v>1419</v>
      </c>
      <c r="E47" s="203">
        <f>SUMIF('Mao_de_Obra (Total)'!B$14:B$109,C47,'Mao_de_Obra (Total)'!F$14:F$109)</f>
        <v>216</v>
      </c>
      <c r="F47" s="204">
        <f>VLOOKUP(C47,'Mao_de_Obra (Total)'!B$11:P$109,15,FALSE)</f>
        <v>7819.33</v>
      </c>
      <c r="G47" s="204">
        <f t="shared" si="0"/>
        <v>1688975.28</v>
      </c>
    </row>
    <row r="48" spans="1:7" s="196" customFormat="1" ht="25.5" x14ac:dyDescent="0.25">
      <c r="A48" s="339" t="s">
        <v>157</v>
      </c>
      <c r="B48" s="450" t="str">
        <f>VLOOKUP(C48,'Mao_de_Obra (Total)'!B$15:C$108,2,FALSE)</f>
        <v>T2</v>
      </c>
      <c r="C48" s="201" t="s">
        <v>2205</v>
      </c>
      <c r="D48" s="202" t="s">
        <v>1419</v>
      </c>
      <c r="E48" s="203">
        <f>SUMIF('Mao_de_Obra (Total)'!B$14:B$109,C48,'Mao_de_Obra (Total)'!F$14:F$109)</f>
        <v>216</v>
      </c>
      <c r="F48" s="204">
        <f ca="1">VLOOKUP(C48,'Mao_de_Obra (Total)'!B$11:P$109,15,FALSE)</f>
        <v>9568.5918181818161</v>
      </c>
      <c r="G48" s="204">
        <f t="shared" ca="1" si="0"/>
        <v>2066815.83</v>
      </c>
    </row>
    <row r="49" spans="1:9" s="196" customFormat="1" ht="25.5" x14ac:dyDescent="0.25">
      <c r="A49" s="339" t="s">
        <v>158</v>
      </c>
      <c r="B49" s="450" t="str">
        <f>VLOOKUP(C49,'Mao_de_Obra (Total)'!B$15:C$108,2,FALSE)</f>
        <v>T1</v>
      </c>
      <c r="C49" s="201" t="s">
        <v>2206</v>
      </c>
      <c r="D49" s="202" t="s">
        <v>1419</v>
      </c>
      <c r="E49" s="203">
        <f>SUMIF('Mao_de_Obra (Total)'!B$14:B$109,C49,'Mao_de_Obra (Total)'!F$14:F$109)</f>
        <v>216</v>
      </c>
      <c r="F49" s="204">
        <f>VLOOKUP(C49,'Mao_de_Obra (Total)'!B$11:P$109,15,FALSE)</f>
        <v>9432.66</v>
      </c>
      <c r="G49" s="204">
        <f t="shared" si="0"/>
        <v>2037454.56</v>
      </c>
    </row>
    <row r="50" spans="1:9" s="196" customFormat="1" ht="25.5" x14ac:dyDescent="0.25">
      <c r="A50" s="339" t="s">
        <v>159</v>
      </c>
      <c r="B50" s="450" t="str">
        <f>VLOOKUP(C50,'Mao_de_Obra (Total)'!B$15:C$108,2,FALSE)</f>
        <v>T1</v>
      </c>
      <c r="C50" s="201" t="s">
        <v>2207</v>
      </c>
      <c r="D50" s="202" t="s">
        <v>1419</v>
      </c>
      <c r="E50" s="203">
        <f>SUMIF('Mao_de_Obra (Total)'!B$14:B$109,C50,'Mao_de_Obra (Total)'!F$14:F$109)</f>
        <v>216</v>
      </c>
      <c r="F50" s="204">
        <f ca="1">VLOOKUP(C50,'Mao_de_Obra (Total)'!B$11:P$109,15,FALSE)</f>
        <v>11542.836545454546</v>
      </c>
      <c r="G50" s="204">
        <f t="shared" ca="1" si="0"/>
        <v>2493252.69</v>
      </c>
    </row>
    <row r="51" spans="1:9" s="196" customFormat="1" ht="25.5" x14ac:dyDescent="0.25">
      <c r="A51" s="339" t="s">
        <v>160</v>
      </c>
      <c r="B51" s="450" t="str">
        <f>VLOOKUP(C51,'Mao_de_Obra (Total)'!B$15:C$108,2,FALSE)</f>
        <v>T2</v>
      </c>
      <c r="C51" s="201" t="s">
        <v>2208</v>
      </c>
      <c r="D51" s="202" t="s">
        <v>1419</v>
      </c>
      <c r="E51" s="203">
        <f>SUMIF('Mao_de_Obra (Total)'!B$14:B$109,C51,'Mao_de_Obra (Total)'!F$14:F$109)</f>
        <v>216</v>
      </c>
      <c r="F51" s="204">
        <f>VLOOKUP(C51,'Mao_de_Obra (Total)'!B$11:P$109,15,FALSE)</f>
        <v>7819.33</v>
      </c>
      <c r="G51" s="204">
        <f t="shared" si="0"/>
        <v>1688975.28</v>
      </c>
    </row>
    <row r="52" spans="1:9" s="196" customFormat="1" ht="25.5" x14ac:dyDescent="0.25">
      <c r="A52" s="339" t="s">
        <v>161</v>
      </c>
      <c r="B52" s="450" t="str">
        <f>VLOOKUP(C52,'Mao_de_Obra (Total)'!B$15:C$108,2,FALSE)</f>
        <v>T2</v>
      </c>
      <c r="C52" s="201" t="s">
        <v>2209</v>
      </c>
      <c r="D52" s="202" t="s">
        <v>1419</v>
      </c>
      <c r="E52" s="203">
        <f>SUMIF('Mao_de_Obra (Total)'!B$14:B$109,C52,'Mao_de_Obra (Total)'!F$14:F$109)</f>
        <v>216</v>
      </c>
      <c r="F52" s="204">
        <f ca="1">VLOOKUP(C52,'Mao_de_Obra (Total)'!B$11:P$109,15,FALSE)</f>
        <v>9568.5918181818161</v>
      </c>
      <c r="G52" s="204">
        <f t="shared" ca="1" si="0"/>
        <v>2066815.83</v>
      </c>
    </row>
    <row r="53" spans="1:9" s="196" customFormat="1" x14ac:dyDescent="0.25">
      <c r="A53" s="339" t="s">
        <v>162</v>
      </c>
      <c r="B53" s="450" t="str">
        <f>VLOOKUP(C53,'Mao_de_Obra (Total)'!B$15:C$108,2,FALSE)</f>
        <v>T3</v>
      </c>
      <c r="C53" s="201" t="s">
        <v>2197</v>
      </c>
      <c r="D53" s="202" t="s">
        <v>1419</v>
      </c>
      <c r="E53" s="203">
        <f>SUMIF('Mao_de_Obra (Total)'!B$14:B$109,C53,'Mao_de_Obra (Total)'!F$14:F$109)</f>
        <v>204</v>
      </c>
      <c r="F53" s="204">
        <f>VLOOKUP(C53,'Mao_de_Obra (Total)'!B$11:P$109,15,FALSE)</f>
        <v>3405</v>
      </c>
      <c r="G53" s="204">
        <f t="shared" si="0"/>
        <v>694620</v>
      </c>
      <c r="I53" s="21"/>
    </row>
    <row r="54" spans="1:9" s="196" customFormat="1" x14ac:dyDescent="0.25">
      <c r="A54" s="339" t="s">
        <v>163</v>
      </c>
      <c r="B54" s="450" t="str">
        <f>VLOOKUP(C54,'Mao_de_Obra (Total)'!B$15:C$108,2,FALSE)</f>
        <v>T3</v>
      </c>
      <c r="C54" s="201" t="s">
        <v>2210</v>
      </c>
      <c r="D54" s="202" t="s">
        <v>1419</v>
      </c>
      <c r="E54" s="203">
        <f>SUMIF('Mao_de_Obra (Total)'!B$14:B$109,C54,'Mao_de_Obra (Total)'!F$14:F$109)</f>
        <v>48</v>
      </c>
      <c r="F54" s="204">
        <f>VLOOKUP(C54,'Mao_de_Obra (Total)'!B$11:P$109,15,FALSE)</f>
        <v>3405</v>
      </c>
      <c r="G54" s="204">
        <f t="shared" si="0"/>
        <v>163440</v>
      </c>
      <c r="I54" s="21"/>
    </row>
    <row r="55" spans="1:9" s="196" customFormat="1" x14ac:dyDescent="0.25">
      <c r="A55" s="339" t="s">
        <v>164</v>
      </c>
      <c r="B55" s="450" t="str">
        <f>VLOOKUP(C55,'Mao_de_Obra (Total)'!B$15:C$108,2,FALSE)</f>
        <v>T1</v>
      </c>
      <c r="C55" s="201" t="s">
        <v>2200</v>
      </c>
      <c r="D55" s="202" t="s">
        <v>1419</v>
      </c>
      <c r="E55" s="203">
        <f>SUMIF('Mao_de_Obra (Total)'!B$14:B$109,C55,'Mao_de_Obra (Total)'!F$14:F$109)</f>
        <v>36</v>
      </c>
      <c r="F55" s="204">
        <f>VLOOKUP(C55,'Mao_de_Obra (Total)'!B$11:P$109,15,FALSE)</f>
        <v>9432.66</v>
      </c>
      <c r="G55" s="204">
        <f t="shared" si="0"/>
        <v>339575.76</v>
      </c>
      <c r="I55" s="21"/>
    </row>
    <row r="56" spans="1:9" s="196" customFormat="1" x14ac:dyDescent="0.25">
      <c r="A56" s="339" t="s">
        <v>165</v>
      </c>
      <c r="B56" s="450" t="str">
        <f>VLOOKUP(C56,'Mao_de_Obra (Total)'!B$15:C$108,2,FALSE)</f>
        <v>T3</v>
      </c>
      <c r="C56" s="201" t="s">
        <v>2201</v>
      </c>
      <c r="D56" s="202" t="s">
        <v>1419</v>
      </c>
      <c r="E56" s="203">
        <f>SUMIF('Mao_de_Obra (Total)'!B$14:B$109,C56,'Mao_de_Obra (Total)'!F$14:F$109)</f>
        <v>48</v>
      </c>
      <c r="F56" s="204">
        <f>VLOOKUP(C56,'Mao_de_Obra (Total)'!B$11:P$109,15,FALSE)</f>
        <v>3405</v>
      </c>
      <c r="G56" s="204">
        <f t="shared" si="0"/>
        <v>163440</v>
      </c>
      <c r="I56" s="21"/>
    </row>
    <row r="57" spans="1:9" s="196" customFormat="1" ht="25.5" x14ac:dyDescent="0.25">
      <c r="A57" s="339" t="s">
        <v>166</v>
      </c>
      <c r="B57" s="450" t="str">
        <f>VLOOKUP(C57,'Mao_de_Obra (Total)'!B$15:C$108,2,FALSE)</f>
        <v>T1</v>
      </c>
      <c r="C57" s="201" t="s">
        <v>2199</v>
      </c>
      <c r="D57" s="202" t="s">
        <v>1419</v>
      </c>
      <c r="E57" s="203">
        <f>SUMIF('Mao_de_Obra (Total)'!B$14:B$109,C57,'Mao_de_Obra (Total)'!F$14:F$109)</f>
        <v>36</v>
      </c>
      <c r="F57" s="204">
        <f>VLOOKUP(C57,'Mao_de_Obra (Total)'!B$11:P$109,15,FALSE)</f>
        <v>9432.66</v>
      </c>
      <c r="G57" s="204">
        <f t="shared" si="0"/>
        <v>339575.76</v>
      </c>
      <c r="I57" s="21"/>
    </row>
    <row r="58" spans="1:9" s="196" customFormat="1" ht="25.5" x14ac:dyDescent="0.25">
      <c r="A58" s="339" t="s">
        <v>167</v>
      </c>
      <c r="B58" s="450" t="str">
        <f>VLOOKUP(C58,'Mao_de_Obra (Total)'!B$15:C$108,2,FALSE)</f>
        <v>T1</v>
      </c>
      <c r="C58" s="201" t="s">
        <v>2217</v>
      </c>
      <c r="D58" s="202" t="s">
        <v>1419</v>
      </c>
      <c r="E58" s="203">
        <f>SUMIF('Mao_de_Obra (Total)'!B$14:B$109,C58,'Mao_de_Obra (Total)'!F$14:F$109)</f>
        <v>12</v>
      </c>
      <c r="F58" s="204">
        <f>VLOOKUP(C58,'Mao_de_Obra (Total)'!B$11:P$109,15,FALSE)</f>
        <v>9432.66</v>
      </c>
      <c r="G58" s="204">
        <f t="shared" si="0"/>
        <v>113191.92</v>
      </c>
      <c r="I58" s="78"/>
    </row>
    <row r="59" spans="1:9" s="196" customFormat="1" x14ac:dyDescent="0.25">
      <c r="A59" s="339" t="s">
        <v>168</v>
      </c>
      <c r="B59" s="450" t="str">
        <f>VLOOKUP(C59,'Mao_de_Obra (Total)'!B$15:C$108,2,FALSE)</f>
        <v>T3</v>
      </c>
      <c r="C59" s="201" t="s">
        <v>2184</v>
      </c>
      <c r="D59" s="202" t="s">
        <v>1419</v>
      </c>
      <c r="E59" s="203">
        <f>SUMIF('Mao_de_Obra (Total)'!B$14:B$109,C59,'Mao_de_Obra (Total)'!F$14:F$109)</f>
        <v>60</v>
      </c>
      <c r="F59" s="204">
        <f>VLOOKUP(C59,'Mao_de_Obra (Total)'!B$11:P$109,15,FALSE)</f>
        <v>3405</v>
      </c>
      <c r="G59" s="204">
        <f t="shared" si="0"/>
        <v>204300</v>
      </c>
      <c r="I59" s="78"/>
    </row>
    <row r="60" spans="1:9" s="196" customFormat="1" ht="25.5" x14ac:dyDescent="0.25">
      <c r="A60" s="339" t="s">
        <v>169</v>
      </c>
      <c r="B60" s="450" t="str">
        <f>VLOOKUP(C60,'Mao_de_Obra (Total)'!B$15:C$108,2,FALSE)</f>
        <v>T1</v>
      </c>
      <c r="C60" s="201" t="s">
        <v>2190</v>
      </c>
      <c r="D60" s="202" t="s">
        <v>1419</v>
      </c>
      <c r="E60" s="203">
        <f>SUMIF('Mao_de_Obra (Total)'!B$14:B$109,C60,'Mao_de_Obra (Total)'!F$14:F$109)</f>
        <v>12</v>
      </c>
      <c r="F60" s="204">
        <f>VLOOKUP(C60,'Mao_de_Obra (Total)'!B$11:P$109,15,FALSE)</f>
        <v>9432.66</v>
      </c>
      <c r="G60" s="204">
        <f t="shared" si="0"/>
        <v>113191.92</v>
      </c>
      <c r="I60" s="78"/>
    </row>
    <row r="61" spans="1:9" s="21" customFormat="1" x14ac:dyDescent="0.25">
      <c r="A61" s="339" t="s">
        <v>170</v>
      </c>
      <c r="B61" s="450" t="str">
        <f>VLOOKUP(C61,'Mao_de_Obra (Total)'!B$15:C$108,2,FALSE)</f>
        <v>T4</v>
      </c>
      <c r="C61" s="201" t="s">
        <v>2191</v>
      </c>
      <c r="D61" s="202" t="s">
        <v>1419</v>
      </c>
      <c r="E61" s="203">
        <f>SUMIF('Mao_de_Obra (Total)'!B$14:B$109,C61,'Mao_de_Obra (Total)'!F$14:F$109)</f>
        <v>12</v>
      </c>
      <c r="F61" s="204">
        <f>VLOOKUP(C61,'Mao_de_Obra (Total)'!B$11:P$109,15,FALSE)</f>
        <v>2391.61</v>
      </c>
      <c r="G61" s="204">
        <f t="shared" si="0"/>
        <v>28699.32</v>
      </c>
      <c r="H61" s="196"/>
      <c r="I61" s="78"/>
    </row>
    <row r="62" spans="1:9" s="21" customFormat="1" ht="25.5" x14ac:dyDescent="0.25">
      <c r="A62" s="339" t="s">
        <v>171</v>
      </c>
      <c r="B62" s="450" t="str">
        <f>VLOOKUP(C62,'Mao_de_Obra (Total)'!B$15:C$108,2,FALSE)</f>
        <v>T1</v>
      </c>
      <c r="C62" s="201" t="s">
        <v>2192</v>
      </c>
      <c r="D62" s="202" t="s">
        <v>1419</v>
      </c>
      <c r="E62" s="203">
        <f>SUMIF('Mao_de_Obra (Total)'!B$14:B$109,C62,'Mao_de_Obra (Total)'!F$14:F$109)</f>
        <v>12</v>
      </c>
      <c r="F62" s="204">
        <f>VLOOKUP(C62,'Mao_de_Obra (Total)'!B$11:P$109,15,FALSE)</f>
        <v>9432.66</v>
      </c>
      <c r="G62" s="204">
        <f t="shared" si="0"/>
        <v>113191.92</v>
      </c>
      <c r="H62" s="196"/>
      <c r="I62" s="78"/>
    </row>
    <row r="63" spans="1:9" s="21" customFormat="1" ht="25.5" x14ac:dyDescent="0.25">
      <c r="A63" s="339" t="s">
        <v>359</v>
      </c>
      <c r="B63" s="450" t="str">
        <f>VLOOKUP(C63,'Mao_de_Obra (Total)'!B$15:C$108,2,FALSE)</f>
        <v>T1</v>
      </c>
      <c r="C63" s="201" t="s">
        <v>2193</v>
      </c>
      <c r="D63" s="202" t="s">
        <v>1419</v>
      </c>
      <c r="E63" s="203">
        <f>SUMIF('Mao_de_Obra (Total)'!B$14:B$109,C63,'Mao_de_Obra (Total)'!F$14:F$109)</f>
        <v>36</v>
      </c>
      <c r="F63" s="204">
        <f>VLOOKUP(C63,'Mao_de_Obra (Total)'!B$11:P$109,15,FALSE)</f>
        <v>9432.66</v>
      </c>
      <c r="G63" s="204">
        <f t="shared" si="0"/>
        <v>339575.76</v>
      </c>
      <c r="H63" s="196"/>
      <c r="I63" s="78"/>
    </row>
    <row r="64" spans="1:9" s="21" customFormat="1" ht="25.5" x14ac:dyDescent="0.25">
      <c r="A64" s="339" t="s">
        <v>193</v>
      </c>
      <c r="B64" s="450" t="str">
        <f>VLOOKUP(C64,'Mao_de_Obra (Total)'!B$15:C$108,2,FALSE)</f>
        <v>T1</v>
      </c>
      <c r="C64" s="201" t="s">
        <v>2195</v>
      </c>
      <c r="D64" s="202" t="s">
        <v>1419</v>
      </c>
      <c r="E64" s="203">
        <f>SUMIF('Mao_de_Obra (Total)'!B$14:B$109,C64,'Mao_de_Obra (Total)'!F$14:F$109)</f>
        <v>12</v>
      </c>
      <c r="F64" s="204">
        <f>VLOOKUP(C64,'Mao_de_Obra (Total)'!B$11:P$109,15,FALSE)</f>
        <v>9432.66</v>
      </c>
      <c r="G64" s="204">
        <f t="shared" si="0"/>
        <v>113191.92</v>
      </c>
      <c r="H64" s="196"/>
      <c r="I64" s="78"/>
    </row>
    <row r="65" spans="1:9" s="21" customFormat="1" ht="25.5" x14ac:dyDescent="0.25">
      <c r="A65" s="339" t="s">
        <v>194</v>
      </c>
      <c r="B65" s="450" t="str">
        <f>VLOOKUP(C65,'Mao_de_Obra (Total)'!B$15:C$108,2,FALSE)</f>
        <v>T1</v>
      </c>
      <c r="C65" s="201" t="s">
        <v>2196</v>
      </c>
      <c r="D65" s="202" t="s">
        <v>1419</v>
      </c>
      <c r="E65" s="203">
        <f>SUMIF('Mao_de_Obra (Total)'!B$14:B$109,C65,'Mao_de_Obra (Total)'!F$14:F$109)</f>
        <v>12</v>
      </c>
      <c r="F65" s="204">
        <f>VLOOKUP(C65,'Mao_de_Obra (Total)'!B$11:P$109,15,FALSE)</f>
        <v>9432.66</v>
      </c>
      <c r="G65" s="204">
        <f t="shared" si="0"/>
        <v>113191.92</v>
      </c>
      <c r="H65" s="196"/>
      <c r="I65" s="78"/>
    </row>
    <row r="66" spans="1:9" s="21" customFormat="1" ht="25.5" x14ac:dyDescent="0.25">
      <c r="A66" s="339" t="s">
        <v>195</v>
      </c>
      <c r="B66" s="450" t="str">
        <f>VLOOKUP(C66,'Mao_de_Obra (Total)'!B$15:C$108,2,FALSE)</f>
        <v>T1</v>
      </c>
      <c r="C66" s="201" t="s">
        <v>2218</v>
      </c>
      <c r="D66" s="202" t="s">
        <v>1419</v>
      </c>
      <c r="E66" s="203">
        <f>SUMIF('Mao_de_Obra (Total)'!B$14:B$109,C66,'Mao_de_Obra (Total)'!F$14:F$109)</f>
        <v>36</v>
      </c>
      <c r="F66" s="204">
        <f>VLOOKUP(C66,'Mao_de_Obra (Total)'!B$11:P$109,15,FALSE)</f>
        <v>9432.66</v>
      </c>
      <c r="G66" s="204">
        <f t="shared" si="0"/>
        <v>339575.76</v>
      </c>
      <c r="H66" s="196"/>
      <c r="I66" s="78"/>
    </row>
    <row r="67" spans="1:9" x14ac:dyDescent="0.25">
      <c r="A67" s="339" t="s">
        <v>196</v>
      </c>
      <c r="B67" s="450" t="str">
        <f>VLOOKUP(C67,'Mao_de_Obra (Total)'!B$15:C$108,2,FALSE)</f>
        <v>T2</v>
      </c>
      <c r="C67" s="201" t="s">
        <v>2211</v>
      </c>
      <c r="D67" s="202" t="s">
        <v>1419</v>
      </c>
      <c r="E67" s="203">
        <f>SUMIF('Mao_de_Obra (Total)'!B$14:B$109,C67,'Mao_de_Obra (Total)'!F$14:F$109)</f>
        <v>36</v>
      </c>
      <c r="F67" s="204">
        <f>VLOOKUP(C67,'Mao_de_Obra (Total)'!B$11:P$109,15,FALSE)</f>
        <v>7819.33</v>
      </c>
      <c r="G67" s="204">
        <f t="shared" si="0"/>
        <v>281495.88</v>
      </c>
      <c r="H67" s="196"/>
    </row>
    <row r="68" spans="1:9" x14ac:dyDescent="0.25">
      <c r="A68" s="339" t="s">
        <v>198</v>
      </c>
      <c r="B68" s="450" t="str">
        <f>VLOOKUP(C68,'Mao_de_Obra (Total)'!B$15:C$108,2,FALSE)</f>
        <v>T2</v>
      </c>
      <c r="C68" s="201" t="s">
        <v>614</v>
      </c>
      <c r="D68" s="202" t="s">
        <v>1419</v>
      </c>
      <c r="E68" s="203">
        <f>SUMIF('Mao_de_Obra (Total)'!B$14:B$109,C68,'Mao_de_Obra (Total)'!F$14:F$109)</f>
        <v>36</v>
      </c>
      <c r="F68" s="204">
        <f>VLOOKUP(C68,'Mao_de_Obra (Total)'!B$11:P$109,15,FALSE)</f>
        <v>6014.87</v>
      </c>
      <c r="G68" s="204">
        <f t="shared" ref="G68:G74" si="1">ROUND(E68*F68,2)</f>
        <v>216535.32</v>
      </c>
      <c r="H68" s="196"/>
    </row>
    <row r="69" spans="1:9" x14ac:dyDescent="0.25">
      <c r="A69" s="339" t="s">
        <v>1138</v>
      </c>
      <c r="B69" s="450" t="str">
        <f>VLOOKUP(C69,'Mao_de_Obra (Total)'!B$15:C$108,2,FALSE)</f>
        <v>T1</v>
      </c>
      <c r="C69" s="201" t="s">
        <v>2187</v>
      </c>
      <c r="D69" s="202" t="s">
        <v>1419</v>
      </c>
      <c r="E69" s="203">
        <f>SUMIF('Mao_de_Obra (Total)'!B$14:B$109,C69,'Mao_de_Obra (Total)'!F$14:F$109)</f>
        <v>12</v>
      </c>
      <c r="F69" s="204">
        <f>VLOOKUP(C69,'Mao_de_Obra (Total)'!B$11:P$109,15,FALSE)</f>
        <v>9432.66</v>
      </c>
      <c r="G69" s="204">
        <f t="shared" si="1"/>
        <v>113191.92</v>
      </c>
      <c r="H69" s="196"/>
    </row>
    <row r="70" spans="1:9" x14ac:dyDescent="0.25">
      <c r="A70" s="339" t="s">
        <v>1139</v>
      </c>
      <c r="B70" s="450" t="str">
        <f>VLOOKUP(C70,'Mao_de_Obra (Total)'!B$15:C$108,2,FALSE)</f>
        <v>T4</v>
      </c>
      <c r="C70" s="201" t="s">
        <v>2186</v>
      </c>
      <c r="D70" s="202" t="s">
        <v>1419</v>
      </c>
      <c r="E70" s="203">
        <f>SUMIF('Mao_de_Obra (Total)'!B$14:B$109,C70,'Mao_de_Obra (Total)'!F$14:F$109)</f>
        <v>24</v>
      </c>
      <c r="F70" s="204">
        <f>VLOOKUP(C70,'Mao_de_Obra (Total)'!B$11:P$109,15,FALSE)</f>
        <v>2391.61</v>
      </c>
      <c r="G70" s="204">
        <f t="shared" si="1"/>
        <v>57398.64</v>
      </c>
      <c r="H70" s="196"/>
    </row>
    <row r="71" spans="1:9" x14ac:dyDescent="0.25">
      <c r="A71" s="339" t="s">
        <v>1140</v>
      </c>
      <c r="B71" s="450" t="str">
        <f>VLOOKUP(C71,'Mao_de_Obra (Total)'!B$15:C$108,2,FALSE)</f>
        <v>T3</v>
      </c>
      <c r="C71" s="201" t="s">
        <v>2185</v>
      </c>
      <c r="D71" s="202" t="s">
        <v>1419</v>
      </c>
      <c r="E71" s="203">
        <f>SUMIF('Mao_de_Obra (Total)'!B$14:B$109,C71,'Mao_de_Obra (Total)'!F$14:F$109)</f>
        <v>36</v>
      </c>
      <c r="F71" s="204">
        <f>VLOOKUP(C71,'Mao_de_Obra (Total)'!B$11:P$109,15,FALSE)</f>
        <v>3405</v>
      </c>
      <c r="G71" s="204">
        <f t="shared" si="1"/>
        <v>122580</v>
      </c>
      <c r="H71" s="196"/>
    </row>
    <row r="72" spans="1:9" x14ac:dyDescent="0.25">
      <c r="A72" s="339" t="s">
        <v>1141</v>
      </c>
      <c r="B72" s="450" t="str">
        <f>VLOOKUP(C72,'Mao_de_Obra (Total)'!B$15:C$108,2,FALSE)</f>
        <v>T3</v>
      </c>
      <c r="C72" s="201" t="s">
        <v>2183</v>
      </c>
      <c r="D72" s="202" t="s">
        <v>1419</v>
      </c>
      <c r="E72" s="203">
        <f>SUMIF('Mao_de_Obra (Total)'!B$14:B$109,C72,'Mao_de_Obra (Total)'!F$14:F$109)</f>
        <v>36</v>
      </c>
      <c r="F72" s="204">
        <f>VLOOKUP(C72,'Mao_de_Obra (Total)'!B$11:P$109,15,FALSE)</f>
        <v>3405</v>
      </c>
      <c r="G72" s="204">
        <f t="shared" si="1"/>
        <v>122580</v>
      </c>
      <c r="H72" s="196"/>
    </row>
    <row r="73" spans="1:9" x14ac:dyDescent="0.25">
      <c r="A73" s="339" t="s">
        <v>1142</v>
      </c>
      <c r="B73" s="450" t="str">
        <f>VLOOKUP(C73,'Mao_de_Obra (Total)'!B$15:C$108,2,FALSE)</f>
        <v>T3</v>
      </c>
      <c r="C73" s="201" t="s">
        <v>2182</v>
      </c>
      <c r="D73" s="202" t="s">
        <v>1419</v>
      </c>
      <c r="E73" s="203">
        <f>SUMIF('Mao_de_Obra (Total)'!B$14:B$109,C73,'Mao_de_Obra (Total)'!F$14:F$109)</f>
        <v>84</v>
      </c>
      <c r="F73" s="204">
        <f>VLOOKUP(C73,'Mao_de_Obra (Total)'!B$11:P$109,15,FALSE)</f>
        <v>3405</v>
      </c>
      <c r="G73" s="204">
        <f t="shared" si="1"/>
        <v>286020</v>
      </c>
      <c r="H73" s="196"/>
    </row>
    <row r="74" spans="1:9" x14ac:dyDescent="0.25">
      <c r="A74" s="339" t="s">
        <v>1143</v>
      </c>
      <c r="B74" s="450" t="str">
        <f>VLOOKUP(C74,'Mao_de_Obra (Total)'!B$15:C$108,2,FALSE)</f>
        <v>A4</v>
      </c>
      <c r="C74" s="201" t="s">
        <v>2181</v>
      </c>
      <c r="D74" s="202" t="s">
        <v>1419</v>
      </c>
      <c r="E74" s="203">
        <f>SUMIF('Mao_de_Obra (Total)'!B$14:B$109,C74,'Mao_de_Obra (Total)'!F$14:F$109)</f>
        <v>756</v>
      </c>
      <c r="F74" s="204">
        <f>VLOOKUP(C74,'Mao_de_Obra (Total)'!B$11:P$109,15,FALSE)</f>
        <v>3323.9300000000003</v>
      </c>
      <c r="G74" s="204">
        <f t="shared" si="1"/>
        <v>2512891.08</v>
      </c>
      <c r="H74" s="196"/>
    </row>
    <row r="75" spans="1:9" ht="13.5" thickBot="1" x14ac:dyDescent="0.3">
      <c r="A75" s="339"/>
      <c r="B75" s="450"/>
      <c r="C75" s="201"/>
      <c r="D75" s="202"/>
      <c r="E75" s="203"/>
      <c r="F75" s="204"/>
      <c r="G75" s="204"/>
      <c r="H75" s="196"/>
    </row>
    <row r="76" spans="1:9" ht="15.75" thickBot="1" x14ac:dyDescent="0.3">
      <c r="A76" s="723" t="str">
        <f>"TOTAL - "&amp;C13&amp;" - (R$):"</f>
        <v>TOTAL - EQUIPE - MÃO DE OBRA - (R$):</v>
      </c>
      <c r="B76" s="724"/>
      <c r="C76" s="724"/>
      <c r="D76" s="724"/>
      <c r="E76" s="724"/>
      <c r="F76" s="724"/>
      <c r="G76" s="22">
        <f ca="1">SUBTOTAL(9,G13:G75)</f>
        <v>30708604.920000017</v>
      </c>
      <c r="I76"/>
    </row>
    <row r="77" spans="1:9" ht="15" x14ac:dyDescent="0.25">
      <c r="A77" s="235"/>
      <c r="B77" s="235"/>
      <c r="C77" s="236"/>
      <c r="D77" s="21"/>
      <c r="E77" s="237"/>
      <c r="F77" s="237"/>
      <c r="G77" s="238"/>
      <c r="I77"/>
    </row>
    <row r="78" spans="1:9" ht="15.75" thickBot="1" x14ac:dyDescent="0.3">
      <c r="A78" s="235"/>
      <c r="B78" s="235"/>
      <c r="C78" s="236"/>
      <c r="D78" s="21"/>
      <c r="E78" s="237"/>
      <c r="F78" s="237"/>
      <c r="G78" s="238"/>
      <c r="I78"/>
    </row>
    <row r="79" spans="1:9" ht="15.75" thickBot="1" x14ac:dyDescent="0.3">
      <c r="A79" s="843" t="str">
        <f>"RESUMO - "&amp;A$8</f>
        <v>RESUMO - EQUIPE - MÃO DE OBRA</v>
      </c>
      <c r="B79" s="844"/>
      <c r="C79" s="844"/>
      <c r="D79" s="844"/>
      <c r="E79" s="844"/>
      <c r="F79" s="844"/>
      <c r="G79" s="845"/>
      <c r="I79"/>
    </row>
    <row r="80" spans="1:9" ht="15.75" thickBot="1" x14ac:dyDescent="0.3">
      <c r="A80" s="31" t="s">
        <v>363</v>
      </c>
      <c r="B80" s="436"/>
      <c r="C80" s="846" t="s">
        <v>366</v>
      </c>
      <c r="D80" s="847"/>
      <c r="E80" s="848"/>
      <c r="F80" s="856" t="s">
        <v>414</v>
      </c>
      <c r="G80" s="857"/>
      <c r="I80"/>
    </row>
    <row r="81" spans="1:9" ht="15.75" thickBot="1" x14ac:dyDescent="0.3">
      <c r="A81" s="242">
        <v>1</v>
      </c>
      <c r="B81" s="494"/>
      <c r="C81" s="858" t="str">
        <f>C13</f>
        <v>EQUIPE - MÃO DE OBRA</v>
      </c>
      <c r="D81" s="859"/>
      <c r="E81" s="860"/>
      <c r="F81" s="852">
        <f ca="1">G76</f>
        <v>30708604.920000017</v>
      </c>
      <c r="G81" s="853"/>
      <c r="I81"/>
    </row>
    <row r="82" spans="1:9" ht="15.75" thickBot="1" x14ac:dyDescent="0.3">
      <c r="A82" s="743" t="str">
        <f>"TOTAL GERAL - "&amp;A$8&amp;" -  (R$):"</f>
        <v>TOTAL GERAL - EQUIPE - MÃO DE OBRA -  (R$):</v>
      </c>
      <c r="B82" s="744"/>
      <c r="C82" s="744"/>
      <c r="D82" s="744"/>
      <c r="E82" s="744"/>
      <c r="F82" s="854">
        <f ca="1">SUM(F81:G81)</f>
        <v>30708604.920000017</v>
      </c>
      <c r="G82" s="855"/>
      <c r="I82"/>
    </row>
    <row r="83" spans="1:9" ht="15" x14ac:dyDescent="0.25">
      <c r="A83" s="235"/>
      <c r="B83" s="235"/>
      <c r="C83" s="236"/>
      <c r="D83" s="21"/>
      <c r="E83" s="237"/>
      <c r="F83" s="237"/>
      <c r="G83" s="238"/>
      <c r="I83"/>
    </row>
    <row r="84" spans="1:9" ht="15.75" thickBot="1" x14ac:dyDescent="0.3">
      <c r="A84" s="235"/>
      <c r="B84" s="235"/>
      <c r="C84" s="236"/>
      <c r="D84" s="21"/>
      <c r="E84" s="237"/>
      <c r="F84" s="237"/>
      <c r="G84" s="238"/>
      <c r="I84"/>
    </row>
    <row r="85" spans="1:9" ht="15" x14ac:dyDescent="0.25">
      <c r="A85" s="704" t="s">
        <v>422</v>
      </c>
      <c r="B85" s="736"/>
      <c r="C85" s="705"/>
      <c r="D85" s="705"/>
      <c r="E85" s="705"/>
      <c r="F85" s="704" t="s">
        <v>423</v>
      </c>
      <c r="G85" s="706"/>
      <c r="I85"/>
    </row>
    <row r="86" spans="1:9" ht="15.75" thickBot="1" x14ac:dyDescent="0.3">
      <c r="A86" s="701"/>
      <c r="B86" s="702"/>
      <c r="C86" s="702"/>
      <c r="D86" s="702"/>
      <c r="E86" s="702"/>
      <c r="F86" s="701"/>
      <c r="G86" s="703"/>
      <c r="I86"/>
    </row>
    <row r="87" spans="1:9" ht="15" x14ac:dyDescent="0.25">
      <c r="A87" s="704" t="s">
        <v>424</v>
      </c>
      <c r="B87" s="736"/>
      <c r="C87" s="705"/>
      <c r="D87" s="705"/>
      <c r="E87" s="705"/>
      <c r="F87" s="704" t="s">
        <v>425</v>
      </c>
      <c r="G87" s="706"/>
      <c r="I87"/>
    </row>
    <row r="88" spans="1:9" ht="15.75" thickBot="1" x14ac:dyDescent="0.3">
      <c r="A88" s="701"/>
      <c r="B88" s="702"/>
      <c r="C88" s="702"/>
      <c r="D88" s="702"/>
      <c r="E88" s="702"/>
      <c r="F88" s="701"/>
      <c r="G88" s="703"/>
      <c r="I88"/>
    </row>
    <row r="89" spans="1:9" ht="15" x14ac:dyDescent="0.25">
      <c r="A89" s="885" t="s">
        <v>1042</v>
      </c>
      <c r="B89" s="886"/>
      <c r="C89" s="887"/>
      <c r="D89" s="887"/>
      <c r="E89" s="887"/>
      <c r="F89" s="887"/>
      <c r="G89" s="888"/>
      <c r="I89"/>
    </row>
    <row r="90" spans="1:9" ht="15" x14ac:dyDescent="0.25">
      <c r="A90" s="876" t="s">
        <v>1421</v>
      </c>
      <c r="B90" s="877"/>
      <c r="C90" s="877"/>
      <c r="D90" s="877"/>
      <c r="E90" s="877"/>
      <c r="F90" s="877"/>
      <c r="G90" s="878"/>
      <c r="I90"/>
    </row>
    <row r="91" spans="1:9" ht="15" x14ac:dyDescent="0.25">
      <c r="A91" s="876" t="s">
        <v>1426</v>
      </c>
      <c r="B91" s="877"/>
      <c r="C91" s="877"/>
      <c r="D91" s="877"/>
      <c r="E91" s="877"/>
      <c r="F91" s="877"/>
      <c r="G91" s="878"/>
      <c r="I91"/>
    </row>
    <row r="92" spans="1:9" ht="15" x14ac:dyDescent="0.25">
      <c r="A92" s="876"/>
      <c r="B92" s="877"/>
      <c r="C92" s="877"/>
      <c r="D92" s="877"/>
      <c r="E92" s="877"/>
      <c r="F92" s="877"/>
      <c r="G92" s="878"/>
      <c r="I92"/>
    </row>
    <row r="93" spans="1:9" ht="15" x14ac:dyDescent="0.25">
      <c r="A93" s="876" t="s">
        <v>1427</v>
      </c>
      <c r="B93" s="877"/>
      <c r="C93" s="877"/>
      <c r="D93" s="877"/>
      <c r="E93" s="877"/>
      <c r="F93" s="877"/>
      <c r="G93" s="878"/>
      <c r="I93"/>
    </row>
    <row r="94" spans="1:9" ht="15" x14ac:dyDescent="0.25">
      <c r="A94" s="876"/>
      <c r="B94" s="877"/>
      <c r="C94" s="877"/>
      <c r="D94" s="877"/>
      <c r="E94" s="877"/>
      <c r="F94" s="877"/>
      <c r="G94" s="878"/>
      <c r="I94"/>
    </row>
    <row r="95" spans="1:9" ht="15" x14ac:dyDescent="0.25">
      <c r="A95" s="876" t="s">
        <v>1422</v>
      </c>
      <c r="B95" s="877"/>
      <c r="C95" s="877"/>
      <c r="D95" s="877"/>
      <c r="E95" s="877"/>
      <c r="F95" s="877"/>
      <c r="G95" s="878"/>
      <c r="I95"/>
    </row>
    <row r="96" spans="1:9" ht="15" x14ac:dyDescent="0.25">
      <c r="A96" s="876" t="s">
        <v>1428</v>
      </c>
      <c r="B96" s="877"/>
      <c r="C96" s="877"/>
      <c r="D96" s="877"/>
      <c r="E96" s="877"/>
      <c r="F96" s="877"/>
      <c r="G96" s="878"/>
      <c r="I96"/>
    </row>
    <row r="97" spans="1:9" ht="15" x14ac:dyDescent="0.25">
      <c r="A97" s="876"/>
      <c r="B97" s="877"/>
      <c r="C97" s="877"/>
      <c r="D97" s="877"/>
      <c r="E97" s="877"/>
      <c r="F97" s="877"/>
      <c r="G97" s="878"/>
      <c r="I97"/>
    </row>
    <row r="98" spans="1:9" ht="15" x14ac:dyDescent="0.25">
      <c r="A98" s="876" t="s">
        <v>1429</v>
      </c>
      <c r="B98" s="877"/>
      <c r="C98" s="877"/>
      <c r="D98" s="877"/>
      <c r="E98" s="877"/>
      <c r="F98" s="877"/>
      <c r="G98" s="878"/>
      <c r="I98"/>
    </row>
    <row r="99" spans="1:9" ht="15" x14ac:dyDescent="0.25">
      <c r="A99" s="876" t="s">
        <v>1430</v>
      </c>
      <c r="B99" s="877"/>
      <c r="C99" s="877"/>
      <c r="D99" s="877"/>
      <c r="E99" s="877"/>
      <c r="F99" s="877"/>
      <c r="G99" s="878"/>
      <c r="I99"/>
    </row>
    <row r="100" spans="1:9" ht="15" x14ac:dyDescent="0.25">
      <c r="A100" s="876"/>
      <c r="B100" s="877"/>
      <c r="C100" s="877"/>
      <c r="D100" s="877"/>
      <c r="E100" s="877"/>
      <c r="F100" s="877"/>
      <c r="G100" s="878"/>
      <c r="I100"/>
    </row>
    <row r="101" spans="1:9" ht="15" x14ac:dyDescent="0.25">
      <c r="A101" s="876"/>
      <c r="B101" s="877"/>
      <c r="C101" s="877"/>
      <c r="D101" s="877"/>
      <c r="E101" s="877"/>
      <c r="F101" s="877"/>
      <c r="G101" s="878"/>
      <c r="I101"/>
    </row>
    <row r="102" spans="1:9" ht="13.5" thickBot="1" x14ac:dyDescent="0.3">
      <c r="A102" s="882"/>
      <c r="B102" s="883"/>
      <c r="C102" s="883"/>
      <c r="D102" s="883"/>
      <c r="E102" s="883"/>
      <c r="F102" s="883"/>
      <c r="G102" s="884"/>
    </row>
  </sheetData>
  <autoFilter ref="A12:G75"/>
  <mergeCells count="39">
    <mergeCell ref="A102:G102"/>
    <mergeCell ref="A85:E85"/>
    <mergeCell ref="A86:E86"/>
    <mergeCell ref="A87:E87"/>
    <mergeCell ref="A88:E88"/>
    <mergeCell ref="F85:G85"/>
    <mergeCell ref="F86:G86"/>
    <mergeCell ref="F87:G87"/>
    <mergeCell ref="F88:G88"/>
    <mergeCell ref="A89:G89"/>
    <mergeCell ref="A100:G100"/>
    <mergeCell ref="A101:G101"/>
    <mergeCell ref="A90:G90"/>
    <mergeCell ref="A91:G92"/>
    <mergeCell ref="A93:G94"/>
    <mergeCell ref="A95:G95"/>
    <mergeCell ref="F11:G11"/>
    <mergeCell ref="C13:G13"/>
    <mergeCell ref="A76:F76"/>
    <mergeCell ref="A11:A12"/>
    <mergeCell ref="C11:C12"/>
    <mergeCell ref="D11:D12"/>
    <mergeCell ref="E11:E12"/>
    <mergeCell ref="B11:B12"/>
    <mergeCell ref="C1:G1"/>
    <mergeCell ref="C2:G2"/>
    <mergeCell ref="C3:G3"/>
    <mergeCell ref="A5:G6"/>
    <mergeCell ref="A8:G8"/>
    <mergeCell ref="A79:G79"/>
    <mergeCell ref="C80:E80"/>
    <mergeCell ref="F80:G80"/>
    <mergeCell ref="C81:E81"/>
    <mergeCell ref="F81:G81"/>
    <mergeCell ref="A96:G97"/>
    <mergeCell ref="A98:G98"/>
    <mergeCell ref="A99:G99"/>
    <mergeCell ref="A82:E82"/>
    <mergeCell ref="F82:G82"/>
  </mergeCells>
  <phoneticPr fontId="25" type="noConversion"/>
  <printOptions horizontalCentered="1"/>
  <pageMargins left="0.78740157480314965" right="0.59055118110236227" top="0.59055118110236227" bottom="0.59055118110236227" header="0.19685039370078741" footer="0.19685039370078741"/>
  <pageSetup paperSize="9" scale="60" fitToHeight="100" orientation="portrait" horizontalDpi="4294967294" verticalDpi="4294967294" r:id="rId1"/>
  <headerFooter>
    <oddFooter>&amp;R&amp;"Arial,Normal"&amp;8&amp;F
Página &amp;P de &amp;N</oddFooter>
  </headerFooter>
  <rowBreaks count="1" manualBreakCount="1"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44</vt:i4>
      </vt:variant>
    </vt:vector>
  </HeadingPairs>
  <TitlesOfParts>
    <vt:vector size="70" baseType="lpstr">
      <vt:lpstr>ORCAMENTO_RESUMO</vt:lpstr>
      <vt:lpstr>ORCAMENTO_CONSOLIDADO</vt:lpstr>
      <vt:lpstr>Mobilizacao_Desmobilizacao</vt:lpstr>
      <vt:lpstr>CPU_MOBILIZACAO</vt:lpstr>
      <vt:lpstr>CPU_DESMOBILIZAZAO</vt:lpstr>
      <vt:lpstr>Canteiros</vt:lpstr>
      <vt:lpstr>Reforma_Canteiros</vt:lpstr>
      <vt:lpstr>Moveis_Equipamentos</vt:lpstr>
      <vt:lpstr>Mao_de_Obra</vt:lpstr>
      <vt:lpstr>Mao_de_Obra (Total)</vt:lpstr>
      <vt:lpstr>Mem_Calculo_EQUIPE</vt:lpstr>
      <vt:lpstr>CPU_SALARIOS</vt:lpstr>
      <vt:lpstr>Encargos Sociais e Benefícios</vt:lpstr>
      <vt:lpstr>Viagens_Diárias</vt:lpstr>
      <vt:lpstr>CPU_Viagens</vt:lpstr>
      <vt:lpstr>Veiculos</vt:lpstr>
      <vt:lpstr>Mem_Calculo_VEICULOS</vt:lpstr>
      <vt:lpstr>Frentes_Moveis</vt:lpstr>
      <vt:lpstr>Materiais_Consumo</vt:lpstr>
      <vt:lpstr>CPU_MANUTENCAO_CANTEIRO</vt:lpstr>
      <vt:lpstr>Ferramentas</vt:lpstr>
      <vt:lpstr>Equipamentos</vt:lpstr>
      <vt:lpstr>Instrumentos</vt:lpstr>
      <vt:lpstr>Radios_Comunicadores</vt:lpstr>
      <vt:lpstr>Custos Administração</vt:lpstr>
      <vt:lpstr>Despesas Fiscais</vt:lpstr>
      <vt:lpstr>Canteiros!Area_de_impressao</vt:lpstr>
      <vt:lpstr>CPU_DESMOBILIZAZAO!Area_de_impressao</vt:lpstr>
      <vt:lpstr>CPU_MANUTENCAO_CANTEIRO!Area_de_impressao</vt:lpstr>
      <vt:lpstr>CPU_MOBILIZACAO!Area_de_impressao</vt:lpstr>
      <vt:lpstr>CPU_SALARIOS!Area_de_impressao</vt:lpstr>
      <vt:lpstr>'Custos Administração'!Area_de_impressao</vt:lpstr>
      <vt:lpstr>'Despesas Fiscais'!Area_de_impressao</vt:lpstr>
      <vt:lpstr>'Encargos Sociais e Benefícios'!Area_de_impressao</vt:lpstr>
      <vt:lpstr>Equipamentos!Area_de_impressao</vt:lpstr>
      <vt:lpstr>Ferramentas!Area_de_impressao</vt:lpstr>
      <vt:lpstr>Frentes_Moveis!Area_de_impressao</vt:lpstr>
      <vt:lpstr>Instrumentos!Area_de_impressao</vt:lpstr>
      <vt:lpstr>'Mao_de_Obra (Total)'!Area_de_impressao</vt:lpstr>
      <vt:lpstr>Materiais_Consumo!Area_de_impressao</vt:lpstr>
      <vt:lpstr>Mem_Calculo_EQUIPE!Area_de_impressao</vt:lpstr>
      <vt:lpstr>Mobilizacao_Desmobilizacao!Area_de_impressao</vt:lpstr>
      <vt:lpstr>Moveis_Equipamentos!Area_de_impressao</vt:lpstr>
      <vt:lpstr>ORCAMENTO_CONSOLIDADO!Area_de_impressao</vt:lpstr>
      <vt:lpstr>ORCAMENTO_RESUMO!Area_de_impressao</vt:lpstr>
      <vt:lpstr>Radios_Comunicadores!Area_de_impressao</vt:lpstr>
      <vt:lpstr>Reforma_Canteiros!Area_de_impressao</vt:lpstr>
      <vt:lpstr>Veiculos!Area_de_impressao</vt:lpstr>
      <vt:lpstr>Equip</vt:lpstr>
      <vt:lpstr>Ferramentas</vt:lpstr>
      <vt:lpstr>Frentes_Mov</vt:lpstr>
      <vt:lpstr>Instrum</vt:lpstr>
      <vt:lpstr>Mao_Obra</vt:lpstr>
      <vt:lpstr>Mat_Cons</vt:lpstr>
      <vt:lpstr>Mob_Desmob</vt:lpstr>
      <vt:lpstr>Mov_Equip</vt:lpstr>
      <vt:lpstr>Radio</vt:lpstr>
      <vt:lpstr>Ref_Cant</vt:lpstr>
      <vt:lpstr>CPU_DESMOBILIZAZAO!Titulos_de_impressao</vt:lpstr>
      <vt:lpstr>CPU_MANUTENCAO_CANTEIRO!Titulos_de_impressao</vt:lpstr>
      <vt:lpstr>CPU_MOBILIZACAO!Titulos_de_impressao</vt:lpstr>
      <vt:lpstr>'Mao_de_Obra (Total)'!Titulos_de_impressao</vt:lpstr>
      <vt:lpstr>Materiais_Consumo!Titulos_de_impressao</vt:lpstr>
      <vt:lpstr>Mem_Calculo_EQUIPE!Titulos_de_impressao</vt:lpstr>
      <vt:lpstr>Mem_Calculo_VEICULOS!Titulos_de_impressao</vt:lpstr>
      <vt:lpstr>ORCAMENTO_CONSOLIDADO!Titulos_de_impressao</vt:lpstr>
      <vt:lpstr>ORCAMENTO_RESUMO!Titulos_de_impressao</vt:lpstr>
      <vt:lpstr>Reforma_Canteiros!Titulos_de_impressao</vt:lpstr>
      <vt:lpstr>Veic</vt:lpstr>
      <vt:lpstr>Viag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Alcantara Dutra Ribeiro</dc:creator>
  <cp:lastModifiedBy>Fabricio de Sousa Libano</cp:lastModifiedBy>
  <cp:lastPrinted>2019-11-13T19:56:57Z</cp:lastPrinted>
  <dcterms:created xsi:type="dcterms:W3CDTF">2018-06-25T13:44:27Z</dcterms:created>
  <dcterms:modified xsi:type="dcterms:W3CDTF">2019-11-13T22:00:53Z</dcterms:modified>
</cp:coreProperties>
</file>