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omments5.xml" ContentType="application/vnd.openxmlformats-officedocument.spreadsheetml.comments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rive\ad.gct\Processos_AD-GCT\2017\Apoio Técnico - PISF\TR Apoio Editavel\"/>
    </mc:Choice>
  </mc:AlternateContent>
  <bookViews>
    <workbookView xWindow="5580" yWindow="0" windowWidth="24000" windowHeight="9720" tabRatio="813"/>
  </bookViews>
  <sheets>
    <sheet name="Resumo Total" sheetId="20" r:id="rId1"/>
    <sheet name="Preco por Produto" sheetId="23" r:id="rId2"/>
    <sheet name="Mobilizacao_Desmobilizacao" sheetId="13" r:id="rId3"/>
    <sheet name="Mão de Obra " sheetId="24" r:id="rId4"/>
    <sheet name="Alimentação" sheetId="37" r:id="rId5"/>
    <sheet name="Escritorios (Adm_Manut)" sheetId="5" r:id="rId6"/>
    <sheet name="Viagens e Diárias (Por Demanda)" sheetId="6" r:id="rId7"/>
    <sheet name="Custo de Adminstração" sheetId="25" r:id="rId8"/>
    <sheet name="Despesas Fiscais" sheetId="26" r:id="rId9"/>
    <sheet name="Encargos Sociais" sheetId="35" r:id="rId10"/>
    <sheet name="Cronograma Físico" sheetId="32" state="hidden" r:id="rId11"/>
    <sheet name="Cronograma Físico-Financeiro" sheetId="36" state="hidden" r:id="rId12"/>
    <sheet name="Cronograma Físico - RELATORIOS" sheetId="33" state="hidden" r:id="rId13"/>
    <sheet name="MemCalculo (Trecho Aéreo)" sheetId="15" r:id="rId14"/>
    <sheet name="MemCalculo (AdmManutEscritorio)" sheetId="21" r:id="rId15"/>
    <sheet name="MemCalculo (Salários)" sheetId="28" r:id="rId16"/>
    <sheet name="(Resumo - Calculo)" sheetId="38" state="hidden" r:id="rId17"/>
    <sheet name="Resumo Total (%)" sheetId="39" state="hidden" r:id="rId18"/>
  </sheets>
  <definedNames>
    <definedName name="_xlnm._FilterDatabase" localSheetId="4" hidden="1">Alimentação!$B$11:$G$179</definedName>
    <definedName name="_xlnm._FilterDatabase" localSheetId="3" hidden="1">'Mão de Obra '!$B$13:$Q$201</definedName>
    <definedName name="_xlnm.Print_Area" localSheetId="4">Alimentação!$A$1:$G$179</definedName>
    <definedName name="_xlnm.Print_Area" localSheetId="10">'Cronograma Físico'!$A$1:$W$48</definedName>
    <definedName name="_xlnm.Print_Area" localSheetId="12">'Cronograma Físico - RELATORIOS'!$A$1:$X$54</definedName>
    <definedName name="_xlnm.Print_Area" localSheetId="11">'Cronograma Físico-Financeiro'!$A$1:$X$73</definedName>
    <definedName name="_xlnm.Print_Area" localSheetId="7">'Custo de Adminstração'!$A$1:$D$33</definedName>
    <definedName name="_xlnm.Print_Area" localSheetId="8">'Despesas Fiscais'!$A$1:$E$25</definedName>
    <definedName name="_xlnm.Print_Area" localSheetId="9">'Encargos Sociais'!$A$1:$G$67</definedName>
    <definedName name="_xlnm.Print_Area" localSheetId="5">'Escritorios (Adm_Manut)'!$A$1:$H$62</definedName>
    <definedName name="_xlnm.Print_Area" localSheetId="3">'Mão de Obra '!$A$1:$N$203</definedName>
    <definedName name="_xlnm.Print_Area" localSheetId="14">'MemCalculo (AdmManutEscritorio)'!$A$1:$F$253</definedName>
    <definedName name="_xlnm.Print_Area" localSheetId="15">'MemCalculo (Salários)'!$A$1:$D$55</definedName>
    <definedName name="_xlnm.Print_Area" localSheetId="13">'MemCalculo (Trecho Aéreo)'!$B$1:$J$70</definedName>
    <definedName name="_xlnm.Print_Area" localSheetId="2">Mobilizacao_Desmobilizacao!$A$1:$F$48</definedName>
    <definedName name="_xlnm.Print_Area" localSheetId="1">'Preco por Produto'!$A$1:$D$228</definedName>
    <definedName name="_xlnm.Print_Area" localSheetId="0">'Resumo Total'!$A$1:$C$53</definedName>
    <definedName name="_xlnm.Print_Area" localSheetId="17">'Resumo Total (%)'!$A$1:$C$51</definedName>
    <definedName name="_xlnm.Print_Area" localSheetId="6">'Viagens e Diárias (Por Demanda)'!$A$1:$I$35</definedName>
    <definedName name="_xlnm.Print_Titles" localSheetId="4">Alimentação!$1:$10</definedName>
    <definedName name="_xlnm.Print_Titles" localSheetId="3">'Mão de Obra '!$1:$12</definedName>
    <definedName name="_xlnm.Print_Titles" localSheetId="14">'MemCalculo (AdmManutEscritorio)'!$1:$12</definedName>
    <definedName name="_xlnm.Print_Titles" localSheetId="1">'Preco por Produto'!$1:$12</definedName>
    <definedName name="_xlnm.Print_Titles" localSheetId="6">'Viagens e Diárias (Por Demanda)'!$1:$11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5" l="1"/>
  <c r="G32" i="5"/>
  <c r="E164" i="21" l="1"/>
  <c r="G151" i="37"/>
  <c r="G170" i="37"/>
  <c r="C26" i="23"/>
  <c r="G161" i="37"/>
  <c r="G45" i="37" l="1"/>
  <c r="G149" i="37"/>
  <c r="G60" i="37"/>
  <c r="G73" i="37"/>
  <c r="G88" i="37"/>
  <c r="G113" i="37"/>
  <c r="N57" i="24"/>
  <c r="K57" i="24"/>
  <c r="J57" i="24"/>
  <c r="I57" i="24"/>
  <c r="N54" i="24"/>
  <c r="K54" i="24"/>
  <c r="J54" i="24"/>
  <c r="I54" i="24"/>
  <c r="N53" i="24"/>
  <c r="K53" i="24"/>
  <c r="J53" i="24"/>
  <c r="I53" i="24"/>
  <c r="N73" i="24"/>
  <c r="K73" i="24"/>
  <c r="J73" i="24"/>
  <c r="I73" i="24"/>
  <c r="N71" i="24"/>
  <c r="K71" i="24"/>
  <c r="J71" i="24"/>
  <c r="I71" i="24"/>
  <c r="I72" i="24"/>
  <c r="I70" i="24"/>
  <c r="J70" i="24" s="1"/>
  <c r="N70" i="24" s="1"/>
  <c r="K70" i="24"/>
  <c r="N88" i="24"/>
  <c r="K88" i="24"/>
  <c r="J88" i="24"/>
  <c r="N86" i="24"/>
  <c r="K86" i="24"/>
  <c r="J86" i="24"/>
  <c r="I86" i="24"/>
  <c r="N85" i="24"/>
  <c r="K85" i="24"/>
  <c r="N84" i="24"/>
  <c r="K84" i="24"/>
  <c r="J84" i="24"/>
  <c r="I84" i="24"/>
  <c r="I85" i="24"/>
  <c r="I87" i="24"/>
  <c r="I88" i="24"/>
  <c r="N113" i="24"/>
  <c r="K113" i="24"/>
  <c r="J113" i="24"/>
  <c r="I113" i="24"/>
  <c r="N112" i="24"/>
  <c r="K112" i="24"/>
  <c r="J112" i="24"/>
  <c r="I112" i="24"/>
  <c r="I111" i="24"/>
  <c r="K111" i="24"/>
  <c r="J111" i="24"/>
  <c r="N111" i="24" s="1"/>
  <c r="N110" i="24"/>
  <c r="K110" i="24"/>
  <c r="J110" i="24"/>
  <c r="I110" i="24"/>
  <c r="N127" i="24"/>
  <c r="K127" i="24"/>
  <c r="I127" i="24"/>
  <c r="N151" i="24"/>
  <c r="L151" i="24"/>
  <c r="K151" i="24"/>
  <c r="J151" i="24"/>
  <c r="I151" i="24"/>
  <c r="H151" i="24"/>
  <c r="N146" i="24"/>
  <c r="L146" i="24"/>
  <c r="K146" i="24"/>
  <c r="L145" i="24"/>
  <c r="K145" i="24"/>
  <c r="J145" i="24"/>
  <c r="I145" i="24"/>
  <c r="H145" i="24"/>
  <c r="H146" i="24"/>
  <c r="H147" i="24"/>
  <c r="H148" i="24"/>
  <c r="H149" i="24"/>
  <c r="H150" i="24"/>
  <c r="L144" i="24"/>
  <c r="M40" i="24"/>
  <c r="L40" i="24"/>
  <c r="N41" i="24"/>
  <c r="N40" i="24"/>
  <c r="L17" i="24" l="1"/>
  <c r="O42" i="24"/>
  <c r="O43" i="24"/>
  <c r="O44" i="24"/>
  <c r="O17" i="24"/>
  <c r="O18" i="24"/>
  <c r="O19" i="24"/>
  <c r="O20" i="24"/>
  <c r="O21" i="24"/>
  <c r="O22" i="24"/>
  <c r="O23" i="24"/>
  <c r="O24" i="24"/>
  <c r="O25" i="24"/>
  <c r="O26" i="24"/>
  <c r="O27" i="24"/>
  <c r="O28" i="24"/>
  <c r="O29" i="24"/>
  <c r="O30" i="24"/>
  <c r="O31" i="24"/>
  <c r="O32" i="24"/>
  <c r="O33" i="24"/>
  <c r="O34" i="24"/>
  <c r="O35" i="24"/>
  <c r="O36" i="24"/>
  <c r="O37" i="24"/>
  <c r="O38" i="24"/>
  <c r="O39" i="24"/>
  <c r="O41" i="24"/>
  <c r="O40" i="24"/>
  <c r="K144" i="24"/>
  <c r="J144" i="24"/>
  <c r="N144" i="24"/>
  <c r="N143" i="24"/>
  <c r="I144" i="24"/>
  <c r="H144" i="24"/>
  <c r="F203" i="21"/>
  <c r="F184" i="21"/>
  <c r="K143" i="24"/>
  <c r="J143" i="24"/>
  <c r="I143" i="24"/>
  <c r="I146" i="24"/>
  <c r="I147" i="24"/>
  <c r="I148" i="24"/>
  <c r="I149" i="24"/>
  <c r="I150" i="24"/>
  <c r="I142" i="24"/>
  <c r="J142" i="24" s="1"/>
  <c r="N142" i="24" s="1"/>
  <c r="K142" i="24"/>
  <c r="N140" i="24"/>
  <c r="K140" i="24"/>
  <c r="J140" i="24"/>
  <c r="N139" i="24"/>
  <c r="K139" i="24"/>
  <c r="J139" i="24"/>
  <c r="N138" i="24"/>
  <c r="K138" i="24"/>
  <c r="J138" i="24"/>
  <c r="I139" i="24"/>
  <c r="I140" i="24"/>
  <c r="I138" i="24"/>
  <c r="N136" i="24"/>
  <c r="K136" i="24"/>
  <c r="J136" i="24"/>
  <c r="N39" i="24" l="1"/>
  <c r="D48" i="35"/>
  <c r="D47" i="35"/>
  <c r="N135" i="24"/>
  <c r="K135" i="24"/>
  <c r="N134" i="24"/>
  <c r="K134" i="24"/>
  <c r="J134" i="24"/>
  <c r="N133" i="24"/>
  <c r="K133" i="24"/>
  <c r="J133" i="24"/>
  <c r="N132" i="24"/>
  <c r="K132" i="24"/>
  <c r="J132" i="24"/>
  <c r="K131" i="24"/>
  <c r="J131" i="24"/>
  <c r="N130" i="24"/>
  <c r="K130" i="24"/>
  <c r="J130" i="24"/>
  <c r="I130" i="24"/>
  <c r="I131" i="24"/>
  <c r="I132" i="24"/>
  <c r="I133" i="24"/>
  <c r="I134" i="24"/>
  <c r="I135" i="24"/>
  <c r="I136" i="24"/>
  <c r="I129" i="24"/>
  <c r="J129" i="24"/>
  <c r="N129" i="24" s="1"/>
  <c r="K129" i="24"/>
  <c r="N126" i="24"/>
  <c r="M126" i="24"/>
  <c r="K126" i="24"/>
  <c r="J126" i="24"/>
  <c r="I126" i="24"/>
  <c r="I109" i="24"/>
  <c r="I99" i="24"/>
  <c r="I98" i="24"/>
  <c r="I83" i="24"/>
  <c r="I82" i="24"/>
  <c r="I55" i="24"/>
  <c r="G53" i="24"/>
  <c r="N43" i="24"/>
  <c r="N44" i="24"/>
  <c r="K44" i="24"/>
  <c r="J44" i="24"/>
  <c r="K43" i="24"/>
  <c r="J43" i="24"/>
  <c r="N42" i="24"/>
  <c r="K42" i="24"/>
  <c r="J42" i="24"/>
  <c r="K40" i="24"/>
  <c r="J40" i="24"/>
  <c r="K39" i="24" l="1"/>
  <c r="J39" i="24"/>
  <c r="N38" i="24"/>
  <c r="K38" i="24"/>
  <c r="J38" i="24"/>
  <c r="N37" i="24"/>
  <c r="K37" i="24"/>
  <c r="J37" i="24"/>
  <c r="N36" i="24"/>
  <c r="K36" i="24"/>
  <c r="J36" i="24"/>
  <c r="N35" i="24"/>
  <c r="K35" i="24"/>
  <c r="J35" i="24"/>
  <c r="N34" i="24"/>
  <c r="K34" i="24"/>
  <c r="J34" i="24"/>
  <c r="N33" i="24"/>
  <c r="K33" i="24"/>
  <c r="J33" i="24"/>
  <c r="N30" i="24"/>
  <c r="K30" i="24"/>
  <c r="J30" i="24"/>
  <c r="N29" i="24"/>
  <c r="K29" i="24"/>
  <c r="J29" i="24"/>
  <c r="I29" i="24"/>
  <c r="N28" i="24"/>
  <c r="K28" i="24"/>
  <c r="J28" i="24"/>
  <c r="I28" i="24"/>
  <c r="N27" i="24"/>
  <c r="K27" i="24"/>
  <c r="J27" i="24"/>
  <c r="N17" i="24"/>
  <c r="I20" i="24"/>
  <c r="H20" i="24"/>
  <c r="I17" i="24"/>
  <c r="I27" i="24"/>
  <c r="N26" i="24"/>
  <c r="K26" i="24"/>
  <c r="J26" i="24"/>
  <c r="I26" i="24"/>
  <c r="J23" i="24"/>
  <c r="I23" i="24"/>
  <c r="N23" i="24"/>
  <c r="N20" i="24"/>
  <c r="K20" i="24"/>
  <c r="J20" i="24"/>
  <c r="N19" i="24"/>
  <c r="K19" i="24"/>
  <c r="J19" i="24"/>
  <c r="N18" i="24"/>
  <c r="K18" i="24"/>
  <c r="J18" i="24"/>
  <c r="I18" i="24"/>
  <c r="K17" i="24"/>
  <c r="D44" i="5" l="1"/>
  <c r="M18" i="24"/>
  <c r="L26" i="24"/>
  <c r="L20" i="24"/>
  <c r="I19" i="24"/>
  <c r="T18" i="24"/>
  <c r="E214" i="21" l="1"/>
  <c r="E213" i="21"/>
  <c r="E212" i="21"/>
  <c r="E209" i="21"/>
  <c r="E144" i="21"/>
  <c r="E147" i="21"/>
  <c r="G22" i="5"/>
  <c r="E109" i="21" l="1"/>
  <c r="E110" i="21"/>
  <c r="E111" i="21"/>
  <c r="E112" i="21"/>
  <c r="E113" i="21"/>
  <c r="E114" i="21"/>
  <c r="E115" i="21"/>
  <c r="E116" i="21"/>
  <c r="E117" i="21"/>
  <c r="E118" i="21"/>
  <c r="E119" i="21"/>
  <c r="E120" i="21"/>
  <c r="E121" i="21"/>
  <c r="E122" i="21"/>
  <c r="E123" i="21"/>
  <c r="E124" i="21"/>
  <c r="E125" i="21"/>
  <c r="E126" i="21"/>
  <c r="E127" i="21"/>
  <c r="E128" i="21"/>
  <c r="E108" i="21"/>
  <c r="E61" i="21"/>
  <c r="E62" i="21"/>
  <c r="E63" i="21"/>
  <c r="E64" i="21"/>
  <c r="E80" i="21"/>
  <c r="E79" i="21"/>
  <c r="E78" i="21"/>
  <c r="E77" i="21"/>
  <c r="E76" i="21"/>
  <c r="E75" i="21"/>
  <c r="E74" i="21"/>
  <c r="E73" i="21"/>
  <c r="E72" i="21"/>
  <c r="E71" i="21"/>
  <c r="E70" i="21"/>
  <c r="E69" i="21"/>
  <c r="E68" i="21"/>
  <c r="E67" i="21"/>
  <c r="E66" i="21"/>
  <c r="E65" i="21"/>
  <c r="H41" i="24" l="1"/>
  <c r="H40" i="24"/>
  <c r="H31" i="24" l="1"/>
  <c r="H32" i="24"/>
  <c r="H33" i="24"/>
  <c r="H34" i="24"/>
  <c r="H30" i="24"/>
  <c r="I44" i="24" l="1"/>
  <c r="I43" i="24"/>
  <c r="I42" i="24"/>
  <c r="I41" i="24"/>
  <c r="I40" i="24"/>
  <c r="I39" i="24"/>
  <c r="I38" i="24"/>
  <c r="I37" i="24"/>
  <c r="I36" i="24"/>
  <c r="I35" i="24"/>
  <c r="I34" i="24"/>
  <c r="I33" i="24"/>
  <c r="I32" i="24"/>
  <c r="I31" i="24"/>
  <c r="I30" i="24"/>
  <c r="I25" i="24"/>
  <c r="I24" i="24"/>
  <c r="I22" i="24"/>
  <c r="I21" i="24"/>
  <c r="H27" i="24"/>
  <c r="H26" i="24"/>
  <c r="H25" i="24"/>
  <c r="H24" i="24"/>
  <c r="H23" i="24"/>
  <c r="H22" i="24"/>
  <c r="H21" i="24"/>
  <c r="M17" i="24"/>
  <c r="H17" i="24"/>
  <c r="E70" i="15"/>
  <c r="E179" i="21" l="1"/>
  <c r="E178" i="21"/>
  <c r="E173" i="21"/>
  <c r="E169" i="21"/>
  <c r="E166" i="21"/>
  <c r="E163" i="21"/>
  <c r="L19" i="24" l="1"/>
  <c r="K152" i="24"/>
  <c r="K154" i="24"/>
  <c r="K47" i="24"/>
  <c r="K46" i="24"/>
  <c r="K45" i="24"/>
  <c r="J17" i="24"/>
  <c r="M19" i="24" l="1"/>
  <c r="G42" i="5" l="1"/>
  <c r="G17" i="24" l="1"/>
  <c r="G20" i="37" l="1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T19" i="24"/>
  <c r="U18" i="24"/>
  <c r="U19" i="24" s="1"/>
  <c r="X18" i="24"/>
  <c r="V18" i="24"/>
  <c r="V19" i="24" s="1"/>
  <c r="G19" i="24"/>
  <c r="G18" i="24"/>
  <c r="M46" i="24" s="1"/>
  <c r="D40" i="5" l="1"/>
  <c r="D52" i="23"/>
  <c r="L18" i="24"/>
  <c r="L46" i="24" s="1"/>
  <c r="U123" i="24"/>
  <c r="T55" i="24"/>
  <c r="T54" i="24"/>
  <c r="E124" i="37"/>
  <c r="G133" i="37"/>
  <c r="G17" i="37"/>
  <c r="L44" i="24"/>
  <c r="G44" i="24"/>
  <c r="M44" i="24" s="1"/>
  <c r="L43" i="24"/>
  <c r="G43" i="24"/>
  <c r="M43" i="24" l="1"/>
  <c r="G47" i="37"/>
  <c r="D146" i="21"/>
  <c r="D144" i="21"/>
  <c r="N46" i="24" l="1"/>
  <c r="D46" i="23"/>
  <c r="D47" i="23"/>
  <c r="D30" i="5" l="1"/>
  <c r="D29" i="5"/>
  <c r="E110" i="37"/>
  <c r="F110" i="37"/>
  <c r="E111" i="37"/>
  <c r="F111" i="37"/>
  <c r="E112" i="37"/>
  <c r="F112" i="37"/>
  <c r="F109" i="37"/>
  <c r="E109" i="37"/>
  <c r="F82" i="37"/>
  <c r="E83" i="37"/>
  <c r="F83" i="37"/>
  <c r="E84" i="37"/>
  <c r="F84" i="37"/>
  <c r="E85" i="37"/>
  <c r="F85" i="37"/>
  <c r="E86" i="37"/>
  <c r="F86" i="37"/>
  <c r="E87" i="37"/>
  <c r="F87" i="37"/>
  <c r="F81" i="37"/>
  <c r="F70" i="37"/>
  <c r="F71" i="37"/>
  <c r="F72" i="37"/>
  <c r="F69" i="37"/>
  <c r="E70" i="37"/>
  <c r="E71" i="37"/>
  <c r="E72" i="37"/>
  <c r="E69" i="37"/>
  <c r="F55" i="37"/>
  <c r="F58" i="37"/>
  <c r="F54" i="37"/>
  <c r="E55" i="37"/>
  <c r="E58" i="37"/>
  <c r="E54" i="37"/>
  <c r="G129" i="37" l="1"/>
  <c r="G128" i="37"/>
  <c r="G127" i="37"/>
  <c r="G126" i="37"/>
  <c r="G123" i="37"/>
  <c r="G112" i="37"/>
  <c r="G111" i="37"/>
  <c r="G110" i="37"/>
  <c r="G109" i="37"/>
  <c r="G140" i="37"/>
  <c r="G141" i="37"/>
  <c r="G142" i="37"/>
  <c r="G143" i="37"/>
  <c r="G144" i="37"/>
  <c r="G145" i="37"/>
  <c r="G146" i="37"/>
  <c r="G147" i="37"/>
  <c r="G148" i="37"/>
  <c r="G139" i="37"/>
  <c r="G137" i="37"/>
  <c r="G136" i="37"/>
  <c r="G135" i="37"/>
  <c r="G132" i="37"/>
  <c r="G131" i="37"/>
  <c r="G130" i="37"/>
  <c r="G99" i="37"/>
  <c r="G101" i="37" s="1"/>
  <c r="G167" i="37" s="1"/>
  <c r="G87" i="37"/>
  <c r="G86" i="37"/>
  <c r="G85" i="37"/>
  <c r="G84" i="37"/>
  <c r="G83" i="37"/>
  <c r="G72" i="37"/>
  <c r="G71" i="37"/>
  <c r="G70" i="37"/>
  <c r="G69" i="37"/>
  <c r="G58" i="37"/>
  <c r="G55" i="37"/>
  <c r="G54" i="37"/>
  <c r="F25" i="5"/>
  <c r="H25" i="5" s="1"/>
  <c r="F24" i="5"/>
  <c r="H24" i="5" s="1"/>
  <c r="F15" i="5"/>
  <c r="F14" i="5"/>
  <c r="D147" i="21"/>
  <c r="G115" i="37" l="1"/>
  <c r="G75" i="37"/>
  <c r="G90" i="37"/>
  <c r="C144" i="23"/>
  <c r="C143" i="23" s="1"/>
  <c r="D13" i="38" s="1"/>
  <c r="D10" i="38"/>
  <c r="D51" i="23"/>
  <c r="C50" i="23"/>
  <c r="C46" i="23"/>
  <c r="C51" i="23" s="1"/>
  <c r="D55" i="23"/>
  <c r="D54" i="23" s="1"/>
  <c r="E10" i="38" s="1"/>
  <c r="C25" i="38" l="1"/>
  <c r="G165" i="37"/>
  <c r="C84" i="23" s="1"/>
  <c r="C83" i="23" s="1"/>
  <c r="D11" i="38" s="1"/>
  <c r="G168" i="37"/>
  <c r="C168" i="23" s="1"/>
  <c r="C167" i="23" s="1"/>
  <c r="D14" i="38" s="1"/>
  <c r="G169" i="37"/>
  <c r="C209" i="23" s="1"/>
  <c r="C208" i="23" s="1"/>
  <c r="D15" i="38" s="1"/>
  <c r="G166" i="37"/>
  <c r="C108" i="23" s="1"/>
  <c r="C107" i="23" s="1"/>
  <c r="D12" i="38" s="1"/>
  <c r="C25" i="23"/>
  <c r="G62" i="37"/>
  <c r="D8" i="38" l="1"/>
  <c r="C17" i="23"/>
  <c r="G164" i="37"/>
  <c r="F23" i="35"/>
  <c r="G23" i="35"/>
  <c r="F36" i="35"/>
  <c r="F54" i="35" s="1"/>
  <c r="G36" i="35"/>
  <c r="G54" i="35" s="1"/>
  <c r="F44" i="35"/>
  <c r="G44" i="35"/>
  <c r="F48" i="35"/>
  <c r="G48" i="35"/>
  <c r="F53" i="35"/>
  <c r="G53" i="35"/>
  <c r="F55" i="35"/>
  <c r="G55" i="35"/>
  <c r="G151" i="24"/>
  <c r="G150" i="24"/>
  <c r="G149" i="24"/>
  <c r="G148" i="24"/>
  <c r="G147" i="24"/>
  <c r="G146" i="24"/>
  <c r="G145" i="24"/>
  <c r="G144" i="24"/>
  <c r="G143" i="24"/>
  <c r="G142" i="24"/>
  <c r="G140" i="24"/>
  <c r="G139" i="24"/>
  <c r="G138" i="24"/>
  <c r="G42" i="24"/>
  <c r="G41" i="24"/>
  <c r="G40" i="24"/>
  <c r="G39" i="24"/>
  <c r="G38" i="24"/>
  <c r="G37" i="24"/>
  <c r="G136" i="24"/>
  <c r="M136" i="24" s="1"/>
  <c r="G135" i="24"/>
  <c r="G134" i="24"/>
  <c r="G133" i="24"/>
  <c r="G132" i="24"/>
  <c r="M132" i="24" s="1"/>
  <c r="G131" i="24"/>
  <c r="G130" i="24"/>
  <c r="G129" i="24"/>
  <c r="G127" i="24"/>
  <c r="G126" i="24"/>
  <c r="G113" i="24"/>
  <c r="G112" i="24"/>
  <c r="G111" i="24"/>
  <c r="G110" i="24"/>
  <c r="G109" i="24"/>
  <c r="G99" i="24"/>
  <c r="G98" i="24"/>
  <c r="G85" i="24"/>
  <c r="G86" i="24"/>
  <c r="G87" i="24"/>
  <c r="G88" i="24"/>
  <c r="G84" i="24"/>
  <c r="G83" i="24"/>
  <c r="G82" i="24"/>
  <c r="G73" i="24"/>
  <c r="G72" i="24"/>
  <c r="G71" i="24"/>
  <c r="G70" i="24"/>
  <c r="G58" i="24"/>
  <c r="G57" i="24"/>
  <c r="G56" i="24"/>
  <c r="G55" i="24"/>
  <c r="J55" i="24" s="1"/>
  <c r="G54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F29" i="5"/>
  <c r="D26" i="5"/>
  <c r="F26" i="5" s="1"/>
  <c r="D27" i="5"/>
  <c r="F27" i="5" s="1"/>
  <c r="D44" i="35"/>
  <c r="D55" i="35" s="1"/>
  <c r="C44" i="35"/>
  <c r="C55" i="35" s="1"/>
  <c r="D36" i="35"/>
  <c r="D54" i="35" s="1"/>
  <c r="C36" i="35"/>
  <c r="C54" i="35" s="1"/>
  <c r="D23" i="35"/>
  <c r="D53" i="35" s="1"/>
  <c r="C23" i="35"/>
  <c r="C53" i="35" s="1"/>
  <c r="C53" i="23" l="1"/>
  <c r="C52" i="23" s="1"/>
  <c r="D9" i="38" s="1"/>
  <c r="D16" i="38" s="1"/>
  <c r="K59" i="24"/>
  <c r="F30" i="5"/>
  <c r="H30" i="5" s="1"/>
  <c r="M131" i="24"/>
  <c r="M129" i="24"/>
  <c r="M130" i="24"/>
  <c r="M134" i="24"/>
  <c r="I58" i="24"/>
  <c r="J58" i="24" s="1"/>
  <c r="I56" i="24"/>
  <c r="J56" i="24" s="1"/>
  <c r="M133" i="24"/>
  <c r="M135" i="24"/>
  <c r="G47" i="35"/>
  <c r="G49" i="35" s="1"/>
  <c r="G56" i="35" s="1"/>
  <c r="G57" i="35" s="1"/>
  <c r="F47" i="35"/>
  <c r="F49" i="35" s="1"/>
  <c r="F56" i="35" s="1"/>
  <c r="F57" i="35" s="1"/>
  <c r="C47" i="35"/>
  <c r="C48" i="35"/>
  <c r="M152" i="24" l="1"/>
  <c r="D49" i="35"/>
  <c r="D56" i="35" s="1"/>
  <c r="D57" i="35" s="1"/>
  <c r="C49" i="35"/>
  <c r="C56" i="35" s="1"/>
  <c r="C57" i="35" s="1"/>
  <c r="M138" i="24" l="1"/>
  <c r="M140" i="24"/>
  <c r="M142" i="24"/>
  <c r="M139" i="24"/>
  <c r="M143" i="24"/>
  <c r="F179" i="21"/>
  <c r="F178" i="21"/>
  <c r="F173" i="21"/>
  <c r="F169" i="21"/>
  <c r="F168" i="21" s="1"/>
  <c r="E239" i="21" s="1"/>
  <c r="F239" i="21" s="1"/>
  <c r="F166" i="21"/>
  <c r="F163" i="21"/>
  <c r="C229" i="21"/>
  <c r="C200" i="23"/>
  <c r="C207" i="23" s="1"/>
  <c r="F177" i="21" l="1"/>
  <c r="E243" i="21" s="1"/>
  <c r="F243" i="21" s="1"/>
  <c r="E171" i="21"/>
  <c r="E176" i="21"/>
  <c r="F176" i="21" s="1"/>
  <c r="F175" i="21" s="1"/>
  <c r="E242" i="21" s="1"/>
  <c r="F242" i="21" s="1"/>
  <c r="C170" i="23" s="1"/>
  <c r="C169" i="23" s="1"/>
  <c r="E174" i="21"/>
  <c r="E167" i="21"/>
  <c r="F171" i="21"/>
  <c r="F170" i="21" s="1"/>
  <c r="C211" i="23"/>
  <c r="C210" i="23" s="1"/>
  <c r="C30" i="38" s="1"/>
  <c r="C86" i="23"/>
  <c r="F167" i="21"/>
  <c r="F174" i="21"/>
  <c r="F172" i="21" s="1"/>
  <c r="E241" i="21" l="1"/>
  <c r="F164" i="21"/>
  <c r="F160" i="21" s="1"/>
  <c r="E240" i="21"/>
  <c r="C29" i="38"/>
  <c r="E14" i="38"/>
  <c r="F165" i="21"/>
  <c r="J127" i="24"/>
  <c r="K147" i="24"/>
  <c r="K148" i="24"/>
  <c r="K149" i="24"/>
  <c r="K150" i="24"/>
  <c r="K41" i="24"/>
  <c r="C137" i="23"/>
  <c r="C78" i="23"/>
  <c r="C82" i="23" s="1"/>
  <c r="C20" i="23"/>
  <c r="L42" i="24"/>
  <c r="L39" i="24"/>
  <c r="L38" i="24"/>
  <c r="L37" i="24"/>
  <c r="L140" i="24"/>
  <c r="L139" i="24"/>
  <c r="L138" i="24"/>
  <c r="K153" i="24"/>
  <c r="K156" i="24" s="1"/>
  <c r="L130" i="24"/>
  <c r="L131" i="24"/>
  <c r="L132" i="24"/>
  <c r="L133" i="24"/>
  <c r="L134" i="24"/>
  <c r="J135" i="24"/>
  <c r="L135" i="24"/>
  <c r="L136" i="24"/>
  <c r="L129" i="24"/>
  <c r="L126" i="24"/>
  <c r="L113" i="24"/>
  <c r="L112" i="24"/>
  <c r="L111" i="24"/>
  <c r="L110" i="24"/>
  <c r="M110" i="24"/>
  <c r="L109" i="24"/>
  <c r="L115" i="24" s="1"/>
  <c r="K109" i="24"/>
  <c r="J109" i="24"/>
  <c r="N109" i="24" s="1"/>
  <c r="N115" i="24" s="1"/>
  <c r="L99" i="24"/>
  <c r="K99" i="24"/>
  <c r="J99" i="24"/>
  <c r="N99" i="24" s="1"/>
  <c r="L98" i="24"/>
  <c r="K98" i="24"/>
  <c r="K101" i="24" s="1"/>
  <c r="J98" i="24"/>
  <c r="N98" i="24" s="1"/>
  <c r="J83" i="24"/>
  <c r="N83" i="24" s="1"/>
  <c r="M82" i="24"/>
  <c r="L83" i="24"/>
  <c r="K83" i="24"/>
  <c r="L82" i="24"/>
  <c r="K82" i="24"/>
  <c r="K90" i="24" s="1"/>
  <c r="L88" i="24"/>
  <c r="M88" i="24"/>
  <c r="L87" i="24"/>
  <c r="K87" i="24"/>
  <c r="J87" i="24"/>
  <c r="N87" i="24" s="1"/>
  <c r="L86" i="24"/>
  <c r="L85" i="24"/>
  <c r="J85" i="24"/>
  <c r="L84" i="24"/>
  <c r="L73" i="24"/>
  <c r="L72" i="24"/>
  <c r="K72" i="24"/>
  <c r="J72" i="24"/>
  <c r="N72" i="24" s="1"/>
  <c r="L71" i="24"/>
  <c r="L70" i="24"/>
  <c r="L53" i="24"/>
  <c r="M53" i="24" s="1"/>
  <c r="L57" i="24"/>
  <c r="M57" i="24" s="1"/>
  <c r="L54" i="24"/>
  <c r="M54" i="24" s="1"/>
  <c r="K21" i="24"/>
  <c r="K22" i="24"/>
  <c r="K23" i="24"/>
  <c r="K24" i="24"/>
  <c r="K25" i="24"/>
  <c r="M28" i="24"/>
  <c r="L28" i="24"/>
  <c r="L29" i="24"/>
  <c r="K31" i="24"/>
  <c r="K32" i="24"/>
  <c r="L35" i="24"/>
  <c r="L36" i="24"/>
  <c r="L23" i="24"/>
  <c r="L25" i="24"/>
  <c r="L27" i="24"/>
  <c r="L30" i="24"/>
  <c r="F42" i="5"/>
  <c r="F214" i="21"/>
  <c r="D197" i="21"/>
  <c r="F197" i="21" s="1"/>
  <c r="F196" i="21"/>
  <c r="F213" i="21"/>
  <c r="D212" i="21"/>
  <c r="F212" i="21" s="1"/>
  <c r="F188" i="21"/>
  <c r="F190" i="21"/>
  <c r="F191" i="21"/>
  <c r="F192" i="21"/>
  <c r="F193" i="21"/>
  <c r="F194" i="21"/>
  <c r="F195" i="21"/>
  <c r="F211" i="21"/>
  <c r="F210" i="21"/>
  <c r="F205" i="21"/>
  <c r="F206" i="21"/>
  <c r="F207" i="21"/>
  <c r="F208" i="21"/>
  <c r="F209" i="21"/>
  <c r="F204" i="21"/>
  <c r="F186" i="21"/>
  <c r="F199" i="21"/>
  <c r="F200" i="21"/>
  <c r="D202" i="21"/>
  <c r="F202" i="21" s="1"/>
  <c r="D201" i="21"/>
  <c r="F201" i="21" s="1"/>
  <c r="D189" i="21"/>
  <c r="F189" i="21" s="1"/>
  <c r="F185" i="21"/>
  <c r="F187" i="21"/>
  <c r="W156" i="24"/>
  <c r="V96" i="24"/>
  <c r="V95" i="24"/>
  <c r="U95" i="24"/>
  <c r="U96" i="24" s="1"/>
  <c r="T96" i="24"/>
  <c r="T95" i="24"/>
  <c r="C162" i="23" l="1"/>
  <c r="K115" i="24"/>
  <c r="K74" i="24"/>
  <c r="K76" i="24" s="1"/>
  <c r="K89" i="24"/>
  <c r="K91" i="24" s="1"/>
  <c r="K114" i="24"/>
  <c r="M25" i="24"/>
  <c r="F240" i="21"/>
  <c r="C110" i="23" s="1"/>
  <c r="C109" i="23" s="1"/>
  <c r="F241" i="21"/>
  <c r="C146" i="23" s="1"/>
  <c r="C145" i="23" s="1"/>
  <c r="E237" i="21"/>
  <c r="M36" i="24"/>
  <c r="M30" i="24"/>
  <c r="M38" i="24"/>
  <c r="M42" i="24"/>
  <c r="M35" i="24"/>
  <c r="M29" i="24"/>
  <c r="M37" i="24"/>
  <c r="M39" i="24"/>
  <c r="M27" i="24"/>
  <c r="M23" i="24"/>
  <c r="F180" i="21"/>
  <c r="E238" i="21"/>
  <c r="F238" i="21" s="1"/>
  <c r="L152" i="24"/>
  <c r="C198" i="23"/>
  <c r="M20" i="24"/>
  <c r="M59" i="24"/>
  <c r="C102" i="23"/>
  <c r="C106" i="23" s="1"/>
  <c r="L149" i="24"/>
  <c r="M145" i="24"/>
  <c r="N145" i="24" s="1"/>
  <c r="L41" i="24"/>
  <c r="M41" i="24" s="1"/>
  <c r="J41" i="24"/>
  <c r="J148" i="24"/>
  <c r="L148" i="24"/>
  <c r="L147" i="24"/>
  <c r="J150" i="24"/>
  <c r="L150" i="24"/>
  <c r="M150" i="24" s="1"/>
  <c r="N150" i="24" s="1"/>
  <c r="M146" i="24"/>
  <c r="L59" i="24"/>
  <c r="D44" i="23" s="1"/>
  <c r="D49" i="23" s="1"/>
  <c r="J82" i="24"/>
  <c r="N82" i="24" s="1"/>
  <c r="N90" i="24" s="1"/>
  <c r="K102" i="24"/>
  <c r="G186" i="24" s="1"/>
  <c r="C44" i="23"/>
  <c r="L90" i="24"/>
  <c r="L33" i="24"/>
  <c r="M33" i="24" s="1"/>
  <c r="L24" i="24"/>
  <c r="M24" i="24" s="1"/>
  <c r="L34" i="24"/>
  <c r="M34" i="24" s="1"/>
  <c r="N131" i="24"/>
  <c r="J31" i="24"/>
  <c r="N31" i="24" s="1"/>
  <c r="J21" i="24"/>
  <c r="N21" i="24" s="1"/>
  <c r="N89" i="24"/>
  <c r="J32" i="24"/>
  <c r="N32" i="24" s="1"/>
  <c r="L22" i="24"/>
  <c r="M22" i="24" s="1"/>
  <c r="L32" i="24"/>
  <c r="M32" i="24" s="1"/>
  <c r="L31" i="24"/>
  <c r="M31" i="24" s="1"/>
  <c r="M26" i="24"/>
  <c r="L21" i="24"/>
  <c r="M21" i="24" s="1"/>
  <c r="M83" i="24"/>
  <c r="M90" i="24" s="1"/>
  <c r="N114" i="24"/>
  <c r="N116" i="24" s="1"/>
  <c r="M187" i="24" s="1"/>
  <c r="J24" i="24"/>
  <c r="N24" i="24" s="1"/>
  <c r="J22" i="24"/>
  <c r="N22" i="24" s="1"/>
  <c r="L101" i="24"/>
  <c r="L102" i="24" s="1"/>
  <c r="L143" i="24"/>
  <c r="L142" i="24"/>
  <c r="M113" i="24"/>
  <c r="M112" i="24"/>
  <c r="M111" i="24"/>
  <c r="M109" i="24"/>
  <c r="M115" i="24" s="1"/>
  <c r="M99" i="24"/>
  <c r="N101" i="24"/>
  <c r="N102" i="24" s="1"/>
  <c r="M186" i="24" s="1"/>
  <c r="M98" i="24"/>
  <c r="L89" i="24"/>
  <c r="M87" i="24"/>
  <c r="M86" i="24"/>
  <c r="M85" i="24"/>
  <c r="M84" i="24"/>
  <c r="M73" i="24"/>
  <c r="M72" i="24"/>
  <c r="M71" i="24"/>
  <c r="M70" i="24"/>
  <c r="L114" i="24"/>
  <c r="L116" i="24" s="1"/>
  <c r="N74" i="24"/>
  <c r="N76" i="24" s="1"/>
  <c r="M184" i="24" s="1"/>
  <c r="L74" i="24"/>
  <c r="L76" i="24" s="1"/>
  <c r="H42" i="5"/>
  <c r="H41" i="5" s="1"/>
  <c r="G46" i="5"/>
  <c r="H46" i="5" s="1"/>
  <c r="F198" i="21"/>
  <c r="G45" i="5" s="1"/>
  <c r="H45" i="5" s="1"/>
  <c r="G44" i="5"/>
  <c r="H44" i="5" s="1"/>
  <c r="D152" i="21"/>
  <c r="F152" i="21" s="1"/>
  <c r="D151" i="21"/>
  <c r="F151" i="21" s="1"/>
  <c r="D150" i="21"/>
  <c r="F150" i="21" s="1"/>
  <c r="D149" i="21"/>
  <c r="F149" i="21" s="1"/>
  <c r="D148" i="21"/>
  <c r="F148" i="21" s="1"/>
  <c r="F147" i="21"/>
  <c r="F146" i="21"/>
  <c r="D145" i="21"/>
  <c r="F145" i="21" s="1"/>
  <c r="F144" i="21"/>
  <c r="D140" i="21"/>
  <c r="D139" i="21"/>
  <c r="D138" i="21"/>
  <c r="D137" i="21"/>
  <c r="D135" i="21"/>
  <c r="D134" i="21"/>
  <c r="D133" i="21"/>
  <c r="D132" i="21"/>
  <c r="F16" i="21"/>
  <c r="F17" i="21"/>
  <c r="F20" i="21"/>
  <c r="F21" i="21"/>
  <c r="F22" i="21"/>
  <c r="F23" i="21"/>
  <c r="F24" i="21"/>
  <c r="F25" i="21"/>
  <c r="G13" i="6"/>
  <c r="D20" i="6"/>
  <c r="G20" i="6" s="1"/>
  <c r="C85" i="23"/>
  <c r="D14" i="28"/>
  <c r="D15" i="28"/>
  <c r="D16" i="28"/>
  <c r="D17" i="28"/>
  <c r="D18" i="28"/>
  <c r="D19" i="28"/>
  <c r="D20" i="28"/>
  <c r="D21" i="28"/>
  <c r="D22" i="28"/>
  <c r="D23" i="28"/>
  <c r="D24" i="28"/>
  <c r="D25" i="28"/>
  <c r="D26" i="28"/>
  <c r="D27" i="28"/>
  <c r="D28" i="28"/>
  <c r="D29" i="28"/>
  <c r="D30" i="28"/>
  <c r="D13" i="28"/>
  <c r="E35" i="13"/>
  <c r="F35" i="13" s="1"/>
  <c r="E33" i="13"/>
  <c r="F33" i="13" s="1"/>
  <c r="E30" i="13"/>
  <c r="F30" i="13" s="1"/>
  <c r="E31" i="13"/>
  <c r="F31" i="13" s="1"/>
  <c r="E32" i="13"/>
  <c r="F32" i="13" s="1"/>
  <c r="E29" i="13"/>
  <c r="F29" i="13" s="1"/>
  <c r="E28" i="13"/>
  <c r="F28" i="13" s="1"/>
  <c r="F237" i="21" l="1"/>
  <c r="F236" i="21" s="1"/>
  <c r="C35" i="20" s="1"/>
  <c r="C55" i="23"/>
  <c r="C54" i="23" s="1"/>
  <c r="C24" i="38" s="1"/>
  <c r="L45" i="24"/>
  <c r="M45" i="24"/>
  <c r="N152" i="24"/>
  <c r="M144" i="24"/>
  <c r="L153" i="24"/>
  <c r="C202" i="23" s="1"/>
  <c r="C205" i="23" s="1"/>
  <c r="C201" i="23"/>
  <c r="C40" i="38"/>
  <c r="C35" i="39"/>
  <c r="G185" i="24"/>
  <c r="C26" i="38"/>
  <c r="E11" i="38"/>
  <c r="E12" i="38"/>
  <c r="C27" i="38"/>
  <c r="E13" i="38"/>
  <c r="C28" i="38"/>
  <c r="C36" i="20"/>
  <c r="C101" i="23"/>
  <c r="L91" i="24"/>
  <c r="I185" i="24" s="1"/>
  <c r="G180" i="24"/>
  <c r="M151" i="24"/>
  <c r="M148" i="24"/>
  <c r="N148" i="24" s="1"/>
  <c r="C138" i="23"/>
  <c r="C142" i="23" s="1"/>
  <c r="M149" i="24"/>
  <c r="M147" i="24"/>
  <c r="N147" i="24" s="1"/>
  <c r="C197" i="23"/>
  <c r="N91" i="24"/>
  <c r="M185" i="24" s="1"/>
  <c r="C163" i="23"/>
  <c r="I187" i="24"/>
  <c r="J25" i="24"/>
  <c r="N25" i="24" s="1"/>
  <c r="M101" i="24"/>
  <c r="M102" i="24" s="1"/>
  <c r="K186" i="24" s="1"/>
  <c r="M89" i="24"/>
  <c r="M91" i="24" s="1"/>
  <c r="K185" i="24" s="1"/>
  <c r="C139" i="23"/>
  <c r="C141" i="23" s="1"/>
  <c r="I186" i="24"/>
  <c r="C79" i="23"/>
  <c r="I184" i="24"/>
  <c r="K116" i="24"/>
  <c r="G187" i="24" s="1"/>
  <c r="C161" i="23"/>
  <c r="G184" i="24"/>
  <c r="C77" i="23"/>
  <c r="J149" i="24"/>
  <c r="J147" i="24"/>
  <c r="J146" i="24"/>
  <c r="M114" i="24"/>
  <c r="M116" i="24" s="1"/>
  <c r="K187" i="24" s="1"/>
  <c r="M74" i="24"/>
  <c r="M76" i="24" s="1"/>
  <c r="K184" i="24" s="1"/>
  <c r="N59" i="24"/>
  <c r="H43" i="5"/>
  <c r="E15" i="13"/>
  <c r="E22" i="13"/>
  <c r="F22" i="13" s="1"/>
  <c r="E20" i="13"/>
  <c r="E17" i="13"/>
  <c r="E18" i="13"/>
  <c r="F18" i="13" s="1"/>
  <c r="E19" i="13"/>
  <c r="E16" i="13"/>
  <c r="D38" i="5"/>
  <c r="F37" i="5"/>
  <c r="H37" i="5" s="1"/>
  <c r="D35" i="5"/>
  <c r="D34" i="5"/>
  <c r="F34" i="5" s="1"/>
  <c r="D33" i="5"/>
  <c r="F33" i="5" s="1"/>
  <c r="D32" i="5"/>
  <c r="F32" i="5" s="1"/>
  <c r="D19" i="5"/>
  <c r="F19" i="5" s="1"/>
  <c r="D20" i="5"/>
  <c r="F20" i="5" s="1"/>
  <c r="W124" i="24"/>
  <c r="V124" i="24"/>
  <c r="T123" i="24"/>
  <c r="W123" i="24" s="1"/>
  <c r="T124" i="24"/>
  <c r="V123" i="24"/>
  <c r="U124" i="24"/>
  <c r="V110" i="24"/>
  <c r="V109" i="24"/>
  <c r="U110" i="24"/>
  <c r="U109" i="24"/>
  <c r="T109" i="24"/>
  <c r="T110" i="24"/>
  <c r="V83" i="24"/>
  <c r="V82" i="24"/>
  <c r="U82" i="24"/>
  <c r="U83" i="24"/>
  <c r="T83" i="24"/>
  <c r="T82" i="24"/>
  <c r="U71" i="24"/>
  <c r="U70" i="24"/>
  <c r="U54" i="24"/>
  <c r="V54" i="24"/>
  <c r="V55" i="24"/>
  <c r="U55" i="24"/>
  <c r="T71" i="24"/>
  <c r="V71" i="24" s="1"/>
  <c r="T70" i="24"/>
  <c r="V70" i="24"/>
  <c r="N45" i="24" l="1"/>
  <c r="N47" i="24" s="1"/>
  <c r="M180" i="24" s="1"/>
  <c r="C34" i="39"/>
  <c r="C28" i="23"/>
  <c r="C27" i="23" s="1"/>
  <c r="E9" i="38"/>
  <c r="U155" i="24"/>
  <c r="D16" i="5" s="1"/>
  <c r="F16" i="5" s="1"/>
  <c r="M153" i="24"/>
  <c r="M47" i="24"/>
  <c r="K180" i="24" s="1"/>
  <c r="C41" i="38"/>
  <c r="C36" i="39"/>
  <c r="C37" i="20"/>
  <c r="C103" i="23"/>
  <c r="C105" i="23" s="1"/>
  <c r="C165" i="23"/>
  <c r="C19" i="23"/>
  <c r="L47" i="24"/>
  <c r="I180" i="24" s="1"/>
  <c r="C204" i="23"/>
  <c r="N149" i="24"/>
  <c r="N153" i="24" s="1"/>
  <c r="C81" i="23"/>
  <c r="V155" i="24"/>
  <c r="D17" i="5" s="1"/>
  <c r="U156" i="24"/>
  <c r="X156" i="24" s="1"/>
  <c r="T155" i="24"/>
  <c r="T156" i="24"/>
  <c r="D21" i="6"/>
  <c r="G21" i="6" s="1"/>
  <c r="I21" i="6" s="1"/>
  <c r="V156" i="24"/>
  <c r="F17" i="13"/>
  <c r="F16" i="13"/>
  <c r="F20" i="13"/>
  <c r="F15" i="13"/>
  <c r="F19" i="13"/>
  <c r="C23" i="38" l="1"/>
  <c r="C31" i="38" s="1"/>
  <c r="E8" i="38"/>
  <c r="E16" i="38" s="1"/>
  <c r="X155" i="24"/>
  <c r="D28" i="5"/>
  <c r="D31" i="5"/>
  <c r="D22" i="5"/>
  <c r="F22" i="5" s="1"/>
  <c r="F17" i="5"/>
  <c r="C21" i="23"/>
  <c r="C23" i="23" s="1"/>
  <c r="H27" i="5"/>
  <c r="D21" i="5"/>
  <c r="F21" i="5" s="1"/>
  <c r="W155" i="24"/>
  <c r="T157" i="24"/>
  <c r="F28" i="5" l="1"/>
  <c r="H28" i="5" s="1"/>
  <c r="F31" i="5"/>
  <c r="H31" i="5" s="1"/>
  <c r="E127" i="24"/>
  <c r="M127" i="24" s="1"/>
  <c r="L127" i="24" l="1"/>
  <c r="L154" i="24" s="1"/>
  <c r="L156" i="24" s="1"/>
  <c r="E55" i="24"/>
  <c r="E58" i="24"/>
  <c r="N58" i="24" s="1"/>
  <c r="E56" i="24"/>
  <c r="C16" i="26"/>
  <c r="D14" i="26" s="1"/>
  <c r="C166" i="23"/>
  <c r="C24" i="25"/>
  <c r="N55" i="24" l="1"/>
  <c r="K55" i="24"/>
  <c r="N56" i="24"/>
  <c r="K56" i="24"/>
  <c r="M154" i="24"/>
  <c r="C199" i="23"/>
  <c r="N154" i="24"/>
  <c r="N156" i="24" s="1"/>
  <c r="L55" i="24"/>
  <c r="L56" i="24"/>
  <c r="I188" i="24"/>
  <c r="K58" i="24"/>
  <c r="L58" i="24"/>
  <c r="D13" i="26"/>
  <c r="D15" i="26"/>
  <c r="C164" i="23"/>
  <c r="C14" i="38" s="1"/>
  <c r="C160" i="23"/>
  <c r="B14" i="38" s="1"/>
  <c r="D16" i="26"/>
  <c r="K60" i="24" l="1"/>
  <c r="K62" i="24" s="1"/>
  <c r="M55" i="24"/>
  <c r="M58" i="24"/>
  <c r="M56" i="24"/>
  <c r="J40" i="38"/>
  <c r="F14" i="38"/>
  <c r="G14" i="38"/>
  <c r="J14" i="38"/>
  <c r="C159" i="23"/>
  <c r="C24" i="39" s="1"/>
  <c r="C173" i="23"/>
  <c r="D29" i="38" s="1"/>
  <c r="C196" i="23"/>
  <c r="B15" i="38" s="1"/>
  <c r="C206" i="23"/>
  <c r="C203" i="23" s="1"/>
  <c r="C15" i="38" s="1"/>
  <c r="M156" i="24"/>
  <c r="K188" i="24" s="1"/>
  <c r="M188" i="24"/>
  <c r="N60" i="24"/>
  <c r="N62" i="24" s="1"/>
  <c r="M183" i="24" s="1"/>
  <c r="D45" i="23"/>
  <c r="G188" i="24"/>
  <c r="L60" i="24"/>
  <c r="L62" i="24" s="1"/>
  <c r="C47" i="23" s="1"/>
  <c r="C49" i="23" s="1"/>
  <c r="C80" i="23"/>
  <c r="C11" i="38" s="1"/>
  <c r="C76" i="23"/>
  <c r="B11" i="38" s="1"/>
  <c r="C104" i="23"/>
  <c r="C12" i="38" s="1"/>
  <c r="C100" i="23"/>
  <c r="B12" i="38" s="1"/>
  <c r="C24" i="23"/>
  <c r="C22" i="23" s="1"/>
  <c r="M60" i="24" l="1"/>
  <c r="M62" i="24" s="1"/>
  <c r="K183" i="24" s="1"/>
  <c r="K189" i="24" s="1"/>
  <c r="G12" i="38"/>
  <c r="J15" i="38"/>
  <c r="J41" i="38"/>
  <c r="G15" i="38"/>
  <c r="C25" i="20"/>
  <c r="B29" i="38"/>
  <c r="J37" i="38"/>
  <c r="J11" i="38"/>
  <c r="F11" i="38"/>
  <c r="F15" i="38"/>
  <c r="G11" i="38"/>
  <c r="J38" i="38"/>
  <c r="J12" i="38"/>
  <c r="F12" i="38"/>
  <c r="D50" i="23"/>
  <c r="D48" i="23" s="1"/>
  <c r="C10" i="38" s="1"/>
  <c r="D43" i="23"/>
  <c r="B10" i="38" s="1"/>
  <c r="C171" i="23"/>
  <c r="C174" i="23" s="1"/>
  <c r="E29" i="38" s="1"/>
  <c r="C99" i="23"/>
  <c r="C22" i="39" s="1"/>
  <c r="C75" i="23"/>
  <c r="C21" i="39" s="1"/>
  <c r="C214" i="23"/>
  <c r="D30" i="38" s="1"/>
  <c r="C195" i="23"/>
  <c r="C113" i="23"/>
  <c r="D27" i="38" s="1"/>
  <c r="C48" i="23"/>
  <c r="C9" i="38" s="1"/>
  <c r="C43" i="23"/>
  <c r="B9" i="38" s="1"/>
  <c r="C89" i="23"/>
  <c r="D26" i="38" s="1"/>
  <c r="M189" i="24"/>
  <c r="G183" i="24"/>
  <c r="G189" i="24" s="1"/>
  <c r="I183" i="24"/>
  <c r="I189" i="24" s="1"/>
  <c r="C18" i="23"/>
  <c r="B8" i="38" s="1"/>
  <c r="C140" i="23"/>
  <c r="C13" i="38" s="1"/>
  <c r="C136" i="23"/>
  <c r="B13" i="38" s="1"/>
  <c r="B30" i="38" l="1"/>
  <c r="K41" i="38" s="1"/>
  <c r="C25" i="39"/>
  <c r="I13" i="38"/>
  <c r="I39" i="38"/>
  <c r="G10" i="38"/>
  <c r="J35" i="38"/>
  <c r="F9" i="38"/>
  <c r="J9" i="38"/>
  <c r="G9" i="38"/>
  <c r="H9" i="38" s="1"/>
  <c r="B16" i="38"/>
  <c r="C87" i="23"/>
  <c r="C90" i="23" s="1"/>
  <c r="E26" i="38" s="1"/>
  <c r="B26" i="38"/>
  <c r="C23" i="20"/>
  <c r="B27" i="38"/>
  <c r="F13" i="38"/>
  <c r="J13" i="38"/>
  <c r="J39" i="38"/>
  <c r="G13" i="38"/>
  <c r="J36" i="38"/>
  <c r="F10" i="38"/>
  <c r="J10" i="38"/>
  <c r="K40" i="38"/>
  <c r="C111" i="23"/>
  <c r="C114" i="23" s="1"/>
  <c r="E27" i="38" s="1"/>
  <c r="C22" i="20"/>
  <c r="C135" i="23"/>
  <c r="C23" i="39" s="1"/>
  <c r="C42" i="23"/>
  <c r="D42" i="23"/>
  <c r="C212" i="23"/>
  <c r="C26" i="20"/>
  <c r="C31" i="23"/>
  <c r="D23" i="38" s="1"/>
  <c r="D59" i="23"/>
  <c r="D25" i="38" s="1"/>
  <c r="C59" i="23"/>
  <c r="D24" i="38" s="1"/>
  <c r="C149" i="23"/>
  <c r="D28" i="38" s="1"/>
  <c r="C175" i="23"/>
  <c r="F29" i="38" s="1"/>
  <c r="G29" i="38" s="1"/>
  <c r="B24" i="38" l="1"/>
  <c r="K35" i="38" s="1"/>
  <c r="C20" i="39"/>
  <c r="I11" i="38"/>
  <c r="K37" i="38"/>
  <c r="D31" i="38"/>
  <c r="C38" i="39" s="1"/>
  <c r="D56" i="23"/>
  <c r="B25" i="38"/>
  <c r="K38" i="38"/>
  <c r="C24" i="20"/>
  <c r="B28" i="38"/>
  <c r="K39" i="38" s="1"/>
  <c r="I37" i="38"/>
  <c r="I36" i="38"/>
  <c r="I10" i="38"/>
  <c r="I40" i="38"/>
  <c r="I14" i="38"/>
  <c r="I15" i="38"/>
  <c r="C21" i="20"/>
  <c r="C147" i="23"/>
  <c r="C150" i="23" s="1"/>
  <c r="E28" i="38" s="1"/>
  <c r="C215" i="23"/>
  <c r="C56" i="23"/>
  <c r="C60" i="23" s="1"/>
  <c r="E24" i="38" s="1"/>
  <c r="C176" i="23"/>
  <c r="C178" i="23" s="1"/>
  <c r="D34" i="36"/>
  <c r="C91" i="23"/>
  <c r="F26" i="38" s="1"/>
  <c r="G26" i="38" s="1"/>
  <c r="C115" i="23"/>
  <c r="F27" i="38" s="1"/>
  <c r="G27" i="38" s="1"/>
  <c r="F40" i="5"/>
  <c r="H40" i="5" s="1"/>
  <c r="F39" i="5"/>
  <c r="H39" i="5" s="1"/>
  <c r="F38" i="5"/>
  <c r="H38" i="5" s="1"/>
  <c r="D143" i="21"/>
  <c r="F143" i="21" s="1"/>
  <c r="D142" i="21"/>
  <c r="F142" i="21" s="1"/>
  <c r="D141" i="21"/>
  <c r="F141" i="21" s="1"/>
  <c r="F140" i="21"/>
  <c r="F139" i="21"/>
  <c r="F138" i="21"/>
  <c r="F137" i="21"/>
  <c r="D136" i="21"/>
  <c r="F136" i="21" s="1"/>
  <c r="F135" i="21"/>
  <c r="F134" i="21"/>
  <c r="F133" i="21"/>
  <c r="F132" i="21"/>
  <c r="F128" i="21"/>
  <c r="F127" i="21"/>
  <c r="F126" i="21"/>
  <c r="F125" i="21"/>
  <c r="F124" i="21"/>
  <c r="F123" i="21"/>
  <c r="F122" i="21"/>
  <c r="D121" i="21"/>
  <c r="F121" i="21" s="1"/>
  <c r="D120" i="21"/>
  <c r="F120" i="21" s="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4" i="21"/>
  <c r="F103" i="21"/>
  <c r="F102" i="21"/>
  <c r="D101" i="21"/>
  <c r="F101" i="21" s="1"/>
  <c r="D100" i="21"/>
  <c r="F100" i="21" s="1"/>
  <c r="F99" i="21"/>
  <c r="F98" i="21"/>
  <c r="F97" i="21"/>
  <c r="F96" i="21"/>
  <c r="F95" i="21"/>
  <c r="D94" i="21"/>
  <c r="F94" i="21" s="1"/>
  <c r="D93" i="21"/>
  <c r="F93" i="21" s="1"/>
  <c r="D92" i="21"/>
  <c r="F92" i="21" s="1"/>
  <c r="D91" i="21"/>
  <c r="F91" i="21" s="1"/>
  <c r="F90" i="21"/>
  <c r="F89" i="21"/>
  <c r="D88" i="21"/>
  <c r="F88" i="21" s="1"/>
  <c r="D87" i="21"/>
  <c r="F87" i="21" s="1"/>
  <c r="D86" i="21"/>
  <c r="F86" i="21" s="1"/>
  <c r="D85" i="21"/>
  <c r="F85" i="21" s="1"/>
  <c r="D84" i="21"/>
  <c r="F84" i="21" s="1"/>
  <c r="F80" i="21"/>
  <c r="F79" i="21"/>
  <c r="F78" i="21"/>
  <c r="F77" i="21"/>
  <c r="D76" i="21"/>
  <c r="F76" i="21" s="1"/>
  <c r="F75" i="21"/>
  <c r="D74" i="21"/>
  <c r="F74" i="21" s="1"/>
  <c r="D73" i="21"/>
  <c r="F73" i="21" s="1"/>
  <c r="F72" i="21"/>
  <c r="F71" i="21"/>
  <c r="F70" i="21"/>
  <c r="F69" i="21"/>
  <c r="F68" i="21"/>
  <c r="F67" i="21"/>
  <c r="F66" i="21"/>
  <c r="F65" i="21"/>
  <c r="F64" i="21"/>
  <c r="F63" i="21"/>
  <c r="F62" i="21"/>
  <c r="F61" i="21"/>
  <c r="D60" i="21"/>
  <c r="F60" i="21" s="1"/>
  <c r="D59" i="21"/>
  <c r="F59" i="21" s="1"/>
  <c r="F55" i="21"/>
  <c r="D54" i="21"/>
  <c r="F53" i="21"/>
  <c r="D52" i="21"/>
  <c r="F51" i="21"/>
  <c r="F50" i="21"/>
  <c r="F49" i="21"/>
  <c r="F48" i="21"/>
  <c r="F47" i="21"/>
  <c r="F46" i="21"/>
  <c r="F45" i="21"/>
  <c r="F44" i="21"/>
  <c r="F43" i="21"/>
  <c r="F42" i="21"/>
  <c r="F41" i="21"/>
  <c r="D40" i="21"/>
  <c r="F39" i="21"/>
  <c r="D38" i="21"/>
  <c r="D37" i="21"/>
  <c r="D36" i="21"/>
  <c r="D35" i="21"/>
  <c r="D34" i="21"/>
  <c r="F33" i="21"/>
  <c r="F32" i="21"/>
  <c r="F31" i="21"/>
  <c r="F30" i="21"/>
  <c r="F29" i="21"/>
  <c r="F28" i="21"/>
  <c r="F27" i="21"/>
  <c r="F26" i="21"/>
  <c r="D19" i="21"/>
  <c r="D18" i="21"/>
  <c r="D15" i="21"/>
  <c r="F35" i="5"/>
  <c r="H15" i="5"/>
  <c r="F35" i="21" l="1"/>
  <c r="F18" i="21"/>
  <c r="F40" i="21"/>
  <c r="F19" i="21"/>
  <c r="F37" i="21"/>
  <c r="F15" i="21"/>
  <c r="F56" i="21" s="1"/>
  <c r="F36" i="21"/>
  <c r="F52" i="21"/>
  <c r="F34" i="21"/>
  <c r="F38" i="21"/>
  <c r="F54" i="21"/>
  <c r="I12" i="38"/>
  <c r="I38" i="38"/>
  <c r="K36" i="38"/>
  <c r="C216" i="23"/>
  <c r="F30" i="38" s="1"/>
  <c r="E30" i="38"/>
  <c r="I35" i="38"/>
  <c r="I9" i="38"/>
  <c r="I35" i="36"/>
  <c r="C40" i="20"/>
  <c r="C61" i="23"/>
  <c r="U35" i="36"/>
  <c r="J35" i="36"/>
  <c r="H35" i="36"/>
  <c r="G35" i="36"/>
  <c r="T35" i="36"/>
  <c r="S35" i="36"/>
  <c r="D60" i="23"/>
  <c r="E25" i="38" s="1"/>
  <c r="D21" i="25"/>
  <c r="D18" i="25"/>
  <c r="D15" i="25"/>
  <c r="C92" i="23"/>
  <c r="C94" i="23" s="1"/>
  <c r="D28" i="36"/>
  <c r="W35" i="36"/>
  <c r="F35" i="36"/>
  <c r="V35" i="36"/>
  <c r="R35" i="36"/>
  <c r="K35" i="36"/>
  <c r="C151" i="23"/>
  <c r="F28" i="38" s="1"/>
  <c r="G28" i="38" s="1"/>
  <c r="C116" i="23"/>
  <c r="C118" i="23" s="1"/>
  <c r="D31" i="36"/>
  <c r="H36" i="5"/>
  <c r="E36" i="13"/>
  <c r="F36" i="13" s="1"/>
  <c r="E23" i="13"/>
  <c r="F23" i="13" s="1"/>
  <c r="F153" i="21"/>
  <c r="F81" i="21"/>
  <c r="F105" i="21"/>
  <c r="G34" i="5" s="1"/>
  <c r="F129" i="21"/>
  <c r="G33" i="5" l="1"/>
  <c r="H33" i="5" s="1"/>
  <c r="G35" i="5"/>
  <c r="H35" i="5" s="1"/>
  <c r="C38" i="38"/>
  <c r="C33" i="39"/>
  <c r="C62" i="23"/>
  <c r="C64" i="23" s="1"/>
  <c r="F24" i="38"/>
  <c r="G24" i="38" s="1"/>
  <c r="G30" i="38"/>
  <c r="C34" i="20"/>
  <c r="D61" i="23"/>
  <c r="F25" i="38" s="1"/>
  <c r="G25" i="38" s="1"/>
  <c r="R29" i="36"/>
  <c r="D24" i="25"/>
  <c r="Q29" i="36"/>
  <c r="P29" i="36"/>
  <c r="C152" i="23"/>
  <c r="C154" i="23" s="1"/>
  <c r="C58" i="36" s="1"/>
  <c r="W32" i="36"/>
  <c r="I32" i="36"/>
  <c r="F32" i="36"/>
  <c r="H32" i="36"/>
  <c r="G32" i="36"/>
  <c r="R32" i="36"/>
  <c r="V32" i="36"/>
  <c r="T32" i="36"/>
  <c r="J32" i="36"/>
  <c r="K32" i="36"/>
  <c r="U32" i="36"/>
  <c r="S32" i="36"/>
  <c r="C217" i="23"/>
  <c r="C219" i="23" s="1"/>
  <c r="E21" i="13"/>
  <c r="F21" i="13" s="1"/>
  <c r="H29" i="5"/>
  <c r="H26" i="5"/>
  <c r="H22" i="5"/>
  <c r="H21" i="5"/>
  <c r="H19" i="5"/>
  <c r="H16" i="5"/>
  <c r="H17" i="5"/>
  <c r="H14" i="5"/>
  <c r="D62" i="23" l="1"/>
  <c r="D64" i="23" s="1"/>
  <c r="C57" i="36" s="1"/>
  <c r="I24" i="38"/>
  <c r="H13" i="5"/>
  <c r="E34" i="13"/>
  <c r="F34" i="13" s="1"/>
  <c r="H20" i="5"/>
  <c r="H18" i="5" s="1"/>
  <c r="H34" i="5"/>
  <c r="C35" i="38" l="1"/>
  <c r="C30" i="39"/>
  <c r="C36" i="38"/>
  <c r="C31" i="39"/>
  <c r="C65" i="23"/>
  <c r="C32" i="20"/>
  <c r="D37" i="36"/>
  <c r="W38" i="36" s="1"/>
  <c r="C31" i="20"/>
  <c r="D68" i="15"/>
  <c r="D69" i="15"/>
  <c r="D67" i="15"/>
  <c r="D60" i="15"/>
  <c r="D61" i="15"/>
  <c r="D62" i="15"/>
  <c r="D63" i="15"/>
  <c r="D64" i="15"/>
  <c r="D65" i="15"/>
  <c r="D66" i="15"/>
  <c r="D57" i="15"/>
  <c r="D58" i="15"/>
  <c r="D56" i="15"/>
  <c r="D40" i="15"/>
  <c r="E40" i="15" s="1"/>
  <c r="D41" i="15"/>
  <c r="D39" i="15"/>
  <c r="D37" i="15"/>
  <c r="D38" i="15"/>
  <c r="D36" i="15"/>
  <c r="D34" i="15"/>
  <c r="E34" i="15" s="1"/>
  <c r="D35" i="15"/>
  <c r="D33" i="15"/>
  <c r="D31" i="15"/>
  <c r="D32" i="15"/>
  <c r="D30" i="15"/>
  <c r="D47" i="15"/>
  <c r="D46" i="15"/>
  <c r="D48" i="15"/>
  <c r="D43" i="15"/>
  <c r="D44" i="15"/>
  <c r="D45" i="15"/>
  <c r="D42" i="15"/>
  <c r="E56" i="15"/>
  <c r="D54" i="15"/>
  <c r="D53" i="15"/>
  <c r="D55" i="15"/>
  <c r="D50" i="15"/>
  <c r="D51" i="15"/>
  <c r="D52" i="15"/>
  <c r="D49" i="15"/>
  <c r="E37" i="15"/>
  <c r="E66" i="15"/>
  <c r="D59" i="15"/>
  <c r="E69" i="15"/>
  <c r="E35" i="15"/>
  <c r="E38" i="15"/>
  <c r="E41" i="15"/>
  <c r="V38" i="36" l="1"/>
  <c r="L38" i="36"/>
  <c r="N38" i="36"/>
  <c r="G38" i="36"/>
  <c r="F38" i="36"/>
  <c r="R38" i="36"/>
  <c r="O38" i="36"/>
  <c r="K38" i="36"/>
  <c r="H38" i="36"/>
  <c r="S38" i="36"/>
  <c r="I38" i="36"/>
  <c r="U38" i="36"/>
  <c r="P38" i="36"/>
  <c r="T38" i="36"/>
  <c r="M38" i="36"/>
  <c r="Q38" i="36"/>
  <c r="J38" i="36"/>
  <c r="E65" i="15"/>
  <c r="E61" i="15"/>
  <c r="E68" i="15"/>
  <c r="E58" i="15"/>
  <c r="E32" i="15"/>
  <c r="E49" i="15"/>
  <c r="E51" i="15"/>
  <c r="E55" i="15"/>
  <c r="E33" i="15"/>
  <c r="E42" i="15"/>
  <c r="E44" i="15"/>
  <c r="E48" i="15"/>
  <c r="E47" i="15"/>
  <c r="E57" i="15"/>
  <c r="E63" i="15"/>
  <c r="E64" i="15"/>
  <c r="E39" i="15"/>
  <c r="E45" i="15"/>
  <c r="E43" i="15"/>
  <c r="E46" i="15"/>
  <c r="E60" i="15"/>
  <c r="E53" i="15"/>
  <c r="E62" i="15"/>
  <c r="E54" i="15"/>
  <c r="E59" i="15"/>
  <c r="E52" i="15"/>
  <c r="E50" i="15"/>
  <c r="E67" i="15"/>
  <c r="E30" i="15"/>
  <c r="E36" i="15"/>
  <c r="E31" i="15"/>
  <c r="E14" i="13" l="1"/>
  <c r="F14" i="13" s="1"/>
  <c r="F24" i="13" s="1"/>
  <c r="J19" i="15"/>
  <c r="H13" i="6" s="1"/>
  <c r="I13" i="6" s="1"/>
  <c r="E27" i="13"/>
  <c r="F27" i="13" s="1"/>
  <c r="F37" i="13" s="1"/>
  <c r="I14" i="6"/>
  <c r="C17" i="39" l="1"/>
  <c r="C18" i="20"/>
  <c r="D43" i="36"/>
  <c r="X44" i="36" s="1"/>
  <c r="X47" i="36" s="1"/>
  <c r="C15" i="39"/>
  <c r="C16" i="20"/>
  <c r="D19" i="36"/>
  <c r="E20" i="36" s="1"/>
  <c r="E47" i="36" s="1"/>
  <c r="C27" i="39"/>
  <c r="C60" i="36"/>
  <c r="C28" i="20"/>
  <c r="H32" i="5" l="1"/>
  <c r="H23" i="5" s="1"/>
  <c r="C32" i="39" s="1"/>
  <c r="H47" i="5" l="1"/>
  <c r="H48" i="5" s="1"/>
  <c r="C37" i="38"/>
  <c r="C42" i="38" s="1"/>
  <c r="D40" i="36" s="1"/>
  <c r="C33" i="20"/>
  <c r="C43" i="20" s="1"/>
  <c r="J46" i="38" l="1"/>
  <c r="P41" i="36"/>
  <c r="G41" i="36" l="1"/>
  <c r="W41" i="36"/>
  <c r="S41" i="36"/>
  <c r="V41" i="36"/>
  <c r="M41" i="36"/>
  <c r="T41" i="36"/>
  <c r="O41" i="36"/>
  <c r="F41" i="36"/>
  <c r="I41" i="36"/>
  <c r="H41" i="36"/>
  <c r="K41" i="36"/>
  <c r="L41" i="36"/>
  <c r="J41" i="36"/>
  <c r="U41" i="36"/>
  <c r="Q41" i="36"/>
  <c r="R41" i="36"/>
  <c r="N41" i="36"/>
  <c r="I20" i="6"/>
  <c r="I22" i="6" s="1"/>
  <c r="C61" i="36" l="1"/>
  <c r="C62" i="36" s="1"/>
  <c r="C72" i="36" s="1"/>
  <c r="C28" i="39"/>
  <c r="C29" i="20"/>
  <c r="D25" i="36" l="1"/>
  <c r="O26" i="36" l="1"/>
  <c r="W26" i="36"/>
  <c r="K26" i="36"/>
  <c r="G26" i="36"/>
  <c r="N26" i="36"/>
  <c r="J26" i="36"/>
  <c r="P26" i="36"/>
  <c r="L26" i="36"/>
  <c r="U26" i="36"/>
  <c r="Q26" i="36"/>
  <c r="M26" i="36"/>
  <c r="I26" i="36"/>
  <c r="T26" i="36"/>
  <c r="H26" i="36"/>
  <c r="F26" i="36" l="1"/>
  <c r="V26" i="36"/>
  <c r="S26" i="36"/>
  <c r="R26" i="36"/>
  <c r="C8" i="38" l="1"/>
  <c r="C20" i="20" l="1"/>
  <c r="C19" i="39"/>
  <c r="C16" i="38"/>
  <c r="G8" i="38"/>
  <c r="J34" i="38"/>
  <c r="J8" i="38"/>
  <c r="F8" i="38"/>
  <c r="F16" i="38" s="1"/>
  <c r="C29" i="23"/>
  <c r="C32" i="23" s="1"/>
  <c r="E23" i="38" s="1"/>
  <c r="E31" i="38" s="1"/>
  <c r="C41" i="20" s="1"/>
  <c r="B23" i="38"/>
  <c r="I34" i="38" s="1"/>
  <c r="I8" i="38" l="1"/>
  <c r="C39" i="39"/>
  <c r="B31" i="38"/>
  <c r="K34" i="38"/>
  <c r="J42" i="38"/>
  <c r="J16" i="38"/>
  <c r="G16" i="38"/>
  <c r="C33" i="23"/>
  <c r="F23" i="38" s="1"/>
  <c r="F31" i="38" s="1"/>
  <c r="C40" i="39" l="1"/>
  <c r="C42" i="20"/>
  <c r="C41" i="39"/>
  <c r="K42" i="38"/>
  <c r="G23" i="38"/>
  <c r="G31" i="38" s="1"/>
  <c r="C34" i="23"/>
  <c r="C36" i="23" s="1"/>
  <c r="E39" i="39" l="1"/>
  <c r="E19" i="39"/>
  <c r="E38" i="39"/>
  <c r="E28" i="39"/>
  <c r="E20" i="39"/>
  <c r="E25" i="39"/>
  <c r="E22" i="39"/>
  <c r="E21" i="39"/>
  <c r="E24" i="39"/>
  <c r="E34" i="39"/>
  <c r="E30" i="39"/>
  <c r="E32" i="39"/>
  <c r="E41" i="39"/>
  <c r="E35" i="39"/>
  <c r="E17" i="39"/>
  <c r="E15" i="39"/>
  <c r="E40" i="39"/>
  <c r="E33" i="39"/>
  <c r="E23" i="39"/>
  <c r="E36" i="39"/>
  <c r="E27" i="39"/>
  <c r="E31" i="39"/>
  <c r="E16" i="26"/>
  <c r="E14" i="26" s="1"/>
  <c r="J44" i="38"/>
  <c r="D22" i="36"/>
  <c r="D46" i="36" l="1"/>
  <c r="C71" i="36" s="1"/>
  <c r="C73" i="36" s="1"/>
  <c r="J23" i="36"/>
  <c r="J47" i="36" s="1"/>
  <c r="N23" i="36"/>
  <c r="N47" i="36" s="1"/>
  <c r="E13" i="26"/>
  <c r="E15" i="26"/>
  <c r="M23" i="36"/>
  <c r="M47" i="36" s="1"/>
  <c r="L23" i="36"/>
  <c r="L47" i="36" s="1"/>
  <c r="R23" i="36"/>
  <c r="R47" i="36" s="1"/>
  <c r="S23" i="36"/>
  <c r="S47" i="36" s="1"/>
  <c r="G23" i="36"/>
  <c r="G47" i="36" s="1"/>
  <c r="Q23" i="36"/>
  <c r="Q47" i="36" s="1"/>
  <c r="O23" i="36"/>
  <c r="O47" i="36" s="1"/>
  <c r="H23" i="36"/>
  <c r="H47" i="36" s="1"/>
  <c r="I23" i="36"/>
  <c r="I47" i="36" s="1"/>
  <c r="U23" i="36"/>
  <c r="U47" i="36" s="1"/>
  <c r="W23" i="36"/>
  <c r="W47" i="36" s="1"/>
  <c r="F23" i="36"/>
  <c r="V23" i="36"/>
  <c r="V47" i="36" s="1"/>
  <c r="K23" i="36"/>
  <c r="K47" i="36" s="1"/>
  <c r="T23" i="36"/>
  <c r="T47" i="36" s="1"/>
  <c r="P23" i="36"/>
  <c r="P47" i="36" s="1"/>
  <c r="F47" i="36" l="1"/>
</calcChain>
</file>

<file path=xl/comments1.xml><?xml version="1.0" encoding="utf-8"?>
<comments xmlns="http://schemas.openxmlformats.org/spreadsheetml/2006/main">
  <authors>
    <author>windows 8</author>
    <author>Camila Alcantara Dutra Ribeiro</author>
    <author>Zênia Maria de Oliveira Macedo</author>
  </authors>
  <commentList>
    <comment ref="B21" authorId="0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22" authorId="0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23" authorId="0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profissionais para Campo</t>
        </r>
      </text>
    </comment>
    <comment ref="B24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- 2 pra Campo
</t>
        </r>
      </text>
    </comment>
    <comment ref="B25" authorId="0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pra Campo</t>
        </r>
      </text>
    </comment>
    <comment ref="B26" authorId="0" shapeId="0">
      <text>
        <r>
          <rPr>
            <b/>
            <sz val="9"/>
            <color indexed="81"/>
            <rFont val="Segoe UI"/>
            <family val="2"/>
          </rPr>
          <t xml:space="preserve">Profissionais para Campo
</t>
        </r>
        <r>
          <rPr>
            <sz val="9"/>
            <color indexed="81"/>
            <rFont val="Segoe UI"/>
            <family val="2"/>
          </rPr>
          <t xml:space="preserve">- 2 Hidráulica
- 2 Hidromecânica
- 2 Elétrica
</t>
        </r>
      </text>
    </comment>
    <comment ref="B27" authorId="0" shapeId="0">
      <text>
        <r>
          <rPr>
            <b/>
            <sz val="9"/>
            <color indexed="81"/>
            <rFont val="Segoe UI"/>
            <family val="2"/>
          </rPr>
          <t>Previsão de Profissionais:</t>
        </r>
        <r>
          <rPr>
            <sz val="9"/>
            <color indexed="81"/>
            <rFont val="Segoe UI"/>
            <family val="2"/>
          </rPr>
          <t xml:space="preserve">
4 hidráulica
4 Hidromecânica
4 Elétrica
2 Automação
2 Telecomunicação
2 Ambiental
6 - Acom. Apoio Campo</t>
        </r>
      </text>
    </comment>
    <comment ref="B34" authorId="1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Cada Técnico irá acompanhar um engenheiro (Civil, Mecânica, Eletricista)</t>
        </r>
      </text>
    </comment>
    <comment ref="B43" authorId="1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Profissional Especial - Nível Médio Especializado</t>
        </r>
      </text>
    </comment>
    <comment ref="B44" authorId="1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Técninco Auxiliar - Nivel Elementar</t>
        </r>
      </text>
    </comment>
    <comment ref="E55" authorId="1" shapeId="0">
      <text>
        <r>
          <rPr>
            <b/>
            <sz val="9"/>
            <color indexed="81"/>
            <rFont val="Segoe UI"/>
            <family val="2"/>
          </rPr>
          <t xml:space="preserve">* </t>
        </r>
        <r>
          <rPr>
            <sz val="9"/>
            <color indexed="81"/>
            <rFont val="Segoe UI"/>
            <family val="2"/>
          </rPr>
          <t xml:space="preserve">6 Profissionais com previsão de 52 h / mês
</t>
        </r>
      </text>
    </comment>
    <comment ref="E56" authorId="1" shapeId="0">
      <text>
        <r>
          <rPr>
            <b/>
            <sz val="9"/>
            <color indexed="81"/>
            <rFont val="Segoe UI"/>
            <family val="2"/>
          </rPr>
          <t xml:space="preserve">* </t>
        </r>
        <r>
          <rPr>
            <sz val="9"/>
            <color indexed="81"/>
            <rFont val="Segoe UI"/>
            <family val="2"/>
          </rPr>
          <t xml:space="preserve">6 Profissionais com previsão de 74h / mês
</t>
        </r>
      </text>
    </comment>
    <comment ref="E58" authorId="1" shapeId="0">
      <text>
        <r>
          <rPr>
            <sz val="9"/>
            <color indexed="81"/>
            <rFont val="Segoe UI"/>
            <family val="2"/>
          </rPr>
          <t xml:space="preserve">* 3 Profissionais com previsão de 74h / mês
</t>
        </r>
      </text>
    </comment>
    <comment ref="E82" authorId="1" shapeId="0">
      <text>
        <r>
          <rPr>
            <sz val="9"/>
            <color indexed="81"/>
            <rFont val="Segoe UI"/>
            <family val="2"/>
          </rPr>
          <t>* Previsão de 64 horas / mês</t>
        </r>
      </text>
    </comment>
    <comment ref="E83" authorId="1" shapeId="0">
      <text>
        <r>
          <rPr>
            <sz val="9"/>
            <color indexed="81"/>
            <rFont val="Segoe UI"/>
            <family val="2"/>
          </rPr>
          <t>* Previsão de 64 horas / mês</t>
        </r>
      </text>
    </comment>
    <comment ref="E98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Previsão de 64 horas / mês</t>
        </r>
      </text>
    </comment>
    <comment ref="E99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Previsão de 64 horas / mês</t>
        </r>
      </text>
    </comment>
    <comment ref="E109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Previsão de 44 horas / mês</t>
        </r>
      </text>
    </comment>
    <comment ref="B110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Eng. Civil
- 1 Eng. Mecânico
- 1 Eng. Eletricista
</t>
        </r>
      </text>
    </comment>
    <comment ref="B111" authorId="1" shapeId="0">
      <text>
        <r>
          <rPr>
            <b/>
            <sz val="9"/>
            <color indexed="81"/>
            <rFont val="Segoe UI"/>
            <family val="2"/>
          </rPr>
          <t xml:space="preserve">Previsão:
 </t>
        </r>
        <r>
          <rPr>
            <sz val="9"/>
            <color indexed="81"/>
            <rFont val="Segoe UI"/>
            <family val="2"/>
          </rPr>
          <t xml:space="preserve">- Civil (2)
- Mecânico (2)
- Elétrica (2)
- Automação (1)
- Telecomunicações (1)
</t>
        </r>
      </text>
    </comment>
    <comment ref="B112" authorId="1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Civil (1)
- Mecânico (1)
- Elétrica (2)
- Automação (1)
- Telecomunicações (1)</t>
        </r>
      </text>
    </comment>
    <comment ref="B113" authorId="1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- Civil (1)
- Mecânico (1)
- Elétrica (2)
- Automação (1)
- Telecomunicações (1)</t>
        </r>
      </text>
    </comment>
    <comment ref="E127" authorId="1" shapeId="0">
      <text>
        <r>
          <rPr>
            <b/>
            <sz val="9"/>
            <color indexed="81"/>
            <rFont val="Segoe UI"/>
            <family val="2"/>
          </rPr>
          <t>*</t>
        </r>
        <r>
          <rPr>
            <sz val="9"/>
            <color indexed="81"/>
            <rFont val="Segoe UI"/>
            <family val="2"/>
          </rPr>
          <t xml:space="preserve"> Previsão de 8 h/ de serviço por semana (1 diária por semana)
32 h/ mês x 4 Escritórios</t>
        </r>
      </text>
    </comment>
    <comment ref="H144" authorId="2" shapeId="0">
      <text>
        <r>
          <rPr>
            <b/>
            <sz val="9"/>
            <color indexed="81"/>
            <rFont val="Segoe UI"/>
            <family val="2"/>
          </rPr>
          <t>As proporcionalidades da periculosidade não foram objeto da análise de custos.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45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SE: 1
- LT/LD: 1
- Acionamentos: 1</t>
        </r>
      </text>
    </comment>
    <comment ref="H145" authorId="2" shapeId="0">
      <text>
        <r>
          <rPr>
            <b/>
            <sz val="9"/>
            <color indexed="81"/>
            <rFont val="Segoe UI"/>
            <family val="2"/>
          </rPr>
          <t>As proporcionalidades da periculosidade não foram objeto da análise de custos.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46" authorId="2" shapeId="0">
      <text>
        <r>
          <rPr>
            <b/>
            <sz val="9"/>
            <color indexed="81"/>
            <rFont val="Segoe UI"/>
            <family val="2"/>
          </rPr>
          <t>As proporcionalidades da periculosidade não foram objeto da análise de custos.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47" authorId="2" shapeId="0">
      <text>
        <r>
          <rPr>
            <b/>
            <sz val="9"/>
            <color indexed="81"/>
            <rFont val="Segoe UI"/>
            <family val="2"/>
          </rPr>
          <t>As proporcionalidades da periculosidade não foram objeto da análise de custos.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48" authorId="2" shapeId="0">
      <text>
        <r>
          <rPr>
            <b/>
            <sz val="9"/>
            <color indexed="81"/>
            <rFont val="Segoe UI"/>
            <family val="2"/>
          </rPr>
          <t>As proporcionalidades da periculosidade não foram objeto da análise de custos.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49" authorId="2" shapeId="0">
      <text>
        <r>
          <rPr>
            <b/>
            <sz val="9"/>
            <color indexed="81"/>
            <rFont val="Segoe UI"/>
            <family val="2"/>
          </rPr>
          <t>As proporcionalidades da periculosidade não foram objeto da análise de custos.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50" authorId="2" shapeId="0">
      <text>
        <r>
          <rPr>
            <b/>
            <sz val="9"/>
            <color indexed="81"/>
            <rFont val="Segoe UI"/>
            <family val="2"/>
          </rPr>
          <t>As proporcionalidades da periculosidade não foram objeto da análise de custos.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51" authorId="1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Civil
- 1 Eletricista</t>
        </r>
      </text>
    </comment>
    <comment ref="H151" authorId="2" shapeId="0">
      <text>
        <r>
          <rPr>
            <b/>
            <sz val="9"/>
            <color indexed="81"/>
            <rFont val="Segoe UI"/>
            <family val="2"/>
          </rPr>
          <t>As proporcionalidades da periculosidade não foram objeto da análise de custos.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Camila Alcantara Dutra Ribeiro</author>
    <author>windows 8</author>
  </authors>
  <commentList>
    <comment ref="E18" authorId="0" shapeId="0">
      <text>
        <r>
          <rPr>
            <b/>
            <sz val="9"/>
            <color indexed="81"/>
            <rFont val="Segoe UI"/>
            <family val="2"/>
          </rPr>
          <t xml:space="preserve">Previsão: </t>
        </r>
        <r>
          <rPr>
            <sz val="9"/>
            <color indexed="81"/>
            <rFont val="Segoe UI"/>
            <family val="2"/>
          </rPr>
          <t xml:space="preserve">
Previsão de 80  horas / mês</t>
        </r>
      </text>
    </comment>
    <comment ref="E19" authorId="0" shapeId="0">
      <text>
        <r>
          <rPr>
            <b/>
            <sz val="9"/>
            <color indexed="81"/>
            <rFont val="Segoe UI"/>
            <family val="2"/>
          </rPr>
          <t xml:space="preserve">Previsão: </t>
        </r>
        <r>
          <rPr>
            <sz val="9"/>
            <color indexed="81"/>
            <rFont val="Segoe UI"/>
            <family val="2"/>
          </rPr>
          <t xml:space="preserve">
Previsão de 80  horas / mês</t>
        </r>
      </text>
    </comment>
    <comment ref="B21" authorId="1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22" authorId="1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23" authorId="1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profissionais para Campo</t>
        </r>
      </text>
    </comment>
    <comment ref="B24" authorId="1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- 2 pra Campo
</t>
        </r>
      </text>
    </comment>
    <comment ref="B25" authorId="1" shapeId="0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pra Campo</t>
        </r>
      </text>
    </comment>
    <comment ref="B26" authorId="1" shapeId="0">
      <text>
        <r>
          <rPr>
            <b/>
            <sz val="9"/>
            <color indexed="81"/>
            <rFont val="Segoe UI"/>
            <family val="2"/>
          </rPr>
          <t xml:space="preserve">Profissionais para Campo
</t>
        </r>
        <r>
          <rPr>
            <sz val="9"/>
            <color indexed="81"/>
            <rFont val="Segoe UI"/>
            <family val="2"/>
          </rPr>
          <t xml:space="preserve">- 2 Hidráulica
- 2 Hidromecânica
- 2 Elétrica
</t>
        </r>
      </text>
    </comment>
    <comment ref="B27" authorId="1" shapeId="0">
      <text>
        <r>
          <rPr>
            <b/>
            <sz val="9"/>
            <color indexed="81"/>
            <rFont val="Segoe UI"/>
            <family val="2"/>
          </rPr>
          <t>Previsão de Profissionais:</t>
        </r>
        <r>
          <rPr>
            <sz val="9"/>
            <color indexed="81"/>
            <rFont val="Segoe UI"/>
            <family val="2"/>
          </rPr>
          <t xml:space="preserve">
4 hidráulica
4 Hidromecânica
4 Elétrica
2 Automação
2 Telecomunicação
2 Ambiental
6 - Acom. Apoio Campo</t>
        </r>
      </text>
    </comment>
    <comment ref="B34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Cada Técnico irá acompanhar um engenheiro (Civil, Mecânica, Eletricista)</t>
        </r>
      </text>
    </comment>
    <comment ref="B43" authorId="0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Profissional Especial - Nível Médio Especializado</t>
        </r>
      </text>
    </comment>
    <comment ref="B44" authorId="0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Técninco Auxiliar - Nivel Elementar</t>
        </r>
      </text>
    </comment>
    <comment ref="B109" authorId="0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Eng. Civil
- 1 Eng. Mecânico
- 1 Eng. Eletricista
</t>
        </r>
      </text>
    </comment>
    <comment ref="B110" authorId="0" shapeId="0">
      <text>
        <r>
          <rPr>
            <b/>
            <sz val="9"/>
            <color indexed="81"/>
            <rFont val="Segoe UI"/>
            <family val="2"/>
          </rPr>
          <t xml:space="preserve">Estimativa:
 </t>
        </r>
        <r>
          <rPr>
            <sz val="9"/>
            <color indexed="81"/>
            <rFont val="Segoe UI"/>
            <family val="2"/>
          </rPr>
          <t xml:space="preserve">- Civil (2)
- Mecânico (2)
- Elétrica (2)
- Automação (1)
- Telecomunicações (1)
</t>
        </r>
      </text>
    </comment>
    <comment ref="B111" authorId="0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Civil (1)
- Mecânico (1)
- Elétrica (2)
- Automação (1)
- Telecomunicações (1)</t>
        </r>
      </text>
    </comment>
    <comment ref="B112" authorId="0" shapeId="0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- Civil (1)
- Mecânico (1)
- Elétrica (2)
- Automação (1)
- Telecomunicações (1)</t>
        </r>
      </text>
    </comment>
    <comment ref="E124" authorId="0" shapeId="0">
      <text>
        <r>
          <rPr>
            <b/>
            <sz val="9"/>
            <color indexed="81"/>
            <rFont val="Segoe UI"/>
            <family val="2"/>
          </rPr>
          <t>*</t>
        </r>
        <r>
          <rPr>
            <sz val="9"/>
            <color indexed="81"/>
            <rFont val="Segoe UI"/>
            <family val="2"/>
          </rPr>
          <t xml:space="preserve"> Previsão de 8 h/ de serviço por semana (1 diária por semana)
32 h/ mês x 4 Escritórios</t>
        </r>
      </text>
    </comment>
    <comment ref="B142" authorId="0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SE: 1
- LT/LD: 1
- Acionamentos: 1</t>
        </r>
      </text>
    </comment>
    <comment ref="B148" authorId="0" shapeId="0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Civil
- 1 Eletricista</t>
        </r>
      </text>
    </comment>
  </commentList>
</comments>
</file>

<file path=xl/comments3.xml><?xml version="1.0" encoding="utf-8"?>
<comments xmlns="http://schemas.openxmlformats.org/spreadsheetml/2006/main">
  <authors>
    <author>Camila Alcantara Dutra Ribeiro</author>
    <author>Zênia Maria de Oliveira Macedo</author>
  </authors>
  <commentList>
    <comment ref="B14" authorId="0" shapeId="0">
      <text>
        <r>
          <rPr>
            <b/>
            <sz val="9"/>
            <color indexed="81"/>
            <rFont val="Segoe UI"/>
            <family val="2"/>
          </rPr>
          <t xml:space="preserve">Aluguel de 4 escritórios de apoio logístico para todo o período do contrato:
</t>
        </r>
        <r>
          <rPr>
            <sz val="9"/>
            <color indexed="81"/>
            <rFont val="Segoe UI"/>
            <family val="2"/>
          </rPr>
          <t>- 2 Escritórios no Eixo Norte
- 2 Escritórios no Eixo Leste</t>
        </r>
      </text>
    </comment>
    <comment ref="G14" authorId="1" shapeId="0">
      <text>
        <r>
          <rPr>
            <sz val="9"/>
            <color indexed="81"/>
            <rFont val="Segoe UI"/>
            <family val="2"/>
          </rPr>
          <t xml:space="preserve">SICRO - CONSULTORIA/DNIT: OUT/2017.
</t>
        </r>
      </text>
    </comment>
    <comment ref="B15" authorId="0" shapeId="0">
      <text>
        <r>
          <rPr>
            <sz val="9"/>
            <color indexed="81"/>
            <rFont val="Segoe UI"/>
            <family val="2"/>
          </rPr>
          <t>Aluguel de 2 escritórios para todo o período do contrato:
- 1 Escritório em Brasília/DF
- 1 Escritório em Salgueiro/PE</t>
        </r>
      </text>
    </comment>
    <comment ref="G15" authorId="1" shapeId="0">
      <text>
        <r>
          <rPr>
            <b/>
            <sz val="9"/>
            <color indexed="81"/>
            <rFont val="Segoe UI"/>
            <family val="2"/>
          </rPr>
          <t>CONTRATO 0.0143.00/2013 - 3º T. ADITIVO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6" authorId="0" shapeId="0">
      <text>
        <r>
          <rPr>
            <b/>
            <sz val="9"/>
            <color indexed="81"/>
            <rFont val="Segoe UI"/>
            <family val="2"/>
          </rPr>
          <t xml:space="preserve">Capacidade da casa:
</t>
        </r>
        <r>
          <rPr>
            <sz val="9"/>
            <color indexed="81"/>
            <rFont val="Segoe UI"/>
            <family val="2"/>
          </rPr>
          <t>Parâmetro: Cada casa deve comportar no mínimo 8 engenheiros.</t>
        </r>
      </text>
    </comment>
    <comment ref="D16" authorId="0" shapeId="0">
      <text>
        <r>
          <rPr>
            <b/>
            <sz val="9"/>
            <color indexed="81"/>
            <rFont val="Segoe UI"/>
            <family val="2"/>
          </rPr>
          <t xml:space="preserve">Capacidade da casa:
</t>
        </r>
        <r>
          <rPr>
            <sz val="9"/>
            <color indexed="81"/>
            <rFont val="Segoe UI"/>
            <family val="2"/>
          </rPr>
          <t>Parâmetro: Cada casa deve comportar uma média de 8 engenheiros.</t>
        </r>
      </text>
    </comment>
    <comment ref="G16" authorId="1" shapeId="0">
      <text>
        <r>
          <rPr>
            <b/>
            <sz val="9"/>
            <color indexed="81"/>
            <rFont val="Segoe UI"/>
            <family val="2"/>
          </rPr>
          <t>SICRO - CONSULTORIA/DNIT: OUT/2017.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7" authorId="0" shapeId="0">
      <text>
        <r>
          <rPr>
            <b/>
            <sz val="9"/>
            <color indexed="81"/>
            <rFont val="Segoe UI"/>
            <family val="2"/>
          </rPr>
          <t xml:space="preserve">Capacidade d Alojamento:
</t>
        </r>
        <r>
          <rPr>
            <sz val="9"/>
            <color indexed="81"/>
            <rFont val="Segoe UI"/>
            <family val="2"/>
          </rPr>
          <t xml:space="preserve">
Cada alojamento deve comportar no mínimo</t>
        </r>
        <r>
          <rPr>
            <b/>
            <sz val="9"/>
            <color indexed="81"/>
            <rFont val="Segoe UI"/>
            <family val="2"/>
          </rPr>
          <t xml:space="preserve"> 1</t>
        </r>
        <r>
          <rPr>
            <sz val="9"/>
            <color indexed="81"/>
            <rFont val="Segoe UI"/>
            <family val="2"/>
          </rPr>
          <t>2 pessoas</t>
        </r>
      </text>
    </comment>
    <comment ref="D17" authorId="0" shapeId="0">
      <text>
        <r>
          <rPr>
            <b/>
            <sz val="9"/>
            <color indexed="81"/>
            <rFont val="Segoe UI"/>
            <family val="2"/>
          </rPr>
          <t xml:space="preserve">Capacidade d Alojamento:
</t>
        </r>
        <r>
          <rPr>
            <sz val="9"/>
            <color indexed="81"/>
            <rFont val="Segoe UI"/>
            <family val="2"/>
          </rPr>
          <t xml:space="preserve">
Cada alojamento deve comportar uma média de </t>
        </r>
        <r>
          <rPr>
            <b/>
            <sz val="9"/>
            <color indexed="81"/>
            <rFont val="Segoe UI"/>
            <family val="2"/>
          </rPr>
          <t xml:space="preserve">10 </t>
        </r>
        <r>
          <rPr>
            <sz val="9"/>
            <color indexed="81"/>
            <rFont val="Segoe UI"/>
            <family val="2"/>
          </rPr>
          <t xml:space="preserve"> pessoas</t>
        </r>
      </text>
    </comment>
    <comment ref="G17" authorId="1" shapeId="0">
      <text>
        <r>
          <rPr>
            <b/>
            <sz val="9"/>
            <color indexed="81"/>
            <rFont val="Segoe UI"/>
            <family val="2"/>
          </rPr>
          <t>SICRO - CONSULTORIA/DNIT: OUT/2017.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</rPr>
          <t xml:space="preserve">Aluguel de 4 escritórios de apoio logístico para todo o período do contrato:
</t>
        </r>
        <r>
          <rPr>
            <sz val="9"/>
            <color indexed="81"/>
            <rFont val="Segoe UI"/>
            <family val="2"/>
          </rPr>
          <t>- 2 Escritórios no Eixo Norte
- 2 Escritórios no Eixo Leste</t>
        </r>
      </text>
    </comment>
    <comment ref="G19" authorId="1" shapeId="0">
      <text>
        <r>
          <rPr>
            <b/>
            <sz val="9"/>
            <color indexed="81"/>
            <rFont val="Segoe UI"/>
            <family val="2"/>
          </rPr>
          <t>SICRO - CONSULTORIA/DNIT: OUT/2017.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20" authorId="0" shapeId="0">
      <text>
        <r>
          <rPr>
            <sz val="9"/>
            <color indexed="81"/>
            <rFont val="Segoe UI"/>
            <family val="2"/>
          </rPr>
          <t>Aluguel de 2 escritórios para todo o período do contrato:
- 1 Escritório em Brasília/DF
- 1 Escritório em Salgueiro/PE</t>
        </r>
      </text>
    </comment>
    <comment ref="D21" authorId="0" shapeId="0">
      <text>
        <r>
          <rPr>
            <b/>
            <sz val="9"/>
            <color indexed="81"/>
            <rFont val="Segoe UI"/>
            <family val="2"/>
          </rPr>
          <t xml:space="preserve">Capacidade da casa:
</t>
        </r>
        <r>
          <rPr>
            <sz val="9"/>
            <color indexed="81"/>
            <rFont val="Segoe UI"/>
            <family val="2"/>
          </rPr>
          <t>Parâmetro: Cada casa deve comportar no mínimo 8 engenheiros.</t>
        </r>
      </text>
    </comment>
    <comment ref="D22" authorId="0" shapeId="0">
      <text>
        <r>
          <rPr>
            <b/>
            <sz val="9"/>
            <color indexed="81"/>
            <rFont val="Segoe UI"/>
            <family val="2"/>
          </rPr>
          <t xml:space="preserve">Capacidade d Alojamento:
</t>
        </r>
        <r>
          <rPr>
            <sz val="9"/>
            <color indexed="81"/>
            <rFont val="Segoe UI"/>
            <family val="2"/>
          </rPr>
          <t xml:space="preserve">
Cada alojamento deve comportar no mínimo</t>
        </r>
        <r>
          <rPr>
            <b/>
            <sz val="9"/>
            <color indexed="81"/>
            <rFont val="Segoe UI"/>
            <family val="2"/>
          </rPr>
          <t xml:space="preserve"> 1</t>
        </r>
        <r>
          <rPr>
            <sz val="9"/>
            <color indexed="81"/>
            <rFont val="Segoe UI"/>
            <family val="2"/>
          </rPr>
          <t>2 pessoas</t>
        </r>
      </text>
    </comment>
    <comment ref="B24" authorId="0" shapeId="0">
      <text>
        <r>
          <rPr>
            <b/>
            <sz val="9"/>
            <color indexed="81"/>
            <rFont val="Segoe UI"/>
            <family val="2"/>
          </rPr>
          <t xml:space="preserve">Contrato de Telefone e Rede corporativa com no mínimo:
- </t>
        </r>
        <r>
          <rPr>
            <sz val="9"/>
            <color indexed="81"/>
            <rFont val="Segoe UI"/>
            <family val="2"/>
          </rPr>
          <t>8 Linhas  no Campo
- 2 Linhas na sede</t>
        </r>
      </text>
    </comment>
    <comment ref="B25" authorId="0" shapeId="0">
      <text>
        <r>
          <rPr>
            <b/>
            <sz val="9"/>
            <color indexed="81"/>
            <rFont val="Segoe UI"/>
            <family val="2"/>
          </rPr>
          <t xml:space="preserve">Manter no mínimo:
- 30 </t>
        </r>
        <r>
          <rPr>
            <sz val="9"/>
            <color indexed="81"/>
            <rFont val="Segoe UI"/>
            <family val="2"/>
          </rPr>
          <t xml:space="preserve"> Celulares no Campo
- 4 Celulares na Sede</t>
        </r>
      </text>
    </comment>
    <comment ref="D37" authorId="0" shapeId="0">
      <text>
        <r>
          <rPr>
            <b/>
            <sz val="9"/>
            <color indexed="81"/>
            <rFont val="Segoe UI"/>
            <family val="2"/>
          </rPr>
          <t>- BSB: 1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8" authorId="0" shapeId="0">
      <text>
        <r>
          <rPr>
            <b/>
            <sz val="9"/>
            <color indexed="81"/>
            <rFont val="Segoe UI"/>
            <family val="2"/>
          </rPr>
          <t>SALGUEIRO:
- Escritório: 2
- Topografia: 2
- Segurança do Trabalho: 2</t>
        </r>
      </text>
    </comment>
    <comment ref="D39" authorId="0" shapeId="0">
      <text>
        <r>
          <rPr>
            <b/>
            <sz val="9"/>
            <color indexed="81"/>
            <rFont val="Segoe UI"/>
            <family val="2"/>
          </rPr>
          <t>Salgueiro:
- Transp. Material: 01
- Gerente: 01</t>
        </r>
      </text>
    </comment>
    <comment ref="D40" authorId="0" shapeId="0">
      <text>
        <r>
          <rPr>
            <b/>
            <sz val="9"/>
            <color indexed="81"/>
            <rFont val="Segoe UI"/>
            <family val="2"/>
          </rPr>
          <t>Veículos para atender as equipes de campo</t>
        </r>
      </text>
    </comment>
    <comment ref="D42" authorId="0" shapeId="0">
      <text>
        <r>
          <rPr>
            <b/>
            <sz val="9"/>
            <color indexed="81"/>
            <rFont val="Segoe UI"/>
            <family val="2"/>
          </rPr>
          <t>- 2 Equipes de Topografia (1 por eixo)</t>
        </r>
      </text>
    </comment>
    <comment ref="D44" authorId="1" shapeId="0">
      <text>
        <r>
          <rPr>
            <sz val="9"/>
            <color indexed="81"/>
            <rFont val="Segoe UI"/>
            <family val="2"/>
          </rPr>
          <t xml:space="preserve">Valor alterado de 0 para 84 conforme e-mail enviado dia 26/12/2017
</t>
        </r>
      </text>
    </comment>
  </commentList>
</comments>
</file>

<file path=xl/comments4.xml><?xml version="1.0" encoding="utf-8"?>
<comments xmlns="http://schemas.openxmlformats.org/spreadsheetml/2006/main">
  <authors>
    <author>Camila Alcantara Dutra Ribeiro</author>
  </authors>
  <commentList>
    <comment ref="D20" authorId="0" shapeId="0">
      <text>
        <r>
          <rPr>
            <b/>
            <sz val="9"/>
            <color indexed="81"/>
            <rFont val="Segoe UI"/>
            <family val="2"/>
          </rPr>
          <t>Quantidade de viagens Sede - Campo</t>
        </r>
      </text>
    </comment>
    <comment ref="D21" authorId="0" shapeId="0">
      <text>
        <r>
          <rPr>
            <sz val="9"/>
            <color indexed="81"/>
            <rFont val="Segoe UI"/>
            <family val="2"/>
          </rPr>
          <t xml:space="preserve">Quant. de profissionais nível superior e médio que estão no campo e farão viagens para os trechos.
</t>
        </r>
      </text>
    </comment>
  </commentList>
</comments>
</file>

<file path=xl/comments5.xml><?xml version="1.0" encoding="utf-8"?>
<comments xmlns="http://schemas.openxmlformats.org/spreadsheetml/2006/main">
  <authors>
    <author>Camila Alcantara Dutra Ribeiro</author>
  </authors>
  <commentList>
    <comment ref="B59" authorId="0" shapeId="0">
      <text>
        <r>
          <rPr>
            <b/>
            <sz val="9"/>
            <color indexed="81"/>
            <rFont val="Segoe UI"/>
            <family val="2"/>
          </rPr>
          <t>- 1 Computador / Escritório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0" authorId="0" shapeId="0">
      <text>
        <r>
          <rPr>
            <b/>
            <sz val="9"/>
            <color indexed="81"/>
            <rFont val="Segoe UI"/>
            <family val="2"/>
          </rPr>
          <t>- 1 Impressora / Escritório</t>
        </r>
      </text>
    </comment>
    <comment ref="B144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- 18  computadores de mesa
</t>
        </r>
      </text>
    </comment>
    <comment ref="B145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 Data show por escritorio</t>
        </r>
      </text>
    </comment>
    <comment ref="B146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- 10 Notebooks para equipes remotas
</t>
        </r>
      </text>
    </comment>
    <comment ref="B147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- 8 impressoras por escritorio</t>
        </r>
      </text>
    </comment>
    <comment ref="B148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 impressora por escritorio</t>
        </r>
      </text>
    </comment>
    <comment ref="B149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 impressora por escritorio</t>
        </r>
      </text>
    </comment>
    <comment ref="B151" authorId="0" shapeId="0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- 10 câmeras para atender as equipes</t>
        </r>
      </text>
    </comment>
  </commentList>
</comments>
</file>

<file path=xl/sharedStrings.xml><?xml version="1.0" encoding="utf-8"?>
<sst xmlns="http://schemas.openxmlformats.org/spreadsheetml/2006/main" count="3401" uniqueCount="985">
  <si>
    <t>ITEM</t>
  </si>
  <si>
    <t>DISCRIMINAÇÃO</t>
  </si>
  <si>
    <t>UND</t>
  </si>
  <si>
    <t>QTD</t>
  </si>
  <si>
    <t>1.1</t>
  </si>
  <si>
    <t>1.2</t>
  </si>
  <si>
    <t>1.3</t>
  </si>
  <si>
    <t>1.4</t>
  </si>
  <si>
    <t>1.5</t>
  </si>
  <si>
    <t>1.6</t>
  </si>
  <si>
    <t>Técnico Pleno</t>
  </si>
  <si>
    <t>1.7</t>
  </si>
  <si>
    <t>1.8</t>
  </si>
  <si>
    <t>C</t>
  </si>
  <si>
    <t>P0</t>
  </si>
  <si>
    <t>P1</t>
  </si>
  <si>
    <t>Eng. Médio - Engenheiro de Apoio de Campo</t>
  </si>
  <si>
    <t>P2</t>
  </si>
  <si>
    <t>Técnico Sênior Campo</t>
  </si>
  <si>
    <t>T0</t>
  </si>
  <si>
    <t>T1</t>
  </si>
  <si>
    <t>Topógrafo</t>
  </si>
  <si>
    <t>TS</t>
  </si>
  <si>
    <t>Auxiliar de Topografia</t>
  </si>
  <si>
    <t>T3</t>
  </si>
  <si>
    <t>SALÁRIOS MENSAL (R$)</t>
  </si>
  <si>
    <t>Encargos Sociais</t>
  </si>
  <si>
    <t>Und/Mês</t>
  </si>
  <si>
    <t>1.9</t>
  </si>
  <si>
    <t>1.10</t>
  </si>
  <si>
    <t>1.11</t>
  </si>
  <si>
    <t>1.12</t>
  </si>
  <si>
    <t>1.13</t>
  </si>
  <si>
    <t>1.14</t>
  </si>
  <si>
    <t>01</t>
  </si>
  <si>
    <t>02</t>
  </si>
  <si>
    <t>P4</t>
  </si>
  <si>
    <t>03</t>
  </si>
  <si>
    <t>04</t>
  </si>
  <si>
    <t>Técnico Sênior</t>
  </si>
  <si>
    <t>05</t>
  </si>
  <si>
    <t>06</t>
  </si>
  <si>
    <t>07</t>
  </si>
  <si>
    <t>PRODUTO</t>
  </si>
  <si>
    <t>Planejamento de Ações e Marcos Estratégicos</t>
  </si>
  <si>
    <t>Estudos e Simulações Elétricas - Incluindo Automação Elétrica e de Processo</t>
  </si>
  <si>
    <t>Equipe</t>
  </si>
  <si>
    <t>TOTAL - Salários equipe (R$):</t>
  </si>
  <si>
    <t>TOTAL</t>
  </si>
  <si>
    <t>NOME DO INFORMANTE:</t>
  </si>
  <si>
    <t>QUALIFICAÇÃO:</t>
  </si>
  <si>
    <t>ASSINATURA:</t>
  </si>
  <si>
    <t>DATA:</t>
  </si>
  <si>
    <t>OBSERVAÇÃO:</t>
  </si>
  <si>
    <t xml:space="preserve"> COMPOSIÇÃO DE PREÇO UNITÁRIO</t>
  </si>
  <si>
    <t>UNIDADE</t>
  </si>
  <si>
    <t>QUANT.</t>
  </si>
  <si>
    <t>MÃO DE OBRA</t>
  </si>
  <si>
    <t>Conjunto Microcomputador</t>
  </si>
  <si>
    <t>Impressora A3</t>
  </si>
  <si>
    <t>Plotter</t>
  </si>
  <si>
    <t>und x mês</t>
  </si>
  <si>
    <t>Notebook</t>
  </si>
  <si>
    <t>Mês</t>
  </si>
  <si>
    <t>Prazo (Mês):</t>
  </si>
  <si>
    <t>A1</t>
  </si>
  <si>
    <t>A4</t>
  </si>
  <si>
    <t>Assistente Administrativo</t>
  </si>
  <si>
    <t>Telefone / Internet</t>
  </si>
  <si>
    <t>Impressora Multifuncional (Impressora+Scanner+copiadora)</t>
  </si>
  <si>
    <t>Mesa Escritório</t>
  </si>
  <si>
    <t>Mesa reunião 8 Lugares</t>
  </si>
  <si>
    <t>Gaveteiro</t>
  </si>
  <si>
    <t>Armário para escritório Baixo</t>
  </si>
  <si>
    <t>Armário Estante para escritório</t>
  </si>
  <si>
    <t>Cadeira Giratória com Braço para Escritório</t>
  </si>
  <si>
    <t>Condicionador de Ar - 9.000 Btus</t>
  </si>
  <si>
    <t>Filtro Purificador de água</t>
  </si>
  <si>
    <t>Cadeira p/ escritório giratória com regulagem por pistão à gás (Sala Reunião)</t>
  </si>
  <si>
    <t>Cafeteira</t>
  </si>
  <si>
    <t>und</t>
  </si>
  <si>
    <t>2.1</t>
  </si>
  <si>
    <t>2.2</t>
  </si>
  <si>
    <t>3.1</t>
  </si>
  <si>
    <t>3.2</t>
  </si>
  <si>
    <t>4.1</t>
  </si>
  <si>
    <t>4.2</t>
  </si>
  <si>
    <t>6.1</t>
  </si>
  <si>
    <t>6.2</t>
  </si>
  <si>
    <t>Secretária</t>
  </si>
  <si>
    <t>1.15</t>
  </si>
  <si>
    <t>1.16</t>
  </si>
  <si>
    <t>Profissional em TI - Nível Médio</t>
  </si>
  <si>
    <t>Profissional em TI - Pleno</t>
  </si>
  <si>
    <t>Motorista</t>
  </si>
  <si>
    <t>AS</t>
  </si>
  <si>
    <t>A0</t>
  </si>
  <si>
    <t>A3</t>
  </si>
  <si>
    <t>Geladeira</t>
  </si>
  <si>
    <t>1.</t>
  </si>
  <si>
    <t>2.</t>
  </si>
  <si>
    <t>3.</t>
  </si>
  <si>
    <t>Unid.</t>
  </si>
  <si>
    <t>Açucar</t>
  </si>
  <si>
    <t>kg</t>
  </si>
  <si>
    <t>Água Mineral (20 litros)</t>
  </si>
  <si>
    <t>garraf</t>
  </si>
  <si>
    <t>Água Sanitária 1000 ml</t>
  </si>
  <si>
    <t>Café torrado e moído</t>
  </si>
  <si>
    <t>Caneta esfereográfica Azul</t>
  </si>
  <si>
    <t>Capa para encadernação Azul</t>
  </si>
  <si>
    <t>Capa para encadernação Transparente</t>
  </si>
  <si>
    <t>Cartucho colorido para impressora</t>
  </si>
  <si>
    <t>Cartucho preto para impressora</t>
  </si>
  <si>
    <t>CD RW</t>
  </si>
  <si>
    <t>Cera líquida 1000 ml</t>
  </si>
  <si>
    <t>Classificador elástico</t>
  </si>
  <si>
    <t>Cola tenaz</t>
  </si>
  <si>
    <t>Corretivo a base d'agua 18 ml</t>
  </si>
  <si>
    <t>Desinfetante</t>
  </si>
  <si>
    <t>Alcool</t>
  </si>
  <si>
    <t>Detergente 500ml</t>
  </si>
  <si>
    <t>Envelope de papel tamanho grande - 40 cm</t>
  </si>
  <si>
    <t>Envelope de papel tamanho médio - 35 cm</t>
  </si>
  <si>
    <t>Espiral 7mm</t>
  </si>
  <si>
    <t>Espiral 9mm</t>
  </si>
  <si>
    <t>Esponja de prato</t>
  </si>
  <si>
    <t>Estilete</t>
  </si>
  <si>
    <t>Fita adesiva</t>
  </si>
  <si>
    <t>Fita adesiva transparente</t>
  </si>
  <si>
    <t>Fita crepe branca 45 x 50m</t>
  </si>
  <si>
    <t>Flanela</t>
  </si>
  <si>
    <t>Lápis grafite</t>
  </si>
  <si>
    <t>Livro de ata com 100 páginas numeradas</t>
  </si>
  <si>
    <t>Livro de ocorrência 50 páginas (três vias)</t>
  </si>
  <si>
    <t>Marca texto</t>
  </si>
  <si>
    <t>Mina grafite 05mm c 12 unidades</t>
  </si>
  <si>
    <t>Mina grafite 07mm c 12 unidades</t>
  </si>
  <si>
    <t>Pacote de lã de aço 60 g</t>
  </si>
  <si>
    <t>Pano de chão</t>
  </si>
  <si>
    <t>Papel Toalha</t>
  </si>
  <si>
    <t>rolo</t>
  </si>
  <si>
    <t>Pano de prato</t>
  </si>
  <si>
    <t>Pasta arquivo</t>
  </si>
  <si>
    <t>Pasta suspensa</t>
  </si>
  <si>
    <t>Régua 30 cm</t>
  </si>
  <si>
    <t>Resma papel A4</t>
  </si>
  <si>
    <t>Bobina papel para ploter A0</t>
  </si>
  <si>
    <t>Rolos de papel higiênico</t>
  </si>
  <si>
    <t>Sabão em pó 500g</t>
  </si>
  <si>
    <t>Rodo de borracha</t>
  </si>
  <si>
    <t>Vassoura</t>
  </si>
  <si>
    <t>Sabonetes 90 g</t>
  </si>
  <si>
    <t>Tinta para carimbo</t>
  </si>
  <si>
    <t>Bota de couro solado de borracha vulcanizado</t>
  </si>
  <si>
    <t>Boné árabe em helanca malha fria na cor azul</t>
  </si>
  <si>
    <t>Boné simples</t>
  </si>
  <si>
    <t>Bota CA4721 Eletricista/Mecânico/Operadores</t>
  </si>
  <si>
    <t>Capa de Chuva</t>
  </si>
  <si>
    <t>Cinto de segurança para Eletricista</t>
  </si>
  <si>
    <t>Uniforme Eletricista Retardante A Chama Nr10 Sem Refletivo</t>
  </si>
  <si>
    <t>ASSINTATURA:</t>
  </si>
  <si>
    <t>DESCRIÇÃO</t>
  </si>
  <si>
    <t>Processo:</t>
  </si>
  <si>
    <t>Data da Pesquisa:</t>
  </si>
  <si>
    <t>Período Pesquisado:</t>
  </si>
  <si>
    <t>TRECHO</t>
  </si>
  <si>
    <t>Taxas</t>
  </si>
  <si>
    <t>Valor  Unitário</t>
  </si>
  <si>
    <t>-</t>
  </si>
  <si>
    <t>Taxas Aeroportuárias:</t>
  </si>
  <si>
    <t>Valor da Taxa</t>
  </si>
  <si>
    <t>Juazeiro do Norte (JDO)</t>
  </si>
  <si>
    <t>Brasília (BSB)</t>
  </si>
  <si>
    <t>São Paulo (GRU)</t>
  </si>
  <si>
    <t>Rio de Janeiro (GIG)</t>
  </si>
  <si>
    <t>Curitiba (CWB)</t>
  </si>
  <si>
    <t>Salvador (SSA)</t>
  </si>
  <si>
    <t>Porto Alegre (POA)</t>
  </si>
  <si>
    <t>Recife (REC)</t>
  </si>
  <si>
    <t>Petrolina (PNZ)</t>
  </si>
  <si>
    <t>Cidade/Aeroporto</t>
  </si>
  <si>
    <t>REC - BSB</t>
  </si>
  <si>
    <t>REC - GRU</t>
  </si>
  <si>
    <t>REC - GIG</t>
  </si>
  <si>
    <t>REC - CWB</t>
  </si>
  <si>
    <t>REC - SSA</t>
  </si>
  <si>
    <t>REC - POA</t>
  </si>
  <si>
    <t>BSB - REC</t>
  </si>
  <si>
    <t>GRU - REC</t>
  </si>
  <si>
    <t>GIG - REC</t>
  </si>
  <si>
    <t>CWB - REC</t>
  </si>
  <si>
    <t>SSA - REC</t>
  </si>
  <si>
    <t>POA - REC</t>
  </si>
  <si>
    <t>BSB - PNZ</t>
  </si>
  <si>
    <t>GRU - PNZ</t>
  </si>
  <si>
    <t>GIG - PNZ</t>
  </si>
  <si>
    <t>CWB - PNZ</t>
  </si>
  <si>
    <t>SSA - PNZ</t>
  </si>
  <si>
    <t>POA - PNZ</t>
  </si>
  <si>
    <t>REC - PNZ</t>
  </si>
  <si>
    <t>PNZ - BSB</t>
  </si>
  <si>
    <t>PNZ - GRU</t>
  </si>
  <si>
    <t>PNZ - GIG</t>
  </si>
  <si>
    <t>PNZ - CWB</t>
  </si>
  <si>
    <t>PNZ - SSA</t>
  </si>
  <si>
    <t>PNZ - POA</t>
  </si>
  <si>
    <t>PNZ - REC</t>
  </si>
  <si>
    <t>JDO - BSB</t>
  </si>
  <si>
    <t>JDO - GRU</t>
  </si>
  <si>
    <t>JDO - GIG</t>
  </si>
  <si>
    <t>JDO - CWB</t>
  </si>
  <si>
    <t>JDO - SSA</t>
  </si>
  <si>
    <t>JDO - POA</t>
  </si>
  <si>
    <t>JDO - REC</t>
  </si>
  <si>
    <t>BSB - JDO</t>
  </si>
  <si>
    <t>GRU - JDO</t>
  </si>
  <si>
    <t>GIG - JDO</t>
  </si>
  <si>
    <t>CWB - JDO</t>
  </si>
  <si>
    <t>SSA - JDO</t>
  </si>
  <si>
    <t>POA - JDO</t>
  </si>
  <si>
    <t>REC - JDO</t>
  </si>
  <si>
    <t>2ª Semana de Janeiro/2018</t>
  </si>
  <si>
    <t>Pré Operação PISF</t>
  </si>
  <si>
    <t>COTAÇÕES DE PASSAGENS AÉREAS</t>
  </si>
  <si>
    <t>Plano de Comunicação Social</t>
  </si>
  <si>
    <t>Publicitário</t>
  </si>
  <si>
    <t>P3</t>
  </si>
  <si>
    <t xml:space="preserve">Jornalista </t>
  </si>
  <si>
    <t>Revisor (Nivel Superior - Letras)</t>
  </si>
  <si>
    <t>Chefe de Escritório</t>
  </si>
  <si>
    <t>1.17</t>
  </si>
  <si>
    <t>1.18</t>
  </si>
  <si>
    <t>1.19</t>
  </si>
  <si>
    <t>Gestor em Comunicação (Superior em Comunicação)</t>
  </si>
  <si>
    <t>h</t>
  </si>
  <si>
    <t>PLANO DE COMUNICAÇÃO SOCIAL</t>
  </si>
  <si>
    <t>GESTÃO DE ATIVOS PATRIMONIAIS</t>
  </si>
  <si>
    <t>Engenheiro Hidráulico (Civil ou Mecânica)</t>
  </si>
  <si>
    <t>Engenheiro Hidrologia</t>
  </si>
  <si>
    <t>Engenheiro Hidráulica</t>
  </si>
  <si>
    <t>Técnico Esecializado - Informática</t>
  </si>
  <si>
    <t>Prazo (Mês)</t>
  </si>
  <si>
    <t>Eng. Pleno - Telecomunicações</t>
  </si>
  <si>
    <t>Eng. Pleno - Automação</t>
  </si>
  <si>
    <t>Eng. Pleno - Ambiental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</si>
  <si>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</si>
  <si>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</si>
  <si>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</si>
  <si>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</si>
  <si>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</si>
  <si>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</si>
  <si>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</si>
  <si>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</si>
  <si>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</si>
  <si>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</si>
  <si>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TOTAL GERAL - Salário Equipe PRODUTO 01 (R$):</t>
  </si>
  <si>
    <t>3.3</t>
  </si>
  <si>
    <t>3.4</t>
  </si>
  <si>
    <t>TOTAL GERAL - Salário Equipe PRODUTO 03 (R$):</t>
  </si>
  <si>
    <t>4.</t>
  </si>
  <si>
    <t>4.3</t>
  </si>
  <si>
    <t>4.4</t>
  </si>
  <si>
    <t>4.5</t>
  </si>
  <si>
    <t>TOTAL GERAL - Salário Equipe PRODUTO 04 (R$):</t>
  </si>
  <si>
    <t>5.</t>
  </si>
  <si>
    <t>5.1</t>
  </si>
  <si>
    <t>5.2</t>
  </si>
  <si>
    <t>TOTAL GERAL - Salário Equipe PRODUTO 05 (R$):</t>
  </si>
  <si>
    <t>6.</t>
  </si>
  <si>
    <t>6.3</t>
  </si>
  <si>
    <t>TOTAL GERAL - Salário Equipe PRODUTO 06 (R$):</t>
  </si>
  <si>
    <t>Serviços Gerais (Limpeza)</t>
  </si>
  <si>
    <t>Técnico em TI (Pleno)</t>
  </si>
  <si>
    <t>Vigilância</t>
  </si>
  <si>
    <t>Engenheiro Eletricista</t>
  </si>
  <si>
    <t>Engenheiro Mecânico</t>
  </si>
  <si>
    <t>Engenheiro Telecomunicações</t>
  </si>
  <si>
    <t>Engenheiro Automação</t>
  </si>
  <si>
    <t>Geólogo</t>
  </si>
  <si>
    <t>Gerente de Contrato - Engenheiro Senior</t>
  </si>
  <si>
    <t>Apoio a gestão e atividades técnicas especializadas, acompanhamento de comissionamentos, testes e pré-operação / Estudo e coleta de dados da implantação do Projeto / Plano de Segurança e saúde do Trabalho</t>
  </si>
  <si>
    <t>Estratégias de oferta e Demanda</t>
  </si>
  <si>
    <t>Gestão de Ativos Patrimoniais</t>
  </si>
  <si>
    <t>Administração Central</t>
  </si>
  <si>
    <t>TOTAL GERAL - Salário Equipe PRODUTO 02 (R$):</t>
  </si>
  <si>
    <t>2.3</t>
  </si>
  <si>
    <t>2.4</t>
  </si>
  <si>
    <t>2.5</t>
  </si>
  <si>
    <t>2.6</t>
  </si>
  <si>
    <t>2.7</t>
  </si>
  <si>
    <t>2.8</t>
  </si>
  <si>
    <t>CONTRATAÇÃO DE APOIO TÉCNICO PARA ACOMPANHAMENTO DAS ATIVIDADES DA GESTÃO DO PROJETO DE INTEGRAÇÃO DO RIO SÃO FRANCISCO COM AS BACIAS HIDROGRÁFICAS DO NORDESTE SETENTRIONAL – PISF</t>
  </si>
  <si>
    <t>COM Encargo</t>
  </si>
  <si>
    <t xml:space="preserve">Ministério da Integração Nacional - MI
</t>
  </si>
  <si>
    <t xml:space="preserve">Companhia de Desenvolvimento dos Vales do São Francisco e do Parnaíba
</t>
  </si>
  <si>
    <t>SEM Encargo</t>
  </si>
  <si>
    <t>CODIGO</t>
  </si>
  <si>
    <t>RESUMO - MÃO-DE-OBRA</t>
  </si>
  <si>
    <t>Nº de Meses</t>
  </si>
  <si>
    <t>VALOR POR TRECHO AÉREO:</t>
  </si>
  <si>
    <t>Quant. De Trechos durante Contrato</t>
  </si>
  <si>
    <t>Previsão Total (R$)</t>
  </si>
  <si>
    <t>Valor Unitário por TRECHO AÉREO (R$)</t>
  </si>
  <si>
    <t>VIAGENS - Trechos Aéreos e Terrestres</t>
  </si>
  <si>
    <t>Valor da Diária (R$)</t>
  </si>
  <si>
    <t>IMÓVEIS</t>
  </si>
  <si>
    <t>Aluguel - Casa para Engenheiro</t>
  </si>
  <si>
    <t>Aluguel - Alojamento para Pessoal</t>
  </si>
  <si>
    <t>Qnt total de Meses</t>
  </si>
  <si>
    <t>Valor Mensal (R$)</t>
  </si>
  <si>
    <t>Valor Total (R$)</t>
  </si>
  <si>
    <t>Aluguel  - Escritório Apoio logístico</t>
  </si>
  <si>
    <t xml:space="preserve">Aluguel  - Escritório Central </t>
  </si>
  <si>
    <t>Mobiliário</t>
  </si>
  <si>
    <t xml:space="preserve">Manutenção </t>
  </si>
  <si>
    <t>3.5</t>
  </si>
  <si>
    <t>ADMINISTRAÇÃO / MANUTENÇÃO DOS ESCRITORIOS</t>
  </si>
  <si>
    <t>TOTAL (R$):</t>
  </si>
  <si>
    <t>Escritório Apoio logístico</t>
  </si>
  <si>
    <t xml:space="preserve"> Escritório Central </t>
  </si>
  <si>
    <t>Casa para Engenheiro</t>
  </si>
  <si>
    <t>Alojamento para Pessoal</t>
  </si>
  <si>
    <t>Lapiseira 0,5mm</t>
  </si>
  <si>
    <t>Lapiseira 0,7mm</t>
  </si>
  <si>
    <t>Valor Unitário</t>
  </si>
  <si>
    <t>Grampo tipo trilho (caixa)</t>
  </si>
  <si>
    <t>Grampo 26/6 (caixa)</t>
  </si>
  <si>
    <t>Clips nº 08 (caixa)</t>
  </si>
  <si>
    <t>Clips nº 06 (caixa)</t>
  </si>
  <si>
    <t>Clips nº 02 (caixa)</t>
  </si>
  <si>
    <t>Clips nº 04 (caixa)</t>
  </si>
  <si>
    <t>Clips nº 00 (caixa)</t>
  </si>
  <si>
    <t>Valor Total</t>
  </si>
  <si>
    <t>MATERIAL DE ESCRITÓRIO CENTRAL - VALOR MENSAL (R$):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</si>
  <si>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</si>
  <si>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</si>
  <si>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</si>
  <si>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</si>
  <si>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</si>
  <si>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</si>
  <si>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</si>
  <si>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</si>
  <si>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</si>
  <si>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</si>
  <si>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</si>
  <si>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</si>
  <si>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</si>
  <si>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</si>
  <si>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</si>
  <si>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</si>
  <si>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Copo descartável 200 ml (pacote 50und)</t>
  </si>
  <si>
    <t>Copo descartável 50 ml (Pacote 50 und)</t>
  </si>
  <si>
    <t>Material de limpeza / higiene - Central</t>
  </si>
  <si>
    <t>Material de limpeza / higiene - Apoio</t>
  </si>
  <si>
    <t>Material de escritório - Central</t>
  </si>
  <si>
    <t>Material de escritório - Apoio</t>
  </si>
  <si>
    <t>Grampeador 26/6</t>
  </si>
  <si>
    <t>1.46</t>
  </si>
  <si>
    <t>Grampeador 23/6</t>
  </si>
  <si>
    <t>Material de Escritório - Central</t>
  </si>
  <si>
    <t>1.47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</si>
  <si>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</si>
  <si>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</si>
  <si>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</si>
  <si>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</si>
  <si>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</si>
  <si>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</si>
  <si>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</si>
  <si>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</si>
  <si>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</si>
  <si>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</si>
  <si>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</si>
  <si>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</si>
  <si>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</si>
  <si>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</si>
  <si>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3.6</t>
  </si>
  <si>
    <t>3.7</t>
  </si>
  <si>
    <t>Material Higiene / Limpeza - Escritorio Central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</si>
  <si>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</si>
  <si>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</si>
  <si>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</si>
  <si>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</si>
  <si>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</si>
  <si>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</si>
  <si>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</si>
  <si>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</si>
  <si>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</si>
  <si>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</si>
  <si>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</si>
  <si>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</si>
  <si>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</si>
  <si>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</si>
  <si>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</si>
  <si>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</si>
  <si>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</si>
  <si>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</si>
  <si>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</si>
  <si>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</si>
  <si>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</si>
  <si>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</si>
  <si>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</si>
  <si>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</si>
  <si>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</si>
  <si>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</si>
  <si>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</si>
  <si>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</si>
  <si>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</si>
  <si>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</si>
  <si>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Desinfetante 500ml</t>
  </si>
  <si>
    <t>Administração e Manutenção de Escritórios</t>
  </si>
  <si>
    <t>Veículos</t>
  </si>
  <si>
    <t xml:space="preserve">5. </t>
  </si>
  <si>
    <t>Serviços Gráficos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</si>
  <si>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</si>
  <si>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</si>
  <si>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</si>
  <si>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</si>
  <si>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</si>
  <si>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</si>
  <si>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</si>
  <si>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</si>
  <si>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</si>
  <si>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</si>
  <si>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MOBILIÁRIO DO ESCRITÓRIO CENTRAL - VALOR MENSAL (R$):</t>
  </si>
  <si>
    <t>5.13</t>
  </si>
  <si>
    <t>5.14</t>
  </si>
  <si>
    <t>5.15</t>
  </si>
  <si>
    <t>5.16</t>
  </si>
  <si>
    <t>MEMORIAL DE CÁLCULO - PASSAGENS AÉREAS</t>
  </si>
  <si>
    <t>MEMORIAL DE CÁLCULO - ADMINSITRAÇÃO E EMANUTENÇÃO DE ESCRITÓRIOS</t>
  </si>
  <si>
    <t>Aluguel de veículo leve  tipo Hatch 1.4 Flex (5.000Km/mês)</t>
  </si>
  <si>
    <t>Aluguel de veículo leve  tipo Hatch 1.4 Flex (7.000Km/mês)</t>
  </si>
  <si>
    <t>Aluguel de veículo tipo pick-up cabine simples 4x4  (7.000Km/mês)</t>
  </si>
  <si>
    <t>Aluguel de veículo tipo pick-up cabine dupla 4x4  (7.000Km/mês)</t>
  </si>
  <si>
    <t>Fonte do Preço do Mobiliário: Tabela de Consutoria SICRO/DNIT e Preços de mercado</t>
  </si>
  <si>
    <t>Fonte do Quantitativo/Valor Manutenção: Baseado nos contratos existentes do PISF/Codevasf e Preços de Mercado</t>
  </si>
  <si>
    <t>Fonte do preço Aluguel de Veículos: Tabela consultiva Codevasf (Já incluem combustível e manutenção)</t>
  </si>
  <si>
    <t>GRUPO "A"</t>
  </si>
  <si>
    <t>%</t>
  </si>
  <si>
    <t xml:space="preserve">INSS (Art. 22 inciso I da Lei 8.212/91) </t>
  </si>
  <si>
    <t>FGTS (Art. 15 da Lei 8030/90 art. 7° inciso III CF/88)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</si>
  <si>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</si>
  <si>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</si>
  <si>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</si>
  <si>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</si>
  <si>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</si>
  <si>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 - Grupo A:</t>
  </si>
  <si>
    <t>GRUPO "B"</t>
  </si>
  <si>
    <t>Aviso Prévio Trabalhado</t>
  </si>
  <si>
    <t>13º Salário</t>
  </si>
  <si>
    <t>TOTAL - Grupo B:</t>
  </si>
  <si>
    <t>GRUPO "C"</t>
  </si>
  <si>
    <t>Aviso Prévio Indenizado</t>
  </si>
  <si>
    <t>Indenização Adicional</t>
  </si>
  <si>
    <t>TOTAL - Grupo C:</t>
  </si>
  <si>
    <t>GRUPO "D"</t>
  </si>
  <si>
    <t>TOTAL - Grupo D:</t>
  </si>
  <si>
    <t>TOTAL - Encargos Sociais e Trabalhistas:</t>
  </si>
  <si>
    <t xml:space="preserve"> ENCARGOS SOCIAIS E TRABALHISTAS</t>
  </si>
  <si>
    <t>HORISTA</t>
  </si>
  <si>
    <t>MENSALISTA</t>
  </si>
  <si>
    <t>Fonte: CAIXA ECONÔMICA FEDERAL</t>
  </si>
  <si>
    <t xml:space="preserve">Seguro contra Acidentes de Trabalho  (Decreto 3.048/1999, Anexo V e Decreto 6.957/2009)  </t>
  </si>
  <si>
    <t>A2</t>
  </si>
  <si>
    <t>A5</t>
  </si>
  <si>
    <t>A6</t>
  </si>
  <si>
    <t>A7</t>
  </si>
  <si>
    <t>A8</t>
  </si>
  <si>
    <t>Repouso semanal remunerado</t>
  </si>
  <si>
    <t>Feriados</t>
  </si>
  <si>
    <t>Auxílio Enfermidade</t>
  </si>
  <si>
    <t>Licença Paternidade Faltas justificadas</t>
  </si>
  <si>
    <t>Dias de Chuva</t>
  </si>
  <si>
    <t>Auxílio Acidente de Trabalho</t>
  </si>
  <si>
    <t>Férias Gozadas</t>
  </si>
  <si>
    <t>Salário Maternidade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</si>
  <si>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</si>
  <si>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</si>
  <si>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</si>
  <si>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</si>
  <si>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</si>
  <si>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</si>
  <si>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</si>
  <si>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</si>
  <si>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</si>
  <si>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</si>
  <si>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C1</t>
  </si>
  <si>
    <t>C2</t>
  </si>
  <si>
    <t>C3</t>
  </si>
  <si>
    <t>C4</t>
  </si>
  <si>
    <t>C5</t>
  </si>
  <si>
    <t>Férias Indenizadas</t>
  </si>
  <si>
    <t>Depósito Rescisão sem Justa Causa</t>
  </si>
  <si>
    <t>D1</t>
  </si>
  <si>
    <t>D2</t>
  </si>
  <si>
    <t>Reincidência de Grupo A sobre Grupo B</t>
  </si>
  <si>
    <t>Reincidência de Grupo A sobre C2 e Reincidência de A8 sobre C1</t>
  </si>
  <si>
    <t>QUADRO-RESUMO: ENCARGOS SOCIAIS E TRABALHISTAS</t>
  </si>
  <si>
    <t>Os percentuais dos encargos previdenciários e FGTS, a serem preenchidos na coluna %, são aqueles estabelecidos pela legislação vigente, incidentes sobre a remuneração</t>
  </si>
  <si>
    <t>Relatório Final</t>
  </si>
  <si>
    <t>CUSTOS DIRETOS</t>
  </si>
  <si>
    <t>OUTRAS DESPESAS</t>
  </si>
  <si>
    <t>PLANILHA DE PREÇOS POR PRODUTO</t>
  </si>
  <si>
    <t>A</t>
  </si>
  <si>
    <t>B</t>
  </si>
  <si>
    <t>Com Vínculo</t>
  </si>
  <si>
    <t>Consultoria</t>
  </si>
  <si>
    <t>Total Geral - Equipe com Vínculo (R$):</t>
  </si>
  <si>
    <t>Total Geral - Equipe sem Vínculo - CONSULTORIA (R$):</t>
  </si>
  <si>
    <t>EQUIPE</t>
  </si>
  <si>
    <t>Outros Custos (PERICULOSIDADE)</t>
  </si>
  <si>
    <t>ENCARGOS SOCIAIS</t>
  </si>
  <si>
    <t>D</t>
  </si>
  <si>
    <t>E</t>
  </si>
  <si>
    <t>F</t>
  </si>
  <si>
    <t>CUSTOS DIRETOS - Total (R$):</t>
  </si>
  <si>
    <t>CUSTOS INDIRETOS - Total (R$):</t>
  </si>
  <si>
    <t>Apoio a Gestão e Atividades Técnicas Especializadas, Acompanhamento de Comissionamentos, Testes e Pré-operação / Estudo e Coleta de Dados da Implantação do Projeto / Plano de Segurança e Saúde do Trabalho</t>
  </si>
  <si>
    <t>VALORES</t>
  </si>
  <si>
    <t>R$</t>
  </si>
  <si>
    <t>Custos da equipe da administração central da empresa consultora ( 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</si>
  <si>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</si>
  <si>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</si>
  <si>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</si>
  <si>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>OBSERVAÇAO:</t>
  </si>
  <si>
    <t>SALÁRIO TOTAL (R$)</t>
  </si>
  <si>
    <t>CUSTOS ADMINISTRAÇÃO - DETALHAMENTO</t>
  </si>
  <si>
    <t>DF %</t>
  </si>
  <si>
    <t>DF' %</t>
  </si>
  <si>
    <t>1 - ISS</t>
  </si>
  <si>
    <t>2 - PIS</t>
  </si>
  <si>
    <t>3 - COFINS</t>
  </si>
  <si>
    <t xml:space="preserve">TOTAIS DE DESPESAS FISCAIS </t>
  </si>
  <si>
    <t>CUSTOS INDIRETOS</t>
  </si>
  <si>
    <t>Especialista em Planejamento Organizacional, Gerenciamento de Portifolio, Programa, Projetos e Processos (Produto 2)</t>
  </si>
  <si>
    <t>Especialista em Planejamento Organizacional - Plano de Ação (Etapa 6)</t>
  </si>
  <si>
    <t>Especialista em Planejamento Organizacional, Gerenciamento de portfólio, Programas, Projetos e Processos (Etapa 1 / 2 / 3)</t>
  </si>
  <si>
    <t>Especialista em Soluções de Tecnologia da Informação (Etapa 7)</t>
  </si>
  <si>
    <t>ADMINISTRATIVO (Escritório - APOIO LOGISTICO)</t>
  </si>
  <si>
    <t>ADMINISTRATIVO (Escritório Central - CAMPO)</t>
  </si>
  <si>
    <t>7.1</t>
  </si>
  <si>
    <t>7.2</t>
  </si>
  <si>
    <t>7.1.1</t>
  </si>
  <si>
    <t>7.1.2</t>
  </si>
  <si>
    <t>7.2.1</t>
  </si>
  <si>
    <t>7.2.2</t>
  </si>
  <si>
    <t>7.2.3</t>
  </si>
  <si>
    <t>7.2.4</t>
  </si>
  <si>
    <t>7.2.5</t>
  </si>
  <si>
    <t>7.2.6</t>
  </si>
  <si>
    <t>7.2.7</t>
  </si>
  <si>
    <t>7.3</t>
  </si>
  <si>
    <t>7.4</t>
  </si>
  <si>
    <t>7.4.1</t>
  </si>
  <si>
    <t>7.4.2</t>
  </si>
  <si>
    <t>7.4.3</t>
  </si>
  <si>
    <t>7.4.4</t>
  </si>
  <si>
    <t>7.4.5</t>
  </si>
  <si>
    <t>7.4.6</t>
  </si>
  <si>
    <t>7.4.7</t>
  </si>
  <si>
    <t>EQUIPE TÉCNICA (Escritório Central - SEDE BSB)</t>
  </si>
  <si>
    <t>Técnico Sênior - Segurança do Trabalho</t>
  </si>
  <si>
    <t>Apoio a Gestão e Atividades Técnicas Especializadas, Acompanhamento de Comissinamentos, Recebimento, Testes e Pré-Operação / Estudo e Coleta de Dados da Implantação do Projeto / Plano de Segurança e Saúde do Trabalho</t>
  </si>
  <si>
    <t>Eng. Pleno - Civil</t>
  </si>
  <si>
    <t>Eng. Pleno - Mecânica</t>
  </si>
  <si>
    <t>Eng. Pleno - Eletricista</t>
  </si>
  <si>
    <t>Auxiliar Administrativo</t>
  </si>
  <si>
    <t>7.2.8</t>
  </si>
  <si>
    <t>Serviços Gerais (Limpeza / Copa)</t>
  </si>
  <si>
    <t>ADMINISTRATIVO (Escritório Central - SEDE)</t>
  </si>
  <si>
    <t>7.3.1</t>
  </si>
  <si>
    <t>7.3.2</t>
  </si>
  <si>
    <t>7.3.3</t>
  </si>
  <si>
    <t>Consultor - Sistemas Elétricos</t>
  </si>
  <si>
    <t>Consultor - Sistemas de Automação</t>
  </si>
  <si>
    <t>Consultor - Hidrologia</t>
  </si>
  <si>
    <t>Consultor - Hidráulica</t>
  </si>
  <si>
    <t>Engenheiro Médio</t>
  </si>
  <si>
    <t>Técnico Junior</t>
  </si>
  <si>
    <t>T2</t>
  </si>
  <si>
    <t>Consultoria - Gestão de Ativos Patrimoniais</t>
  </si>
  <si>
    <t xml:space="preserve">1.1.  APOIO A GESTÃO E ATIVIDADES TÉCNICAS ESPECIALIZADAS, ACOMPANHAMENTO DE COMISSIONAMENTOS, TESTES E PRÉ-OPERAÇÃO / ESTUDO E COLETA DE DADOS DA IMPLANTAÇÃO DO PROJETO / PLANO DE SEGURANÇA E SAÚDE DO TRABALHO </t>
  </si>
  <si>
    <t>5.1.1</t>
  </si>
  <si>
    <t>5.1.2</t>
  </si>
  <si>
    <t>APOIO À GESTÃO E ATIVIDADES TÉCNICAS ESPECIALIZADAS</t>
  </si>
  <si>
    <t>5.1.3</t>
  </si>
  <si>
    <t xml:space="preserve">ACOMPANHAMENTO DE TESTES, COMISSIONAMENTOS E PRÉ-OPERAÇÃO E APOIO AO RECEBIMENTO </t>
  </si>
  <si>
    <t>5.1.4</t>
  </si>
  <si>
    <t>PLANO DE SAÚDE E SEGURANÇA DO TRABALHO</t>
  </si>
  <si>
    <t>PLANEJAMENTO DE AÇÕES E MARCOS ESTRATÉGICOS</t>
  </si>
  <si>
    <t>ESTRATÉGIA DE OFERTA E DEMANDA </t>
  </si>
  <si>
    <t>MOBILIZAÇÃO</t>
  </si>
  <si>
    <t>CRONOGRAMA FÍSICO</t>
  </si>
  <si>
    <t>Duração (meses)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</si>
  <si>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</si>
  <si>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</si>
  <si>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</si>
  <si>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</si>
  <si>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</si>
  <si>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</si>
  <si>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</si>
  <si>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</si>
  <si>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</si>
  <si>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</si>
  <si>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</si>
  <si>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</si>
  <si>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</si>
  <si>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</si>
  <si>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</si>
  <si>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</si>
  <si>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</si>
  <si>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</si>
  <si>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</si>
  <si>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ESTUDO E COLETA DE DADOS DA IMPLANTAÇÃO DO PROJETO</t>
  </si>
  <si>
    <t>5.2.1</t>
  </si>
  <si>
    <t>5.2.2</t>
  </si>
  <si>
    <t>5.2.3</t>
  </si>
  <si>
    <t>5.2.4</t>
  </si>
  <si>
    <t>5.2.5</t>
  </si>
  <si>
    <t>5.2.7</t>
  </si>
  <si>
    <t>5.2.6</t>
  </si>
  <si>
    <t>1m10d</t>
  </si>
  <si>
    <t>20d</t>
  </si>
  <si>
    <t>DESMOBILIZAÇÃO</t>
  </si>
  <si>
    <t>Eng. Planejamento (O&amp;M)</t>
  </si>
  <si>
    <t>Técnico de Planejamento (O&amp;M)</t>
  </si>
  <si>
    <t>Engenheiro Hidrólogo (Civil)</t>
  </si>
  <si>
    <t>Engenheiro Civil</t>
  </si>
  <si>
    <t>Engenheiro Trainee</t>
  </si>
  <si>
    <t>Fonte do Preço dos aluguéis: Tabela de Consutoria SICRO/DNIT e Contratos PISF/Codevasf ( nº 0.143.00/2013 )</t>
  </si>
  <si>
    <t>Locação (campo ou sede?)</t>
  </si>
  <si>
    <t>Nível (médio ou superior?)</t>
  </si>
  <si>
    <t>campo</t>
  </si>
  <si>
    <t>superior</t>
  </si>
  <si>
    <t>médio</t>
  </si>
  <si>
    <t>sede</t>
  </si>
  <si>
    <t>Qtd</t>
  </si>
  <si>
    <t>Superior</t>
  </si>
  <si>
    <t>Médio</t>
  </si>
  <si>
    <t>Aluguel</t>
  </si>
  <si>
    <t>externo</t>
  </si>
  <si>
    <t>operacional</t>
  </si>
  <si>
    <t>---</t>
  </si>
  <si>
    <t>Operacional</t>
  </si>
  <si>
    <t>Trechos aéreos</t>
  </si>
  <si>
    <t>Nº de Diárias</t>
  </si>
  <si>
    <t>Nº de Viagens</t>
  </si>
  <si>
    <t>Quant. De Diárias Previstas</t>
  </si>
  <si>
    <t>Mobiliário - Escritório Apoio logístico</t>
  </si>
  <si>
    <t xml:space="preserve">Mobiliário - Escritório Central </t>
  </si>
  <si>
    <t>Mobiliário - Casa para Engenheiro</t>
  </si>
  <si>
    <t>Mobiliário - Alojamento para Pessoal</t>
  </si>
  <si>
    <t>MOBILIZAÇÃO / DESMOBILIZAÇAO</t>
  </si>
  <si>
    <t>MOBILIZAÇÃO DA EQUIPE</t>
  </si>
  <si>
    <t>Passagem Aérea (Trecho)</t>
  </si>
  <si>
    <t>DESMOBILIZAÇÃO DA EQUIPE</t>
  </si>
  <si>
    <t>Total - Mobilização da Equipe (R$):</t>
  </si>
  <si>
    <t>Total - Desmobilização da Equipe (R$):</t>
  </si>
  <si>
    <t xml:space="preserve">                                                                    Ministério da Integração Nacional - MI
</t>
  </si>
  <si>
    <t>1. Considerou na Mobilizaçao a ida de equipe administrativa e do coordenador geral do contato para alugar e instalar os escritório e as moradias.</t>
  </si>
  <si>
    <t>2. Considerou na Desmbilização que a equipe adminsitrativa irá desmontar e entregar os imóveis.</t>
  </si>
  <si>
    <t>Categoria Profissional adotado Sal. Mensal (R$) Sociais c/ Encargos Sociais</t>
  </si>
  <si>
    <t>Categoria</t>
  </si>
  <si>
    <t>Profissional</t>
  </si>
  <si>
    <t>Hora</t>
  </si>
  <si>
    <t>Mensal</t>
  </si>
  <si>
    <t>Salário</t>
  </si>
  <si>
    <t>T4</t>
  </si>
  <si>
    <t>Engenheiro - Profissional Sênior (N. Superior - Formação: T &gt; 15 anos)</t>
  </si>
  <si>
    <t>Engenheiro - Profissional Junior (N. Superior - Formação: 4 &lt; T &lt; 8 anos)</t>
  </si>
  <si>
    <t>Engenheiro - Profissional Pleno (N. Superior - Formação: 10 &lt; T &lt; 15 anos)</t>
  </si>
  <si>
    <t>Engenheiro - Profissional Médio (N. Superior - Formação: 8 &lt; T &lt; 10 anos)</t>
  </si>
  <si>
    <t>Engenheiro - Profissional Trainee (N. Superior - Formação: T &lt; 4 anos)</t>
  </si>
  <si>
    <t>Técnico - Profissional Especials (N. Médio/Especializado - Formação: T &gt; 10 anos)</t>
  </si>
  <si>
    <t>Técnico - Profissional Sênior (N. Médio/Especializado - Formação: 5 &lt; T &lt; 10 anos)</t>
  </si>
  <si>
    <t>Técnico - Profissional Pleno (N. Médio/Especializado - Formação: 5 &lt; 10 &lt; anos)</t>
  </si>
  <si>
    <t>Técnico - Profissional Junior (N. Médio/Especializado - Formação: T &lt; 5 anos)</t>
  </si>
  <si>
    <t>Técnico - Auxiliar (N. Elementar)</t>
  </si>
  <si>
    <t>Servente / Contínuos</t>
  </si>
  <si>
    <t>Chefe de Escritório (Nível Superior - Formação: T &gt; 15 anos)</t>
  </si>
  <si>
    <t>Secretária (N. Médio - Formação: 8 &lt; T &lt; 15 anos)</t>
  </si>
  <si>
    <t>Ajudante Administrativo (N. Médio - Formação:  T &lt; 8 anos)</t>
  </si>
  <si>
    <t>Assistente Administrativo (N. Médio - Formação:  T &gt; 8 anos)</t>
  </si>
  <si>
    <t>Auxiliar Administrativo / Motorista  (N. Elementar)</t>
  </si>
  <si>
    <t>Serviços Gerais / Vigia (N. Elementar)</t>
  </si>
  <si>
    <t>RELATÓRIOS</t>
  </si>
  <si>
    <t>CUSTO DE ADMINISTRAÇÃO   (TAXA DE 20% DO ITEM 'A')</t>
  </si>
  <si>
    <t>PREÇO TOTAL DO PRODUTO 01 (R$):</t>
  </si>
  <si>
    <t>PREÇO TOTAL DO PRODUTO 02 (R$):</t>
  </si>
  <si>
    <t>Estratégias de Oferta e Demanda</t>
  </si>
  <si>
    <t>Estudos e Simulações Elétricas</t>
  </si>
  <si>
    <t>7.</t>
  </si>
  <si>
    <t>Com Vínculo - Horista</t>
  </si>
  <si>
    <t>Com Vínculo - Mensalista</t>
  </si>
  <si>
    <t>Total Geral - Equipe com Vínculo Mensalista (R$):</t>
  </si>
  <si>
    <t>Total Geral - Equipe com Vínculo Horista (R$):</t>
  </si>
  <si>
    <t>20,00% INCIDENTE SOBRE O ITEM  A2</t>
  </si>
  <si>
    <t>Número de Trechos por Viagem</t>
  </si>
  <si>
    <t>Sub-Total Viagens - Passagens Aéreas (R$):</t>
  </si>
  <si>
    <t>Sub-Total Diárias Nacionais (R$):</t>
  </si>
  <si>
    <t>1. Os produtos serão pagos por demans (Conforme forem sendo utilizados, mediante autorização da fiscalização)</t>
  </si>
  <si>
    <t>2. O valor estimado para as passagens aéreas foi calculado conforme "MemCalculo (Trecho Aéreo)"</t>
  </si>
  <si>
    <t>4. Os quantitativos foram estimados de acordo com a quantidae de pessoal lotada no campo, e baseadas na quantidade de viagens que a equipe da Codevasf utiliza.</t>
  </si>
  <si>
    <t>VIAGENS / DIÁRIAS</t>
  </si>
  <si>
    <t>Projetor Multimidia (Data-Show)</t>
  </si>
  <si>
    <t>1.48</t>
  </si>
  <si>
    <t>Máquina fotográfica digital</t>
  </si>
  <si>
    <t>GPS com cabo e software</t>
  </si>
  <si>
    <t>1.49</t>
  </si>
  <si>
    <t>1.50</t>
  </si>
  <si>
    <t>Preços estimados pesquisados na internet pelo 'Google Shopping' (nov/17)</t>
  </si>
  <si>
    <t>Observações:</t>
  </si>
  <si>
    <t>5.17</t>
  </si>
  <si>
    <t>5.18</t>
  </si>
  <si>
    <t>5.19</t>
  </si>
  <si>
    <t>5.20</t>
  </si>
  <si>
    <t>5.21</t>
  </si>
  <si>
    <t>Condicionador de Ar - 22.000 Btus</t>
  </si>
  <si>
    <t>Valor dos itens não considera Lucro/Despesas Fiscais.</t>
  </si>
  <si>
    <t>Valor médio do Trecho da Passagem Aérea:</t>
  </si>
  <si>
    <t>72,27% INCIDENTE SOBRE O ITEM  A1 + A3</t>
  </si>
  <si>
    <r>
      <t xml:space="preserve">Especialista em Soluções Microsoft - </t>
    </r>
    <r>
      <rPr>
        <b/>
        <sz val="9"/>
        <rFont val="Arial"/>
        <family val="2"/>
      </rPr>
      <t xml:space="preserve">DEMANDA </t>
    </r>
    <r>
      <rPr>
        <sz val="9"/>
        <rFont val="Arial"/>
        <family val="2"/>
      </rPr>
      <t>(Etapa 4)</t>
    </r>
  </si>
  <si>
    <r>
      <t xml:space="preserve">Especialista em Soluções Microsoft - </t>
    </r>
    <r>
      <rPr>
        <b/>
        <sz val="9"/>
        <rFont val="Arial"/>
        <family val="2"/>
      </rPr>
      <t>DEMANDA</t>
    </r>
    <r>
      <rPr>
        <sz val="9"/>
        <rFont val="Arial"/>
        <family val="2"/>
      </rPr>
      <t xml:space="preserve"> (Etapa 5)</t>
    </r>
  </si>
  <si>
    <r>
      <t xml:space="preserve">Especialista em Soluções de Tecnologia da Informação - </t>
    </r>
    <r>
      <rPr>
        <b/>
        <sz val="9"/>
        <rFont val="Arial"/>
        <family val="2"/>
      </rPr>
      <t>DEMANDA</t>
    </r>
    <r>
      <rPr>
        <sz val="9"/>
        <rFont val="Arial"/>
        <family val="2"/>
      </rPr>
      <t xml:space="preserve"> (Etapa 7)</t>
    </r>
  </si>
  <si>
    <t>QUANTITATIVOS (MÃO-DE-OBRA)</t>
  </si>
  <si>
    <t>Unidade</t>
  </si>
  <si>
    <t>Periodiciadde da troca</t>
  </si>
  <si>
    <t>TOTAL - Profissionais</t>
  </si>
  <si>
    <t>Eletricista</t>
  </si>
  <si>
    <t>Campo</t>
  </si>
  <si>
    <t>Campo Eventual</t>
  </si>
  <si>
    <t>EPI - Mensalista</t>
  </si>
  <si>
    <t xml:space="preserve">Custo </t>
  </si>
  <si>
    <t>EPI - Eletricista</t>
  </si>
  <si>
    <t>Horista (PE):</t>
  </si>
  <si>
    <t>Horista (DF):</t>
  </si>
  <si>
    <t>Uniforme Brim (Camisa/Calça)</t>
  </si>
  <si>
    <t>Protetor Auricular tipo Plug</t>
  </si>
  <si>
    <t>Protetor Auricular tipo concha c/ abafador</t>
  </si>
  <si>
    <t>par</t>
  </si>
  <si>
    <t>SERVIÇOS GERAIS</t>
  </si>
  <si>
    <t>Bota PVC</t>
  </si>
  <si>
    <t>Luva Látex</t>
  </si>
  <si>
    <t>Bota Couro sem biqueira</t>
  </si>
  <si>
    <t>Máscara proteção poeira (respirador)</t>
  </si>
  <si>
    <t>Bota de Segurança com biqueira</t>
  </si>
  <si>
    <t>Luva raspa de Couro</t>
  </si>
  <si>
    <t>Protetor Solar (100ml)</t>
  </si>
  <si>
    <t>Óculos Proteção</t>
  </si>
  <si>
    <t>Capacete de Segurança completo</t>
  </si>
  <si>
    <t>Campo - Convencional</t>
  </si>
  <si>
    <t>Luva de borracha Isolante para alta tensão</t>
  </si>
  <si>
    <t>Cinto Segurança Paraquedista Eletricista</t>
  </si>
  <si>
    <t>Óculos Segurança</t>
  </si>
  <si>
    <t>Cinto Sinalizador Tipo X</t>
  </si>
  <si>
    <t>Mácara Poeira</t>
  </si>
  <si>
    <t>EPI</t>
  </si>
  <si>
    <t>EPI - Campo Mensalista</t>
  </si>
  <si>
    <t>TOTAL GERAL PARA CONTRATO(R$):</t>
  </si>
  <si>
    <t>TOTAL GERAL - MENSAL(R$):</t>
  </si>
  <si>
    <t>EPI - Serviços Gerais</t>
  </si>
  <si>
    <t>EPI - Campo Eletricista</t>
  </si>
  <si>
    <t>Mobilização da Equipe</t>
  </si>
  <si>
    <t>Mobilização (pagamento no primeiro mês do contrato)</t>
  </si>
  <si>
    <t>Desmobilização da Equipe</t>
  </si>
  <si>
    <t>Desmobilização (pagamento no último mês do contrato)</t>
  </si>
  <si>
    <t>Viagens e Diárias</t>
  </si>
  <si>
    <t>Viagens (Pagas por demanda)</t>
  </si>
  <si>
    <t>Diárias (Pagas por Demanda)</t>
  </si>
  <si>
    <t>Imóveis</t>
  </si>
  <si>
    <t>Manutenção</t>
  </si>
  <si>
    <t>Custos Indiretos</t>
  </si>
  <si>
    <t>Despesas Fiscais</t>
  </si>
  <si>
    <t>Custo de Administração</t>
  </si>
  <si>
    <t>Remuneração de escritório</t>
  </si>
  <si>
    <t>Equipamentos Diversos</t>
  </si>
  <si>
    <t>Instrumental de topografia (Estação total classe III + Nível classe 2)</t>
  </si>
  <si>
    <t>Periculosidade</t>
  </si>
  <si>
    <t>Periculosidade (30%)</t>
  </si>
  <si>
    <t>7.4.8</t>
  </si>
  <si>
    <t>7.4.9</t>
  </si>
  <si>
    <t>7.4.10</t>
  </si>
  <si>
    <t>SALÁRIOS TOTAL (R$)</t>
  </si>
  <si>
    <t xml:space="preserve">SALÁRIO </t>
  </si>
  <si>
    <t>PERICULOSIDADE</t>
  </si>
  <si>
    <t>SALÁRIO COM ENCARGOS SOCIAIS</t>
  </si>
  <si>
    <t>20,00% INCIDENTE SOBRE O ITEM  A3</t>
  </si>
  <si>
    <t>Relatório Parcial</t>
  </si>
  <si>
    <t>Relatório Específico</t>
  </si>
  <si>
    <t>Mensalista (DF):</t>
  </si>
  <si>
    <t>Mensalista (PE):</t>
  </si>
  <si>
    <t>Total Geral - Equipe com Vínculo Mensalista - Campo (R$):</t>
  </si>
  <si>
    <t>Total Geral - Equipe com Vínculo Mensalista - Sede (R$):</t>
  </si>
  <si>
    <t>Total Geral - Equipe com Vínculo Horista - Campo (R$):</t>
  </si>
  <si>
    <t>Com Vínculo - Mensalista Campo</t>
  </si>
  <si>
    <t>Com Vínculo - Mensalista Sede</t>
  </si>
  <si>
    <t>Com Vínculo - Horista Campo</t>
  </si>
  <si>
    <t>Outros Custos (PERICULOSIDADE - Campo)</t>
  </si>
  <si>
    <t>Outros Custos (PERICULOSIDADE - Sede)</t>
  </si>
  <si>
    <t>72,27% INCIDENTE SOBRE O ITEM  A1 + A5</t>
  </si>
  <si>
    <t>72,72% INCIDENTE SOBRE O ITEM  A2 + A6</t>
  </si>
  <si>
    <t>117,18% INCIDENTE SOBRE O ITEM  A3</t>
  </si>
  <si>
    <t>B2 -  20,00% INCIDENTE SOBRE O ITEM  A4</t>
  </si>
  <si>
    <t>DESCRIÇÃO - PRODUTOS</t>
  </si>
  <si>
    <t>20º</t>
  </si>
  <si>
    <t>X</t>
  </si>
  <si>
    <t>Etapa 1 - Elaborar metodologia de planejamento e monitoramento</t>
  </si>
  <si>
    <t xml:space="preserve">Etapa 2 - Elaborar metodologia de gerenciamento de portfólio, programas e projetos </t>
  </si>
  <si>
    <t xml:space="preserve">Etapa - Elaboração do plano de ação, portfólio, programas e projetos </t>
  </si>
  <si>
    <t>Etapa 4 - Configurar e customizar os softwares de apoio à gestão (Atividade por Demanda)</t>
  </si>
  <si>
    <t>Etapa 5 - Realizar a manutenção preventiva, corretiva e evolutiva dos softwares de apoio à gestão (Atividade por Demanda)</t>
  </si>
  <si>
    <t>Etapa 6 - Apoiar o monitoramento e avaliação do plano de ação, portfólio, programas e projetos</t>
  </si>
  <si>
    <t>Etapa 7 - Elaborar projeto de solução integrada de tecnologia da informação</t>
  </si>
  <si>
    <t>APOIO TÉCNICO-ADMINISTRATIVO</t>
  </si>
  <si>
    <t>LEGENDA:</t>
  </si>
  <si>
    <t>Itemização conforme Anexo II - Especificações Técnicas</t>
  </si>
  <si>
    <t>Quantidade de Relatórios</t>
  </si>
  <si>
    <t>Não gera Relatório</t>
  </si>
  <si>
    <t xml:space="preserve">APOIO A GESTÃO E ATIVIDADES TÉCNICAS ESPECIALIZADAS, ACOMPANHAMENTO DE COMISSIONAMENTOS, TESTES E PRÉ-OPERAÇÃO / ESTUDO E COLETA DE DADOS DA IMPLANTAÇÃO DO PROJETO / PLANO DE SEGURANÇA E SAÚDE DO TRABALHO </t>
  </si>
  <si>
    <t>RF</t>
  </si>
  <si>
    <t>1 - RF</t>
  </si>
  <si>
    <t>RP</t>
  </si>
  <si>
    <t>1 - RP / 1 - RF</t>
  </si>
  <si>
    <t>18 - RP / 1 - RF</t>
  </si>
  <si>
    <t>ESTUDOS E SIMULAÇÕES ELÉTRICAS (Atividade por Demanda)</t>
  </si>
  <si>
    <t>2 - RF</t>
  </si>
  <si>
    <t>RA</t>
  </si>
  <si>
    <t>RA / RS</t>
  </si>
  <si>
    <t>18 RA / 1 - RS</t>
  </si>
  <si>
    <t>Observação:</t>
  </si>
  <si>
    <t xml:space="preserve">RP = </t>
  </si>
  <si>
    <t>Relatório Parcial (Durante a execução)</t>
  </si>
  <si>
    <t xml:space="preserve">RF = </t>
  </si>
  <si>
    <t>Relatório Final (Quando acabar o Sub-produto)</t>
  </si>
  <si>
    <t xml:space="preserve">RA = </t>
  </si>
  <si>
    <t>Relatório de Andamento - (Mensal - Caráter Administrativo)</t>
  </si>
  <si>
    <t xml:space="preserve">RE = </t>
  </si>
  <si>
    <t>Relatório Específico (Caráter eventual - quando for solicitado)</t>
  </si>
  <si>
    <t xml:space="preserve">RS = </t>
  </si>
  <si>
    <t>Relatório Síntese (Relatório Final - Entrega Geral do Trabalho)</t>
  </si>
  <si>
    <t>5 - RP / 1 - RF</t>
  </si>
  <si>
    <t>6.1.1</t>
  </si>
  <si>
    <t>6.1.2</t>
  </si>
  <si>
    <t>6.2.1</t>
  </si>
  <si>
    <t>6.2.2</t>
  </si>
  <si>
    <t>6.4</t>
  </si>
  <si>
    <t>6.5</t>
  </si>
  <si>
    <t>6.7</t>
  </si>
  <si>
    <t>Apoio Técnico-Administrativo</t>
  </si>
  <si>
    <t>6.3.1</t>
  </si>
  <si>
    <t>6.4.1</t>
  </si>
  <si>
    <t>1 - RS</t>
  </si>
  <si>
    <t>Relatório Síntese (Produto PLANO)</t>
  </si>
  <si>
    <t>6.5.1</t>
  </si>
  <si>
    <t>5 RE / 1-RF</t>
  </si>
  <si>
    <t>6.5.2</t>
  </si>
  <si>
    <t>6.7.1</t>
  </si>
  <si>
    <t>6.6</t>
  </si>
  <si>
    <t>6.6.1</t>
  </si>
  <si>
    <t>6.7.2</t>
  </si>
  <si>
    <t>Relatório Andamento</t>
  </si>
  <si>
    <t>Relatório Síntese</t>
  </si>
  <si>
    <t>SECONCI</t>
  </si>
  <si>
    <t>Faltas Justificadas</t>
  </si>
  <si>
    <t>Energia elétrica - Residências</t>
  </si>
  <si>
    <t>Energia elétrica - Escritórios Centrais</t>
  </si>
  <si>
    <t>Energia elétrica - Escritórios Apoio Logistico</t>
  </si>
  <si>
    <t>Água e esgoto - Escritórios Apoio Logistico</t>
  </si>
  <si>
    <t>Água e esgoto - Escritórios Centrais</t>
  </si>
  <si>
    <t>Água e esgoto - Residências</t>
  </si>
  <si>
    <t>Preços da Tabela de Engenharia Consultiva Codevasf</t>
  </si>
  <si>
    <t>Material Higiene / Limpeza - Escritorio Apoio Logistico</t>
  </si>
  <si>
    <t>MEMORIAL DE CÁLCULO - SALÁRIOS - Pernambuco</t>
  </si>
  <si>
    <t>MEMORIAL DE CÁLCULO - SALÁRIOS - Distrito Federal</t>
  </si>
  <si>
    <t>PERNAMBUCO</t>
  </si>
  <si>
    <t>DISTRITO FEDERAL</t>
  </si>
  <si>
    <t>Aquisição de Software pela CONTRATANTE</t>
  </si>
  <si>
    <t>PREÇO TOTAL DO PRODUTO 07 (R$):</t>
  </si>
  <si>
    <t>PREÇO TOTAL DO PRODUTO 06 (R$):</t>
  </si>
  <si>
    <t>PREÇO TOTAL DO PRODUTO 05 (R$):</t>
  </si>
  <si>
    <t>PREÇO TOTAL DO PRODUTO 04 (R$):</t>
  </si>
  <si>
    <t>PREÇO TOTAL DO PRODUTO 03 (R$):</t>
  </si>
  <si>
    <t>Mão-de-Obra</t>
  </si>
  <si>
    <t>Remuneração de Escritório</t>
  </si>
  <si>
    <t>Outras Despesas (Relatórios</t>
  </si>
  <si>
    <t>RESUMO GERAL</t>
  </si>
  <si>
    <t>1RP</t>
  </si>
  <si>
    <t>1RF / 1RP</t>
  </si>
  <si>
    <t>2RP / 1RF</t>
  </si>
  <si>
    <t>RP / RF</t>
  </si>
  <si>
    <t>RESUMO POR PRODUTO</t>
  </si>
  <si>
    <t>1RF</t>
  </si>
  <si>
    <t>2RP</t>
  </si>
  <si>
    <t>Total:                   8 - RP                          7- RF</t>
  </si>
  <si>
    <t>RS</t>
  </si>
  <si>
    <t>VALOR (R$)</t>
  </si>
  <si>
    <t>PRAZO (mês)</t>
  </si>
  <si>
    <t>TOTAL MENSAL (R$):</t>
  </si>
  <si>
    <t>CRONOGRAMA FÍSICO-FINANCEIRO</t>
  </si>
  <si>
    <t>MÊS</t>
  </si>
  <si>
    <t>PAGAMENTOS MENSAIS</t>
  </si>
  <si>
    <t>PAGAMENTOS POR DEMANDA</t>
  </si>
  <si>
    <t>ADMINISTRAÇÃO / MANUTENÇÃO DE ESCRITÓRIO</t>
  </si>
  <si>
    <t>Produtos pagos por DEMANDA</t>
  </si>
  <si>
    <t>VALOR TOTAL A SER PAGO POR DEMANDA (R$):</t>
  </si>
  <si>
    <t>Pagamentos - Mensal</t>
  </si>
  <si>
    <t>TOTAL GERL (R$):</t>
  </si>
  <si>
    <t>Demanda</t>
  </si>
  <si>
    <t>2 (Mensal)</t>
  </si>
  <si>
    <t>2 (Demanda)</t>
  </si>
  <si>
    <t>113,83% INCIDENTE SOBRE O ITEM  A2</t>
  </si>
  <si>
    <t>SALÁRIO</t>
  </si>
  <si>
    <t>ENCARGOS</t>
  </si>
  <si>
    <t>Telefone Celular</t>
  </si>
  <si>
    <t>Prazo</t>
  </si>
  <si>
    <t>5. Os valores previstos são o máximo que serão pagos pela Codevasf durante todo o período do contrato.</t>
  </si>
  <si>
    <t>3. O valor adotado para a pernoite é o valor praticado pela Codevasf para localidades que não são Capitais</t>
  </si>
  <si>
    <t>PERNOITE</t>
  </si>
  <si>
    <t>Pernoite - Sede</t>
  </si>
  <si>
    <t>Pernoite - Campo</t>
  </si>
  <si>
    <t>Pagamentos - Por Demanda</t>
  </si>
  <si>
    <t>G</t>
  </si>
  <si>
    <t>Total de Meses</t>
  </si>
  <si>
    <t>Total de Meses:</t>
  </si>
  <si>
    <t>Valor Mensal do Auxilio Alimentação - Portaria MPOG nº 11, de 13/01/2016 (R$):</t>
  </si>
  <si>
    <t>TOTAL GERAL - Auxílio Alimentação Equipe PRODUTO 01 (R$):</t>
  </si>
  <si>
    <t>AUXÍLIO ALIMENTAÇÃO - MÃO DE OBRA</t>
  </si>
  <si>
    <t>TOTAL GERAL - Auxílio Alimentação Equipe PRODUTO 02 (R$):</t>
  </si>
  <si>
    <t>TOTAL GERAL - Auxílio Alimentação Equipe PRODUTO 03 (R$):</t>
  </si>
  <si>
    <t>TOTAL GERAL - Auxílio Alimentação Equipe PRODUTO 04 (R$):</t>
  </si>
  <si>
    <t>TOTAL GERAL - Auxílio Alimentação Equipe PRODUTO 05 (R$):</t>
  </si>
  <si>
    <t>TOTAL GERAL - Auxílio Alimentação Equipe PRODUTO 06 (R$):</t>
  </si>
  <si>
    <t>TOTAL GERAL - Auxílio Alimentação Equipe PRODUTO 07 (R$):</t>
  </si>
  <si>
    <t>AUXÍLIO ALIMENTAÇÃO</t>
  </si>
  <si>
    <t>Auxílio Alimentação Mensal (Valor Total)</t>
  </si>
  <si>
    <t>REMUNERAÇÃO DE ESCRITÓRIO (TAXA DE 5% DOS ITENS (A + B + C + D+E)</t>
  </si>
  <si>
    <r>
      <t>DESPESAS FISCAIS</t>
    </r>
    <r>
      <rPr>
        <b/>
        <sz val="10"/>
        <rFont val="Arial"/>
        <family val="2"/>
      </rPr>
      <t xml:space="preserve"> </t>
    </r>
    <r>
      <rPr>
        <sz val="10"/>
        <color indexed="8"/>
        <rFont val="Arial"/>
        <family val="2"/>
      </rPr>
      <t>( 16,62% DOS ITENS A + B + C + D + E + F)</t>
    </r>
  </si>
  <si>
    <t>Custos Diretos (Mão-de-Obra / Encargos Sociais e Benefícios)</t>
  </si>
  <si>
    <t>Viagens (Pagas por Demanda)</t>
  </si>
  <si>
    <t>72,72% INCIDENTE SOBRE O ITEM  A1 + A4</t>
  </si>
  <si>
    <t>Eng. Médio - Civil</t>
  </si>
  <si>
    <t>Eng. Médio  - Mecânica</t>
  </si>
  <si>
    <t>Eng. Médio - Eletricista</t>
  </si>
  <si>
    <t xml:space="preserve">Engenheiro - Trainee </t>
  </si>
  <si>
    <t>Engenheiro Pleno (Engenheiro Segurança do Trabalho)</t>
  </si>
  <si>
    <t>TOTAL DO CONTRATO</t>
  </si>
  <si>
    <t xml:space="preserve">Valor Total do Contrato </t>
  </si>
  <si>
    <t>6 - RP / 1 - RF</t>
  </si>
  <si>
    <t>1RP / 1RF</t>
  </si>
  <si>
    <t>2RP / 2RF</t>
  </si>
  <si>
    <t>* Os serviços gráficos são contabilizados no preço por produto</t>
  </si>
  <si>
    <t>Fonte do preço dos relatórios: Tabela Engenharia Consultiva Codevasf 2017</t>
  </si>
  <si>
    <t>3. Considerou-se um veículo para o coordenador do contrato se locomover.</t>
  </si>
  <si>
    <t>TOTAL - Alimentação Equipe (R$):</t>
  </si>
  <si>
    <t>RESUMO - Alimentação</t>
  </si>
  <si>
    <t>Fonte do preço de energia e água das residencias/escritorios: Baseado no valor das faturas mensais dos contartos existentes atualmente</t>
  </si>
  <si>
    <t>Mão-de-Obra (Incluindo Encargos Sociais e Benefícios)</t>
  </si>
  <si>
    <t>Benefícios e Despesas Indiretas</t>
  </si>
  <si>
    <t>Sem Vínculo</t>
  </si>
  <si>
    <t>Consultor</t>
  </si>
  <si>
    <t>Mobiliário/Equipamentos - Escritorio Central</t>
  </si>
  <si>
    <t>Equipamentos / Material de Escritório - Apoio logístico</t>
  </si>
  <si>
    <t>Profissional em Planejamento de Segurança</t>
  </si>
  <si>
    <t>Especialista em Soluções Microsoft - ATIVIDADE POR DEMANDA (Etapa 4)</t>
  </si>
  <si>
    <t>Especialista em Soluções Microsoft - ATIVIDADE POR DEMANDA (Etapa 5)</t>
  </si>
  <si>
    <t>Especialista em Soluções de Tecnologia da Informação - ATIVIDADE POR DEMANDA (Etapa 7)</t>
  </si>
  <si>
    <t>Estudos e Simulações Elétricas - ATIVIDADE POR DEMANDA</t>
  </si>
  <si>
    <t>PLANO DE SEGURANÇA DO PISF</t>
  </si>
  <si>
    <t>5.1.5</t>
  </si>
  <si>
    <t>Total:                   24 - RP                          5- RF</t>
  </si>
  <si>
    <t xml:space="preserve">Softwares Específicos ( No mínimo: Pacote Office 2016; Microsoft Visio Professional Open 2016; Microsoft Project Professional Open 2016; AutoCAD LT; ArcGis Basic com extensão "Spatial Analyst" e 3D Analyst") </t>
  </si>
  <si>
    <t>Consultor em Segurança Pública</t>
  </si>
  <si>
    <t>Apoio a Gestão e Atividades Técnicas Especializadas, Acompanhamento de Comissinamentos, Recebimento, Testes e Pré-Operação / Estudo e Coleta de Dados da Implantação do Projeto / Plano de Segurança e Saúde do Trabalho / Plano de segurança do PISF</t>
  </si>
  <si>
    <t>Profissional em Planejamento de Segurança Pública</t>
  </si>
  <si>
    <t>DESPESAS FISCAIS - DETALHAMENTO</t>
  </si>
  <si>
    <t>Escritórios de Apoio Logístico / Escritórios Centrais (BSB-SLZ)</t>
  </si>
  <si>
    <t>Previsão Custo - Mensal</t>
  </si>
  <si>
    <t>Descrição</t>
  </si>
  <si>
    <t>QTD cada troca</t>
  </si>
  <si>
    <t>Passagens Aéreas</t>
  </si>
  <si>
    <t>Menor Valor</t>
  </si>
  <si>
    <t>14/12/2017 (www.decolar.com para vizualizar menores preços e companhias aéreas para registro do preço)</t>
  </si>
  <si>
    <t>Grampo 23/6 (caixa)</t>
  </si>
  <si>
    <t>IDA: Base de Pesquisa Jan/2018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</si>
</sst>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0_)"/>
    <numFmt numFmtId="167" formatCode="#,##0.0000"/>
    <numFmt numFmtId="168" formatCode="0.00000"/>
    <numFmt numFmtId="169" formatCode="#,##0.00;[Red]#,##0.00"/>
    <numFmt numFmtId="170" formatCode="&quot;R$&quot;\ #,##0.00"/>
  </numFmts>
  <fonts count="34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indexed="8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</font>
    <font>
      <sz val="9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b/>
      <sz val="10"/>
      <color theme="1"/>
      <name val="Arial"/>
      <family val="2"/>
    </font>
    <font>
      <b/>
      <sz val="9"/>
      <color rgb="FFFF0000"/>
      <name val="Arial"/>
      <family val="2"/>
    </font>
    <font>
      <i/>
      <sz val="9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6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/>
        <bgColor rgb="FFFFFFC0"/>
      </patternFill>
    </fill>
    <fill>
      <patternFill patternType="solid">
        <fgColor theme="0"/>
        <bgColor indexed="26"/>
      </patternFill>
    </fill>
  </fills>
  <borders count="1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8"/>
      </bottom>
      <diagonal/>
    </border>
    <border>
      <left/>
      <right style="medium">
        <color indexed="64"/>
      </right>
      <top style="double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3">
    <xf numFmtId="0" fontId="0" fillId="0" borderId="0"/>
    <xf numFmtId="164" fontId="5" fillId="0" borderId="0" applyFont="0" applyFill="0" applyBorder="0" applyAlignment="0" applyProtection="0"/>
    <xf numFmtId="165" fontId="6" fillId="0" borderId="0"/>
    <xf numFmtId="0" fontId="7" fillId="0" borderId="0"/>
    <xf numFmtId="0" fontId="7" fillId="0" borderId="0"/>
    <xf numFmtId="3" fontId="7" fillId="0" borderId="0"/>
    <xf numFmtId="0" fontId="13" fillId="0" borderId="0"/>
    <xf numFmtId="3" fontId="7" fillId="0" borderId="0"/>
    <xf numFmtId="0" fontId="10" fillId="0" borderId="0"/>
    <xf numFmtId="0" fontId="7" fillId="0" borderId="0"/>
    <xf numFmtId="0" fontId="18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792">
    <xf numFmtId="0" fontId="0" fillId="0" borderId="0" xfId="0"/>
    <xf numFmtId="0" fontId="2" fillId="0" borderId="6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right" vertical="center"/>
    </xf>
    <xf numFmtId="0" fontId="2" fillId="0" borderId="23" xfId="0" applyFont="1" applyBorder="1" applyAlignment="1" applyProtection="1">
      <alignment horizontal="right" vertical="center"/>
    </xf>
    <xf numFmtId="0" fontId="2" fillId="0" borderId="24" xfId="0" applyFont="1" applyBorder="1" applyAlignment="1" applyProtection="1">
      <alignment horizontal="right" vertical="center"/>
    </xf>
    <xf numFmtId="0" fontId="2" fillId="0" borderId="40" xfId="0" applyFont="1" applyBorder="1" applyAlignment="1" applyProtection="1">
      <alignment horizontal="right" vertical="center"/>
    </xf>
    <xf numFmtId="0" fontId="3" fillId="0" borderId="0" xfId="0" applyFont="1"/>
    <xf numFmtId="0" fontId="2" fillId="0" borderId="41" xfId="0" applyFont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2" fillId="0" borderId="9" xfId="7" applyFont="1" applyFill="1" applyBorder="1" applyAlignment="1">
      <alignment horizontal="center" vertical="center"/>
    </xf>
    <xf numFmtId="4" fontId="2" fillId="0" borderId="9" xfId="7" applyNumberFormat="1" applyFont="1" applyFill="1" applyBorder="1" applyAlignment="1">
      <alignment horizontal="center" vertical="center"/>
    </xf>
    <xf numFmtId="3" fontId="2" fillId="0" borderId="6" xfId="7" applyFont="1" applyFill="1" applyBorder="1" applyAlignment="1">
      <alignment horizontal="center" vertical="center"/>
    </xf>
    <xf numFmtId="4" fontId="2" fillId="0" borderId="6" xfId="7" applyNumberFormat="1" applyFont="1" applyFill="1" applyBorder="1" applyAlignment="1">
      <alignment horizontal="center" vertical="center"/>
    </xf>
    <xf numFmtId="3" fontId="2" fillId="0" borderId="50" xfId="7" applyFont="1" applyFill="1" applyBorder="1" applyAlignment="1">
      <alignment horizontal="center" vertical="center"/>
    </xf>
    <xf numFmtId="4" fontId="2" fillId="6" borderId="6" xfId="5" applyNumberFormat="1" applyFont="1" applyFill="1" applyBorder="1" applyAlignment="1">
      <alignment horizontal="center" vertical="center"/>
    </xf>
    <xf numFmtId="4" fontId="2" fillId="6" borderId="9" xfId="5" applyNumberFormat="1" applyFont="1" applyFill="1" applyBorder="1" applyAlignment="1">
      <alignment horizontal="center" vertical="center"/>
    </xf>
    <xf numFmtId="4" fontId="2" fillId="6" borderId="50" xfId="5" applyNumberFormat="1" applyFont="1" applyFill="1" applyBorder="1" applyAlignment="1">
      <alignment horizontal="center" vertical="center"/>
    </xf>
    <xf numFmtId="4" fontId="3" fillId="0" borderId="46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2" borderId="14" xfId="0" applyFont="1" applyFill="1" applyBorder="1" applyAlignment="1" applyProtection="1">
      <alignment horizontal="left" vertical="center"/>
    </xf>
    <xf numFmtId="0" fontId="2" fillId="0" borderId="48" xfId="0" applyFont="1" applyBorder="1" applyAlignment="1" applyProtection="1">
      <alignment horizontal="right" vertical="center"/>
    </xf>
    <xf numFmtId="0" fontId="17" fillId="0" borderId="0" xfId="0" applyFont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2" borderId="0" xfId="0" applyFont="1" applyFill="1"/>
    <xf numFmtId="0" fontId="3" fillId="2" borderId="4" xfId="0" applyFont="1" applyFill="1" applyBorder="1"/>
    <xf numFmtId="0" fontId="3" fillId="2" borderId="30" xfId="0" applyFont="1" applyFill="1" applyBorder="1"/>
    <xf numFmtId="14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31" xfId="0" applyFont="1" applyFill="1" applyBorder="1" applyAlignment="1">
      <alignment horizontal="left"/>
    </xf>
    <xf numFmtId="0" fontId="3" fillId="2" borderId="32" xfId="0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2" fillId="2" borderId="0" xfId="10" applyFont="1" applyFill="1" applyAlignment="1">
      <alignment vertical="center"/>
    </xf>
    <xf numFmtId="4" fontId="2" fillId="2" borderId="0" xfId="10" applyNumberFormat="1" applyFont="1" applyFill="1" applyAlignment="1">
      <alignment vertical="center"/>
    </xf>
    <xf numFmtId="4" fontId="2" fillId="2" borderId="0" xfId="1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1" fillId="2" borderId="63" xfId="10" applyNumberFormat="1" applyFont="1" applyFill="1" applyBorder="1" applyAlignment="1">
      <alignment horizontal="center" vertical="center"/>
    </xf>
    <xf numFmtId="4" fontId="2" fillId="2" borderId="26" xfId="10" applyNumberFormat="1" applyFont="1" applyFill="1" applyBorder="1" applyAlignment="1">
      <alignment horizontal="left" vertical="center"/>
    </xf>
    <xf numFmtId="4" fontId="2" fillId="2" borderId="14" xfId="10" applyNumberFormat="1" applyFont="1" applyFill="1" applyBorder="1" applyAlignment="1">
      <alignment horizontal="left" vertical="center"/>
    </xf>
    <xf numFmtId="4" fontId="1" fillId="5" borderId="52" xfId="10" applyNumberFormat="1" applyFont="1" applyFill="1" applyBorder="1" applyAlignment="1">
      <alignment horizontal="center" vertical="center"/>
    </xf>
    <xf numFmtId="0" fontId="2" fillId="0" borderId="14" xfId="10" applyFont="1" applyBorder="1" applyAlignment="1">
      <alignment vertical="center"/>
    </xf>
    <xf numFmtId="0" fontId="2" fillId="0" borderId="19" xfId="10" applyFont="1" applyBorder="1" applyAlignment="1">
      <alignment vertical="center"/>
    </xf>
    <xf numFmtId="0" fontId="2" fillId="0" borderId="13" xfId="10" applyFont="1" applyBorder="1" applyAlignment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2" borderId="8" xfId="0" quotePrefix="1" applyFont="1" applyFill="1" applyBorder="1" applyAlignment="1">
      <alignment vertical="center" wrapText="1"/>
    </xf>
    <xf numFmtId="0" fontId="2" fillId="2" borderId="16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48" xfId="0" applyFont="1" applyFill="1" applyBorder="1" applyAlignment="1" applyProtection="1">
      <alignment horizontal="center" vertical="center"/>
    </xf>
    <xf numFmtId="0" fontId="2" fillId="2" borderId="33" xfId="0" applyFont="1" applyFill="1" applyBorder="1" applyAlignment="1" applyProtection="1">
      <alignment horizontal="center" vertical="center"/>
    </xf>
    <xf numFmtId="0" fontId="2" fillId="2" borderId="75" xfId="0" applyFont="1" applyFill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4" fontId="3" fillId="0" borderId="5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9" fillId="5" borderId="1" xfId="0" applyFont="1" applyFill="1" applyBorder="1" applyAlignment="1">
      <alignment horizontal="left" vertical="center" wrapText="1"/>
    </xf>
    <xf numFmtId="3" fontId="16" fillId="5" borderId="38" xfId="5" applyFont="1" applyFill="1" applyBorder="1" applyAlignment="1">
      <alignment horizontal="left" vertical="center" wrapText="1"/>
    </xf>
    <xf numFmtId="3" fontId="16" fillId="5" borderId="45" xfId="7" applyFont="1" applyFill="1" applyBorder="1" applyAlignment="1">
      <alignment horizontal="center" vertical="center" wrapText="1"/>
    </xf>
    <xf numFmtId="168" fontId="16" fillId="5" borderId="45" xfId="7" applyNumberFormat="1" applyFont="1" applyFill="1" applyBorder="1" applyAlignment="1">
      <alignment horizontal="center" vertical="center" wrapText="1"/>
    </xf>
    <xf numFmtId="4" fontId="16" fillId="5" borderId="45" xfId="7" applyNumberFormat="1" applyFont="1" applyFill="1" applyBorder="1" applyAlignment="1">
      <alignment horizontal="center" vertical="center" wrapText="1"/>
    </xf>
    <xf numFmtId="4" fontId="16" fillId="5" borderId="39" xfId="7" applyNumberFormat="1" applyFont="1" applyFill="1" applyBorder="1" applyAlignment="1">
      <alignment horizontal="center" vertical="center" wrapText="1"/>
    </xf>
    <xf numFmtId="3" fontId="7" fillId="0" borderId="46" xfId="7" applyFont="1" applyFill="1" applyBorder="1" applyAlignment="1">
      <alignment horizontal="center" vertical="center"/>
    </xf>
    <xf numFmtId="0" fontId="19" fillId="5" borderId="1" xfId="0" quotePrefix="1" applyFont="1" applyFill="1" applyBorder="1" applyAlignment="1">
      <alignment horizontal="left" vertical="center"/>
    </xf>
    <xf numFmtId="4" fontId="16" fillId="5" borderId="43" xfId="5" applyNumberFormat="1" applyFont="1" applyFill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2" fillId="2" borderId="15" xfId="0" quotePrefix="1" applyFont="1" applyFill="1" applyBorder="1" applyAlignment="1">
      <alignment vertical="center" wrapText="1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20" fillId="2" borderId="9" xfId="0" applyFont="1" applyFill="1" applyBorder="1" applyAlignment="1" applyProtection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3" fontId="2" fillId="0" borderId="46" xfId="7" applyFont="1" applyFill="1" applyBorder="1" applyAlignment="1">
      <alignment horizontal="center" vertical="center"/>
    </xf>
    <xf numFmtId="0" fontId="20" fillId="2" borderId="50" xfId="0" applyFont="1" applyFill="1" applyBorder="1" applyAlignment="1" applyProtection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4" fontId="2" fillId="0" borderId="12" xfId="7" applyNumberFormat="1" applyFont="1" applyFill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2" fillId="0" borderId="33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6" fontId="14" fillId="0" borderId="0" xfId="0" applyNumberFormat="1" applyFont="1" applyFill="1" applyBorder="1" applyAlignment="1" applyProtection="1">
      <alignment vertical="center" wrapText="1"/>
      <protection locked="0"/>
    </xf>
    <xf numFmtId="3" fontId="2" fillId="0" borderId="0" xfId="7" applyFont="1" applyFill="1" applyBorder="1" applyAlignment="1">
      <alignment horizontal="center" vertical="center"/>
    </xf>
    <xf numFmtId="4" fontId="2" fillId="0" borderId="0" xfId="7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6" fontId="14" fillId="0" borderId="9" xfId="0" applyNumberFormat="1" applyFont="1" applyFill="1" applyBorder="1" applyAlignment="1" applyProtection="1">
      <alignment vertical="center" wrapText="1"/>
      <protection locked="0"/>
    </xf>
    <xf numFmtId="3" fontId="1" fillId="7" borderId="45" xfId="5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1" fillId="3" borderId="3" xfId="5" applyNumberFormat="1" applyFont="1" applyFill="1" applyBorder="1" applyAlignment="1">
      <alignment horizontal="center" vertical="center"/>
    </xf>
    <xf numFmtId="4" fontId="4" fillId="5" borderId="39" xfId="0" applyNumberFormat="1" applyFont="1" applyFill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4" fillId="5" borderId="43" xfId="0" applyNumberFormat="1" applyFont="1" applyFill="1" applyBorder="1" applyAlignment="1">
      <alignment horizontal="center" vertical="center"/>
    </xf>
    <xf numFmtId="0" fontId="4" fillId="5" borderId="38" xfId="0" applyFont="1" applyFill="1" applyBorder="1" applyAlignment="1">
      <alignment vertical="center"/>
    </xf>
    <xf numFmtId="0" fontId="3" fillId="0" borderId="13" xfId="0" applyFont="1" applyBorder="1" applyAlignment="1">
      <alignment horizontal="right" vertical="center"/>
    </xf>
    <xf numFmtId="0" fontId="4" fillId="5" borderId="63" xfId="0" applyFont="1" applyFill="1" applyBorder="1" applyAlignment="1">
      <alignment vertical="center"/>
    </xf>
    <xf numFmtId="0" fontId="2" fillId="0" borderId="8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168" fontId="2" fillId="0" borderId="0" xfId="7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1" fillId="3" borderId="52" xfId="5" applyNumberFormat="1" applyFont="1" applyFill="1" applyBorder="1" applyAlignment="1">
      <alignment horizontal="center" vertical="center"/>
    </xf>
    <xf numFmtId="167" fontId="1" fillId="3" borderId="1" xfId="5" applyNumberFormat="1" applyFont="1" applyFill="1" applyBorder="1" applyAlignment="1">
      <alignment horizontal="center" vertical="center"/>
    </xf>
    <xf numFmtId="4" fontId="2" fillId="0" borderId="46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3" fontId="2" fillId="0" borderId="0" xfId="7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2" fillId="6" borderId="46" xfId="5" applyNumberFormat="1" applyFont="1" applyFill="1" applyBorder="1" applyAlignment="1">
      <alignment horizontal="center" vertical="center"/>
    </xf>
    <xf numFmtId="0" fontId="20" fillId="2" borderId="46" xfId="0" applyFont="1" applyFill="1" applyBorder="1" applyAlignment="1" applyProtection="1">
      <alignment horizontal="center" vertical="center"/>
    </xf>
    <xf numFmtId="0" fontId="3" fillId="2" borderId="19" xfId="0" applyFont="1" applyFill="1" applyBorder="1" applyAlignment="1">
      <alignment horizontal="left"/>
    </xf>
    <xf numFmtId="0" fontId="1" fillId="10" borderId="86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" fillId="0" borderId="76" xfId="0" applyFont="1" applyBorder="1" applyAlignment="1">
      <alignment horizontal="center" vertical="center"/>
    </xf>
    <xf numFmtId="0" fontId="1" fillId="10" borderId="9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9" borderId="39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" fillId="10" borderId="9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98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" fontId="2" fillId="0" borderId="34" xfId="1" applyNumberFormat="1" applyFont="1" applyBorder="1" applyAlignment="1" applyProtection="1">
      <alignment horizontal="center" vertical="center"/>
    </xf>
    <xf numFmtId="4" fontId="2" fillId="0" borderId="23" xfId="1" applyNumberFormat="1" applyFont="1" applyBorder="1" applyAlignment="1" applyProtection="1">
      <alignment horizontal="center" vertical="center"/>
    </xf>
    <xf numFmtId="4" fontId="2" fillId="0" borderId="24" xfId="1" applyNumberFormat="1" applyFont="1" applyBorder="1" applyAlignment="1" applyProtection="1">
      <alignment horizontal="center" vertical="center"/>
    </xf>
    <xf numFmtId="0" fontId="2" fillId="2" borderId="17" xfId="0" quotePrefix="1" applyFont="1" applyFill="1" applyBorder="1" applyAlignment="1">
      <alignment vertical="center" wrapText="1"/>
    </xf>
    <xf numFmtId="0" fontId="2" fillId="0" borderId="36" xfId="0" applyFont="1" applyBorder="1" applyAlignment="1" applyProtection="1">
      <alignment horizontal="right" vertical="center"/>
    </xf>
    <xf numFmtId="0" fontId="2" fillId="0" borderId="83" xfId="4" applyFont="1" applyBorder="1" applyAlignment="1">
      <alignment vertical="center" wrapText="1"/>
    </xf>
    <xf numFmtId="0" fontId="2" fillId="0" borderId="8" xfId="4" applyFont="1" applyBorder="1" applyAlignment="1">
      <alignment vertical="center" wrapText="1"/>
    </xf>
    <xf numFmtId="49" fontId="2" fillId="0" borderId="8" xfId="4" applyNumberFormat="1" applyFont="1" applyBorder="1" applyAlignment="1">
      <alignment horizontal="left" vertical="center" wrapText="1"/>
    </xf>
    <xf numFmtId="49" fontId="2" fillId="0" borderId="83" xfId="4" applyNumberFormat="1" applyFont="1" applyBorder="1" applyAlignment="1">
      <alignment horizontal="left" vertical="center" wrapText="1"/>
    </xf>
    <xf numFmtId="0" fontId="15" fillId="0" borderId="0" xfId="0" applyFont="1"/>
    <xf numFmtId="4" fontId="19" fillId="7" borderId="35" xfId="0" applyNumberFormat="1" applyFont="1" applyFill="1" applyBorder="1" applyAlignment="1" applyProtection="1">
      <alignment vertical="top"/>
    </xf>
    <xf numFmtId="4" fontId="16" fillId="7" borderId="43" xfId="0" applyNumberFormat="1" applyFont="1" applyFill="1" applyBorder="1" applyAlignment="1" applyProtection="1">
      <alignment horizontal="center" vertical="top" wrapText="1"/>
    </xf>
    <xf numFmtId="0" fontId="15" fillId="2" borderId="0" xfId="0" applyFont="1" applyFill="1" applyBorder="1"/>
    <xf numFmtId="0" fontId="7" fillId="2" borderId="0" xfId="0" applyFont="1" applyFill="1" applyBorder="1" applyAlignment="1" applyProtection="1">
      <alignment horizontal="left" vertical="top" wrapText="1"/>
    </xf>
    <xf numFmtId="4" fontId="15" fillId="2" borderId="0" xfId="0" applyNumberFormat="1" applyFont="1" applyFill="1" applyBorder="1" applyAlignment="1" applyProtection="1">
      <alignment vertical="top"/>
    </xf>
    <xf numFmtId="0" fontId="15" fillId="0" borderId="34" xfId="0" applyFont="1" applyBorder="1"/>
    <xf numFmtId="0" fontId="15" fillId="0" borderId="24" xfId="0" applyFont="1" applyBorder="1"/>
    <xf numFmtId="0" fontId="15" fillId="2" borderId="23" xfId="0" applyFont="1" applyFill="1" applyBorder="1"/>
    <xf numFmtId="0" fontId="15" fillId="2" borderId="24" xfId="0" applyFont="1" applyFill="1" applyBorder="1"/>
    <xf numFmtId="0" fontId="19" fillId="2" borderId="34" xfId="0" applyFont="1" applyFill="1" applyBorder="1"/>
    <xf numFmtId="0" fontId="19" fillId="2" borderId="23" xfId="0" applyFont="1" applyFill="1" applyBorder="1"/>
    <xf numFmtId="0" fontId="15" fillId="0" borderId="23" xfId="0" applyFont="1" applyBorder="1" applyAlignment="1"/>
    <xf numFmtId="4" fontId="7" fillId="0" borderId="61" xfId="3" applyNumberFormat="1" applyFont="1" applyFill="1" applyBorder="1" applyAlignment="1">
      <alignment horizontal="center" vertical="top"/>
    </xf>
    <xf numFmtId="0" fontId="2" fillId="0" borderId="23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43" fontId="7" fillId="0" borderId="67" xfId="11" applyFont="1" applyFill="1" applyBorder="1" applyAlignment="1" applyProtection="1">
      <alignment horizontal="center" vertical="center"/>
    </xf>
    <xf numFmtId="0" fontId="12" fillId="0" borderId="106" xfId="0" applyFont="1" applyBorder="1" applyAlignment="1">
      <alignment horizontal="center" vertical="center"/>
    </xf>
    <xf numFmtId="0" fontId="12" fillId="0" borderId="107" xfId="0" applyFont="1" applyBorder="1" applyAlignment="1">
      <alignment horizontal="center" vertical="center"/>
    </xf>
    <xf numFmtId="0" fontId="2" fillId="0" borderId="42" xfId="0" applyFont="1" applyBorder="1" applyAlignment="1">
      <alignment horizontal="left" vertical="center" wrapText="1"/>
    </xf>
    <xf numFmtId="0" fontId="12" fillId="0" borderId="109" xfId="0" applyFont="1" applyBorder="1" applyAlignment="1">
      <alignment horizontal="center" vertical="center"/>
    </xf>
    <xf numFmtId="0" fontId="3" fillId="0" borderId="23" xfId="0" applyFont="1" applyBorder="1" applyAlignment="1">
      <alignment horizontal="right" vertical="center"/>
    </xf>
    <xf numFmtId="0" fontId="2" fillId="2" borderId="46" xfId="0" applyFont="1" applyFill="1" applyBorder="1" applyAlignment="1" applyProtection="1">
      <alignment horizontal="center" vertical="center"/>
    </xf>
    <xf numFmtId="0" fontId="2" fillId="0" borderId="4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" fontId="16" fillId="0" borderId="105" xfId="3" applyNumberFormat="1" applyFont="1" applyBorder="1" applyAlignment="1">
      <alignment horizontal="center" vertical="center"/>
    </xf>
    <xf numFmtId="4" fontId="16" fillId="0" borderId="111" xfId="3" applyNumberFormat="1" applyFont="1" applyBorder="1" applyAlignment="1">
      <alignment horizontal="center" vertical="center"/>
    </xf>
    <xf numFmtId="43" fontId="16" fillId="0" borderId="102" xfId="11" applyFont="1" applyFill="1" applyBorder="1" applyAlignment="1" applyProtection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 applyProtection="1">
      <alignment vertical="center" wrapText="1"/>
    </xf>
    <xf numFmtId="0" fontId="3" fillId="0" borderId="24" xfId="0" applyFont="1" applyBorder="1" applyAlignment="1">
      <alignment horizontal="right" vertical="center"/>
    </xf>
    <xf numFmtId="0" fontId="2" fillId="2" borderId="50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4" fillId="7" borderId="43" xfId="0" applyFont="1" applyFill="1" applyBorder="1" applyAlignment="1">
      <alignment vertical="center"/>
    </xf>
    <xf numFmtId="0" fontId="7" fillId="0" borderId="26" xfId="0" applyFont="1" applyBorder="1" applyAlignment="1" applyProtection="1">
      <alignment horizontal="right" vertical="center"/>
    </xf>
    <xf numFmtId="0" fontId="7" fillId="2" borderId="46" xfId="0" quotePrefix="1" applyFont="1" applyFill="1" applyBorder="1" applyAlignment="1">
      <alignment vertical="center" wrapText="1"/>
    </xf>
    <xf numFmtId="0" fontId="7" fillId="0" borderId="46" xfId="0" applyFont="1" applyBorder="1" applyAlignment="1" applyProtection="1">
      <alignment horizontal="center" vertical="center"/>
    </xf>
    <xf numFmtId="4" fontId="7" fillId="0" borderId="46" xfId="0" applyNumberFormat="1" applyFont="1" applyBorder="1" applyAlignment="1">
      <alignment horizontal="center" vertical="center"/>
    </xf>
    <xf numFmtId="4" fontId="7" fillId="0" borderId="47" xfId="1" applyNumberFormat="1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right" vertical="center"/>
    </xf>
    <xf numFmtId="3" fontId="7" fillId="0" borderId="9" xfId="7" applyFont="1" applyFill="1" applyBorder="1" applyAlignment="1">
      <alignment horizontal="left" vertical="center" wrapText="1"/>
    </xf>
    <xf numFmtId="4" fontId="7" fillId="0" borderId="9" xfId="7" applyNumberFormat="1" applyFont="1" applyFill="1" applyBorder="1" applyAlignment="1">
      <alignment horizontal="center" vertical="center"/>
    </xf>
    <xf numFmtId="4" fontId="7" fillId="0" borderId="49" xfId="1" applyNumberFormat="1" applyFont="1" applyBorder="1" applyAlignment="1" applyProtection="1">
      <alignment horizontal="center" vertical="center"/>
    </xf>
    <xf numFmtId="0" fontId="7" fillId="2" borderId="9" xfId="0" quotePrefix="1" applyFont="1" applyFill="1" applyBorder="1" applyAlignment="1">
      <alignment vertical="center" wrapText="1"/>
    </xf>
    <xf numFmtId="0" fontId="7" fillId="6" borderId="9" xfId="5" applyNumberFormat="1" applyFont="1" applyFill="1" applyBorder="1" applyAlignment="1">
      <alignment horizontal="center" vertical="center"/>
    </xf>
    <xf numFmtId="4" fontId="7" fillId="0" borderId="9" xfId="5" applyNumberFormat="1" applyFont="1" applyFill="1" applyBorder="1" applyAlignment="1">
      <alignment horizontal="center" vertical="center"/>
    </xf>
    <xf numFmtId="0" fontId="7" fillId="0" borderId="19" xfId="0" applyFont="1" applyBorder="1" applyAlignment="1" applyProtection="1">
      <alignment horizontal="right" vertical="center"/>
    </xf>
    <xf numFmtId="0" fontId="7" fillId="2" borderId="50" xfId="0" quotePrefix="1" applyFont="1" applyFill="1" applyBorder="1" applyAlignment="1">
      <alignment vertical="center" wrapText="1"/>
    </xf>
    <xf numFmtId="0" fontId="7" fillId="6" borderId="50" xfId="5" applyNumberFormat="1" applyFont="1" applyFill="1" applyBorder="1" applyAlignment="1">
      <alignment horizontal="center" vertical="center"/>
    </xf>
    <xf numFmtId="4" fontId="7" fillId="0" borderId="51" xfId="1" applyNumberFormat="1" applyFont="1" applyBorder="1" applyAlignment="1" applyProtection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16" fillId="7" borderId="63" xfId="0" applyFont="1" applyFill="1" applyBorder="1" applyAlignment="1">
      <alignment vertical="center"/>
    </xf>
    <xf numFmtId="0" fontId="7" fillId="2" borderId="46" xfId="0" applyNumberFormat="1" applyFont="1" applyFill="1" applyBorder="1" applyAlignment="1" applyProtection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vertical="center"/>
    </xf>
    <xf numFmtId="4" fontId="16" fillId="7" borderId="43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11" fillId="2" borderId="35" xfId="4" applyFont="1" applyFill="1" applyBorder="1" applyAlignment="1">
      <alignment horizontal="left" vertical="top"/>
    </xf>
    <xf numFmtId="0" fontId="11" fillId="2" borderId="81" xfId="4" applyFont="1" applyFill="1" applyBorder="1" applyAlignment="1">
      <alignment horizontal="left" vertical="top"/>
    </xf>
    <xf numFmtId="0" fontId="15" fillId="0" borderId="9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" fontId="15" fillId="0" borderId="6" xfId="0" applyNumberFormat="1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5" fillId="0" borderId="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</xf>
    <xf numFmtId="0" fontId="2" fillId="2" borderId="49" xfId="0" applyFont="1" applyFill="1" applyBorder="1" applyAlignment="1" applyProtection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4" fontId="19" fillId="5" borderId="3" xfId="0" applyNumberFormat="1" applyFont="1" applyFill="1" applyBorder="1" applyAlignment="1" applyProtection="1">
      <alignment vertical="top"/>
    </xf>
    <xf numFmtId="0" fontId="19" fillId="7" borderId="43" xfId="0" quotePrefix="1" applyFont="1" applyFill="1" applyBorder="1" applyAlignment="1">
      <alignment horizontal="left" vertical="center"/>
    </xf>
    <xf numFmtId="4" fontId="16" fillId="7" borderId="36" xfId="0" applyNumberFormat="1" applyFont="1" applyFill="1" applyBorder="1" applyAlignment="1" applyProtection="1">
      <alignment horizontal="center" vertical="top" wrapText="1"/>
    </xf>
    <xf numFmtId="0" fontId="19" fillId="2" borderId="43" xfId="0" applyFont="1" applyFill="1" applyBorder="1"/>
    <xf numFmtId="0" fontId="15" fillId="2" borderId="40" xfId="0" applyFont="1" applyFill="1" applyBorder="1"/>
    <xf numFmtId="3" fontId="7" fillId="0" borderId="25" xfId="7" applyFont="1" applyFill="1" applyBorder="1" applyAlignment="1">
      <alignment horizontal="center" vertical="center"/>
    </xf>
    <xf numFmtId="0" fontId="7" fillId="0" borderId="85" xfId="0" applyFont="1" applyBorder="1" applyAlignment="1" applyProtection="1">
      <alignment horizontal="right" vertical="center"/>
    </xf>
    <xf numFmtId="0" fontId="7" fillId="2" borderId="66" xfId="0" quotePrefix="1" applyFont="1" applyFill="1" applyBorder="1" applyAlignment="1">
      <alignment vertical="center" wrapText="1"/>
    </xf>
    <xf numFmtId="0" fontId="7" fillId="2" borderId="113" xfId="0" applyFont="1" applyFill="1" applyBorder="1" applyAlignment="1" applyProtection="1">
      <alignment horizontal="center" vertical="center"/>
    </xf>
    <xf numFmtId="0" fontId="7" fillId="2" borderId="5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right" vertical="center"/>
    </xf>
    <xf numFmtId="0" fontId="7" fillId="2" borderId="26" xfId="0" quotePrefix="1" applyFont="1" applyFill="1" applyBorder="1" applyAlignment="1">
      <alignment vertical="center" wrapText="1"/>
    </xf>
    <xf numFmtId="3" fontId="7" fillId="2" borderId="27" xfId="0" applyNumberFormat="1" applyFont="1" applyFill="1" applyBorder="1" applyAlignment="1" applyProtection="1">
      <alignment horizontal="center" vertical="center"/>
    </xf>
    <xf numFmtId="3" fontId="7" fillId="2" borderId="26" xfId="0" applyNumberFormat="1" applyFont="1" applyFill="1" applyBorder="1" applyAlignment="1" applyProtection="1">
      <alignment horizontal="center" vertical="center"/>
    </xf>
    <xf numFmtId="3" fontId="7" fillId="2" borderId="46" xfId="0" applyNumberFormat="1" applyFont="1" applyFill="1" applyBorder="1" applyAlignment="1" applyProtection="1">
      <alignment horizontal="center" vertical="center"/>
    </xf>
    <xf numFmtId="3" fontId="7" fillId="2" borderId="6" xfId="0" applyNumberFormat="1" applyFont="1" applyFill="1" applyBorder="1" applyAlignment="1" applyProtection="1">
      <alignment horizontal="center" vertical="center"/>
    </xf>
    <xf numFmtId="0" fontId="11" fillId="2" borderId="35" xfId="4" applyFont="1" applyFill="1" applyBorder="1" applyAlignment="1">
      <alignment vertical="top"/>
    </xf>
    <xf numFmtId="0" fontId="7" fillId="0" borderId="40" xfId="0" applyFont="1" applyBorder="1" applyAlignment="1" applyProtection="1">
      <alignment horizontal="right" vertical="center"/>
    </xf>
    <xf numFmtId="0" fontId="7" fillId="2" borderId="10" xfId="0" quotePrefix="1" applyFont="1" applyFill="1" applyBorder="1" applyAlignment="1">
      <alignment vertical="center" wrapText="1"/>
    </xf>
    <xf numFmtId="3" fontId="7" fillId="0" borderId="18" xfId="7" applyFont="1" applyFill="1" applyBorder="1" applyAlignment="1">
      <alignment horizontal="center" vertical="center"/>
    </xf>
    <xf numFmtId="3" fontId="7" fillId="2" borderId="55" xfId="0" applyNumberFormat="1" applyFont="1" applyFill="1" applyBorder="1" applyAlignment="1" applyProtection="1">
      <alignment horizontal="center" vertical="center"/>
    </xf>
    <xf numFmtId="3" fontId="7" fillId="2" borderId="66" xfId="0" applyNumberFormat="1" applyFont="1" applyFill="1" applyBorder="1" applyAlignment="1" applyProtection="1">
      <alignment horizontal="center" vertical="center"/>
    </xf>
    <xf numFmtId="3" fontId="7" fillId="2" borderId="25" xfId="0" applyNumberFormat="1" applyFont="1" applyFill="1" applyBorder="1" applyAlignment="1" applyProtection="1">
      <alignment horizontal="center" vertical="center"/>
    </xf>
    <xf numFmtId="0" fontId="11" fillId="2" borderId="85" xfId="4" applyFont="1" applyFill="1" applyBorder="1" applyAlignment="1">
      <alignment vertical="top"/>
    </xf>
    <xf numFmtId="0" fontId="15" fillId="2" borderId="0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right" vertical="center" wrapText="1"/>
    </xf>
    <xf numFmtId="0" fontId="2" fillId="0" borderId="48" xfId="0" applyFont="1" applyBorder="1" applyAlignment="1">
      <alignment horizontal="right" vertical="center" wrapText="1"/>
    </xf>
    <xf numFmtId="0" fontId="2" fillId="0" borderId="75" xfId="0" applyFont="1" applyBorder="1" applyAlignment="1">
      <alignment horizontal="right" vertical="center" wrapText="1"/>
    </xf>
    <xf numFmtId="166" fontId="14" fillId="0" borderId="14" xfId="0" applyNumberFormat="1" applyFont="1" applyFill="1" applyBorder="1" applyAlignment="1" applyProtection="1">
      <alignment vertical="center" wrapText="1"/>
      <protection locked="0"/>
    </xf>
    <xf numFmtId="166" fontId="14" fillId="0" borderId="14" xfId="0" applyNumberFormat="1" applyFont="1" applyFill="1" applyBorder="1" applyAlignment="1" applyProtection="1">
      <alignment vertical="center"/>
      <protection locked="0"/>
    </xf>
    <xf numFmtId="166" fontId="14" fillId="0" borderId="19" xfId="0" applyNumberFormat="1" applyFont="1" applyFill="1" applyBorder="1" applyAlignment="1" applyProtection="1">
      <alignment vertical="center" wrapText="1"/>
      <protection locked="0"/>
    </xf>
    <xf numFmtId="4" fontId="2" fillId="0" borderId="50" xfId="7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4" fontId="1" fillId="3" borderId="35" xfId="10" applyNumberFormat="1" applyFont="1" applyFill="1" applyBorder="1" applyAlignment="1">
      <alignment horizontal="center"/>
    </xf>
    <xf numFmtId="4" fontId="2" fillId="3" borderId="36" xfId="1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1" fillId="0" borderId="0" xfId="0" applyFont="1" applyBorder="1" applyAlignment="1">
      <alignment horizontal="left" vertical="center" wrapText="1"/>
    </xf>
    <xf numFmtId="0" fontId="19" fillId="0" borderId="50" xfId="0" applyFont="1" applyBorder="1" applyAlignment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left" vertical="center" wrapText="1"/>
    </xf>
    <xf numFmtId="0" fontId="2" fillId="2" borderId="41" xfId="0" applyFont="1" applyFill="1" applyBorder="1" applyAlignment="1" applyProtection="1">
      <alignment horizontal="right" vertical="center"/>
    </xf>
    <xf numFmtId="0" fontId="2" fillId="2" borderId="84" xfId="0" applyFont="1" applyFill="1" applyBorder="1" applyAlignment="1" applyProtection="1">
      <alignment horizontal="left" vertical="center" wrapText="1"/>
    </xf>
    <xf numFmtId="4" fontId="1" fillId="2" borderId="36" xfId="0" applyNumberFormat="1" applyFont="1" applyFill="1" applyBorder="1" applyAlignment="1">
      <alignment horizontal="center" vertical="center"/>
    </xf>
    <xf numFmtId="4" fontId="1" fillId="2" borderId="2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 applyProtection="1">
      <alignment horizontal="right" vertical="center"/>
    </xf>
    <xf numFmtId="0" fontId="2" fillId="2" borderId="8" xfId="0" applyFont="1" applyFill="1" applyBorder="1" applyAlignment="1">
      <alignment wrapText="1"/>
    </xf>
    <xf numFmtId="0" fontId="2" fillId="2" borderId="49" xfId="0" applyFont="1" applyFill="1" applyBorder="1" applyAlignment="1">
      <alignment horizontal="center"/>
    </xf>
    <xf numFmtId="0" fontId="2" fillId="2" borderId="19" xfId="0" applyFont="1" applyFill="1" applyBorder="1" applyAlignment="1" applyProtection="1">
      <alignment horizontal="right" vertical="center"/>
    </xf>
    <xf numFmtId="0" fontId="2" fillId="2" borderId="84" xfId="0" applyFont="1" applyFill="1" applyBorder="1" applyAlignment="1">
      <alignment wrapText="1"/>
    </xf>
    <xf numFmtId="0" fontId="2" fillId="2" borderId="23" xfId="0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35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horizontal="right" vertical="center"/>
    </xf>
    <xf numFmtId="0" fontId="2" fillId="2" borderId="83" xfId="0" applyFont="1" applyFill="1" applyBorder="1" applyAlignment="1" applyProtection="1">
      <alignment vertical="center" wrapText="1"/>
    </xf>
    <xf numFmtId="0" fontId="2" fillId="2" borderId="46" xfId="0" applyFont="1" applyFill="1" applyBorder="1" applyAlignment="1">
      <alignment horizontal="center" vertical="center"/>
    </xf>
    <xf numFmtId="0" fontId="2" fillId="2" borderId="17" xfId="0" applyFont="1" applyFill="1" applyBorder="1" applyAlignment="1" applyProtection="1">
      <alignment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2" borderId="0" xfId="0" applyFont="1" applyFill="1" applyAlignment="1">
      <alignment wrapText="1"/>
    </xf>
    <xf numFmtId="0" fontId="1" fillId="2" borderId="43" xfId="0" applyFont="1" applyFill="1" applyBorder="1" applyAlignment="1">
      <alignment vertical="center"/>
    </xf>
    <xf numFmtId="0" fontId="2" fillId="2" borderId="34" xfId="0" applyFont="1" applyFill="1" applyBorder="1" applyAlignment="1" applyProtection="1">
      <alignment horizontal="right" vertical="center"/>
    </xf>
    <xf numFmtId="0" fontId="2" fillId="2" borderId="15" xfId="0" applyFont="1" applyFill="1" applyBorder="1" applyAlignment="1" applyProtection="1">
      <alignment horizontal="left" vertical="center" wrapText="1"/>
    </xf>
    <xf numFmtId="0" fontId="2" fillId="2" borderId="23" xfId="0" applyFont="1" applyFill="1" applyBorder="1" applyAlignment="1" applyProtection="1">
      <alignment horizontal="right" vertical="center"/>
    </xf>
    <xf numFmtId="0" fontId="2" fillId="2" borderId="24" xfId="0" applyFont="1" applyFill="1" applyBorder="1" applyAlignment="1" applyProtection="1">
      <alignment horizontal="right" vertical="center"/>
    </xf>
    <xf numFmtId="0" fontId="2" fillId="2" borderId="70" xfId="0" applyFont="1" applyFill="1" applyBorder="1" applyAlignment="1">
      <alignment horizontal="right" vertical="center"/>
    </xf>
    <xf numFmtId="0" fontId="2" fillId="2" borderId="48" xfId="0" applyFont="1" applyFill="1" applyBorder="1" applyAlignment="1">
      <alignment horizontal="right" vertical="center"/>
    </xf>
    <xf numFmtId="0" fontId="2" fillId="2" borderId="14" xfId="0" applyFont="1" applyFill="1" applyBorder="1" applyAlignment="1" applyProtection="1">
      <alignment vertical="center" wrapText="1"/>
    </xf>
    <xf numFmtId="0" fontId="2" fillId="2" borderId="42" xfId="0" applyFont="1" applyFill="1" applyBorder="1" applyAlignment="1" applyProtection="1">
      <alignment vertical="center" wrapText="1"/>
    </xf>
    <xf numFmtId="0" fontId="2" fillId="2" borderId="40" xfId="0" applyFont="1" applyFill="1" applyBorder="1" applyAlignment="1" applyProtection="1">
      <alignment horizontal="right" vertical="center"/>
    </xf>
    <xf numFmtId="0" fontId="2" fillId="2" borderId="11" xfId="0" applyFont="1" applyFill="1" applyBorder="1" applyAlignment="1" applyProtection="1">
      <alignment vertical="center" wrapText="1"/>
    </xf>
    <xf numFmtId="0" fontId="2" fillId="2" borderId="25" xfId="0" applyFont="1" applyFill="1" applyBorder="1" applyAlignment="1" applyProtection="1">
      <alignment horizontal="center" vertical="center"/>
    </xf>
    <xf numFmtId="0" fontId="2" fillId="2" borderId="72" xfId="0" applyFont="1" applyFill="1" applyBorder="1" applyAlignment="1" applyProtection="1">
      <alignment horizontal="right" vertical="center"/>
    </xf>
    <xf numFmtId="0" fontId="2" fillId="2" borderId="48" xfId="0" applyFont="1" applyFill="1" applyBorder="1" applyAlignment="1" applyProtection="1">
      <alignment horizontal="right" vertical="center"/>
    </xf>
    <xf numFmtId="0" fontId="2" fillId="2" borderId="68" xfId="0" applyFont="1" applyFill="1" applyBorder="1" applyAlignment="1" applyProtection="1">
      <alignment horizontal="right" vertical="center"/>
    </xf>
    <xf numFmtId="0" fontId="2" fillId="2" borderId="14" xfId="0" applyFont="1" applyFill="1" applyBorder="1" applyAlignment="1" applyProtection="1">
      <alignment horizontal="left" vertical="center" wrapText="1"/>
    </xf>
    <xf numFmtId="0" fontId="2" fillId="2" borderId="40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vertical="center" wrapText="1"/>
    </xf>
    <xf numFmtId="0" fontId="1" fillId="2" borderId="35" xfId="0" applyFont="1" applyFill="1" applyBorder="1" applyAlignment="1">
      <alignment vertical="center"/>
    </xf>
    <xf numFmtId="0" fontId="2" fillId="2" borderId="83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horizontal="right" vertical="center"/>
    </xf>
    <xf numFmtId="0" fontId="2" fillId="2" borderId="84" xfId="0" applyFont="1" applyFill="1" applyBorder="1" applyAlignment="1">
      <alignment vertical="center" wrapText="1"/>
    </xf>
    <xf numFmtId="0" fontId="2" fillId="2" borderId="41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6" xfId="0" quotePrefix="1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14" xfId="0" quotePrefix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0" borderId="17" xfId="4" applyFont="1" applyBorder="1" applyAlignment="1">
      <alignment vertical="center" wrapText="1"/>
    </xf>
    <xf numFmtId="3" fontId="2" fillId="0" borderId="18" xfId="7" applyFont="1" applyFill="1" applyBorder="1" applyAlignment="1">
      <alignment horizontal="center" vertical="center"/>
    </xf>
    <xf numFmtId="4" fontId="2" fillId="6" borderId="18" xfId="5" applyNumberFormat="1" applyFont="1" applyFill="1" applyBorder="1" applyAlignment="1">
      <alignment horizontal="center" vertical="center"/>
    </xf>
    <xf numFmtId="4" fontId="2" fillId="0" borderId="40" xfId="1" applyNumberFormat="1" applyFont="1" applyBorder="1" applyAlignment="1" applyProtection="1">
      <alignment horizontal="center" vertical="center"/>
    </xf>
    <xf numFmtId="0" fontId="3" fillId="0" borderId="32" xfId="0" applyFont="1" applyBorder="1" applyAlignment="1">
      <alignment vertical="center"/>
    </xf>
    <xf numFmtId="1" fontId="2" fillId="0" borderId="9" xfId="0" applyNumberFormat="1" applyFont="1" applyFill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center" vertical="center"/>
    </xf>
    <xf numFmtId="169" fontId="2" fillId="8" borderId="9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46" xfId="0" applyFont="1" applyBorder="1" applyAlignment="1">
      <alignment horizontal="center" vertical="center"/>
    </xf>
    <xf numFmtId="4" fontId="3" fillId="0" borderId="47" xfId="0" applyNumberFormat="1" applyFont="1" applyBorder="1" applyAlignment="1">
      <alignment horizontal="center" vertical="center"/>
    </xf>
    <xf numFmtId="4" fontId="3" fillId="0" borderId="49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" fontId="3" fillId="0" borderId="51" xfId="0" applyNumberFormat="1" applyFont="1" applyBorder="1" applyAlignment="1">
      <alignment horizontal="center" vertical="center"/>
    </xf>
    <xf numFmtId="0" fontId="4" fillId="5" borderId="38" xfId="0" applyFont="1" applyFill="1" applyBorder="1" applyAlignment="1">
      <alignment horizontal="center" vertical="center"/>
    </xf>
    <xf numFmtId="0" fontId="4" fillId="5" borderId="45" xfId="0" applyFont="1" applyFill="1" applyBorder="1" applyAlignment="1">
      <alignment horizontal="center" vertical="center"/>
    </xf>
    <xf numFmtId="0" fontId="4" fillId="5" borderId="45" xfId="0" applyFont="1" applyFill="1" applyBorder="1" applyAlignment="1">
      <alignment horizontal="center"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3" fillId="0" borderId="46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4" fillId="7" borderId="35" xfId="0" applyFont="1" applyFill="1" applyBorder="1" applyAlignment="1">
      <alignment vertical="center"/>
    </xf>
    <xf numFmtId="4" fontId="1" fillId="3" borderId="43" xfId="5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4" fillId="7" borderId="9" xfId="0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43" fontId="7" fillId="0" borderId="118" xfId="11" applyFont="1" applyFill="1" applyBorder="1" applyAlignment="1" applyProtection="1">
      <alignment horizontal="center" vertical="top"/>
    </xf>
    <xf numFmtId="43" fontId="7" fillId="0" borderId="119" xfId="11" applyFont="1" applyFill="1" applyBorder="1" applyAlignment="1" applyProtection="1">
      <alignment horizontal="center" vertical="top"/>
    </xf>
    <xf numFmtId="4" fontId="7" fillId="0" borderId="120" xfId="3" applyNumberFormat="1" applyFont="1" applyFill="1" applyBorder="1" applyAlignment="1">
      <alignment horizontal="center" vertical="top"/>
    </xf>
    <xf numFmtId="43" fontId="7" fillId="0" borderId="52" xfId="11" applyFont="1" applyFill="1" applyBorder="1" applyAlignment="1" applyProtection="1">
      <alignment horizontal="center" vertical="center"/>
    </xf>
    <xf numFmtId="0" fontId="17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43" fontId="17" fillId="2" borderId="0" xfId="0" applyNumberFormat="1" applyFont="1" applyFill="1" applyAlignment="1">
      <alignment vertical="center"/>
    </xf>
    <xf numFmtId="10" fontId="2" fillId="2" borderId="0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vertical="center" wrapText="1"/>
    </xf>
    <xf numFmtId="0" fontId="2" fillId="2" borderId="72" xfId="0" applyFont="1" applyFill="1" applyBorder="1" applyAlignment="1" applyProtection="1">
      <alignment horizontal="center" vertical="center"/>
    </xf>
    <xf numFmtId="0" fontId="2" fillId="2" borderId="68" xfId="0" applyFont="1" applyFill="1" applyBorder="1" applyAlignment="1">
      <alignment horizontal="right" vertical="center"/>
    </xf>
    <xf numFmtId="0" fontId="2" fillId="2" borderId="10" xfId="0" applyFont="1" applyFill="1" applyBorder="1" applyAlignment="1" applyProtection="1">
      <alignment vertical="center" wrapText="1"/>
    </xf>
    <xf numFmtId="0" fontId="2" fillId="2" borderId="22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68" xfId="0" applyFont="1" applyFill="1" applyBorder="1" applyAlignment="1" applyProtection="1">
      <alignment horizontal="center" vertical="center"/>
    </xf>
    <xf numFmtId="0" fontId="1" fillId="2" borderId="36" xfId="0" applyFont="1" applyFill="1" applyBorder="1" applyAlignment="1">
      <alignment vertical="center"/>
    </xf>
    <xf numFmtId="4" fontId="1" fillId="2" borderId="3" xfId="0" applyNumberFormat="1" applyFont="1" applyFill="1" applyBorder="1" applyAlignment="1" applyProtection="1">
      <alignment horizontal="right" vertical="center"/>
    </xf>
    <xf numFmtId="4" fontId="1" fillId="5" borderId="21" xfId="0" applyNumberFormat="1" applyFont="1" applyFill="1" applyBorder="1" applyAlignment="1" applyProtection="1">
      <alignment horizontal="right" vertical="center"/>
    </xf>
    <xf numFmtId="4" fontId="1" fillId="2" borderId="43" xfId="0" applyNumberFormat="1" applyFont="1" applyFill="1" applyBorder="1" applyAlignment="1" applyProtection="1">
      <alignment horizontal="right" vertical="center"/>
    </xf>
    <xf numFmtId="4" fontId="1" fillId="5" borderId="36" xfId="0" applyNumberFormat="1" applyFont="1" applyFill="1" applyBorder="1" applyAlignment="1" applyProtection="1">
      <alignment horizontal="right" vertical="center"/>
    </xf>
    <xf numFmtId="4" fontId="1" fillId="5" borderId="3" xfId="0" applyNumberFormat="1" applyFont="1" applyFill="1" applyBorder="1" applyAlignment="1" applyProtection="1">
      <alignment horizontal="right" vertical="center"/>
    </xf>
    <xf numFmtId="4" fontId="1" fillId="2" borderId="43" xfId="0" applyNumberFormat="1" applyFont="1" applyFill="1" applyBorder="1" applyAlignment="1" applyProtection="1">
      <alignment horizontal="center" vertical="center"/>
    </xf>
    <xf numFmtId="4" fontId="1" fillId="2" borderId="3" xfId="0" applyNumberFormat="1" applyFont="1" applyFill="1" applyBorder="1" applyAlignment="1" applyProtection="1">
      <alignment horizontal="center" vertical="center"/>
    </xf>
    <xf numFmtId="4" fontId="1" fillId="5" borderId="3" xfId="0" applyNumberFormat="1" applyFont="1" applyFill="1" applyBorder="1" applyAlignment="1" applyProtection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1" fillId="5" borderId="21" xfId="0" applyNumberFormat="1" applyFont="1" applyFill="1" applyBorder="1" applyAlignment="1" applyProtection="1">
      <alignment horizontal="center" vertical="center"/>
    </xf>
    <xf numFmtId="4" fontId="1" fillId="2" borderId="21" xfId="0" applyNumberFormat="1" applyFont="1" applyFill="1" applyBorder="1" applyAlignment="1" applyProtection="1">
      <alignment horizontal="right" vertical="center"/>
    </xf>
    <xf numFmtId="4" fontId="1" fillId="2" borderId="2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4" fontId="2" fillId="0" borderId="34" xfId="1" applyNumberFormat="1" applyFont="1" applyBorder="1" applyAlignment="1" applyProtection="1">
      <alignment horizontal="right" vertical="center"/>
    </xf>
    <xf numFmtId="4" fontId="2" fillId="0" borderId="23" xfId="1" applyNumberFormat="1" applyFont="1" applyBorder="1" applyAlignment="1" applyProtection="1">
      <alignment horizontal="right" vertical="center"/>
    </xf>
    <xf numFmtId="4" fontId="2" fillId="0" borderId="24" xfId="1" applyNumberFormat="1" applyFont="1" applyBorder="1" applyAlignment="1" applyProtection="1">
      <alignment horizontal="right" vertical="center"/>
    </xf>
    <xf numFmtId="4" fontId="1" fillId="3" borderId="43" xfId="5" applyNumberFormat="1" applyFont="1" applyFill="1" applyBorder="1" applyAlignment="1">
      <alignment horizontal="right" vertical="center"/>
    </xf>
    <xf numFmtId="4" fontId="2" fillId="0" borderId="40" xfId="1" applyNumberFormat="1" applyFont="1" applyBorder="1" applyAlignment="1" applyProtection="1">
      <alignment horizontal="right" vertical="center"/>
    </xf>
    <xf numFmtId="0" fontId="3" fillId="0" borderId="7" xfId="0" applyFont="1" applyBorder="1" applyAlignment="1">
      <alignment vertical="center" wrapText="1"/>
    </xf>
    <xf numFmtId="43" fontId="2" fillId="2" borderId="34" xfId="0" applyNumberFormat="1" applyFont="1" applyFill="1" applyBorder="1" applyAlignment="1">
      <alignment horizontal="right"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43" fontId="2" fillId="2" borderId="23" xfId="0" applyNumberFormat="1" applyFont="1" applyFill="1" applyBorder="1" applyAlignment="1">
      <alignment horizontal="right" vertical="center" wrapText="1"/>
    </xf>
    <xf numFmtId="43" fontId="2" fillId="2" borderId="24" xfId="0" applyNumberFormat="1" applyFont="1" applyFill="1" applyBorder="1" applyAlignment="1">
      <alignment horizontal="right" vertical="center" wrapText="1"/>
    </xf>
    <xf numFmtId="43" fontId="2" fillId="2" borderId="43" xfId="0" applyNumberFormat="1" applyFont="1" applyFill="1" applyBorder="1" applyAlignment="1">
      <alignment horizontal="right" vertical="center" wrapText="1"/>
    </xf>
    <xf numFmtId="4" fontId="15" fillId="0" borderId="0" xfId="0" applyNumberFormat="1" applyFont="1"/>
    <xf numFmtId="0" fontId="4" fillId="7" borderId="36" xfId="0" applyFont="1" applyFill="1" applyBorder="1" applyAlignment="1">
      <alignment vertical="center"/>
    </xf>
    <xf numFmtId="4" fontId="4" fillId="7" borderId="35" xfId="0" applyNumberFormat="1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/>
    </xf>
    <xf numFmtId="0" fontId="19" fillId="2" borderId="0" xfId="0" applyFont="1" applyFill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3" borderId="1" xfId="0" quotePrefix="1" applyFont="1" applyFill="1" applyBorder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19" fillId="9" borderId="38" xfId="0" applyFont="1" applyFill="1" applyBorder="1" applyAlignment="1">
      <alignment horizontal="center" vertical="center"/>
    </xf>
    <xf numFmtId="0" fontId="15" fillId="0" borderId="45" xfId="0" applyFont="1" applyBorder="1" applyAlignment="1">
      <alignment vertical="center"/>
    </xf>
    <xf numFmtId="0" fontId="15" fillId="0" borderId="39" xfId="0" applyFont="1" applyBorder="1" applyAlignment="1">
      <alignment vertical="center"/>
    </xf>
    <xf numFmtId="0" fontId="19" fillId="3" borderId="43" xfId="0" quotePrefix="1" applyFont="1" applyFill="1" applyBorder="1" applyAlignment="1">
      <alignment vertical="center"/>
    </xf>
    <xf numFmtId="0" fontId="19" fillId="0" borderId="43" xfId="0" applyFont="1" applyBorder="1" applyAlignment="1">
      <alignment horizontal="center" vertical="center" wrapText="1"/>
    </xf>
    <xf numFmtId="0" fontId="15" fillId="0" borderId="38" xfId="0" applyFont="1" applyBorder="1" applyAlignment="1">
      <alignment vertical="center"/>
    </xf>
    <xf numFmtId="0" fontId="15" fillId="0" borderId="26" xfId="0" applyFont="1" applyBorder="1" applyAlignment="1">
      <alignment vertical="center"/>
    </xf>
    <xf numFmtId="0" fontId="19" fillId="0" borderId="34" xfId="0" applyFont="1" applyBorder="1" applyAlignment="1">
      <alignment horizontal="center" vertical="center" wrapText="1"/>
    </xf>
    <xf numFmtId="0" fontId="15" fillId="0" borderId="46" xfId="0" applyFont="1" applyBorder="1" applyAlignment="1">
      <alignment vertical="center"/>
    </xf>
    <xf numFmtId="0" fontId="15" fillId="0" borderId="47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9" fillId="0" borderId="23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/>
    </xf>
    <xf numFmtId="0" fontId="15" fillId="0" borderId="49" xfId="0" applyFont="1" applyBorder="1" applyAlignment="1">
      <alignment vertical="center"/>
    </xf>
    <xf numFmtId="0" fontId="15" fillId="0" borderId="19" xfId="0" applyFont="1" applyBorder="1" applyAlignment="1">
      <alignment vertical="center"/>
    </xf>
    <xf numFmtId="0" fontId="19" fillId="0" borderId="24" xfId="0" applyFont="1" applyBorder="1" applyAlignment="1">
      <alignment horizontal="center" vertical="center" wrapText="1"/>
    </xf>
    <xf numFmtId="0" fontId="15" fillId="0" borderId="50" xfId="0" applyFont="1" applyBorder="1" applyAlignment="1">
      <alignment vertical="center"/>
    </xf>
    <xf numFmtId="0" fontId="15" fillId="0" borderId="51" xfId="0" applyFont="1" applyBorder="1" applyAlignment="1">
      <alignment vertical="center"/>
    </xf>
    <xf numFmtId="0" fontId="19" fillId="7" borderId="43" xfId="0" applyFont="1" applyFill="1" applyBorder="1" applyAlignment="1">
      <alignment vertical="center"/>
    </xf>
    <xf numFmtId="0" fontId="19" fillId="7" borderId="36" xfId="0" applyFont="1" applyFill="1" applyBorder="1" applyAlignment="1">
      <alignment vertical="center"/>
    </xf>
    <xf numFmtId="0" fontId="19" fillId="0" borderId="36" xfId="0" applyFont="1" applyBorder="1" applyAlignment="1">
      <alignment horizontal="center" vertical="center" wrapText="1"/>
    </xf>
    <xf numFmtId="0" fontId="19" fillId="5" borderId="43" xfId="0" quotePrefix="1" applyFont="1" applyFill="1" applyBorder="1" applyAlignment="1">
      <alignment vertical="center"/>
    </xf>
    <xf numFmtId="0" fontId="19" fillId="5" borderId="43" xfId="0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vertical="center"/>
    </xf>
    <xf numFmtId="0" fontId="15" fillId="2" borderId="26" xfId="0" applyFont="1" applyFill="1" applyBorder="1" applyAlignment="1">
      <alignment vertical="center"/>
    </xf>
    <xf numFmtId="0" fontId="15" fillId="2" borderId="14" xfId="0" applyFont="1" applyFill="1" applyBorder="1" applyAlignment="1">
      <alignment vertical="center"/>
    </xf>
    <xf numFmtId="0" fontId="15" fillId="2" borderId="9" xfId="0" applyFont="1" applyFill="1" applyBorder="1" applyAlignment="1">
      <alignment vertical="center"/>
    </xf>
    <xf numFmtId="0" fontId="15" fillId="2" borderId="19" xfId="0" applyFont="1" applyFill="1" applyBorder="1" applyAlignment="1">
      <alignment vertical="center"/>
    </xf>
    <xf numFmtId="0" fontId="15" fillId="2" borderId="45" xfId="0" applyFont="1" applyFill="1" applyBorder="1" applyAlignment="1">
      <alignment vertical="center"/>
    </xf>
    <xf numFmtId="0" fontId="19" fillId="2" borderId="0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right" vertical="top"/>
    </xf>
    <xf numFmtId="0" fontId="15" fillId="2" borderId="32" xfId="0" applyFont="1" applyFill="1" applyBorder="1" applyAlignment="1">
      <alignment horizontal="right" vertical="top"/>
    </xf>
    <xf numFmtId="0" fontId="19" fillId="3" borderId="43" xfId="0" applyFont="1" applyFill="1" applyBorder="1" applyAlignment="1">
      <alignment horizontal="left" vertical="center" wrapText="1"/>
    </xf>
    <xf numFmtId="0" fontId="19" fillId="3" borderId="2" xfId="0" applyFont="1" applyFill="1" applyBorder="1" applyAlignment="1">
      <alignment horizontal="left" vertical="center" wrapText="1"/>
    </xf>
    <xf numFmtId="0" fontId="19" fillId="9" borderId="45" xfId="0" applyFont="1" applyFill="1" applyBorder="1" applyAlignment="1">
      <alignment horizontal="center" vertical="center"/>
    </xf>
    <xf numFmtId="0" fontId="19" fillId="9" borderId="46" xfId="0" applyFont="1" applyFill="1" applyBorder="1" applyAlignment="1">
      <alignment horizontal="center" vertical="center"/>
    </xf>
    <xf numFmtId="0" fontId="19" fillId="9" borderId="9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left" vertical="center" wrapText="1"/>
    </xf>
    <xf numFmtId="0" fontId="16" fillId="7" borderId="20" xfId="0" applyFont="1" applyFill="1" applyBorder="1" applyAlignment="1">
      <alignment horizontal="left" vertical="center" wrapText="1"/>
    </xf>
    <xf numFmtId="0" fontId="19" fillId="5" borderId="2" xfId="0" applyFont="1" applyFill="1" applyBorder="1" applyAlignment="1">
      <alignment horizontal="left" vertical="center" wrapText="1"/>
    </xf>
    <xf numFmtId="0" fontId="19" fillId="5" borderId="45" xfId="0" applyFont="1" applyFill="1" applyBorder="1" applyAlignment="1">
      <alignment horizontal="center" vertical="center"/>
    </xf>
    <xf numFmtId="0" fontId="15" fillId="0" borderId="27" xfId="0" applyFont="1" applyBorder="1" applyAlignment="1">
      <alignment horizontal="justify" vertical="justify" wrapText="1"/>
    </xf>
    <xf numFmtId="0" fontId="15" fillId="0" borderId="12" xfId="0" applyFont="1" applyBorder="1" applyAlignment="1">
      <alignment horizontal="justify" vertical="justify" wrapText="1"/>
    </xf>
    <xf numFmtId="0" fontId="15" fillId="0" borderId="33" xfId="0" applyFont="1" applyBorder="1" applyAlignment="1">
      <alignment horizontal="justify" vertical="justify" wrapText="1"/>
    </xf>
    <xf numFmtId="0" fontId="19" fillId="9" borderId="50" xfId="0" applyFont="1" applyFill="1" applyBorder="1" applyAlignment="1">
      <alignment horizontal="center" vertical="center"/>
    </xf>
    <xf numFmtId="0" fontId="15" fillId="0" borderId="38" xfId="0" applyFont="1" applyBorder="1" applyAlignment="1">
      <alignment vertical="center" wrapText="1"/>
    </xf>
    <xf numFmtId="0" fontId="15" fillId="0" borderId="39" xfId="0" applyFont="1" applyBorder="1" applyAlignment="1">
      <alignment vertical="center" wrapText="1"/>
    </xf>
    <xf numFmtId="0" fontId="19" fillId="9" borderId="39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vertical="center"/>
    </xf>
    <xf numFmtId="0" fontId="15" fillId="2" borderId="108" xfId="0" applyFont="1" applyFill="1" applyBorder="1" applyAlignment="1">
      <alignment vertical="center"/>
    </xf>
    <xf numFmtId="0" fontId="19" fillId="2" borderId="108" xfId="0" applyFont="1" applyFill="1" applyBorder="1" applyAlignment="1">
      <alignment horizontal="center" vertical="center" wrapText="1"/>
    </xf>
    <xf numFmtId="0" fontId="19" fillId="3" borderId="124" xfId="0" applyFont="1" applyFill="1" applyBorder="1" applyAlignment="1">
      <alignment horizontal="center" vertical="center"/>
    </xf>
    <xf numFmtId="0" fontId="19" fillId="3" borderId="65" xfId="0" applyFont="1" applyFill="1" applyBorder="1" applyAlignment="1">
      <alignment horizontal="center" vertical="center"/>
    </xf>
    <xf numFmtId="0" fontId="19" fillId="3" borderId="125" xfId="0" applyFont="1" applyFill="1" applyBorder="1" applyAlignment="1">
      <alignment horizontal="center" vertical="center"/>
    </xf>
    <xf numFmtId="0" fontId="19" fillId="5" borderId="1" xfId="0" quotePrefix="1" applyFont="1" applyFill="1" applyBorder="1" applyAlignment="1">
      <alignment vertical="center"/>
    </xf>
    <xf numFmtId="0" fontId="15" fillId="9" borderId="38" xfId="0" applyFont="1" applyFill="1" applyBorder="1" applyAlignment="1">
      <alignment vertical="center"/>
    </xf>
    <xf numFmtId="0" fontId="15" fillId="5" borderId="45" xfId="0" applyFont="1" applyFill="1" applyBorder="1" applyAlignment="1">
      <alignment vertical="center"/>
    </xf>
    <xf numFmtId="0" fontId="15" fillId="0" borderId="117" xfId="0" applyFont="1" applyBorder="1" applyAlignment="1">
      <alignment vertical="center"/>
    </xf>
    <xf numFmtId="0" fontId="15" fillId="5" borderId="9" xfId="0" applyFont="1" applyFill="1" applyBorder="1" applyAlignment="1">
      <alignment vertical="center"/>
    </xf>
    <xf numFmtId="0" fontId="15" fillId="5" borderId="50" xfId="0" applyFont="1" applyFill="1" applyBorder="1" applyAlignment="1">
      <alignment vertical="center"/>
    </xf>
    <xf numFmtId="0" fontId="19" fillId="5" borderId="43" xfId="0" quotePrefix="1" applyFont="1" applyFill="1" applyBorder="1" applyAlignment="1">
      <alignment vertical="center" wrapText="1"/>
    </xf>
    <xf numFmtId="0" fontId="15" fillId="5" borderId="39" xfId="0" applyFont="1" applyFill="1" applyBorder="1" applyAlignment="1">
      <alignment vertical="center"/>
    </xf>
    <xf numFmtId="0" fontId="19" fillId="2" borderId="30" xfId="0" applyFont="1" applyFill="1" applyBorder="1" applyAlignment="1">
      <alignment horizontal="right" vertical="center"/>
    </xf>
    <xf numFmtId="0" fontId="19" fillId="2" borderId="32" xfId="0" applyFont="1" applyFill="1" applyBorder="1" applyAlignment="1">
      <alignment horizontal="right" vertical="center"/>
    </xf>
    <xf numFmtId="0" fontId="27" fillId="0" borderId="0" xfId="0" applyFont="1"/>
    <xf numFmtId="0" fontId="15" fillId="2" borderId="108" xfId="0" applyFont="1" applyFill="1" applyBorder="1" applyAlignment="1">
      <alignment vertical="center" wrapText="1"/>
    </xf>
    <xf numFmtId="0" fontId="19" fillId="5" borderId="43" xfId="0" applyFont="1" applyFill="1" applyBorder="1" applyAlignment="1">
      <alignment horizontal="left" vertical="center" wrapText="1"/>
    </xf>
    <xf numFmtId="0" fontId="19" fillId="0" borderId="39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52" xfId="0" applyFont="1" applyBorder="1" applyAlignment="1">
      <alignment horizontal="center" vertical="center"/>
    </xf>
    <xf numFmtId="0" fontId="19" fillId="5" borderId="45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108" xfId="0" applyFont="1" applyFill="1" applyBorder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19" fillId="0" borderId="52" xfId="0" applyFont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/>
    </xf>
    <xf numFmtId="0" fontId="19" fillId="3" borderId="43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44" xfId="0" applyFont="1" applyFill="1" applyBorder="1" applyAlignment="1">
      <alignment horizontal="left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0" borderId="2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/>
    </xf>
    <xf numFmtId="0" fontId="15" fillId="2" borderId="0" xfId="0" applyFont="1" applyFill="1" applyBorder="1" applyAlignment="1">
      <alignment horizontal="left"/>
    </xf>
    <xf numFmtId="0" fontId="15" fillId="2" borderId="31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3" fillId="0" borderId="18" xfId="0" applyFont="1" applyBorder="1" applyAlignment="1">
      <alignment horizontal="right" vertical="center"/>
    </xf>
    <xf numFmtId="166" fontId="14" fillId="0" borderId="18" xfId="0" applyNumberFormat="1" applyFont="1" applyFill="1" applyBorder="1" applyAlignment="1" applyProtection="1">
      <alignment vertical="center" wrapText="1"/>
      <protection locked="0"/>
    </xf>
    <xf numFmtId="4" fontId="2" fillId="0" borderId="18" xfId="7" applyNumberFormat="1" applyFont="1" applyFill="1" applyBorder="1" applyAlignment="1">
      <alignment horizontal="center" vertical="center"/>
    </xf>
    <xf numFmtId="0" fontId="2" fillId="0" borderId="70" xfId="0" applyFont="1" applyBorder="1" applyAlignment="1" applyProtection="1">
      <alignment horizontal="right" vertical="center"/>
    </xf>
    <xf numFmtId="0" fontId="2" fillId="0" borderId="75" xfId="0" applyFont="1" applyBorder="1" applyAlignment="1" applyProtection="1">
      <alignment horizontal="right" vertical="center"/>
    </xf>
    <xf numFmtId="0" fontId="2" fillId="2" borderId="70" xfId="0" applyFont="1" applyFill="1" applyBorder="1" applyAlignment="1">
      <alignment vertical="center" wrapText="1"/>
    </xf>
    <xf numFmtId="0" fontId="2" fillId="2" borderId="48" xfId="0" applyFont="1" applyFill="1" applyBorder="1" applyAlignment="1">
      <alignment vertical="center" wrapText="1"/>
    </xf>
    <xf numFmtId="0" fontId="2" fillId="2" borderId="75" xfId="0" applyFont="1" applyFill="1" applyBorder="1" applyAlignment="1">
      <alignment vertical="center" wrapText="1"/>
    </xf>
    <xf numFmtId="4" fontId="1" fillId="7" borderId="9" xfId="0" applyNumberFormat="1" applyFont="1" applyFill="1" applyBorder="1" applyAlignment="1">
      <alignment vertical="center" wrapText="1"/>
    </xf>
    <xf numFmtId="49" fontId="2" fillId="0" borderId="8" xfId="4" applyNumberFormat="1" applyFont="1" applyFill="1" applyBorder="1" applyAlignment="1">
      <alignment horizontal="left" vertical="center" wrapText="1"/>
    </xf>
    <xf numFmtId="4" fontId="2" fillId="0" borderId="23" xfId="1" applyNumberFormat="1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>
      <alignment horizontal="left"/>
    </xf>
    <xf numFmtId="0" fontId="1" fillId="9" borderId="3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1" fillId="2" borderId="0" xfId="0" applyFont="1" applyFill="1" applyBorder="1" applyAlignment="1">
      <alignment horizontal="left" vertical="center" wrapText="1"/>
    </xf>
    <xf numFmtId="10" fontId="14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12" borderId="0" xfId="0" applyFont="1" applyFill="1" applyBorder="1" applyAlignment="1">
      <alignment horizontal="center" vertical="center" wrapText="1"/>
    </xf>
    <xf numFmtId="10" fontId="1" fillId="12" borderId="0" xfId="0" applyNumberFormat="1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 wrapText="1"/>
    </xf>
    <xf numFmtId="10" fontId="2" fillId="2" borderId="0" xfId="0" applyNumberFormat="1" applyFont="1" applyFill="1" applyBorder="1" applyAlignment="1">
      <alignment horizontal="center" vertical="center" wrapText="1"/>
    </xf>
    <xf numFmtId="49" fontId="2" fillId="0" borderId="84" xfId="4" applyNumberFormat="1" applyFont="1" applyBorder="1" applyAlignment="1">
      <alignment horizontal="left" vertical="center" wrapText="1"/>
    </xf>
    <xf numFmtId="0" fontId="16" fillId="2" borderId="28" xfId="0" applyFont="1" applyFill="1" applyBorder="1" applyAlignment="1" applyProtection="1">
      <alignment horizontal="left" vertical="top"/>
    </xf>
    <xf numFmtId="0" fontId="7" fillId="2" borderId="7" xfId="0" applyFont="1" applyFill="1" applyBorder="1" applyAlignment="1" applyProtection="1">
      <alignment horizontal="left" vertical="top" wrapText="1"/>
    </xf>
    <xf numFmtId="0" fontId="16" fillId="2" borderId="7" xfId="0" applyFont="1" applyFill="1" applyBorder="1" applyAlignment="1" applyProtection="1">
      <alignment horizontal="left" vertical="top" wrapText="1"/>
    </xf>
    <xf numFmtId="0" fontId="15" fillId="2" borderId="7" xfId="0" applyFont="1" applyFill="1" applyBorder="1" applyAlignment="1" applyProtection="1">
      <alignment horizontal="left" vertical="top" wrapText="1"/>
    </xf>
    <xf numFmtId="0" fontId="15" fillId="2" borderId="11" xfId="0" applyFont="1" applyFill="1" applyBorder="1" applyAlignment="1" applyProtection="1">
      <alignment horizontal="left" vertical="top" wrapText="1"/>
    </xf>
    <xf numFmtId="0" fontId="7" fillId="2" borderId="2" xfId="0" applyFont="1" applyFill="1" applyBorder="1" applyAlignment="1" applyProtection="1">
      <alignment horizontal="left" vertical="top" wrapText="1"/>
    </xf>
    <xf numFmtId="4" fontId="19" fillId="2" borderId="34" xfId="0" applyNumberFormat="1" applyFont="1" applyFill="1" applyBorder="1" applyAlignment="1" applyProtection="1">
      <alignment vertical="top"/>
    </xf>
    <xf numFmtId="0" fontId="7" fillId="0" borderId="42" xfId="0" applyFont="1" applyBorder="1" applyAlignment="1" applyProtection="1">
      <alignment horizontal="left" vertical="top" wrapText="1"/>
    </xf>
    <xf numFmtId="0" fontId="7" fillId="0" borderId="7" xfId="0" applyFont="1" applyBorder="1" applyAlignment="1" applyProtection="1">
      <alignment horizontal="left" vertical="top"/>
    </xf>
    <xf numFmtId="0" fontId="7" fillId="0" borderId="7" xfId="0" applyFont="1" applyBorder="1" applyAlignment="1" applyProtection="1">
      <alignment horizontal="left" vertical="top" wrapText="1"/>
    </xf>
    <xf numFmtId="4" fontId="15" fillId="0" borderId="34" xfId="0" applyNumberFormat="1" applyFont="1" applyBorder="1" applyAlignment="1" applyProtection="1">
      <alignment vertical="top"/>
    </xf>
    <xf numFmtId="4" fontId="15" fillId="0" borderId="23" xfId="0" applyNumberFormat="1" applyFont="1" applyBorder="1" applyAlignment="1" applyProtection="1">
      <alignment vertical="top"/>
    </xf>
    <xf numFmtId="4" fontId="15" fillId="0" borderId="85" xfId="0" applyNumberFormat="1" applyFont="1" applyBorder="1" applyAlignment="1" applyProtection="1">
      <alignment vertical="top"/>
    </xf>
    <xf numFmtId="4" fontId="3" fillId="0" borderId="0" xfId="0" applyNumberFormat="1" applyFont="1" applyAlignment="1">
      <alignment vertical="center"/>
    </xf>
    <xf numFmtId="0" fontId="2" fillId="2" borderId="42" xfId="0" applyFont="1" applyFill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06" xfId="0" applyFont="1" applyBorder="1" applyAlignment="1">
      <alignment horizontal="center" vertical="center"/>
    </xf>
    <xf numFmtId="4" fontId="4" fillId="0" borderId="38" xfId="0" applyNumberFormat="1" applyFont="1" applyBorder="1" applyAlignment="1">
      <alignment horizontal="center" vertical="center"/>
    </xf>
    <xf numFmtId="4" fontId="4" fillId="0" borderId="45" xfId="0" applyNumberFormat="1" applyFont="1" applyBorder="1" applyAlignment="1">
      <alignment horizontal="center" vertical="center"/>
    </xf>
    <xf numFmtId="0" fontId="4" fillId="0" borderId="126" xfId="0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4" fillId="0" borderId="60" xfId="0" applyNumberFormat="1" applyFont="1" applyBorder="1" applyAlignment="1">
      <alignment horizontal="center" vertical="center"/>
    </xf>
    <xf numFmtId="4" fontId="20" fillId="0" borderId="41" xfId="0" applyNumberFormat="1" applyFont="1" applyBorder="1" applyAlignment="1">
      <alignment horizontal="center" vertical="center"/>
    </xf>
    <xf numFmtId="4" fontId="20" fillId="0" borderId="23" xfId="0" applyNumberFormat="1" applyFont="1" applyBorder="1" applyAlignment="1">
      <alignment horizontal="center" vertical="center"/>
    </xf>
    <xf numFmtId="4" fontId="20" fillId="0" borderId="40" xfId="0" applyNumberFormat="1" applyFont="1" applyBorder="1" applyAlignment="1">
      <alignment horizontal="center" vertical="center"/>
    </xf>
    <xf numFmtId="4" fontId="20" fillId="0" borderId="43" xfId="0" applyNumberFormat="1" applyFont="1" applyBorder="1" applyAlignment="1">
      <alignment horizontal="center" vertical="center"/>
    </xf>
    <xf numFmtId="0" fontId="19" fillId="5" borderId="45" xfId="0" applyFont="1" applyFill="1" applyBorder="1" applyAlignment="1">
      <alignment vertical="center"/>
    </xf>
    <xf numFmtId="0" fontId="19" fillId="5" borderId="45" xfId="0" applyFont="1" applyFill="1" applyBorder="1" applyAlignment="1">
      <alignment vertical="center" wrapText="1"/>
    </xf>
    <xf numFmtId="0" fontId="19" fillId="0" borderId="39" xfId="0" applyFont="1" applyBorder="1" applyAlignment="1">
      <alignment vertical="center"/>
    </xf>
    <xf numFmtId="0" fontId="15" fillId="5" borderId="45" xfId="0" applyFont="1" applyFill="1" applyBorder="1" applyAlignment="1">
      <alignment horizontal="center" vertical="center"/>
    </xf>
    <xf numFmtId="0" fontId="15" fillId="5" borderId="46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45" xfId="0" applyFont="1" applyFill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/>
    </xf>
    <xf numFmtId="0" fontId="15" fillId="5" borderId="56" xfId="0" applyFont="1" applyFill="1" applyBorder="1" applyAlignment="1">
      <alignment horizontal="center" vertical="center"/>
    </xf>
    <xf numFmtId="0" fontId="15" fillId="5" borderId="50" xfId="0" applyFont="1" applyFill="1" applyBorder="1" applyAlignment="1">
      <alignment horizontal="center" vertical="center"/>
    </xf>
    <xf numFmtId="0" fontId="19" fillId="2" borderId="38" xfId="0" applyFont="1" applyFill="1" applyBorder="1" applyAlignment="1">
      <alignment vertical="center"/>
    </xf>
    <xf numFmtId="43" fontId="26" fillId="2" borderId="34" xfId="0" applyNumberFormat="1" applyFont="1" applyFill="1" applyBorder="1" applyAlignment="1">
      <alignment horizontal="right" vertical="center" wrapText="1"/>
    </xf>
    <xf numFmtId="4" fontId="15" fillId="0" borderId="0" xfId="0" applyNumberFormat="1" applyFont="1" applyAlignment="1">
      <alignment vertical="center"/>
    </xf>
    <xf numFmtId="0" fontId="16" fillId="5" borderId="5" xfId="0" applyFont="1" applyFill="1" applyBorder="1" applyAlignment="1" applyProtection="1">
      <alignment horizontal="center" vertical="top" wrapText="1"/>
    </xf>
    <xf numFmtId="0" fontId="16" fillId="5" borderId="29" xfId="0" applyFont="1" applyFill="1" applyBorder="1" applyAlignment="1" applyProtection="1">
      <alignment horizontal="center" vertical="top" wrapText="1"/>
    </xf>
    <xf numFmtId="0" fontId="16" fillId="5" borderId="35" xfId="0" applyFont="1" applyFill="1" applyBorder="1" applyAlignment="1" applyProtection="1">
      <alignment horizontal="center" vertical="top" wrapText="1"/>
    </xf>
    <xf numFmtId="0" fontId="19" fillId="7" borderId="35" xfId="0" quotePrefix="1" applyFont="1" applyFill="1" applyBorder="1" applyAlignment="1">
      <alignment horizontal="left" vertical="center"/>
    </xf>
    <xf numFmtId="4" fontId="26" fillId="0" borderId="40" xfId="1" applyNumberFormat="1" applyFont="1" applyBorder="1" applyAlignment="1" applyProtection="1">
      <alignment horizontal="right" vertical="center"/>
    </xf>
    <xf numFmtId="4" fontId="1" fillId="2" borderId="30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2" fillId="2" borderId="78" xfId="4" applyFont="1" applyFill="1" applyBorder="1" applyAlignment="1">
      <alignment horizontal="left" vertical="top"/>
    </xf>
    <xf numFmtId="0" fontId="2" fillId="2" borderId="31" xfId="4" applyFont="1" applyFill="1" applyBorder="1" applyAlignment="1">
      <alignment horizontal="left" vertical="top"/>
    </xf>
    <xf numFmtId="4" fontId="4" fillId="0" borderId="44" xfId="0" applyNumberFormat="1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9" fontId="16" fillId="0" borderId="1" xfId="3" applyNumberFormat="1" applyFont="1" applyBorder="1" applyAlignment="1">
      <alignment horizontal="center" vertical="center"/>
    </xf>
    <xf numFmtId="4" fontId="16" fillId="0" borderId="43" xfId="3" applyNumberFormat="1" applyFont="1" applyBorder="1" applyAlignment="1">
      <alignment horizontal="right" vertical="center"/>
    </xf>
    <xf numFmtId="0" fontId="2" fillId="2" borderId="67" xfId="0" applyFont="1" applyFill="1" applyBorder="1" applyAlignment="1" applyProtection="1">
      <alignment horizontal="center" vertical="center"/>
    </xf>
    <xf numFmtId="0" fontId="3" fillId="0" borderId="41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/>
    </xf>
    <xf numFmtId="4" fontId="2" fillId="0" borderId="41" xfId="1" applyNumberFormat="1" applyFont="1" applyBorder="1" applyAlignment="1" applyProtection="1">
      <alignment horizontal="center" vertical="center"/>
    </xf>
    <xf numFmtId="0" fontId="1" fillId="2" borderId="0" xfId="0" applyFont="1" applyFill="1"/>
    <xf numFmtId="4" fontId="19" fillId="2" borderId="71" xfId="0" applyNumberFormat="1" applyFont="1" applyFill="1" applyBorder="1" applyAlignment="1" applyProtection="1">
      <alignment vertical="top"/>
    </xf>
    <xf numFmtId="4" fontId="2" fillId="2" borderId="34" xfId="0" applyNumberFormat="1" applyFont="1" applyFill="1" applyBorder="1" applyAlignment="1" applyProtection="1">
      <alignment horizontal="center" vertical="center" wrapText="1"/>
    </xf>
    <xf numFmtId="0" fontId="2" fillId="2" borderId="34" xfId="0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</xf>
    <xf numFmtId="0" fontId="2" fillId="2" borderId="40" xfId="0" applyFont="1" applyFill="1" applyBorder="1" applyAlignment="1" applyProtection="1">
      <alignment horizontal="center" vertical="center"/>
    </xf>
    <xf numFmtId="4" fontId="1" fillId="3" borderId="43" xfId="0" applyNumberFormat="1" applyFont="1" applyFill="1" applyBorder="1" applyAlignment="1" applyProtection="1">
      <alignment horizontal="center" vertical="center" wrapText="1"/>
    </xf>
    <xf numFmtId="0" fontId="16" fillId="2" borderId="71" xfId="0" applyFont="1" applyFill="1" applyBorder="1" applyAlignment="1" applyProtection="1">
      <alignment horizontal="left" vertical="top"/>
    </xf>
    <xf numFmtId="0" fontId="7" fillId="2" borderId="79" xfId="0" applyFont="1" applyFill="1" applyBorder="1" applyAlignment="1" applyProtection="1">
      <alignment horizontal="left" vertical="top" wrapText="1"/>
    </xf>
    <xf numFmtId="0" fontId="16" fillId="2" borderId="79" xfId="0" applyFont="1" applyFill="1" applyBorder="1" applyAlignment="1" applyProtection="1">
      <alignment horizontal="left" vertical="top" wrapText="1"/>
    </xf>
    <xf numFmtId="0" fontId="15" fillId="2" borderId="79" xfId="0" applyFont="1" applyFill="1" applyBorder="1" applyAlignment="1" applyProtection="1">
      <alignment horizontal="left" vertical="top" wrapText="1"/>
    </xf>
    <xf numFmtId="0" fontId="7" fillId="2" borderId="73" xfId="0" applyFont="1" applyFill="1" applyBorder="1" applyAlignment="1" applyProtection="1">
      <alignment horizontal="left" vertical="top" wrapText="1"/>
    </xf>
    <xf numFmtId="4" fontId="19" fillId="2" borderId="70" xfId="0" applyNumberFormat="1" applyFont="1" applyFill="1" applyBorder="1" applyAlignment="1" applyProtection="1">
      <alignment vertical="top"/>
    </xf>
    <xf numFmtId="0" fontId="7" fillId="2" borderId="11" xfId="0" applyFont="1" applyFill="1" applyBorder="1" applyAlignment="1" applyProtection="1">
      <alignment horizontal="left" vertical="top" wrapText="1"/>
    </xf>
    <xf numFmtId="0" fontId="19" fillId="2" borderId="41" xfId="0" applyFont="1" applyFill="1" applyBorder="1"/>
    <xf numFmtId="0" fontId="16" fillId="2" borderId="42" xfId="0" applyFont="1" applyFill="1" applyBorder="1" applyAlignment="1" applyProtection="1">
      <alignment horizontal="left" vertical="top" wrapText="1"/>
    </xf>
    <xf numFmtId="4" fontId="15" fillId="0" borderId="36" xfId="0" applyNumberFormat="1" applyFont="1" applyBorder="1" applyAlignment="1" applyProtection="1">
      <alignment vertical="top"/>
    </xf>
    <xf numFmtId="0" fontId="4" fillId="0" borderId="127" xfId="0" applyFont="1" applyBorder="1" applyAlignment="1">
      <alignment horizontal="center" vertical="center"/>
    </xf>
    <xf numFmtId="0" fontId="4" fillId="0" borderId="128" xfId="0" applyFont="1" applyBorder="1" applyAlignment="1">
      <alignment horizontal="center" vertical="center"/>
    </xf>
    <xf numFmtId="0" fontId="4" fillId="0" borderId="129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0" fontId="11" fillId="2" borderId="36" xfId="4" applyFont="1" applyFill="1" applyBorder="1" applyAlignment="1">
      <alignment vertical="top"/>
    </xf>
    <xf numFmtId="0" fontId="16" fillId="2" borderId="32" xfId="0" applyFont="1" applyFill="1" applyBorder="1" applyAlignment="1" applyProtection="1">
      <alignment horizontal="center" vertical="top"/>
    </xf>
    <xf numFmtId="0" fontId="16" fillId="2" borderId="20" xfId="0" applyFont="1" applyFill="1" applyBorder="1" applyAlignment="1" applyProtection="1">
      <alignment horizontal="center" vertical="top"/>
    </xf>
    <xf numFmtId="0" fontId="16" fillId="2" borderId="21" xfId="0" applyFont="1" applyFill="1" applyBorder="1" applyAlignment="1" applyProtection="1">
      <alignment horizontal="center" vertical="top"/>
    </xf>
    <xf numFmtId="0" fontId="16" fillId="2" borderId="0" xfId="0" applyFont="1" applyFill="1" applyBorder="1" applyAlignment="1" applyProtection="1">
      <alignment horizontal="center" vertical="center" wrapText="1"/>
    </xf>
    <xf numFmtId="0" fontId="16" fillId="7" borderId="2" xfId="0" applyFont="1" applyFill="1" applyBorder="1" applyAlignment="1">
      <alignment horizontal="left" vertical="center" wrapText="1"/>
    </xf>
    <xf numFmtId="0" fontId="11" fillId="2" borderId="30" xfId="4" applyFont="1" applyFill="1" applyBorder="1" applyAlignment="1">
      <alignment horizontal="left" vertical="top"/>
    </xf>
    <xf numFmtId="43" fontId="3" fillId="0" borderId="0" xfId="0" applyNumberFormat="1" applyFont="1" applyAlignment="1">
      <alignment vertical="center"/>
    </xf>
    <xf numFmtId="0" fontId="7" fillId="0" borderId="0" xfId="0" applyFont="1"/>
    <xf numFmtId="0" fontId="7" fillId="2" borderId="2" xfId="0" applyFont="1" applyFill="1" applyBorder="1" applyAlignment="1">
      <alignment vertical="center"/>
    </xf>
    <xf numFmtId="0" fontId="25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25" fillId="3" borderId="38" xfId="0" applyFont="1" applyFill="1" applyBorder="1" applyAlignment="1">
      <alignment horizontal="center" vertical="center"/>
    </xf>
    <xf numFmtId="0" fontId="25" fillId="3" borderId="45" xfId="0" applyFont="1" applyFill="1" applyBorder="1" applyAlignment="1">
      <alignment horizontal="center" vertical="center"/>
    </xf>
    <xf numFmtId="0" fontId="25" fillId="3" borderId="39" xfId="0" applyFont="1" applyFill="1" applyBorder="1" applyAlignment="1">
      <alignment horizontal="center" vertical="center"/>
    </xf>
    <xf numFmtId="0" fontId="7" fillId="9" borderId="26" xfId="0" applyFont="1" applyFill="1" applyBorder="1" applyAlignment="1">
      <alignment horizontal="center" vertical="center"/>
    </xf>
    <xf numFmtId="0" fontId="7" fillId="0" borderId="46" xfId="0" applyFont="1" applyBorder="1" applyAlignment="1">
      <alignment vertical="center"/>
    </xf>
    <xf numFmtId="0" fontId="7" fillId="0" borderId="47" xfId="0" applyFont="1" applyBorder="1" applyAlignment="1">
      <alignment vertical="center"/>
    </xf>
    <xf numFmtId="4" fontId="7" fillId="2" borderId="19" xfId="0" applyNumberFormat="1" applyFont="1" applyFill="1" applyBorder="1" applyAlignment="1">
      <alignment horizontal="center" vertical="center"/>
    </xf>
    <xf numFmtId="4" fontId="7" fillId="2" borderId="50" xfId="0" applyNumberFormat="1" applyFont="1" applyFill="1" applyBorder="1" applyAlignment="1">
      <alignment horizontal="center" vertical="center"/>
    </xf>
    <xf numFmtId="4" fontId="7" fillId="2" borderId="50" xfId="0" applyNumberFormat="1" applyFont="1" applyFill="1" applyBorder="1" applyAlignment="1">
      <alignment horizontal="center" vertical="center" wrapText="1"/>
    </xf>
    <xf numFmtId="4" fontId="7" fillId="2" borderId="51" xfId="0" applyNumberFormat="1" applyFont="1" applyFill="1" applyBorder="1" applyAlignment="1">
      <alignment horizontal="center" vertical="center"/>
    </xf>
    <xf numFmtId="0" fontId="7" fillId="0" borderId="83" xfId="0" applyFont="1" applyBorder="1" applyAlignment="1">
      <alignment horizontal="center" vertical="center"/>
    </xf>
    <xf numFmtId="0" fontId="7" fillId="9" borderId="46" xfId="0" applyFont="1" applyFill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2" borderId="84" xfId="0" applyFont="1" applyFill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0" borderId="9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vertical="center"/>
    </xf>
    <xf numFmtId="4" fontId="7" fillId="2" borderId="50" xfId="0" applyNumberFormat="1" applyFont="1" applyFill="1" applyBorder="1" applyAlignment="1">
      <alignment vertical="center"/>
    </xf>
    <xf numFmtId="4" fontId="7" fillId="2" borderId="51" xfId="0" applyNumberFormat="1" applyFont="1" applyFill="1" applyBorder="1" applyAlignment="1">
      <alignment vertical="center"/>
    </xf>
    <xf numFmtId="0" fontId="7" fillId="0" borderId="26" xfId="0" applyFont="1" applyBorder="1" applyAlignment="1">
      <alignment vertical="center" wrapText="1"/>
    </xf>
    <xf numFmtId="0" fontId="7" fillId="9" borderId="27" xfId="0" applyFont="1" applyFill="1" applyBorder="1" applyAlignment="1">
      <alignment horizontal="center" vertical="center"/>
    </xf>
    <xf numFmtId="0" fontId="7" fillId="0" borderId="47" xfId="0" applyFont="1" applyBorder="1" applyAlignment="1">
      <alignment vertical="center" wrapText="1"/>
    </xf>
    <xf numFmtId="0" fontId="7" fillId="2" borderId="19" xfId="0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0" fontId="7" fillId="2" borderId="51" xfId="0" applyFont="1" applyFill="1" applyBorder="1" applyAlignment="1">
      <alignment vertical="center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0" fontId="16" fillId="2" borderId="0" xfId="0" quotePrefix="1" applyFont="1" applyFill="1" applyBorder="1" applyAlignment="1">
      <alignment horizontal="center" vertical="center"/>
    </xf>
    <xf numFmtId="0" fontId="7" fillId="9" borderId="47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43" fontId="25" fillId="3" borderId="43" xfId="0" applyNumberFormat="1" applyFont="1" applyFill="1" applyBorder="1"/>
    <xf numFmtId="0" fontId="26" fillId="0" borderId="26" xfId="0" applyFont="1" applyBorder="1"/>
    <xf numFmtId="0" fontId="26" fillId="0" borderId="46" xfId="0" applyFont="1" applyBorder="1"/>
    <xf numFmtId="43" fontId="26" fillId="0" borderId="47" xfId="0" applyNumberFormat="1" applyFont="1" applyBorder="1"/>
    <xf numFmtId="0" fontId="26" fillId="0" borderId="19" xfId="0" applyFont="1" applyBorder="1"/>
    <xf numFmtId="0" fontId="26" fillId="0" borderId="50" xfId="0" applyFont="1" applyBorder="1"/>
    <xf numFmtId="43" fontId="26" fillId="0" borderId="51" xfId="0" applyNumberFormat="1" applyFont="1" applyBorder="1"/>
    <xf numFmtId="43" fontId="7" fillId="0" borderId="0" xfId="0" applyNumberFormat="1" applyFont="1"/>
    <xf numFmtId="0" fontId="1" fillId="0" borderId="0" xfId="0" applyFont="1" applyFill="1" applyBorder="1" applyAlignment="1">
      <alignment horizontal="center" vertical="center" wrapText="1"/>
    </xf>
    <xf numFmtId="0" fontId="31" fillId="0" borderId="43" xfId="0" applyFont="1" applyBorder="1" applyAlignment="1">
      <alignment horizontal="left" vertical="center" wrapText="1"/>
    </xf>
    <xf numFmtId="43" fontId="26" fillId="0" borderId="34" xfId="0" applyNumberFormat="1" applyFont="1" applyBorder="1" applyAlignment="1">
      <alignment vertical="center"/>
    </xf>
    <xf numFmtId="43" fontId="26" fillId="0" borderId="24" xfId="0" applyNumberFormat="1" applyFont="1" applyBorder="1" applyAlignment="1">
      <alignment vertical="center"/>
    </xf>
    <xf numFmtId="43" fontId="25" fillId="3" borderId="43" xfId="0" applyNumberFormat="1" applyFont="1" applyFill="1" applyBorder="1" applyAlignment="1">
      <alignment vertical="center"/>
    </xf>
    <xf numFmtId="0" fontId="19" fillId="3" borderId="9" xfId="0" applyFont="1" applyFill="1" applyBorder="1" applyAlignment="1">
      <alignment horizontal="center" vertical="center"/>
    </xf>
    <xf numFmtId="0" fontId="19" fillId="3" borderId="46" xfId="0" applyFont="1" applyFill="1" applyBorder="1" applyAlignment="1">
      <alignment horizontal="center" vertical="center"/>
    </xf>
    <xf numFmtId="0" fontId="15" fillId="2" borderId="49" xfId="0" applyFont="1" applyFill="1" applyBorder="1" applyAlignment="1">
      <alignment vertical="center"/>
    </xf>
    <xf numFmtId="0" fontId="15" fillId="0" borderId="83" xfId="0" applyFont="1" applyBorder="1" applyAlignment="1">
      <alignment vertical="center"/>
    </xf>
    <xf numFmtId="0" fontId="15" fillId="2" borderId="8" xfId="0" applyFont="1" applyFill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9" fillId="2" borderId="3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5" fillId="2" borderId="34" xfId="0" applyFont="1" applyFill="1" applyBorder="1" applyAlignment="1">
      <alignment vertical="center"/>
    </xf>
    <xf numFmtId="0" fontId="15" fillId="2" borderId="23" xfId="0" applyFont="1" applyFill="1" applyBorder="1" applyAlignment="1">
      <alignment vertical="center"/>
    </xf>
    <xf numFmtId="0" fontId="15" fillId="2" borderId="24" xfId="0" applyFont="1" applyFill="1" applyBorder="1" applyAlignment="1">
      <alignment vertical="center"/>
    </xf>
    <xf numFmtId="0" fontId="15" fillId="0" borderId="28" xfId="0" applyFont="1" applyBorder="1" applyAlignment="1">
      <alignment horizontal="justify" vertical="justify" wrapText="1"/>
    </xf>
    <xf numFmtId="0" fontId="15" fillId="0" borderId="7" xfId="0" applyFont="1" applyBorder="1" applyAlignment="1">
      <alignment horizontal="justify" vertical="justify" wrapText="1"/>
    </xf>
    <xf numFmtId="0" fontId="15" fillId="0" borderId="37" xfId="0" applyFont="1" applyBorder="1" applyAlignment="1">
      <alignment horizontal="justify" vertical="justify" wrapText="1"/>
    </xf>
    <xf numFmtId="0" fontId="16" fillId="7" borderId="2" xfId="0" applyFont="1" applyFill="1" applyBorder="1" applyAlignment="1">
      <alignment vertical="center" wrapText="1"/>
    </xf>
    <xf numFmtId="0" fontId="19" fillId="7" borderId="85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right" vertical="center"/>
    </xf>
    <xf numFmtId="0" fontId="4" fillId="2" borderId="19" xfId="0" applyFont="1" applyFill="1" applyBorder="1" applyAlignment="1">
      <alignment horizontal="right" vertical="center"/>
    </xf>
    <xf numFmtId="0" fontId="3" fillId="2" borderId="50" xfId="0" applyFont="1" applyFill="1" applyBorder="1" applyAlignment="1">
      <alignment horizontal="left"/>
    </xf>
    <xf numFmtId="0" fontId="25" fillId="2" borderId="0" xfId="0" applyFont="1" applyFill="1" applyBorder="1" applyAlignment="1">
      <alignment vertical="center"/>
    </xf>
    <xf numFmtId="0" fontId="7" fillId="2" borderId="0" xfId="0" applyFont="1" applyFill="1"/>
    <xf numFmtId="0" fontId="16" fillId="2" borderId="0" xfId="0" applyFont="1" applyFill="1" applyBorder="1" applyAlignment="1">
      <alignment vertical="center"/>
    </xf>
    <xf numFmtId="0" fontId="7" fillId="2" borderId="0" xfId="0" applyFont="1" applyFill="1" applyBorder="1"/>
    <xf numFmtId="0" fontId="1" fillId="2" borderId="0" xfId="0" applyFont="1" applyFill="1" applyBorder="1" applyAlignment="1">
      <alignment vertical="center"/>
    </xf>
    <xf numFmtId="43" fontId="1" fillId="2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4" fontId="20" fillId="0" borderId="43" xfId="0" applyNumberFormat="1" applyFont="1" applyBorder="1" applyAlignment="1">
      <alignment vertical="center"/>
    </xf>
    <xf numFmtId="0" fontId="15" fillId="2" borderId="0" xfId="0" applyFont="1" applyFill="1" applyAlignment="1" applyProtection="1">
      <alignment vertical="top"/>
    </xf>
    <xf numFmtId="4" fontId="15" fillId="2" borderId="0" xfId="0" applyNumberFormat="1" applyFont="1" applyFill="1" applyAlignment="1" applyProtection="1">
      <alignment horizontal="right" vertical="top"/>
    </xf>
    <xf numFmtId="4" fontId="15" fillId="2" borderId="0" xfId="0" applyNumberFormat="1" applyFont="1" applyFill="1"/>
    <xf numFmtId="0" fontId="15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/>
    </xf>
    <xf numFmtId="0" fontId="1" fillId="2" borderId="14" xfId="0" applyFont="1" applyFill="1" applyBorder="1" applyAlignment="1" applyProtection="1">
      <alignment horizontal="right" vertical="center"/>
    </xf>
    <xf numFmtId="0" fontId="1" fillId="2" borderId="8" xfId="0" applyFont="1" applyFill="1" applyBorder="1" applyAlignment="1">
      <alignment wrapText="1"/>
    </xf>
    <xf numFmtId="0" fontId="1" fillId="2" borderId="49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right" vertical="center"/>
    </xf>
    <xf numFmtId="0" fontId="1" fillId="2" borderId="84" xfId="0" applyFont="1" applyFill="1" applyBorder="1" applyAlignment="1">
      <alignment wrapText="1"/>
    </xf>
    <xf numFmtId="0" fontId="1" fillId="2" borderId="50" xfId="0" applyFont="1" applyFill="1" applyBorder="1" applyAlignment="1" applyProtection="1">
      <alignment horizontal="center" vertical="center"/>
    </xf>
    <xf numFmtId="0" fontId="1" fillId="2" borderId="51" xfId="0" applyFont="1" applyFill="1" applyBorder="1" applyAlignment="1">
      <alignment horizontal="center"/>
    </xf>
    <xf numFmtId="0" fontId="16" fillId="2" borderId="14" xfId="0" quotePrefix="1" applyFont="1" applyFill="1" applyBorder="1" applyAlignment="1">
      <alignment horizontal="center" vertical="center"/>
    </xf>
    <xf numFmtId="0" fontId="16" fillId="2" borderId="19" xfId="0" quotePrefix="1" applyFont="1" applyFill="1" applyBorder="1" applyAlignment="1">
      <alignment horizontal="center" vertical="center"/>
    </xf>
    <xf numFmtId="4" fontId="2" fillId="2" borderId="35" xfId="0" applyNumberFormat="1" applyFont="1" applyFill="1" applyBorder="1" applyAlignment="1" applyProtection="1">
      <alignment horizontal="center" vertical="center" wrapText="1"/>
    </xf>
    <xf numFmtId="0" fontId="1" fillId="2" borderId="75" xfId="0" quotePrefix="1" applyFont="1" applyFill="1" applyBorder="1" applyAlignment="1">
      <alignment horizontal="center" vertical="center"/>
    </xf>
    <xf numFmtId="4" fontId="1" fillId="2" borderId="23" xfId="0" applyNumberFormat="1" applyFont="1" applyFill="1" applyBorder="1" applyAlignment="1" applyProtection="1">
      <alignment horizontal="center" vertical="center" wrapText="1"/>
    </xf>
    <xf numFmtId="4" fontId="1" fillId="2" borderId="24" xfId="0" applyNumberFormat="1" applyFont="1" applyFill="1" applyBorder="1" applyAlignment="1" applyProtection="1">
      <alignment horizontal="center" vertical="center" wrapText="1"/>
    </xf>
    <xf numFmtId="4" fontId="1" fillId="2" borderId="4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1" fillId="7" borderId="38" xfId="0" applyFont="1" applyFill="1" applyBorder="1" applyAlignment="1">
      <alignment vertical="center"/>
    </xf>
    <xf numFmtId="4" fontId="1" fillId="7" borderId="43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>
      <alignment vertical="center"/>
    </xf>
    <xf numFmtId="4" fontId="1" fillId="7" borderId="3" xfId="0" applyNumberFormat="1" applyFont="1" applyFill="1" applyBorder="1" applyAlignment="1">
      <alignment vertical="center" wrapText="1"/>
    </xf>
    <xf numFmtId="0" fontId="1" fillId="7" borderId="4" xfId="0" applyFont="1" applyFill="1" applyBorder="1" applyAlignment="1">
      <alignment vertical="center"/>
    </xf>
    <xf numFmtId="0" fontId="1" fillId="2" borderId="46" xfId="0" applyFont="1" applyFill="1" applyBorder="1" applyAlignment="1" applyProtection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7" borderId="36" xfId="0" applyFont="1" applyFill="1" applyBorder="1" applyAlignment="1">
      <alignment vertical="center"/>
    </xf>
    <xf numFmtId="4" fontId="1" fillId="7" borderId="29" xfId="0" applyNumberFormat="1" applyFont="1" applyFill="1" applyBorder="1" applyAlignment="1">
      <alignment vertical="center" wrapText="1"/>
    </xf>
    <xf numFmtId="0" fontId="1" fillId="7" borderId="43" xfId="0" applyFont="1" applyFill="1" applyBorder="1" applyAlignment="1">
      <alignment vertical="center"/>
    </xf>
    <xf numFmtId="0" fontId="1" fillId="7" borderId="35" xfId="0" applyFont="1" applyFill="1" applyBorder="1" applyAlignment="1">
      <alignment vertical="center"/>
    </xf>
    <xf numFmtId="4" fontId="2" fillId="0" borderId="5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 applyProtection="1">
      <alignment vertical="center" wrapText="1"/>
      <protection locked="0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3" fontId="0" fillId="0" borderId="0" xfId="0" applyNumberFormat="1"/>
    <xf numFmtId="4" fontId="0" fillId="0" borderId="0" xfId="0" applyNumberFormat="1"/>
    <xf numFmtId="0" fontId="3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0" fontId="0" fillId="0" borderId="0" xfId="0" applyNumberFormat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10" fontId="32" fillId="0" borderId="43" xfId="0" applyNumberFormat="1" applyFont="1" applyBorder="1" applyAlignment="1">
      <alignment horizontal="center" vertical="center"/>
    </xf>
    <xf numFmtId="0" fontId="16" fillId="5" borderId="4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>
      <alignment vertical="top"/>
    </xf>
    <xf numFmtId="0" fontId="2" fillId="2" borderId="30" xfId="0" applyFont="1" applyFill="1" applyBorder="1" applyAlignment="1">
      <alignment vertical="top"/>
    </xf>
    <xf numFmtId="0" fontId="2" fillId="2" borderId="32" xfId="0" applyFont="1" applyFill="1" applyBorder="1" applyAlignment="1">
      <alignment vertical="top"/>
    </xf>
    <xf numFmtId="0" fontId="2" fillId="2" borderId="26" xfId="0" applyFont="1" applyFill="1" applyBorder="1" applyAlignment="1" applyProtection="1">
      <alignment vertical="center" wrapText="1"/>
    </xf>
    <xf numFmtId="0" fontId="2" fillId="2" borderId="27" xfId="0" applyFont="1" applyFill="1" applyBorder="1" applyAlignment="1" applyProtection="1">
      <alignment horizontal="center" vertical="center"/>
    </xf>
    <xf numFmtId="0" fontId="2" fillId="2" borderId="75" xfId="0" applyFont="1" applyFill="1" applyBorder="1" applyAlignment="1">
      <alignment horizontal="right" vertical="center"/>
    </xf>
    <xf numFmtId="0" fontId="2" fillId="2" borderId="19" xfId="0" applyFont="1" applyFill="1" applyBorder="1" applyAlignment="1" applyProtection="1">
      <alignment vertical="center" wrapText="1"/>
    </xf>
    <xf numFmtId="0" fontId="2" fillId="2" borderId="53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1" fillId="2" borderId="85" xfId="0" applyFont="1" applyFill="1" applyBorder="1" applyAlignment="1">
      <alignment vertical="center"/>
    </xf>
    <xf numFmtId="0" fontId="2" fillId="0" borderId="8" xfId="0" applyFont="1" applyFill="1" applyBorder="1" applyAlignment="1" applyProtection="1">
      <alignment vertical="center" wrapText="1"/>
    </xf>
    <xf numFmtId="0" fontId="2" fillId="2" borderId="12" xfId="0" applyFont="1" applyFill="1" applyBorder="1" applyAlignment="1">
      <alignment horizontal="center" vertical="center"/>
    </xf>
    <xf numFmtId="0" fontId="12" fillId="2" borderId="35" xfId="6" applyNumberFormat="1" applyFont="1" applyFill="1" applyBorder="1" applyAlignment="1">
      <alignment vertical="top"/>
    </xf>
    <xf numFmtId="0" fontId="11" fillId="2" borderId="36" xfId="6" applyNumberFormat="1" applyFont="1" applyFill="1" applyBorder="1" applyAlignment="1">
      <alignment vertical="top"/>
    </xf>
    <xf numFmtId="0" fontId="2" fillId="2" borderId="26" xfId="0" applyFont="1" applyFill="1" applyBorder="1" applyAlignment="1">
      <alignment horizontal="center" vertical="center"/>
    </xf>
    <xf numFmtId="0" fontId="1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horizontal="center" vertical="top"/>
    </xf>
    <xf numFmtId="0" fontId="7" fillId="2" borderId="7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 applyProtection="1">
      <alignment horizontal="center" vertical="top"/>
    </xf>
    <xf numFmtId="0" fontId="2" fillId="2" borderId="4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2" borderId="26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" fillId="2" borderId="3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top"/>
    </xf>
    <xf numFmtId="0" fontId="2" fillId="2" borderId="26" xfId="0" applyFont="1" applyFill="1" applyBorder="1" applyAlignment="1" applyProtection="1">
      <alignment horizontal="right" vertical="center"/>
    </xf>
    <xf numFmtId="0" fontId="1" fillId="2" borderId="48" xfId="0" quotePrefix="1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vertical="center" wrapText="1"/>
    </xf>
    <xf numFmtId="0" fontId="2" fillId="2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27" xfId="0" applyFont="1" applyFill="1" applyBorder="1" applyAlignment="1">
      <alignment horizontal="center" vertical="center"/>
    </xf>
    <xf numFmtId="0" fontId="2" fillId="2" borderId="15" xfId="0" applyFont="1" applyFill="1" applyBorder="1" applyAlignment="1" applyProtection="1">
      <alignment vertical="center" wrapText="1"/>
    </xf>
    <xf numFmtId="0" fontId="2" fillId="2" borderId="84" xfId="0" applyFont="1" applyFill="1" applyBorder="1" applyAlignment="1" applyProtection="1">
      <alignment vertical="center" wrapText="1"/>
    </xf>
    <xf numFmtId="0" fontId="2" fillId="2" borderId="46" xfId="0" applyFont="1" applyFill="1" applyBorder="1" applyAlignment="1">
      <alignment vertical="center" wrapText="1"/>
    </xf>
    <xf numFmtId="0" fontId="2" fillId="2" borderId="50" xfId="0" applyFont="1" applyFill="1" applyBorder="1" applyAlignment="1" applyProtection="1">
      <alignment vertical="center" wrapText="1"/>
    </xf>
    <xf numFmtId="0" fontId="2" fillId="2" borderId="33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7" fillId="2" borderId="20" xfId="0" applyFont="1" applyFill="1" applyBorder="1" applyAlignment="1">
      <alignment horizontal="left" vertical="center" wrapText="1"/>
    </xf>
    <xf numFmtId="0" fontId="19" fillId="2" borderId="36" xfId="0" applyFont="1" applyFill="1" applyBorder="1" applyAlignment="1">
      <alignment horizontal="center" vertical="center" wrapText="1"/>
    </xf>
    <xf numFmtId="0" fontId="15" fillId="0" borderId="56" xfId="0" applyFont="1" applyBorder="1" applyAlignment="1">
      <alignment vertical="center"/>
    </xf>
    <xf numFmtId="0" fontId="19" fillId="3" borderId="56" xfId="0" applyFont="1" applyFill="1" applyBorder="1" applyAlignment="1">
      <alignment horizontal="center" vertical="center"/>
    </xf>
    <xf numFmtId="0" fontId="15" fillId="0" borderId="52" xfId="0" applyFont="1" applyBorder="1" applyAlignment="1">
      <alignment vertical="center"/>
    </xf>
    <xf numFmtId="0" fontId="7" fillId="0" borderId="70" xfId="0" applyFont="1" applyBorder="1" applyAlignment="1" applyProtection="1">
      <alignment horizontal="right" vertical="center"/>
    </xf>
    <xf numFmtId="0" fontId="7" fillId="0" borderId="48" xfId="0" applyFont="1" applyBorder="1" applyAlignment="1" applyProtection="1">
      <alignment horizontal="right" vertical="center"/>
    </xf>
    <xf numFmtId="3" fontId="7" fillId="0" borderId="14" xfId="7" applyFont="1" applyFill="1" applyBorder="1" applyAlignment="1">
      <alignment horizontal="left" vertical="center" wrapText="1"/>
    </xf>
    <xf numFmtId="0" fontId="7" fillId="2" borderId="14" xfId="0" quotePrefix="1" applyFont="1" applyFill="1" applyBorder="1" applyAlignment="1">
      <alignment vertical="center" wrapText="1"/>
    </xf>
    <xf numFmtId="4" fontId="7" fillId="0" borderId="53" xfId="1" applyNumberFormat="1" applyFont="1" applyBorder="1" applyAlignment="1" applyProtection="1">
      <alignment horizontal="center" vertical="center"/>
    </xf>
    <xf numFmtId="0" fontId="7" fillId="0" borderId="68" xfId="0" applyFont="1" applyBorder="1" applyAlignment="1" applyProtection="1">
      <alignment horizontal="right" vertical="center"/>
    </xf>
    <xf numFmtId="0" fontId="7" fillId="0" borderId="18" xfId="0" applyFont="1" applyBorder="1" applyAlignment="1">
      <alignment vertical="center"/>
    </xf>
    <xf numFmtId="0" fontId="7" fillId="6" borderId="18" xfId="5" applyNumberFormat="1" applyFont="1" applyFill="1" applyBorder="1" applyAlignment="1">
      <alignment horizontal="center" vertical="center"/>
    </xf>
    <xf numFmtId="4" fontId="7" fillId="0" borderId="18" xfId="5" applyNumberFormat="1" applyFont="1" applyFill="1" applyBorder="1" applyAlignment="1">
      <alignment horizontal="center" vertical="center"/>
    </xf>
    <xf numFmtId="0" fontId="3" fillId="0" borderId="108" xfId="0" applyFont="1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4" fillId="7" borderId="38" xfId="0" applyFont="1" applyFill="1" applyBorder="1" applyAlignment="1">
      <alignment vertical="center" wrapText="1"/>
    </xf>
    <xf numFmtId="3" fontId="1" fillId="7" borderId="45" xfId="7" applyFont="1" applyFill="1" applyBorder="1" applyAlignment="1">
      <alignment horizontal="center" vertical="center" wrapText="1"/>
    </xf>
    <xf numFmtId="4" fontId="1" fillId="7" borderId="45" xfId="7" applyNumberFormat="1" applyFont="1" applyFill="1" applyBorder="1" applyAlignment="1">
      <alignment horizontal="center" vertical="center" wrapText="1"/>
    </xf>
    <xf numFmtId="4" fontId="1" fillId="7" borderId="39" xfId="7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43" xfId="0" applyNumberFormat="1" applyFont="1" applyFill="1" applyBorder="1" applyAlignment="1">
      <alignment vertical="center"/>
    </xf>
    <xf numFmtId="0" fontId="4" fillId="5" borderId="60" xfId="0" applyFont="1" applyFill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67" xfId="0" applyNumberFormat="1" applyFont="1" applyBorder="1" applyAlignment="1">
      <alignment horizontal="center" vertical="center"/>
    </xf>
    <xf numFmtId="3" fontId="1" fillId="3" borderId="0" xfId="5" applyFont="1" applyFill="1" applyBorder="1" applyAlignment="1">
      <alignment horizontal="center" vertical="center" wrapText="1"/>
    </xf>
    <xf numFmtId="0" fontId="3" fillId="0" borderId="132" xfId="0" applyFont="1" applyBorder="1" applyAlignment="1">
      <alignment vertical="center"/>
    </xf>
    <xf numFmtId="0" fontId="15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1" fillId="0" borderId="0" xfId="4" applyFont="1" applyFill="1" applyBorder="1" applyAlignment="1">
      <alignment vertical="top"/>
    </xf>
    <xf numFmtId="0" fontId="12" fillId="0" borderId="0" xfId="4" applyFont="1" applyFill="1" applyBorder="1" applyAlignment="1">
      <alignment vertical="top"/>
    </xf>
    <xf numFmtId="0" fontId="11" fillId="0" borderId="0" xfId="4" applyFont="1" applyFill="1" applyBorder="1" applyAlignment="1">
      <alignment vertical="top" wrapText="1"/>
    </xf>
    <xf numFmtId="0" fontId="2" fillId="2" borderId="29" xfId="0" applyFont="1" applyFill="1" applyBorder="1" applyAlignment="1">
      <alignment horizontal="center" vertical="center"/>
    </xf>
    <xf numFmtId="0" fontId="2" fillId="0" borderId="15" xfId="0" quotePrefix="1" applyFont="1" applyFill="1" applyBorder="1" applyAlignment="1">
      <alignment vertical="center" wrapText="1"/>
    </xf>
    <xf numFmtId="0" fontId="2" fillId="0" borderId="8" xfId="0" quotePrefix="1" applyFont="1" applyFill="1" applyBorder="1" applyAlignment="1">
      <alignment vertical="center" wrapText="1"/>
    </xf>
    <xf numFmtId="0" fontId="2" fillId="0" borderId="17" xfId="0" quotePrefix="1" applyFont="1" applyFill="1" applyBorder="1" applyAlignment="1">
      <alignment vertical="center" wrapText="1"/>
    </xf>
    <xf numFmtId="0" fontId="2" fillId="0" borderId="23" xfId="0" applyFont="1" applyFill="1" applyBorder="1" applyAlignment="1" applyProtection="1">
      <alignment horizontal="center" vertical="center"/>
    </xf>
    <xf numFmtId="4" fontId="1" fillId="3" borderId="4" xfId="10" applyNumberFormat="1" applyFont="1" applyFill="1" applyBorder="1" applyAlignment="1">
      <alignment horizontal="center" vertical="center"/>
    </xf>
    <xf numFmtId="4" fontId="1" fillId="3" borderId="82" xfId="10" applyNumberFormat="1" applyFont="1" applyFill="1" applyBorder="1" applyAlignment="1">
      <alignment horizontal="center" vertical="center"/>
    </xf>
    <xf numFmtId="0" fontId="1" fillId="5" borderId="32" xfId="10" applyFont="1" applyFill="1" applyBorder="1" applyAlignment="1">
      <alignment vertical="center"/>
    </xf>
    <xf numFmtId="0" fontId="1" fillId="5" borderId="20" xfId="10" applyFont="1" applyFill="1" applyBorder="1" applyAlignment="1">
      <alignment vertical="center"/>
    </xf>
    <xf numFmtId="0" fontId="1" fillId="5" borderId="21" xfId="10" applyFont="1" applyFill="1" applyBorder="1" applyAlignment="1">
      <alignment vertical="center"/>
    </xf>
    <xf numFmtId="0" fontId="3" fillId="0" borderId="30" xfId="0" applyFont="1" applyFill="1" applyBorder="1" applyAlignment="1"/>
    <xf numFmtId="0" fontId="3" fillId="0" borderId="0" xfId="0" applyFont="1" applyFill="1" applyBorder="1" applyAlignment="1"/>
    <xf numFmtId="4" fontId="2" fillId="0" borderId="12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4" fontId="2" fillId="0" borderId="74" xfId="7" applyNumberFormat="1" applyFont="1" applyFill="1" applyBorder="1" applyAlignment="1">
      <alignment horizontal="center" vertical="center"/>
    </xf>
    <xf numFmtId="4" fontId="2" fillId="0" borderId="79" xfId="7" applyNumberFormat="1" applyFont="1" applyFill="1" applyBorder="1" applyAlignment="1">
      <alignment horizontal="center" vertical="center"/>
    </xf>
    <xf numFmtId="4" fontId="2" fillId="0" borderId="80" xfId="7" applyNumberFormat="1" applyFont="1" applyFill="1" applyBorder="1" applyAlignment="1">
      <alignment horizontal="center" vertical="center"/>
    </xf>
    <xf numFmtId="44" fontId="3" fillId="0" borderId="50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4" fontId="3" fillId="0" borderId="9" xfId="0" applyNumberFormat="1" applyFont="1" applyFill="1" applyBorder="1" applyAlignment="1">
      <alignment horizontal="right"/>
    </xf>
    <xf numFmtId="44" fontId="2" fillId="0" borderId="9" xfId="0" applyNumberFormat="1" applyFont="1" applyFill="1" applyBorder="1" applyAlignment="1">
      <alignment horizontal="right"/>
    </xf>
    <xf numFmtId="0" fontId="3" fillId="0" borderId="0" xfId="0" applyFont="1" applyBorder="1" applyAlignment="1">
      <alignment vertical="center"/>
    </xf>
    <xf numFmtId="0" fontId="3" fillId="0" borderId="13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left" vertical="center" wrapText="1"/>
    </xf>
    <xf numFmtId="166" fontId="14" fillId="0" borderId="13" xfId="0" applyNumberFormat="1" applyFont="1" applyFill="1" applyBorder="1" applyAlignment="1" applyProtection="1">
      <alignment vertical="center" wrapText="1"/>
      <protection locked="0"/>
    </xf>
    <xf numFmtId="166" fontId="14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vertical="center"/>
    </xf>
    <xf numFmtId="4" fontId="3" fillId="0" borderId="46" xfId="0" applyNumberFormat="1" applyFont="1" applyBorder="1" applyAlignment="1">
      <alignment vertical="center"/>
    </xf>
    <xf numFmtId="4" fontId="2" fillId="0" borderId="47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vertical="center"/>
    </xf>
    <xf numFmtId="4" fontId="2" fillId="0" borderId="49" xfId="0" applyNumberFormat="1" applyFont="1" applyBorder="1" applyAlignment="1">
      <alignment horizontal="center" vertical="center"/>
    </xf>
    <xf numFmtId="4" fontId="3" fillId="0" borderId="50" xfId="0" applyNumberFormat="1" applyFont="1" applyBorder="1" applyAlignment="1">
      <alignment vertical="center"/>
    </xf>
    <xf numFmtId="4" fontId="2" fillId="0" borderId="51" xfId="0" applyNumberFormat="1" applyFont="1" applyBorder="1" applyAlignment="1">
      <alignment horizontal="center" vertical="center"/>
    </xf>
    <xf numFmtId="4" fontId="2" fillId="0" borderId="49" xfId="7" applyNumberFormat="1" applyFont="1" applyFill="1" applyBorder="1" applyAlignment="1">
      <alignment horizontal="center" vertical="center"/>
    </xf>
    <xf numFmtId="4" fontId="2" fillId="0" borderId="51" xfId="7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4" fontId="3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 wrapText="1"/>
    </xf>
    <xf numFmtId="4" fontId="2" fillId="0" borderId="9" xfId="1" applyNumberFormat="1" applyFont="1" applyFill="1" applyBorder="1" applyAlignment="1" applyProtection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9" fontId="2" fillId="2" borderId="0" xfId="12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1" fillId="0" borderId="9" xfId="1" applyNumberFormat="1" applyFont="1" applyFill="1" applyBorder="1" applyAlignment="1" applyProtection="1">
      <alignment horizontal="center" vertical="center"/>
    </xf>
    <xf numFmtId="4" fontId="1" fillId="0" borderId="15" xfId="1" applyNumberFormat="1" applyFont="1" applyFill="1" applyBorder="1" applyAlignment="1" applyProtection="1">
      <alignment horizontal="center" vertical="center"/>
    </xf>
    <xf numFmtId="4" fontId="1" fillId="0" borderId="50" xfId="1" applyNumberFormat="1" applyFont="1" applyFill="1" applyBorder="1" applyAlignment="1" applyProtection="1">
      <alignment horizontal="center" vertical="center"/>
    </xf>
    <xf numFmtId="4" fontId="2" fillId="0" borderId="46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18" xfId="1" applyNumberFormat="1" applyFont="1" applyFill="1" applyBorder="1" applyAlignment="1" applyProtection="1">
      <alignment horizontal="center" vertical="center"/>
    </xf>
    <xf numFmtId="4" fontId="2" fillId="0" borderId="42" xfId="1" applyNumberFormat="1" applyFont="1" applyFill="1" applyBorder="1" applyAlignment="1" applyProtection="1">
      <alignment horizontal="center" vertical="center"/>
    </xf>
    <xf numFmtId="10" fontId="2" fillId="0" borderId="32" xfId="0" applyNumberFormat="1" applyFont="1" applyFill="1" applyBorder="1" applyAlignment="1">
      <alignment horizontal="center" vertical="center"/>
    </xf>
    <xf numFmtId="10" fontId="2" fillId="0" borderId="36" xfId="0" applyNumberFormat="1" applyFont="1" applyFill="1" applyBorder="1" applyAlignment="1">
      <alignment horizontal="center" vertical="center"/>
    </xf>
    <xf numFmtId="10" fontId="2" fillId="0" borderId="21" xfId="0" applyNumberFormat="1" applyFont="1" applyFill="1" applyBorder="1" applyAlignment="1">
      <alignment horizontal="center" vertical="center"/>
    </xf>
    <xf numFmtId="4" fontId="1" fillId="0" borderId="30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4" fontId="3" fillId="0" borderId="9" xfId="0" applyNumberFormat="1" applyFont="1" applyFill="1" applyBorder="1" applyAlignment="1">
      <alignment vertical="center"/>
    </xf>
    <xf numFmtId="0" fontId="2" fillId="0" borderId="48" xfId="0" applyFont="1" applyFill="1" applyBorder="1" applyAlignment="1">
      <alignment horizontal="right"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84" xfId="0" applyFont="1" applyFill="1" applyBorder="1" applyAlignment="1">
      <alignment vertical="center" wrapText="1"/>
    </xf>
    <xf numFmtId="0" fontId="2" fillId="0" borderId="50" xfId="0" applyFont="1" applyFill="1" applyBorder="1" applyAlignment="1" applyProtection="1">
      <alignment horizontal="center" vertical="center"/>
    </xf>
    <xf numFmtId="4" fontId="2" fillId="0" borderId="72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/>
    </xf>
    <xf numFmtId="0" fontId="2" fillId="0" borderId="83" xfId="0" applyFont="1" applyFill="1" applyBorder="1" applyAlignment="1">
      <alignment vertical="center" wrapText="1"/>
    </xf>
    <xf numFmtId="0" fontId="2" fillId="0" borderId="46" xfId="0" applyFont="1" applyFill="1" applyBorder="1" applyAlignment="1">
      <alignment horizontal="center" vertical="center"/>
    </xf>
    <xf numFmtId="0" fontId="2" fillId="0" borderId="46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4" fontId="2" fillId="0" borderId="25" xfId="1" applyNumberFormat="1" applyFont="1" applyFill="1" applyBorder="1" applyAlignment="1" applyProtection="1">
      <alignment horizontal="center" vertical="center"/>
    </xf>
    <xf numFmtId="4" fontId="2" fillId="0" borderId="54" xfId="1" applyNumberFormat="1" applyFont="1" applyFill="1" applyBorder="1" applyAlignment="1" applyProtection="1">
      <alignment horizontal="center" vertical="center"/>
    </xf>
    <xf numFmtId="4" fontId="2" fillId="0" borderId="0" xfId="1" applyNumberFormat="1" applyFont="1" applyFill="1" applyBorder="1" applyAlignment="1" applyProtection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4" fontId="2" fillId="0" borderId="47" xfId="1" applyNumberFormat="1" applyFont="1" applyFill="1" applyBorder="1" applyAlignment="1" applyProtection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51" xfId="1" applyNumberFormat="1" applyFont="1" applyFill="1" applyBorder="1" applyAlignment="1" applyProtection="1">
      <alignment horizontal="center" vertical="center"/>
    </xf>
    <xf numFmtId="4" fontId="2" fillId="0" borderId="9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70" xfId="0" applyNumberFormat="1" applyFont="1" applyFill="1" applyBorder="1" applyAlignment="1">
      <alignment horizontal="center" vertical="center"/>
    </xf>
    <xf numFmtId="4" fontId="2" fillId="0" borderId="46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28" xfId="1" applyNumberFormat="1" applyFont="1" applyFill="1" applyBorder="1" applyAlignment="1" applyProtection="1">
      <alignment horizontal="center" vertical="center"/>
    </xf>
    <xf numFmtId="4" fontId="2" fillId="0" borderId="32" xfId="0" applyNumberFormat="1" applyFont="1" applyFill="1" applyBorder="1" applyAlignment="1">
      <alignment horizontal="center" vertical="center"/>
    </xf>
    <xf numFmtId="4" fontId="2" fillId="0" borderId="56" xfId="1" applyNumberFormat="1" applyFont="1" applyFill="1" applyBorder="1" applyAlignment="1" applyProtection="1">
      <alignment horizontal="center" vertical="center"/>
    </xf>
    <xf numFmtId="4" fontId="2" fillId="0" borderId="20" xfId="1" applyNumberFormat="1" applyFont="1" applyFill="1" applyBorder="1" applyAlignment="1" applyProtection="1">
      <alignment horizontal="center" vertical="center"/>
    </xf>
    <xf numFmtId="4" fontId="2" fillId="0" borderId="13" xfId="0" applyNumberFormat="1" applyFont="1" applyFill="1" applyBorder="1" applyAlignment="1">
      <alignment horizontal="center" vertical="center"/>
    </xf>
    <xf numFmtId="4" fontId="2" fillId="0" borderId="67" xfId="1" applyNumberFormat="1" applyFont="1" applyFill="1" applyBorder="1" applyAlignment="1" applyProtection="1">
      <alignment horizontal="center" vertical="center"/>
    </xf>
    <xf numFmtId="4" fontId="1" fillId="0" borderId="72" xfId="0" applyNumberFormat="1" applyFont="1" applyFill="1" applyBorder="1" applyAlignment="1">
      <alignment horizontal="center" vertical="center"/>
    </xf>
    <xf numFmtId="4" fontId="1" fillId="0" borderId="6" xfId="1" applyNumberFormat="1" applyFont="1" applyFill="1" applyBorder="1" applyAlignment="1" applyProtection="1">
      <alignment horizontal="center" vertical="center"/>
    </xf>
    <xf numFmtId="4" fontId="1" fillId="0" borderId="42" xfId="1" applyNumberFormat="1" applyFont="1" applyFill="1" applyBorder="1" applyAlignment="1" applyProtection="1">
      <alignment horizontal="center" vertical="center"/>
    </xf>
    <xf numFmtId="4" fontId="1" fillId="0" borderId="14" xfId="0" applyNumberFormat="1" applyFont="1" applyFill="1" applyBorder="1" applyAlignment="1">
      <alignment horizontal="center" vertical="center"/>
    </xf>
    <xf numFmtId="4" fontId="1" fillId="0" borderId="49" xfId="1" applyNumberFormat="1" applyFont="1" applyFill="1" applyBorder="1" applyAlignment="1" applyProtection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1" fillId="0" borderId="51" xfId="1" applyNumberFormat="1" applyFont="1" applyFill="1" applyBorder="1" applyAlignment="1" applyProtection="1">
      <alignment horizontal="center" vertical="center"/>
    </xf>
    <xf numFmtId="4" fontId="2" fillId="0" borderId="27" xfId="1" applyNumberFormat="1" applyFont="1" applyFill="1" applyBorder="1" applyAlignment="1" applyProtection="1">
      <alignment horizontal="center" vertical="center"/>
    </xf>
    <xf numFmtId="4" fontId="2" fillId="0" borderId="12" xfId="1" applyNumberFormat="1" applyFont="1" applyFill="1" applyBorder="1" applyAlignment="1" applyProtection="1">
      <alignment horizontal="center" vertical="center"/>
    </xf>
    <xf numFmtId="4" fontId="2" fillId="0" borderId="33" xfId="1" applyNumberFormat="1" applyFont="1" applyFill="1" applyBorder="1" applyAlignment="1" applyProtection="1">
      <alignment horizontal="center" vertical="center"/>
    </xf>
    <xf numFmtId="4" fontId="2" fillId="0" borderId="15" xfId="0" applyNumberFormat="1" applyFont="1" applyFill="1" applyBorder="1" applyAlignment="1">
      <alignment horizontal="center" vertical="center"/>
    </xf>
    <xf numFmtId="4" fontId="2" fillId="0" borderId="16" xfId="1" applyNumberFormat="1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49" xfId="0" applyFont="1" applyFill="1" applyBorder="1" applyAlignment="1" applyProtection="1">
      <alignment horizontal="center" vertical="center"/>
    </xf>
    <xf numFmtId="4" fontId="2" fillId="0" borderId="43" xfId="0" applyNumberFormat="1" applyFont="1" applyFill="1" applyBorder="1" applyAlignment="1" applyProtection="1">
      <alignment horizontal="center" vertical="center" wrapText="1"/>
    </xf>
    <xf numFmtId="4" fontId="2" fillId="0" borderId="40" xfId="0" applyNumberFormat="1" applyFont="1" applyFill="1" applyBorder="1" applyAlignment="1" applyProtection="1">
      <alignment horizontal="center" vertical="center" wrapText="1"/>
    </xf>
    <xf numFmtId="4" fontId="2" fillId="0" borderId="24" xfId="0" applyNumberFormat="1" applyFont="1" applyFill="1" applyBorder="1" applyAlignment="1" applyProtection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/>
    </xf>
    <xf numFmtId="4" fontId="15" fillId="0" borderId="9" xfId="0" applyNumberFormat="1" applyFont="1" applyFill="1" applyBorder="1" applyAlignment="1">
      <alignment horizontal="center" vertical="center"/>
    </xf>
    <xf numFmtId="4" fontId="3" fillId="0" borderId="67" xfId="0" applyNumberFormat="1" applyFont="1" applyFill="1" applyBorder="1" applyAlignment="1">
      <alignment horizontal="right"/>
    </xf>
    <xf numFmtId="4" fontId="3" fillId="0" borderId="49" xfId="0" applyNumberFormat="1" applyFont="1" applyFill="1" applyBorder="1" applyAlignment="1">
      <alignment horizontal="right"/>
    </xf>
    <xf numFmtId="4" fontId="3" fillId="0" borderId="51" xfId="0" applyNumberFormat="1" applyFont="1" applyFill="1" applyBorder="1" applyAlignment="1">
      <alignment horizontal="right"/>
    </xf>
    <xf numFmtId="4" fontId="2" fillId="0" borderId="6" xfId="10" applyNumberFormat="1" applyFont="1" applyFill="1" applyBorder="1" applyAlignment="1">
      <alignment horizontal="center" vertical="center"/>
    </xf>
    <xf numFmtId="4" fontId="1" fillId="0" borderId="67" xfId="10" applyNumberFormat="1" applyFont="1" applyFill="1" applyBorder="1" applyAlignment="1">
      <alignment horizontal="center" vertical="center"/>
    </xf>
    <xf numFmtId="4" fontId="2" fillId="0" borderId="9" xfId="10" applyNumberFormat="1" applyFont="1" applyFill="1" applyBorder="1" applyAlignment="1">
      <alignment horizontal="center" vertical="center"/>
    </xf>
    <xf numFmtId="4" fontId="1" fillId="0" borderId="49" xfId="10" applyNumberFormat="1" applyFont="1" applyFill="1" applyBorder="1" applyAlignment="1">
      <alignment horizontal="center" vertical="center"/>
    </xf>
    <xf numFmtId="4" fontId="2" fillId="0" borderId="50" xfId="10" applyNumberFormat="1" applyFont="1" applyFill="1" applyBorder="1" applyAlignment="1">
      <alignment horizontal="center" vertical="center"/>
    </xf>
    <xf numFmtId="4" fontId="1" fillId="0" borderId="51" xfId="10" applyNumberFormat="1" applyFont="1" applyFill="1" applyBorder="1" applyAlignment="1">
      <alignment horizontal="center" vertical="center"/>
    </xf>
    <xf numFmtId="10" fontId="14" fillId="0" borderId="13" xfId="0" applyNumberFormat="1" applyFont="1" applyFill="1" applyBorder="1" applyAlignment="1">
      <alignment horizontal="center" vertical="center"/>
    </xf>
    <xf numFmtId="10" fontId="14" fillId="0" borderId="41" xfId="0" applyNumberFormat="1" applyFont="1" applyFill="1" applyBorder="1" applyAlignment="1">
      <alignment horizontal="center" vertical="center"/>
    </xf>
    <xf numFmtId="10" fontId="14" fillId="0" borderId="14" xfId="0" applyNumberFormat="1" applyFont="1" applyFill="1" applyBorder="1" applyAlignment="1">
      <alignment horizontal="center" vertical="center"/>
    </xf>
    <xf numFmtId="10" fontId="14" fillId="0" borderId="23" xfId="0" applyNumberFormat="1" applyFont="1" applyFill="1" applyBorder="1" applyAlignment="1">
      <alignment horizontal="center" vertical="center"/>
    </xf>
    <xf numFmtId="10" fontId="14" fillId="0" borderId="10" xfId="0" applyNumberFormat="1" applyFont="1" applyFill="1" applyBorder="1" applyAlignment="1">
      <alignment horizontal="center" vertical="center"/>
    </xf>
    <xf numFmtId="10" fontId="14" fillId="0" borderId="40" xfId="0" applyNumberFormat="1" applyFont="1" applyFill="1" applyBorder="1" applyAlignment="1">
      <alignment horizontal="center" vertical="center"/>
    </xf>
    <xf numFmtId="10" fontId="14" fillId="0" borderId="30" xfId="0" applyNumberFormat="1" applyFont="1" applyFill="1" applyBorder="1" applyAlignment="1">
      <alignment horizontal="center" vertical="center"/>
    </xf>
    <xf numFmtId="10" fontId="14" fillId="0" borderId="85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0" fontId="2" fillId="0" borderId="91" xfId="0" applyNumberFormat="1" applyFont="1" applyFill="1" applyBorder="1" applyAlignment="1">
      <alignment horizontal="center" vertical="center" wrapText="1"/>
    </xf>
    <xf numFmtId="10" fontId="2" fillId="0" borderId="92" xfId="0" applyNumberFormat="1" applyFont="1" applyFill="1" applyBorder="1" applyAlignment="1">
      <alignment horizontal="center" vertical="center" wrapText="1"/>
    </xf>
    <xf numFmtId="10" fontId="1" fillId="5" borderId="43" xfId="0" applyNumberFormat="1" applyFont="1" applyFill="1" applyBorder="1" applyAlignment="1">
      <alignment horizontal="center" vertical="center" wrapText="1"/>
    </xf>
    <xf numFmtId="10" fontId="1" fillId="5" borderId="1" xfId="0" applyNumberFormat="1" applyFont="1" applyFill="1" applyBorder="1" applyAlignment="1">
      <alignment horizontal="center" vertical="center" wrapText="1"/>
    </xf>
    <xf numFmtId="4" fontId="7" fillId="0" borderId="25" xfId="7" applyNumberFormat="1" applyFont="1" applyFill="1" applyBorder="1" applyAlignment="1">
      <alignment horizontal="center" vertical="center"/>
    </xf>
    <xf numFmtId="4" fontId="7" fillId="0" borderId="41" xfId="7" applyNumberFormat="1" applyFont="1" applyFill="1" applyBorder="1" applyAlignment="1">
      <alignment horizontal="center" vertical="center"/>
    </xf>
    <xf numFmtId="4" fontId="7" fillId="0" borderId="27" xfId="7" applyNumberFormat="1" applyFont="1" applyFill="1" applyBorder="1" applyAlignment="1">
      <alignment horizontal="center" vertical="center"/>
    </xf>
    <xf numFmtId="4" fontId="7" fillId="0" borderId="34" xfId="7" applyNumberFormat="1" applyFont="1" applyFill="1" applyBorder="1" applyAlignment="1">
      <alignment horizontal="center" vertical="center"/>
    </xf>
    <xf numFmtId="4" fontId="7" fillId="0" borderId="55" xfId="7" applyNumberFormat="1" applyFont="1" applyFill="1" applyBorder="1" applyAlignment="1">
      <alignment horizontal="center" vertical="center"/>
    </xf>
    <xf numFmtId="4" fontId="7" fillId="0" borderId="40" xfId="7" applyNumberFormat="1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/>
    </xf>
    <xf numFmtId="4" fontId="2" fillId="0" borderId="27" xfId="0" applyNumberFormat="1" applyFont="1" applyFill="1" applyBorder="1" applyAlignment="1">
      <alignment horizontal="center" vertical="center"/>
    </xf>
    <xf numFmtId="4" fontId="2" fillId="0" borderId="34" xfId="1" applyNumberFormat="1" applyFont="1" applyFill="1" applyBorder="1" applyAlignment="1" applyProtection="1">
      <alignment horizontal="center" vertical="center"/>
    </xf>
    <xf numFmtId="4" fontId="2" fillId="0" borderId="33" xfId="0" applyNumberFormat="1" applyFont="1" applyFill="1" applyBorder="1" applyAlignment="1">
      <alignment horizontal="center" vertical="center"/>
    </xf>
    <xf numFmtId="4" fontId="2" fillId="0" borderId="36" xfId="1" applyNumberFormat="1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right" vertical="center"/>
    </xf>
    <xf numFmtId="4" fontId="7" fillId="0" borderId="0" xfId="0" applyNumberFormat="1" applyFont="1" applyAlignment="1">
      <alignment vertical="center"/>
    </xf>
    <xf numFmtId="4" fontId="7" fillId="0" borderId="46" xfId="0" applyNumberFormat="1" applyFont="1" applyFill="1" applyBorder="1" applyAlignment="1">
      <alignment horizontal="center" vertical="center"/>
    </xf>
    <xf numFmtId="4" fontId="15" fillId="0" borderId="79" xfId="0" applyNumberFormat="1" applyFont="1" applyFill="1" applyBorder="1" applyAlignment="1" applyProtection="1">
      <alignment vertical="top"/>
    </xf>
    <xf numFmtId="4" fontId="16" fillId="0" borderId="79" xfId="0" applyNumberFormat="1" applyFont="1" applyFill="1" applyBorder="1" applyAlignment="1" applyProtection="1">
      <alignment vertical="top"/>
    </xf>
    <xf numFmtId="4" fontId="15" fillId="0" borderId="73" xfId="0" applyNumberFormat="1" applyFont="1" applyFill="1" applyBorder="1" applyAlignment="1" applyProtection="1">
      <alignment vertical="top"/>
    </xf>
    <xf numFmtId="4" fontId="7" fillId="0" borderId="31" xfId="0" applyNumberFormat="1" applyFont="1" applyFill="1" applyBorder="1" applyAlignment="1" applyProtection="1">
      <alignment vertical="top"/>
    </xf>
    <xf numFmtId="4" fontId="19" fillId="0" borderId="43" xfId="0" applyNumberFormat="1" applyFont="1" applyFill="1" applyBorder="1" applyAlignment="1" applyProtection="1">
      <alignment vertical="top"/>
    </xf>
    <xf numFmtId="4" fontId="15" fillId="0" borderId="43" xfId="0" applyNumberFormat="1" applyFont="1" applyFill="1" applyBorder="1" applyAlignment="1" applyProtection="1">
      <alignment vertical="top"/>
    </xf>
    <xf numFmtId="4" fontId="15" fillId="0" borderId="48" xfId="0" applyNumberFormat="1" applyFont="1" applyFill="1" applyBorder="1" applyAlignment="1" applyProtection="1">
      <alignment vertical="top"/>
    </xf>
    <xf numFmtId="4" fontId="15" fillId="0" borderId="23" xfId="0" applyNumberFormat="1" applyFont="1" applyFill="1" applyBorder="1" applyAlignment="1" applyProtection="1">
      <alignment vertical="top"/>
    </xf>
    <xf numFmtId="4" fontId="16" fillId="0" borderId="48" xfId="0" applyNumberFormat="1" applyFont="1" applyFill="1" applyBorder="1" applyAlignment="1" applyProtection="1">
      <alignment vertical="top"/>
    </xf>
    <xf numFmtId="4" fontId="16" fillId="0" borderId="23" xfId="0" applyNumberFormat="1" applyFont="1" applyFill="1" applyBorder="1" applyAlignment="1" applyProtection="1">
      <alignment vertical="top"/>
    </xf>
    <xf numFmtId="4" fontId="15" fillId="0" borderId="68" xfId="0" applyNumberFormat="1" applyFont="1" applyFill="1" applyBorder="1" applyAlignment="1" applyProtection="1">
      <alignment vertical="top"/>
    </xf>
    <xf numFmtId="4" fontId="16" fillId="0" borderId="7" xfId="0" applyNumberFormat="1" applyFont="1" applyFill="1" applyBorder="1" applyAlignment="1" applyProtection="1">
      <alignment vertical="top"/>
    </xf>
    <xf numFmtId="4" fontId="7" fillId="0" borderId="0" xfId="0" applyNumberFormat="1" applyFont="1" applyFill="1" applyBorder="1" applyAlignment="1" applyProtection="1">
      <alignment vertical="top"/>
    </xf>
    <xf numFmtId="4" fontId="16" fillId="0" borderId="40" xfId="0" applyNumberFormat="1" applyFont="1" applyFill="1" applyBorder="1" applyAlignment="1" applyProtection="1">
      <alignment vertical="top"/>
    </xf>
    <xf numFmtId="4" fontId="16" fillId="0" borderId="1" xfId="0" applyNumberFormat="1" applyFont="1" applyFill="1" applyBorder="1" applyAlignment="1" applyProtection="1">
      <alignment vertical="top"/>
    </xf>
    <xf numFmtId="4" fontId="16" fillId="0" borderId="43" xfId="0" applyNumberFormat="1" applyFont="1" applyFill="1" applyBorder="1" applyAlignment="1" applyProtection="1">
      <alignment vertical="top"/>
    </xf>
    <xf numFmtId="4" fontId="19" fillId="0" borderId="34" xfId="0" applyNumberFormat="1" applyFont="1" applyFill="1" applyBorder="1" applyAlignment="1" applyProtection="1">
      <alignment vertical="top"/>
    </xf>
    <xf numFmtId="4" fontId="15" fillId="0" borderId="40" xfId="0" applyNumberFormat="1" applyFont="1" applyFill="1" applyBorder="1" applyAlignment="1" applyProtection="1">
      <alignment vertical="top"/>
    </xf>
    <xf numFmtId="4" fontId="19" fillId="0" borderId="23" xfId="0" applyNumberFormat="1" applyFont="1" applyFill="1" applyBorder="1" applyAlignment="1" applyProtection="1">
      <alignment vertical="top"/>
    </xf>
    <xf numFmtId="4" fontId="15" fillId="0" borderId="24" xfId="0" applyNumberFormat="1" applyFont="1" applyFill="1" applyBorder="1" applyAlignment="1" applyProtection="1">
      <alignment vertical="top"/>
    </xf>
    <xf numFmtId="4" fontId="19" fillId="0" borderId="36" xfId="0" applyNumberFormat="1" applyFont="1" applyFill="1" applyBorder="1" applyAlignment="1" applyProtection="1">
      <alignment vertical="top"/>
    </xf>
    <xf numFmtId="4" fontId="19" fillId="0" borderId="41" xfId="0" applyNumberFormat="1" applyFont="1" applyFill="1" applyBorder="1" applyAlignment="1" applyProtection="1">
      <alignment vertical="top"/>
    </xf>
    <xf numFmtId="43" fontId="2" fillId="0" borderId="43" xfId="0" applyNumberFormat="1" applyFont="1" applyFill="1" applyBorder="1" applyAlignment="1">
      <alignment horizontal="right" vertical="center" wrapText="1"/>
    </xf>
    <xf numFmtId="43" fontId="2" fillId="0" borderId="34" xfId="0" applyNumberFormat="1" applyFont="1" applyFill="1" applyBorder="1" applyAlignment="1">
      <alignment horizontal="right" vertical="center" wrapText="1"/>
    </xf>
    <xf numFmtId="43" fontId="2" fillId="0" borderId="23" xfId="0" applyNumberFormat="1" applyFont="1" applyFill="1" applyBorder="1" applyAlignment="1">
      <alignment horizontal="right" vertical="center" wrapText="1"/>
    </xf>
    <xf numFmtId="43" fontId="2" fillId="0" borderId="24" xfId="0" applyNumberFormat="1" applyFont="1" applyFill="1" applyBorder="1" applyAlignment="1">
      <alignment horizontal="right" vertical="center" wrapText="1"/>
    </xf>
    <xf numFmtId="4" fontId="2" fillId="0" borderId="24" xfId="1" applyNumberFormat="1" applyFont="1" applyFill="1" applyBorder="1" applyAlignment="1" applyProtection="1">
      <alignment horizontal="right" vertical="center"/>
    </xf>
    <xf numFmtId="4" fontId="2" fillId="0" borderId="34" xfId="1" applyNumberFormat="1" applyFont="1" applyFill="1" applyBorder="1" applyAlignment="1" applyProtection="1">
      <alignment horizontal="right" vertical="center"/>
    </xf>
    <xf numFmtId="4" fontId="2" fillId="0" borderId="23" xfId="1" applyNumberFormat="1" applyFont="1" applyFill="1" applyBorder="1" applyAlignment="1" applyProtection="1">
      <alignment horizontal="right" vertical="center"/>
    </xf>
    <xf numFmtId="4" fontId="2" fillId="0" borderId="40" xfId="1" applyNumberFormat="1" applyFont="1" applyFill="1" applyBorder="1" applyAlignment="1" applyProtection="1">
      <alignment horizontal="right" vertical="center"/>
    </xf>
    <xf numFmtId="0" fontId="11" fillId="2" borderId="30" xfId="4" applyFont="1" applyFill="1" applyBorder="1" applyAlignment="1">
      <alignment horizontal="left" vertical="top" wrapText="1"/>
    </xf>
    <xf numFmtId="0" fontId="11" fillId="2" borderId="0" xfId="4" applyFont="1" applyFill="1" applyBorder="1" applyAlignment="1">
      <alignment horizontal="left" vertical="top" wrapText="1"/>
    </xf>
    <xf numFmtId="0" fontId="11" fillId="2" borderId="31" xfId="4" applyFont="1" applyFill="1" applyBorder="1" applyAlignment="1">
      <alignment horizontal="left" vertical="top" wrapText="1"/>
    </xf>
    <xf numFmtId="0" fontId="11" fillId="2" borderId="32" xfId="4" applyFont="1" applyFill="1" applyBorder="1" applyAlignment="1">
      <alignment horizontal="left" vertical="top" wrapText="1"/>
    </xf>
    <xf numFmtId="0" fontId="11" fillId="2" borderId="20" xfId="4" applyFont="1" applyFill="1" applyBorder="1" applyAlignment="1">
      <alignment horizontal="left" vertical="top" wrapText="1"/>
    </xf>
    <xf numFmtId="0" fontId="11" fillId="2" borderId="21" xfId="4" applyFont="1" applyFill="1" applyBorder="1" applyAlignment="1">
      <alignment horizontal="left" vertical="top" wrapText="1"/>
    </xf>
    <xf numFmtId="0" fontId="11" fillId="2" borderId="4" xfId="4" applyFont="1" applyFill="1" applyBorder="1" applyAlignment="1">
      <alignment horizontal="left" vertical="top"/>
    </xf>
    <xf numFmtId="0" fontId="11" fillId="2" borderId="29" xfId="4" applyFont="1" applyFill="1" applyBorder="1" applyAlignment="1">
      <alignment horizontal="left" vertical="top"/>
    </xf>
    <xf numFmtId="0" fontId="11" fillId="2" borderId="32" xfId="4" applyFont="1" applyFill="1" applyBorder="1" applyAlignment="1">
      <alignment horizontal="left" vertical="top"/>
    </xf>
    <xf numFmtId="0" fontId="11" fillId="2" borderId="21" xfId="4" applyFont="1" applyFill="1" applyBorder="1" applyAlignment="1">
      <alignment horizontal="left" vertical="top"/>
    </xf>
    <xf numFmtId="0" fontId="11" fillId="2" borderId="82" xfId="4" applyFont="1" applyFill="1" applyBorder="1" applyAlignment="1">
      <alignment horizontal="left" vertical="top"/>
    </xf>
    <xf numFmtId="0" fontId="11" fillId="2" borderId="130" xfId="4" applyFont="1" applyFill="1" applyBorder="1" applyAlignment="1">
      <alignment horizontal="left" vertical="top"/>
    </xf>
    <xf numFmtId="0" fontId="12" fillId="2" borderId="131" xfId="4" applyFont="1" applyFill="1" applyBorder="1" applyAlignment="1">
      <alignment horizontal="left" vertical="top"/>
    </xf>
    <xf numFmtId="0" fontId="12" fillId="2" borderId="87" xfId="4" applyFont="1" applyFill="1" applyBorder="1" applyAlignment="1">
      <alignment horizontal="left" vertical="top"/>
    </xf>
    <xf numFmtId="0" fontId="12" fillId="2" borderId="88" xfId="4" applyFont="1" applyFill="1" applyBorder="1" applyAlignment="1">
      <alignment horizontal="left" vertical="top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9" xfId="0" applyFont="1" applyFill="1" applyBorder="1" applyAlignment="1" applyProtection="1">
      <alignment horizontal="center" vertical="center"/>
    </xf>
    <xf numFmtId="0" fontId="1" fillId="2" borderId="3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29" xfId="0" applyFont="1" applyFill="1" applyBorder="1" applyAlignment="1" applyProtection="1">
      <alignment horizontal="center" vertical="center" wrapText="1"/>
    </xf>
    <xf numFmtId="0" fontId="1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31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20" xfId="0" applyFont="1" applyFill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19" xfId="0" applyFont="1" applyFill="1" applyBorder="1" applyAlignment="1" applyProtection="1">
      <alignment horizontal="center" vertical="center" wrapText="1"/>
    </xf>
    <xf numFmtId="0" fontId="1" fillId="5" borderId="27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33" xfId="0" applyFont="1" applyFill="1" applyBorder="1" applyAlignment="1" applyProtection="1">
      <alignment horizontal="center" vertical="center" wrapText="1"/>
    </xf>
    <xf numFmtId="3" fontId="1" fillId="3" borderId="38" xfId="5" applyFont="1" applyFill="1" applyBorder="1" applyAlignment="1">
      <alignment horizontal="right" vertical="center"/>
    </xf>
    <xf numFmtId="3" fontId="1" fillId="3" borderId="60" xfId="5" applyFont="1" applyFill="1" applyBorder="1" applyAlignment="1">
      <alignment horizontal="right" vertical="center"/>
    </xf>
    <xf numFmtId="0" fontId="4" fillId="7" borderId="44" xfId="0" applyFont="1" applyFill="1" applyBorder="1" applyAlignment="1">
      <alignment horizontal="left" vertical="center" wrapText="1"/>
    </xf>
    <xf numFmtId="0" fontId="4" fillId="7" borderId="39" xfId="0" applyFont="1" applyFill="1" applyBorder="1" applyAlignment="1">
      <alignment horizontal="left" vertical="center" wrapText="1"/>
    </xf>
    <xf numFmtId="0" fontId="1" fillId="5" borderId="34" xfId="0" applyFont="1" applyFill="1" applyBorder="1" applyAlignment="1" applyProtection="1">
      <alignment horizontal="center" vertical="center" wrapText="1"/>
    </xf>
    <xf numFmtId="0" fontId="1" fillId="5" borderId="23" xfId="0" applyFont="1" applyFill="1" applyBorder="1" applyAlignment="1" applyProtection="1">
      <alignment horizontal="center" vertical="center" wrapText="1"/>
    </xf>
    <xf numFmtId="0" fontId="1" fillId="5" borderId="24" xfId="0" applyFont="1" applyFill="1" applyBorder="1" applyAlignment="1" applyProtection="1">
      <alignment horizontal="center" vertical="center" wrapText="1"/>
    </xf>
    <xf numFmtId="0" fontId="4" fillId="7" borderId="112" xfId="0" applyFont="1" applyFill="1" applyBorder="1" applyAlignment="1">
      <alignment horizontal="left" vertical="center" wrapText="1"/>
    </xf>
    <xf numFmtId="0" fontId="4" fillId="7" borderId="59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 applyProtection="1">
      <alignment horizontal="left" vertical="center" wrapText="1"/>
    </xf>
    <xf numFmtId="0" fontId="4" fillId="5" borderId="2" xfId="0" applyFont="1" applyFill="1" applyBorder="1" applyAlignment="1" applyProtection="1">
      <alignment horizontal="left" vertical="center" wrapText="1"/>
    </xf>
    <xf numFmtId="0" fontId="4" fillId="5" borderId="3" xfId="0" applyFont="1" applyFill="1" applyBorder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center" vertical="top"/>
    </xf>
    <xf numFmtId="0" fontId="16" fillId="2" borderId="5" xfId="0" applyFont="1" applyFill="1" applyBorder="1" applyAlignment="1" applyProtection="1">
      <alignment horizontal="center" vertical="top"/>
    </xf>
    <xf numFmtId="0" fontId="16" fillId="2" borderId="29" xfId="0" applyFont="1" applyFill="1" applyBorder="1" applyAlignment="1" applyProtection="1">
      <alignment horizontal="center" vertical="top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0" fontId="16" fillId="2" borderId="29" xfId="0" applyFont="1" applyFill="1" applyBorder="1" applyAlignment="1" applyProtection="1">
      <alignment horizontal="center" vertical="center" wrapText="1"/>
    </xf>
    <xf numFmtId="0" fontId="16" fillId="2" borderId="32" xfId="0" applyFont="1" applyFill="1" applyBorder="1" applyAlignment="1" applyProtection="1">
      <alignment horizontal="center" vertical="center" wrapText="1"/>
    </xf>
    <xf numFmtId="0" fontId="16" fillId="2" borderId="20" xfId="0" applyFont="1" applyFill="1" applyBorder="1" applyAlignment="1" applyProtection="1">
      <alignment horizontal="center" vertical="center" wrapText="1"/>
    </xf>
    <xf numFmtId="0" fontId="16" fillId="2" borderId="2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6" fillId="7" borderId="4" xfId="0" applyFont="1" applyFill="1" applyBorder="1" applyAlignment="1" applyProtection="1">
      <alignment horizontal="left" vertical="top" wrapText="1"/>
    </xf>
    <xf numFmtId="0" fontId="16" fillId="7" borderId="5" xfId="0" applyFont="1" applyFill="1" applyBorder="1" applyAlignment="1" applyProtection="1">
      <alignment horizontal="left" vertical="top" wrapText="1"/>
    </xf>
    <xf numFmtId="0" fontId="16" fillId="5" borderId="1" xfId="0" applyFont="1" applyFill="1" applyBorder="1" applyAlignment="1" applyProtection="1">
      <alignment horizontal="center" vertical="top" wrapText="1"/>
    </xf>
    <xf numFmtId="0" fontId="16" fillId="5" borderId="2" xfId="0" applyFont="1" applyFill="1" applyBorder="1" applyAlignment="1" applyProtection="1">
      <alignment horizontal="center" vertical="top" wrapText="1"/>
    </xf>
    <xf numFmtId="0" fontId="16" fillId="5" borderId="3" xfId="0" applyFont="1" applyFill="1" applyBorder="1" applyAlignment="1" applyProtection="1">
      <alignment horizontal="center" vertical="top" wrapText="1"/>
    </xf>
    <xf numFmtId="0" fontId="15" fillId="0" borderId="32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6" fillId="2" borderId="30" xfId="0" applyFont="1" applyFill="1" applyBorder="1" applyAlignment="1" applyProtection="1">
      <alignment horizontal="center" vertical="top"/>
    </xf>
    <xf numFmtId="0" fontId="16" fillId="2" borderId="0" xfId="0" applyFont="1" applyFill="1" applyBorder="1" applyAlignment="1" applyProtection="1">
      <alignment horizontal="center" vertical="top"/>
    </xf>
    <xf numFmtId="0" fontId="16" fillId="2" borderId="31" xfId="0" applyFont="1" applyFill="1" applyBorder="1" applyAlignment="1" applyProtection="1">
      <alignment horizontal="center" vertical="top"/>
    </xf>
    <xf numFmtId="0" fontId="19" fillId="7" borderId="35" xfId="0" quotePrefix="1" applyFont="1" applyFill="1" applyBorder="1" applyAlignment="1">
      <alignment horizontal="center" vertical="center"/>
    </xf>
    <xf numFmtId="0" fontId="19" fillId="7" borderId="85" xfId="0" quotePrefix="1" applyFont="1" applyFill="1" applyBorder="1" applyAlignment="1">
      <alignment horizontal="center" vertical="center"/>
    </xf>
    <xf numFmtId="0" fontId="19" fillId="7" borderId="36" xfId="0" quotePrefix="1" applyFont="1" applyFill="1" applyBorder="1" applyAlignment="1">
      <alignment horizontal="center" vertical="center"/>
    </xf>
    <xf numFmtId="0" fontId="16" fillId="7" borderId="5" xfId="0" applyFont="1" applyFill="1" applyBorder="1" applyAlignment="1" applyProtection="1">
      <alignment horizontal="left" vertical="center" wrapText="1"/>
    </xf>
    <xf numFmtId="0" fontId="16" fillId="7" borderId="29" xfId="0" applyFont="1" applyFill="1" applyBorder="1" applyAlignment="1" applyProtection="1">
      <alignment horizontal="left" vertical="center" wrapText="1"/>
    </xf>
    <xf numFmtId="0" fontId="16" fillId="7" borderId="0" xfId="0" applyFont="1" applyFill="1" applyBorder="1" applyAlignment="1" applyProtection="1">
      <alignment horizontal="left" vertical="center" wrapText="1"/>
    </xf>
    <xf numFmtId="0" fontId="16" fillId="7" borderId="31" xfId="0" applyFont="1" applyFill="1" applyBorder="1" applyAlignment="1" applyProtection="1">
      <alignment horizontal="left" vertical="center" wrapText="1"/>
    </xf>
    <xf numFmtId="0" fontId="16" fillId="7" borderId="20" xfId="0" applyFont="1" applyFill="1" applyBorder="1" applyAlignment="1" applyProtection="1">
      <alignment horizontal="left" vertical="center" wrapText="1"/>
    </xf>
    <xf numFmtId="0" fontId="16" fillId="7" borderId="21" xfId="0" applyFont="1" applyFill="1" applyBorder="1" applyAlignment="1" applyProtection="1">
      <alignment horizontal="left" vertical="center" wrapText="1"/>
    </xf>
    <xf numFmtId="0" fontId="19" fillId="5" borderId="1" xfId="0" applyFont="1" applyFill="1" applyBorder="1" applyAlignment="1" applyProtection="1">
      <alignment horizontal="right" vertical="top"/>
    </xf>
    <xf numFmtId="0" fontId="19" fillId="5" borderId="3" xfId="0" applyFont="1" applyFill="1" applyBorder="1" applyAlignment="1" applyProtection="1">
      <alignment horizontal="right" vertical="top"/>
    </xf>
    <xf numFmtId="0" fontId="16" fillId="7" borderId="32" xfId="0" applyFont="1" applyFill="1" applyBorder="1" applyAlignment="1" applyProtection="1">
      <alignment horizontal="right" vertical="top" wrapText="1"/>
    </xf>
    <xf numFmtId="0" fontId="16" fillId="7" borderId="2" xfId="0" applyFont="1" applyFill="1" applyBorder="1" applyAlignment="1" applyProtection="1">
      <alignment horizontal="right" vertical="top" wrapText="1"/>
    </xf>
    <xf numFmtId="0" fontId="16" fillId="7" borderId="20" xfId="0" applyFont="1" applyFill="1" applyBorder="1" applyAlignment="1" applyProtection="1">
      <alignment horizontal="right" vertical="top" wrapText="1"/>
    </xf>
    <xf numFmtId="0" fontId="16" fillId="5" borderId="4" xfId="0" applyFont="1" applyFill="1" applyBorder="1" applyAlignment="1" applyProtection="1">
      <alignment horizontal="center" vertical="top" wrapText="1"/>
    </xf>
    <xf numFmtId="0" fontId="16" fillId="7" borderId="2" xfId="0" applyFont="1" applyFill="1" applyBorder="1" applyAlignment="1" applyProtection="1">
      <alignment horizontal="left" vertical="top" wrapText="1"/>
    </xf>
    <xf numFmtId="0" fontId="16" fillId="7" borderId="30" xfId="0" applyFont="1" applyFill="1" applyBorder="1" applyAlignment="1" applyProtection="1">
      <alignment horizontal="left" vertical="top" wrapText="1"/>
    </xf>
    <xf numFmtId="0" fontId="16" fillId="7" borderId="1" xfId="0" applyFont="1" applyFill="1" applyBorder="1" applyAlignment="1" applyProtection="1">
      <alignment horizontal="left" vertical="center" wrapText="1"/>
    </xf>
    <xf numFmtId="0" fontId="16" fillId="7" borderId="3" xfId="0" applyFont="1" applyFill="1" applyBorder="1" applyAlignment="1" applyProtection="1">
      <alignment horizontal="left" vertical="center" wrapText="1"/>
    </xf>
    <xf numFmtId="0" fontId="16" fillId="7" borderId="21" xfId="0" applyFont="1" applyFill="1" applyBorder="1" applyAlignment="1" applyProtection="1">
      <alignment horizontal="right" vertical="top" wrapText="1"/>
    </xf>
    <xf numFmtId="0" fontId="16" fillId="7" borderId="3" xfId="0" applyFont="1" applyFill="1" applyBorder="1" applyAlignment="1" applyProtection="1">
      <alignment horizontal="right" vertical="top" wrapText="1"/>
    </xf>
    <xf numFmtId="0" fontId="16" fillId="7" borderId="2" xfId="0" applyFont="1" applyFill="1" applyBorder="1" applyAlignment="1" applyProtection="1">
      <alignment horizontal="left" vertical="center" wrapText="1"/>
    </xf>
    <xf numFmtId="0" fontId="16" fillId="7" borderId="1" xfId="0" applyFont="1" applyFill="1" applyBorder="1" applyAlignment="1" applyProtection="1">
      <alignment horizontal="left" vertical="top" wrapText="1"/>
    </xf>
    <xf numFmtId="4" fontId="19" fillId="5" borderId="1" xfId="0" applyNumberFormat="1" applyFont="1" applyFill="1" applyBorder="1" applyAlignment="1" applyProtection="1">
      <alignment horizontal="center" vertical="top"/>
    </xf>
    <xf numFmtId="4" fontId="19" fillId="5" borderId="3" xfId="0" applyNumberFormat="1" applyFont="1" applyFill="1" applyBorder="1" applyAlignment="1" applyProtection="1">
      <alignment horizontal="center" vertical="top"/>
    </xf>
    <xf numFmtId="0" fontId="12" fillId="2" borderId="4" xfId="4" applyFont="1" applyFill="1" applyBorder="1" applyAlignment="1">
      <alignment horizontal="left" vertical="top"/>
    </xf>
    <xf numFmtId="0" fontId="12" fillId="2" borderId="29" xfId="4" applyFont="1" applyFill="1" applyBorder="1" applyAlignment="1">
      <alignment horizontal="left" vertical="top"/>
    </xf>
    <xf numFmtId="0" fontId="12" fillId="2" borderId="32" xfId="4" applyFont="1" applyFill="1" applyBorder="1" applyAlignment="1">
      <alignment horizontal="left" vertical="top"/>
    </xf>
    <xf numFmtId="0" fontId="12" fillId="2" borderId="21" xfId="4" applyFont="1" applyFill="1" applyBorder="1" applyAlignment="1">
      <alignment horizontal="left" vertical="top"/>
    </xf>
    <xf numFmtId="0" fontId="12" fillId="2" borderId="82" xfId="4" applyFont="1" applyFill="1" applyBorder="1" applyAlignment="1">
      <alignment horizontal="left" vertical="top"/>
    </xf>
    <xf numFmtId="0" fontId="12" fillId="2" borderId="130" xfId="4" applyFont="1" applyFill="1" applyBorder="1" applyAlignment="1">
      <alignment horizontal="left" vertical="top"/>
    </xf>
    <xf numFmtId="0" fontId="12" fillId="2" borderId="30" xfId="4" applyFont="1" applyFill="1" applyBorder="1" applyAlignment="1">
      <alignment horizontal="left" vertical="top" wrapText="1"/>
    </xf>
    <xf numFmtId="0" fontId="12" fillId="2" borderId="0" xfId="4" applyFont="1" applyFill="1" applyBorder="1" applyAlignment="1">
      <alignment horizontal="left" vertical="top" wrapText="1"/>
    </xf>
    <xf numFmtId="0" fontId="12" fillId="2" borderId="31" xfId="4" applyFont="1" applyFill="1" applyBorder="1" applyAlignment="1">
      <alignment horizontal="left" vertical="top" wrapText="1"/>
    </xf>
    <xf numFmtId="0" fontId="12" fillId="2" borderId="32" xfId="4" applyFont="1" applyFill="1" applyBorder="1" applyAlignment="1">
      <alignment horizontal="left" vertical="top" wrapText="1"/>
    </xf>
    <xf numFmtId="0" fontId="12" fillId="2" borderId="20" xfId="4" applyFont="1" applyFill="1" applyBorder="1" applyAlignment="1">
      <alignment horizontal="left" vertical="top" wrapText="1"/>
    </xf>
    <xf numFmtId="0" fontId="12" fillId="2" borderId="21" xfId="4" applyFont="1" applyFill="1" applyBorder="1" applyAlignment="1">
      <alignment horizontal="left" vertical="top" wrapText="1"/>
    </xf>
    <xf numFmtId="0" fontId="11" fillId="2" borderId="32" xfId="0" applyFont="1" applyFill="1" applyBorder="1" applyAlignment="1">
      <alignment horizontal="left" vertical="center"/>
    </xf>
    <xf numFmtId="0" fontId="11" fillId="2" borderId="20" xfId="0" applyFont="1" applyFill="1" applyBorder="1" applyAlignment="1">
      <alignment horizontal="left" vertical="center"/>
    </xf>
    <xf numFmtId="0" fontId="11" fillId="2" borderId="21" xfId="0" applyFont="1" applyFill="1" applyBorder="1" applyAlignment="1">
      <alignment horizontal="left" vertical="center"/>
    </xf>
    <xf numFmtId="0" fontId="1" fillId="2" borderId="4" xfId="0" applyFont="1" applyFill="1" applyBorder="1" applyAlignment="1" applyProtection="1">
      <alignment horizontal="center" vertical="top" wrapText="1"/>
    </xf>
    <xf numFmtId="0" fontId="1" fillId="2" borderId="5" xfId="0" applyFont="1" applyFill="1" applyBorder="1" applyAlignment="1" applyProtection="1">
      <alignment horizontal="center" vertical="top"/>
    </xf>
    <xf numFmtId="0" fontId="1" fillId="2" borderId="29" xfId="0" applyFont="1" applyFill="1" applyBorder="1" applyAlignment="1" applyProtection="1">
      <alignment horizontal="center" vertical="top"/>
    </xf>
    <xf numFmtId="0" fontId="1" fillId="2" borderId="30" xfId="0" applyFont="1" applyFill="1" applyBorder="1" applyAlignment="1" applyProtection="1">
      <alignment horizontal="right" vertical="top"/>
    </xf>
    <xf numFmtId="0" fontId="1" fillId="2" borderId="0" xfId="0" applyFont="1" applyFill="1" applyBorder="1" applyAlignment="1" applyProtection="1">
      <alignment horizontal="right" vertical="top"/>
    </xf>
    <xf numFmtId="0" fontId="1" fillId="2" borderId="31" xfId="0" applyFont="1" applyFill="1" applyBorder="1" applyAlignment="1" applyProtection="1">
      <alignment horizontal="right" vertical="top"/>
    </xf>
    <xf numFmtId="0" fontId="7" fillId="2" borderId="32" xfId="0" applyFont="1" applyFill="1" applyBorder="1" applyAlignment="1" applyProtection="1">
      <alignment horizontal="center" vertical="top"/>
    </xf>
    <xf numFmtId="0" fontId="7" fillId="2" borderId="20" xfId="0" applyFont="1" applyFill="1" applyBorder="1" applyAlignment="1" applyProtection="1">
      <alignment horizontal="center" vertical="top"/>
    </xf>
    <xf numFmtId="0" fontId="7" fillId="2" borderId="21" xfId="0" applyFont="1" applyFill="1" applyBorder="1" applyAlignment="1" applyProtection="1">
      <alignment horizontal="center" vertical="top"/>
    </xf>
    <xf numFmtId="0" fontId="16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1" fillId="2" borderId="108" xfId="4" applyFont="1" applyFill="1" applyBorder="1" applyAlignment="1">
      <alignment horizontal="left" vertical="top"/>
    </xf>
    <xf numFmtId="0" fontId="12" fillId="2" borderId="30" xfId="4" applyFont="1" applyFill="1" applyBorder="1" applyAlignment="1">
      <alignment horizontal="left" vertical="top"/>
    </xf>
    <xf numFmtId="0" fontId="12" fillId="2" borderId="0" xfId="4" applyFont="1" applyFill="1" applyBorder="1" applyAlignment="1">
      <alignment horizontal="left" vertical="top"/>
    </xf>
    <xf numFmtId="0" fontId="12" fillId="2" borderId="31" xfId="4" applyFont="1" applyFill="1" applyBorder="1" applyAlignment="1">
      <alignment horizontal="left" vertical="top"/>
    </xf>
    <xf numFmtId="0" fontId="16" fillId="7" borderId="1" xfId="0" applyFont="1" applyFill="1" applyBorder="1" applyAlignment="1">
      <alignment horizontal="right" vertical="center"/>
    </xf>
    <xf numFmtId="0" fontId="16" fillId="7" borderId="2" xfId="0" applyFont="1" applyFill="1" applyBorder="1" applyAlignment="1">
      <alignment horizontal="right" vertical="center"/>
    </xf>
    <xf numFmtId="0" fontId="16" fillId="5" borderId="46" xfId="0" applyFont="1" applyFill="1" applyBorder="1" applyAlignment="1" applyProtection="1">
      <alignment horizontal="center" vertical="center" wrapText="1"/>
    </xf>
    <xf numFmtId="0" fontId="16" fillId="5" borderId="9" xfId="0" applyFont="1" applyFill="1" applyBorder="1" applyAlignment="1" applyProtection="1">
      <alignment horizontal="center" vertical="center" wrapText="1"/>
    </xf>
    <xf numFmtId="0" fontId="16" fillId="5" borderId="50" xfId="0" applyFont="1" applyFill="1" applyBorder="1" applyAlignment="1" applyProtection="1">
      <alignment horizontal="center" vertical="center" wrapText="1"/>
    </xf>
    <xf numFmtId="0" fontId="16" fillId="5" borderId="47" xfId="0" applyFont="1" applyFill="1" applyBorder="1" applyAlignment="1" applyProtection="1">
      <alignment horizontal="center" vertical="center" wrapText="1"/>
    </xf>
    <xf numFmtId="0" fontId="16" fillId="5" borderId="49" xfId="0" applyFont="1" applyFill="1" applyBorder="1" applyAlignment="1" applyProtection="1">
      <alignment horizontal="center" vertical="center" wrapText="1"/>
    </xf>
    <xf numFmtId="0" fontId="16" fillId="5" borderId="51" xfId="0" applyFont="1" applyFill="1" applyBorder="1" applyAlignment="1" applyProtection="1">
      <alignment horizontal="center" vertical="center" wrapText="1"/>
    </xf>
    <xf numFmtId="0" fontId="16" fillId="7" borderId="58" xfId="0" applyFont="1" applyFill="1" applyBorder="1" applyAlignment="1">
      <alignment horizontal="left" vertical="center" wrapText="1"/>
    </xf>
    <xf numFmtId="0" fontId="16" fillId="7" borderId="59" xfId="0" applyFont="1" applyFill="1" applyBorder="1" applyAlignment="1">
      <alignment horizontal="left" vertical="center" wrapText="1"/>
    </xf>
    <xf numFmtId="0" fontId="11" fillId="2" borderId="5" xfId="4" applyFont="1" applyFill="1" applyBorder="1" applyAlignment="1">
      <alignment horizontal="left" vertical="top"/>
    </xf>
    <xf numFmtId="0" fontId="11" fillId="2" borderId="20" xfId="4" applyFont="1" applyFill="1" applyBorder="1" applyAlignment="1">
      <alignment horizontal="left" vertical="top"/>
    </xf>
    <xf numFmtId="0" fontId="16" fillId="5" borderId="26" xfId="0" applyFont="1" applyFill="1" applyBorder="1" applyAlignment="1" applyProtection="1">
      <alignment horizontal="center" vertical="center" wrapText="1"/>
    </xf>
    <xf numFmtId="0" fontId="16" fillId="5" borderId="14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20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32" xfId="0" applyFont="1" applyFill="1" applyBorder="1" applyAlignment="1" applyProtection="1">
      <alignment horizontal="center" vertical="center" wrapText="1"/>
    </xf>
    <xf numFmtId="0" fontId="1" fillId="5" borderId="35" xfId="0" applyFont="1" applyFill="1" applyBorder="1" applyAlignment="1" applyProtection="1">
      <alignment horizontal="center" vertical="center" wrapText="1"/>
    </xf>
    <xf numFmtId="0" fontId="1" fillId="5" borderId="36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right" vertical="center"/>
    </xf>
    <xf numFmtId="0" fontId="1" fillId="2" borderId="3" xfId="0" applyFont="1" applyFill="1" applyBorder="1" applyAlignment="1" applyProtection="1">
      <alignment horizontal="righ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1" fillId="5" borderId="85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8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50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 applyProtection="1">
      <alignment horizontal="right" vertical="center"/>
    </xf>
    <xf numFmtId="0" fontId="16" fillId="2" borderId="66" xfId="0" quotePrefix="1" applyFont="1" applyFill="1" applyBorder="1" applyAlignment="1">
      <alignment horizontal="center" vertical="center"/>
    </xf>
    <xf numFmtId="0" fontId="16" fillId="2" borderId="13" xfId="0" quotePrefix="1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42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 applyProtection="1">
      <alignment horizontal="right" vertical="center"/>
    </xf>
    <xf numFmtId="0" fontId="1" fillId="5" borderId="2" xfId="0" applyFont="1" applyFill="1" applyBorder="1" applyAlignment="1" applyProtection="1">
      <alignment horizontal="right" vertical="center"/>
    </xf>
    <xf numFmtId="0" fontId="1" fillId="5" borderId="20" xfId="0" applyFont="1" applyFill="1" applyBorder="1" applyAlignment="1" applyProtection="1">
      <alignment horizontal="right" vertical="center"/>
    </xf>
    <xf numFmtId="0" fontId="1" fillId="5" borderId="21" xfId="0" applyFont="1" applyFill="1" applyBorder="1" applyAlignment="1" applyProtection="1">
      <alignment horizontal="right" vertical="center"/>
    </xf>
    <xf numFmtId="0" fontId="16" fillId="2" borderId="32" xfId="0" applyFont="1" applyFill="1" applyBorder="1" applyAlignment="1" applyProtection="1">
      <alignment horizontal="center" vertical="top"/>
    </xf>
    <xf numFmtId="0" fontId="16" fillId="2" borderId="20" xfId="0" applyFont="1" applyFill="1" applyBorder="1" applyAlignment="1" applyProtection="1">
      <alignment horizontal="center" vertical="top"/>
    </xf>
    <xf numFmtId="0" fontId="16" fillId="2" borderId="21" xfId="0" applyFont="1" applyFill="1" applyBorder="1" applyAlignment="1" applyProtection="1">
      <alignment horizontal="center" vertical="top"/>
    </xf>
    <xf numFmtId="0" fontId="7" fillId="2" borderId="30" xfId="0" applyFont="1" applyFill="1" applyBorder="1" applyAlignment="1" applyProtection="1">
      <alignment horizontal="center" vertical="top"/>
    </xf>
    <xf numFmtId="0" fontId="7" fillId="2" borderId="0" xfId="0" applyFont="1" applyFill="1" applyBorder="1" applyAlignment="1" applyProtection="1">
      <alignment horizontal="center" vertical="top"/>
    </xf>
    <xf numFmtId="0" fontId="12" fillId="2" borderId="4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</xf>
    <xf numFmtId="0" fontId="12" fillId="2" borderId="29" xfId="0" applyFont="1" applyFill="1" applyBorder="1" applyAlignment="1" applyProtection="1">
      <alignment horizontal="center" vertical="center" wrapText="1"/>
    </xf>
    <xf numFmtId="0" fontId="12" fillId="2" borderId="32" xfId="0" applyFont="1" applyFill="1" applyBorder="1" applyAlignment="1" applyProtection="1">
      <alignment horizontal="center" vertical="center" wrapText="1"/>
    </xf>
    <xf numFmtId="0" fontId="12" fillId="2" borderId="20" xfId="0" applyFont="1" applyFill="1" applyBorder="1" applyAlignment="1" applyProtection="1">
      <alignment horizontal="center" vertical="center" wrapText="1"/>
    </xf>
    <xf numFmtId="0" fontId="12" fillId="2" borderId="2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10" fontId="2" fillId="0" borderId="32" xfId="0" applyNumberFormat="1" applyFont="1" applyFill="1" applyBorder="1" applyAlignment="1">
      <alignment horizontal="center" vertical="center"/>
    </xf>
    <xf numFmtId="10" fontId="2" fillId="0" borderId="2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1" fillId="11" borderId="30" xfId="6" applyNumberFormat="1" applyFont="1" applyFill="1" applyBorder="1" applyAlignment="1">
      <alignment vertical="top"/>
    </xf>
    <xf numFmtId="0" fontId="11" fillId="11" borderId="0" xfId="6" applyNumberFormat="1" applyFont="1" applyFill="1" applyBorder="1" applyAlignment="1">
      <alignment vertical="top"/>
    </xf>
    <xf numFmtId="0" fontId="11" fillId="11" borderId="31" xfId="6" applyNumberFormat="1" applyFont="1" applyFill="1" applyBorder="1" applyAlignment="1">
      <alignment vertical="top"/>
    </xf>
    <xf numFmtId="0" fontId="11" fillId="11" borderId="32" xfId="6" applyNumberFormat="1" applyFont="1" applyFill="1" applyBorder="1" applyAlignment="1">
      <alignment vertical="top"/>
    </xf>
    <xf numFmtId="0" fontId="11" fillId="11" borderId="20" xfId="6" applyNumberFormat="1" applyFont="1" applyFill="1" applyBorder="1" applyAlignment="1">
      <alignment vertical="top"/>
    </xf>
    <xf numFmtId="0" fontId="11" fillId="11" borderId="21" xfId="6" applyNumberFormat="1" applyFont="1" applyFill="1" applyBorder="1" applyAlignment="1">
      <alignment vertical="top"/>
    </xf>
    <xf numFmtId="0" fontId="1" fillId="0" borderId="2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2" fillId="11" borderId="30" xfId="6" applyNumberFormat="1" applyFont="1" applyFill="1" applyBorder="1" applyAlignment="1">
      <alignment vertical="top"/>
    </xf>
    <xf numFmtId="0" fontId="12" fillId="11" borderId="0" xfId="6" applyNumberFormat="1" applyFont="1" applyFill="1" applyBorder="1" applyAlignment="1">
      <alignment vertical="top"/>
    </xf>
    <xf numFmtId="0" fontId="12" fillId="11" borderId="31" xfId="6" applyNumberFormat="1" applyFont="1" applyFill="1" applyBorder="1" applyAlignment="1">
      <alignment vertical="top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9" xfId="0" applyFont="1" applyFill="1" applyBorder="1" applyAlignment="1">
      <alignment horizontal="center" vertical="center"/>
    </xf>
    <xf numFmtId="0" fontId="16" fillId="2" borderId="3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82" xfId="0" applyFont="1" applyFill="1" applyBorder="1" applyAlignment="1">
      <alignment horizontal="center" vertical="center"/>
    </xf>
    <xf numFmtId="0" fontId="16" fillId="2" borderId="108" xfId="0" applyFont="1" applyFill="1" applyBorder="1" applyAlignment="1">
      <alignment horizontal="center" vertical="center"/>
    </xf>
    <xf numFmtId="0" fontId="1" fillId="5" borderId="3" xfId="0" applyFont="1" applyFill="1" applyBorder="1" applyAlignment="1" applyProtection="1">
      <alignment horizontal="right" vertical="center"/>
    </xf>
    <xf numFmtId="0" fontId="1" fillId="5" borderId="32" xfId="0" applyFont="1" applyFill="1" applyBorder="1" applyAlignment="1" applyProtection="1">
      <alignment horizontal="right" vertical="center"/>
    </xf>
    <xf numFmtId="0" fontId="1" fillId="2" borderId="20" xfId="0" applyFont="1" applyFill="1" applyBorder="1" applyAlignment="1" applyProtection="1">
      <alignment horizontal="right" vertical="center"/>
    </xf>
    <xf numFmtId="0" fontId="1" fillId="2" borderId="21" xfId="0" applyFont="1" applyFill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16" fillId="2" borderId="46" xfId="0" applyFont="1" applyFill="1" applyBorder="1" applyAlignment="1">
      <alignment horizontal="center" vertical="center" wrapText="1"/>
    </xf>
    <xf numFmtId="0" fontId="16" fillId="2" borderId="109" xfId="0" applyFont="1" applyFill="1" applyBorder="1" applyAlignment="1">
      <alignment horizontal="center" vertical="center" wrapText="1"/>
    </xf>
    <xf numFmtId="0" fontId="16" fillId="2" borderId="106" xfId="0" applyFont="1" applyFill="1" applyBorder="1" applyAlignment="1">
      <alignment horizontal="center" vertical="center" wrapText="1"/>
    </xf>
    <xf numFmtId="43" fontId="7" fillId="2" borderId="13" xfId="0" applyNumberFormat="1" applyFont="1" applyFill="1" applyBorder="1" applyAlignment="1">
      <alignment horizontal="center" vertical="center"/>
    </xf>
    <xf numFmtId="43" fontId="7" fillId="2" borderId="6" xfId="0" applyNumberFormat="1" applyFont="1" applyFill="1" applyBorder="1" applyAlignment="1">
      <alignment horizontal="center" vertical="center"/>
    </xf>
    <xf numFmtId="43" fontId="7" fillId="2" borderId="14" xfId="0" applyNumberFormat="1" applyFont="1" applyFill="1" applyBorder="1" applyAlignment="1">
      <alignment horizontal="center" vertical="center"/>
    </xf>
    <xf numFmtId="43" fontId="7" fillId="2" borderId="9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43" fontId="7" fillId="2" borderId="18" xfId="0" applyNumberFormat="1" applyFont="1" applyFill="1" applyBorder="1" applyAlignment="1">
      <alignment horizontal="center" vertical="center"/>
    </xf>
    <xf numFmtId="43" fontId="16" fillId="2" borderId="45" xfId="0" applyNumberFormat="1" applyFont="1" applyFill="1" applyBorder="1" applyAlignment="1">
      <alignment horizontal="center" vertical="center"/>
    </xf>
    <xf numFmtId="0" fontId="16" fillId="2" borderId="47" xfId="0" applyFont="1" applyFill="1" applyBorder="1" applyAlignment="1">
      <alignment horizontal="center" vertical="center" wrapText="1"/>
    </xf>
    <xf numFmtId="0" fontId="16" fillId="2" borderId="107" xfId="0" applyFont="1" applyFill="1" applyBorder="1" applyAlignment="1">
      <alignment horizontal="center" vertical="center" wrapText="1"/>
    </xf>
    <xf numFmtId="43" fontId="7" fillId="2" borderId="67" xfId="0" applyNumberFormat="1" applyFont="1" applyFill="1" applyBorder="1" applyAlignment="1">
      <alignment horizontal="center" vertical="center"/>
    </xf>
    <xf numFmtId="43" fontId="7" fillId="2" borderId="49" xfId="0" applyNumberFormat="1" applyFont="1" applyFill="1" applyBorder="1" applyAlignment="1">
      <alignment horizontal="center" vertical="center"/>
    </xf>
    <xf numFmtId="43" fontId="7" fillId="2" borderId="53" xfId="0" applyNumberFormat="1" applyFont="1" applyFill="1" applyBorder="1" applyAlignment="1">
      <alignment horizontal="center" vertical="center"/>
    </xf>
    <xf numFmtId="43" fontId="16" fillId="2" borderId="39" xfId="0" applyNumberFormat="1" applyFont="1" applyFill="1" applyBorder="1" applyAlignment="1">
      <alignment horizontal="center" vertical="center"/>
    </xf>
    <xf numFmtId="0" fontId="12" fillId="2" borderId="4" xfId="6" applyNumberFormat="1" applyFont="1" applyFill="1" applyBorder="1" applyAlignment="1">
      <alignment vertical="top"/>
    </xf>
    <xf numFmtId="0" fontId="12" fillId="2" borderId="5" xfId="6" applyNumberFormat="1" applyFont="1" applyFill="1" applyBorder="1" applyAlignment="1">
      <alignment vertical="top"/>
    </xf>
    <xf numFmtId="0" fontId="12" fillId="2" borderId="29" xfId="6" applyNumberFormat="1" applyFont="1" applyFill="1" applyBorder="1" applyAlignment="1">
      <alignment vertical="top"/>
    </xf>
    <xf numFmtId="0" fontId="11" fillId="2" borderId="32" xfId="6" applyNumberFormat="1" applyFont="1" applyFill="1" applyBorder="1" applyAlignment="1">
      <alignment vertical="top"/>
    </xf>
    <xf numFmtId="0" fontId="11" fillId="2" borderId="20" xfId="6" applyNumberFormat="1" applyFont="1" applyFill="1" applyBorder="1" applyAlignment="1">
      <alignment vertical="top"/>
    </xf>
    <xf numFmtId="0" fontId="11" fillId="2" borderId="21" xfId="6" applyNumberFormat="1" applyFont="1" applyFill="1" applyBorder="1" applyAlignment="1">
      <alignment vertical="top"/>
    </xf>
    <xf numFmtId="0" fontId="12" fillId="11" borderId="4" xfId="6" applyNumberFormat="1" applyFont="1" applyFill="1" applyBorder="1" applyAlignment="1">
      <alignment vertical="top"/>
    </xf>
    <xf numFmtId="0" fontId="12" fillId="11" borderId="5" xfId="6" applyNumberFormat="1" applyFont="1" applyFill="1" applyBorder="1" applyAlignment="1">
      <alignment vertical="top"/>
    </xf>
    <xf numFmtId="0" fontId="12" fillId="11" borderId="29" xfId="6" applyNumberFormat="1" applyFont="1" applyFill="1" applyBorder="1" applyAlignment="1">
      <alignment vertical="top"/>
    </xf>
    <xf numFmtId="43" fontId="7" fillId="2" borderId="14" xfId="0" applyNumberFormat="1" applyFont="1" applyFill="1" applyBorder="1" applyAlignment="1">
      <alignment horizontal="center" vertical="center" wrapText="1"/>
    </xf>
    <xf numFmtId="43" fontId="7" fillId="2" borderId="9" xfId="0" applyNumberFormat="1" applyFont="1" applyFill="1" applyBorder="1" applyAlignment="1">
      <alignment horizontal="center" vertical="center" wrapText="1"/>
    </xf>
    <xf numFmtId="43" fontId="7" fillId="2" borderId="10" xfId="0" applyNumberFormat="1" applyFont="1" applyFill="1" applyBorder="1" applyAlignment="1">
      <alignment horizontal="center" vertical="center"/>
    </xf>
    <xf numFmtId="43" fontId="16" fillId="2" borderId="38" xfId="0" applyNumberFormat="1" applyFont="1" applyFill="1" applyBorder="1" applyAlignment="1">
      <alignment horizontal="center" vertical="center"/>
    </xf>
    <xf numFmtId="0" fontId="11" fillId="11" borderId="32" xfId="6" applyNumberFormat="1" applyFont="1" applyFill="1" applyBorder="1" applyAlignment="1">
      <alignment horizontal="left" vertical="top"/>
    </xf>
    <xf numFmtId="0" fontId="11" fillId="11" borderId="20" xfId="6" applyNumberFormat="1" applyFont="1" applyFill="1" applyBorder="1" applyAlignment="1">
      <alignment horizontal="left" vertical="top"/>
    </xf>
    <xf numFmtId="0" fontId="11" fillId="11" borderId="21" xfId="6" applyNumberFormat="1" applyFont="1" applyFill="1" applyBorder="1" applyAlignment="1">
      <alignment horizontal="left" vertical="top"/>
    </xf>
    <xf numFmtId="0" fontId="11" fillId="11" borderId="30" xfId="6" applyNumberFormat="1" applyFont="1" applyFill="1" applyBorder="1" applyAlignment="1">
      <alignment horizontal="left" vertical="top"/>
    </xf>
    <xf numFmtId="0" fontId="11" fillId="11" borderId="0" xfId="6" applyNumberFormat="1" applyFont="1" applyFill="1" applyBorder="1" applyAlignment="1">
      <alignment horizontal="left" vertical="top"/>
    </xf>
    <xf numFmtId="0" fontId="11" fillId="11" borderId="31" xfId="6" applyNumberFormat="1" applyFont="1" applyFill="1" applyBorder="1" applyAlignment="1">
      <alignment horizontal="left" vertical="top"/>
    </xf>
    <xf numFmtId="0" fontId="12" fillId="11" borderId="4" xfId="6" applyNumberFormat="1" applyFont="1" applyFill="1" applyBorder="1" applyAlignment="1">
      <alignment horizontal="left" vertical="top"/>
    </xf>
    <xf numFmtId="0" fontId="12" fillId="11" borderId="5" xfId="6" applyNumberFormat="1" applyFont="1" applyFill="1" applyBorder="1" applyAlignment="1">
      <alignment horizontal="left" vertical="top"/>
    </xf>
    <xf numFmtId="0" fontId="12" fillId="11" borderId="29" xfId="6" applyNumberFormat="1" applyFont="1" applyFill="1" applyBorder="1" applyAlignment="1">
      <alignment horizontal="left" vertical="top"/>
    </xf>
    <xf numFmtId="0" fontId="2" fillId="2" borderId="26" xfId="0" applyFont="1" applyFill="1" applyBorder="1" applyAlignment="1" applyProtection="1">
      <alignment horizontal="right" vertical="center"/>
    </xf>
    <xf numFmtId="0" fontId="2" fillId="2" borderId="46" xfId="0" applyFont="1" applyFill="1" applyBorder="1" applyAlignment="1" applyProtection="1">
      <alignment horizontal="right" vertical="center"/>
    </xf>
    <xf numFmtId="0" fontId="2" fillId="2" borderId="27" xfId="0" applyFont="1" applyFill="1" applyBorder="1" applyAlignment="1" applyProtection="1">
      <alignment horizontal="right" vertical="center"/>
    </xf>
    <xf numFmtId="0" fontId="2" fillId="2" borderId="10" xfId="0" applyFont="1" applyFill="1" applyBorder="1" applyAlignment="1" applyProtection="1">
      <alignment horizontal="right" vertical="center"/>
    </xf>
    <xf numFmtId="0" fontId="2" fillId="2" borderId="18" xfId="0" applyFont="1" applyFill="1" applyBorder="1" applyAlignment="1" applyProtection="1">
      <alignment horizontal="right" vertical="center"/>
    </xf>
    <xf numFmtId="0" fontId="2" fillId="2" borderId="22" xfId="0" applyFont="1" applyFill="1" applyBorder="1" applyAlignment="1" applyProtection="1">
      <alignment horizontal="right" vertical="center"/>
    </xf>
    <xf numFmtId="0" fontId="1" fillId="3" borderId="38" xfId="0" applyFont="1" applyFill="1" applyBorder="1" applyAlignment="1" applyProtection="1">
      <alignment horizontal="right" vertical="center"/>
    </xf>
    <xf numFmtId="0" fontId="1" fillId="3" borderId="45" xfId="0" applyFont="1" applyFill="1" applyBorder="1" applyAlignment="1" applyProtection="1">
      <alignment horizontal="right" vertical="center"/>
    </xf>
    <xf numFmtId="0" fontId="1" fillId="3" borderId="60" xfId="0" applyFont="1" applyFill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/>
    </xf>
    <xf numFmtId="0" fontId="12" fillId="2" borderId="4" xfId="6" applyNumberFormat="1" applyFont="1" applyFill="1" applyBorder="1" applyAlignment="1">
      <alignment horizontal="left" vertical="top"/>
    </xf>
    <xf numFmtId="0" fontId="12" fillId="2" borderId="5" xfId="6" applyNumberFormat="1" applyFont="1" applyFill="1" applyBorder="1" applyAlignment="1">
      <alignment horizontal="left" vertical="top"/>
    </xf>
    <xf numFmtId="0" fontId="11" fillId="2" borderId="32" xfId="6" applyNumberFormat="1" applyFont="1" applyFill="1" applyBorder="1" applyAlignment="1">
      <alignment horizontal="left" vertical="top"/>
    </xf>
    <xf numFmtId="0" fontId="11" fillId="2" borderId="20" xfId="6" applyNumberFormat="1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50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1" fillId="2" borderId="70" xfId="0" quotePrefix="1" applyFont="1" applyFill="1" applyBorder="1" applyAlignment="1">
      <alignment horizontal="center" vertical="center"/>
    </xf>
    <xf numFmtId="0" fontId="1" fillId="2" borderId="48" xfId="0" quotePrefix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left" vertical="center" wrapText="1"/>
    </xf>
    <xf numFmtId="0" fontId="2" fillId="2" borderId="4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5" xfId="0" applyFont="1" applyFill="1" applyBorder="1" applyAlignment="1" applyProtection="1">
      <alignment horizontal="center" vertical="center" wrapText="1"/>
    </xf>
    <xf numFmtId="0" fontId="1" fillId="2" borderId="85" xfId="0" applyFont="1" applyFill="1" applyBorder="1" applyAlignment="1" applyProtection="1">
      <alignment horizontal="center" vertical="center" wrapText="1"/>
    </xf>
    <xf numFmtId="4" fontId="1" fillId="2" borderId="35" xfId="0" applyNumberFormat="1" applyFont="1" applyFill="1" applyBorder="1" applyAlignment="1" applyProtection="1">
      <alignment horizontal="center" vertical="center" wrapText="1"/>
    </xf>
    <xf numFmtId="0" fontId="1" fillId="2" borderId="4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6" fillId="2" borderId="32" xfId="0" applyFont="1" applyFill="1" applyBorder="1" applyAlignment="1" applyProtection="1">
      <alignment horizontal="right" vertical="top"/>
    </xf>
    <xf numFmtId="0" fontId="16" fillId="2" borderId="20" xfId="0" applyFont="1" applyFill="1" applyBorder="1" applyAlignment="1" applyProtection="1">
      <alignment horizontal="right" vertical="top"/>
    </xf>
    <xf numFmtId="0" fontId="16" fillId="2" borderId="21" xfId="0" applyFont="1" applyFill="1" applyBorder="1" applyAlignment="1" applyProtection="1">
      <alignment horizontal="right" vertical="top"/>
    </xf>
    <xf numFmtId="0" fontId="2" fillId="2" borderId="63" xfId="0" applyFont="1" applyFill="1" applyBorder="1" applyAlignment="1" applyProtection="1">
      <alignment horizontal="right" vertical="center"/>
    </xf>
    <xf numFmtId="0" fontId="2" fillId="2" borderId="58" xfId="0" applyFont="1" applyFill="1" applyBorder="1" applyAlignment="1" applyProtection="1">
      <alignment horizontal="right" vertical="center"/>
    </xf>
    <xf numFmtId="0" fontId="2" fillId="2" borderId="64" xfId="0" applyFont="1" applyFill="1" applyBorder="1" applyAlignment="1" applyProtection="1">
      <alignment horizontal="right" vertical="center"/>
    </xf>
    <xf numFmtId="0" fontId="2" fillId="2" borderId="38" xfId="0" applyFont="1" applyFill="1" applyBorder="1" applyAlignment="1" applyProtection="1">
      <alignment horizontal="right" vertical="center"/>
    </xf>
    <xf numFmtId="0" fontId="2" fillId="2" borderId="45" xfId="0" applyFont="1" applyFill="1" applyBorder="1" applyAlignment="1" applyProtection="1">
      <alignment horizontal="right" vertical="center"/>
    </xf>
    <xf numFmtId="0" fontId="2" fillId="2" borderId="60" xfId="0" applyFont="1" applyFill="1" applyBorder="1" applyAlignment="1" applyProtection="1">
      <alignment horizontal="right" vertical="center"/>
    </xf>
    <xf numFmtId="0" fontId="1" fillId="3" borderId="3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31" xfId="0" applyFont="1" applyFill="1" applyBorder="1" applyAlignment="1">
      <alignment horizontal="left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8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2" borderId="3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31" xfId="0" applyFont="1" applyFill="1" applyBorder="1" applyAlignment="1">
      <alignment vertical="center" wrapText="1"/>
    </xf>
    <xf numFmtId="0" fontId="1" fillId="5" borderId="47" xfId="0" applyFont="1" applyFill="1" applyBorder="1" applyAlignment="1" applyProtection="1">
      <alignment horizontal="center" vertical="center" wrapText="1"/>
    </xf>
    <xf numFmtId="0" fontId="1" fillId="5" borderId="49" xfId="0" applyFont="1" applyFill="1" applyBorder="1" applyAlignment="1" applyProtection="1">
      <alignment horizontal="center" vertical="center" wrapText="1"/>
    </xf>
    <xf numFmtId="0" fontId="1" fillId="5" borderId="51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30" xfId="4" applyFont="1" applyFill="1" applyBorder="1" applyAlignment="1">
      <alignment horizontal="left" vertical="top"/>
    </xf>
    <xf numFmtId="0" fontId="2" fillId="2" borderId="0" xfId="4" applyFont="1" applyFill="1" applyBorder="1" applyAlignment="1">
      <alignment horizontal="left" vertical="top"/>
    </xf>
    <xf numFmtId="0" fontId="2" fillId="2" borderId="89" xfId="4" applyFont="1" applyFill="1" applyBorder="1" applyAlignment="1">
      <alignment horizontal="left" vertical="top"/>
    </xf>
    <xf numFmtId="0" fontId="1" fillId="5" borderId="26" xfId="0" applyFon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19" xfId="0" applyFont="1" applyFill="1" applyBorder="1" applyAlignment="1" applyProtection="1">
      <alignment horizontal="center" vertical="center" wrapText="1"/>
    </xf>
    <xf numFmtId="0" fontId="1" fillId="5" borderId="46" xfId="0" applyFont="1" applyFill="1" applyBorder="1" applyAlignment="1" applyProtection="1">
      <alignment horizontal="center" vertical="center" wrapText="1"/>
    </xf>
    <xf numFmtId="0" fontId="1" fillId="5" borderId="9" xfId="0" applyFont="1" applyFill="1" applyBorder="1" applyAlignment="1" applyProtection="1">
      <alignment horizontal="center" vertical="center" wrapText="1"/>
    </xf>
    <xf numFmtId="0" fontId="1" fillId="5" borderId="50" xfId="0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1" fillId="7" borderId="60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2" fillId="2" borderId="77" xfId="4" applyFont="1" applyFill="1" applyBorder="1" applyAlignment="1">
      <alignment horizontal="left" vertical="top"/>
    </xf>
    <xf numFmtId="0" fontId="2" fillId="2" borderId="62" xfId="4" applyFont="1" applyFill="1" applyBorder="1" applyAlignment="1">
      <alignment horizontal="left" vertical="top"/>
    </xf>
    <xf numFmtId="0" fontId="1" fillId="2" borderId="114" xfId="4" applyFont="1" applyFill="1" applyBorder="1" applyAlignment="1">
      <alignment horizontal="left" vertical="top"/>
    </xf>
    <xf numFmtId="0" fontId="1" fillId="2" borderId="115" xfId="4" applyFont="1" applyFill="1" applyBorder="1" applyAlignment="1">
      <alignment horizontal="left" vertical="top"/>
    </xf>
    <xf numFmtId="0" fontId="1" fillId="2" borderId="116" xfId="4" applyFont="1" applyFill="1" applyBorder="1" applyAlignment="1">
      <alignment horizontal="left" vertical="top"/>
    </xf>
    <xf numFmtId="0" fontId="2" fillId="2" borderId="4" xfId="4" applyFont="1" applyFill="1" applyBorder="1" applyAlignment="1">
      <alignment horizontal="left" vertical="top"/>
    </xf>
    <xf numFmtId="0" fontId="2" fillId="2" borderId="5" xfId="4" applyFont="1" applyFill="1" applyBorder="1" applyAlignment="1">
      <alignment horizontal="left" vertical="top"/>
    </xf>
    <xf numFmtId="0" fontId="2" fillId="2" borderId="29" xfId="4" applyFont="1" applyFill="1" applyBorder="1" applyAlignment="1">
      <alignment horizontal="left" vertical="top"/>
    </xf>
    <xf numFmtId="0" fontId="2" fillId="2" borderId="32" xfId="4" applyFont="1" applyFill="1" applyBorder="1" applyAlignment="1">
      <alignment horizontal="left" vertical="top"/>
    </xf>
    <xf numFmtId="0" fontId="2" fillId="2" borderId="20" xfId="4" applyFont="1" applyFill="1" applyBorder="1" applyAlignment="1">
      <alignment horizontal="left" vertical="top"/>
    </xf>
    <xf numFmtId="0" fontId="2" fillId="2" borderId="21" xfId="4" applyFont="1" applyFill="1" applyBorder="1" applyAlignment="1">
      <alignment horizontal="left" vertical="top"/>
    </xf>
    <xf numFmtId="3" fontId="1" fillId="3" borderId="1" xfId="5" applyFont="1" applyFill="1" applyBorder="1" applyAlignment="1">
      <alignment horizontal="right" vertical="center"/>
    </xf>
    <xf numFmtId="3" fontId="1" fillId="3" borderId="2" xfId="5" applyFont="1" applyFill="1" applyBorder="1" applyAlignment="1">
      <alignment horizontal="right" vertical="center"/>
    </xf>
    <xf numFmtId="3" fontId="1" fillId="3" borderId="3" xfId="5" applyFont="1" applyFill="1" applyBorder="1" applyAlignment="1">
      <alignment horizontal="right" vertical="center"/>
    </xf>
    <xf numFmtId="3" fontId="16" fillId="5" borderId="1" xfId="5" applyFont="1" applyFill="1" applyBorder="1" applyAlignment="1">
      <alignment horizontal="right" vertical="center"/>
    </xf>
    <xf numFmtId="3" fontId="16" fillId="5" borderId="2" xfId="5" applyFont="1" applyFill="1" applyBorder="1" applyAlignment="1">
      <alignment horizontal="right" vertical="center"/>
    </xf>
    <xf numFmtId="3" fontId="16" fillId="5" borderId="3" xfId="5" applyFont="1" applyFill="1" applyBorder="1" applyAlignment="1">
      <alignment horizontal="right" vertical="center"/>
    </xf>
    <xf numFmtId="3" fontId="16" fillId="2" borderId="0" xfId="5" applyFont="1" applyFill="1" applyBorder="1" applyAlignment="1">
      <alignment horizontal="center" vertical="center"/>
    </xf>
    <xf numFmtId="3" fontId="16" fillId="5" borderId="1" xfId="5" applyFont="1" applyFill="1" applyBorder="1" applyAlignment="1">
      <alignment horizontal="left" vertical="center" wrapText="1"/>
    </xf>
    <xf numFmtId="3" fontId="16" fillId="5" borderId="2" xfId="5" applyFont="1" applyFill="1" applyBorder="1" applyAlignment="1">
      <alignment horizontal="left" vertical="center" wrapText="1"/>
    </xf>
    <xf numFmtId="3" fontId="16" fillId="5" borderId="5" xfId="5" applyFont="1" applyFill="1" applyBorder="1" applyAlignment="1">
      <alignment horizontal="left" vertical="center" wrapText="1"/>
    </xf>
    <xf numFmtId="3" fontId="16" fillId="5" borderId="29" xfId="5" applyFont="1" applyFill="1" applyBorder="1" applyAlignment="1">
      <alignment horizontal="left" vertical="center" wrapText="1"/>
    </xf>
    <xf numFmtId="3" fontId="16" fillId="5" borderId="3" xfId="5" applyFont="1" applyFill="1" applyBorder="1" applyAlignment="1">
      <alignment horizontal="left" vertical="center" wrapText="1"/>
    </xf>
    <xf numFmtId="0" fontId="11" fillId="2" borderId="32" xfId="4" applyFont="1" applyFill="1" applyBorder="1" applyAlignment="1">
      <alignment vertical="top"/>
    </xf>
    <xf numFmtId="0" fontId="11" fillId="2" borderId="20" xfId="4" applyFont="1" applyFill="1" applyBorder="1" applyAlignment="1">
      <alignment vertical="top"/>
    </xf>
    <xf numFmtId="0" fontId="11" fillId="2" borderId="21" xfId="4" applyFont="1" applyFill="1" applyBorder="1" applyAlignment="1">
      <alignment vertical="top"/>
    </xf>
    <xf numFmtId="0" fontId="11" fillId="2" borderId="4" xfId="4" applyFont="1" applyFill="1" applyBorder="1" applyAlignment="1">
      <alignment vertical="top"/>
    </xf>
    <xf numFmtId="0" fontId="11" fillId="2" borderId="5" xfId="4" applyFont="1" applyFill="1" applyBorder="1" applyAlignment="1">
      <alignment vertical="top"/>
    </xf>
    <xf numFmtId="0" fontId="11" fillId="2" borderId="29" xfId="4" applyFont="1" applyFill="1" applyBorder="1" applyAlignment="1">
      <alignment vertical="top"/>
    </xf>
    <xf numFmtId="0" fontId="11" fillId="2" borderId="30" xfId="4" applyFont="1" applyFill="1" applyBorder="1" applyAlignment="1">
      <alignment vertical="top"/>
    </xf>
    <xf numFmtId="0" fontId="11" fillId="2" borderId="0" xfId="4" applyFont="1" applyFill="1" applyBorder="1" applyAlignment="1">
      <alignment vertical="top"/>
    </xf>
    <xf numFmtId="0" fontId="11" fillId="2" borderId="31" xfId="4" applyFont="1" applyFill="1" applyBorder="1" applyAlignment="1">
      <alignment vertical="top"/>
    </xf>
    <xf numFmtId="0" fontId="12" fillId="2" borderId="4" xfId="4" applyFont="1" applyFill="1" applyBorder="1" applyAlignment="1">
      <alignment vertical="top"/>
    </xf>
    <xf numFmtId="0" fontId="12" fillId="2" borderId="5" xfId="4" applyFont="1" applyFill="1" applyBorder="1" applyAlignment="1">
      <alignment vertical="top"/>
    </xf>
    <xf numFmtId="0" fontId="12" fillId="2" borderId="29" xfId="4" applyFont="1" applyFill="1" applyBorder="1" applyAlignment="1">
      <alignment vertical="top"/>
    </xf>
    <xf numFmtId="0" fontId="16" fillId="0" borderId="103" xfId="3" applyFont="1" applyBorder="1" applyAlignment="1">
      <alignment horizontal="center" vertical="center"/>
    </xf>
    <xf numFmtId="0" fontId="16" fillId="0" borderId="104" xfId="3" applyFont="1" applyBorder="1" applyAlignment="1">
      <alignment horizontal="center" vertical="center"/>
    </xf>
    <xf numFmtId="0" fontId="16" fillId="0" borderId="77" xfId="3" applyFont="1" applyBorder="1" applyAlignment="1">
      <alignment horizontal="center" vertical="center"/>
    </xf>
    <xf numFmtId="0" fontId="16" fillId="0" borderId="110" xfId="3" applyFont="1" applyBorder="1" applyAlignment="1">
      <alignment horizontal="center" vertical="center"/>
    </xf>
    <xf numFmtId="0" fontId="16" fillId="0" borderId="105" xfId="3" applyFont="1" applyBorder="1" applyAlignment="1">
      <alignment horizontal="center" vertical="center" wrapText="1"/>
    </xf>
    <xf numFmtId="0" fontId="16" fillId="0" borderId="102" xfId="3" applyFont="1" applyBorder="1" applyAlignment="1">
      <alignment horizontal="center" vertical="center" wrapText="1"/>
    </xf>
    <xf numFmtId="0" fontId="11" fillId="2" borderId="30" xfId="3" applyFont="1" applyFill="1" applyBorder="1" applyAlignment="1">
      <alignment vertical="top"/>
    </xf>
    <xf numFmtId="0" fontId="11" fillId="2" borderId="0" xfId="3" applyFont="1" applyFill="1" applyBorder="1" applyAlignment="1">
      <alignment vertical="top"/>
    </xf>
    <xf numFmtId="0" fontId="11" fillId="2" borderId="31" xfId="3" applyFont="1" applyFill="1" applyBorder="1" applyAlignment="1">
      <alignment vertical="top"/>
    </xf>
    <xf numFmtId="0" fontId="11" fillId="2" borderId="32" xfId="3" applyFont="1" applyFill="1" applyBorder="1" applyAlignment="1">
      <alignment vertical="top"/>
    </xf>
    <xf numFmtId="0" fontId="11" fillId="2" borderId="20" xfId="3" applyFont="1" applyFill="1" applyBorder="1" applyAlignment="1">
      <alignment vertical="top"/>
    </xf>
    <xf numFmtId="0" fontId="11" fillId="2" borderId="21" xfId="3" applyFont="1" applyFill="1" applyBorder="1" applyAlignment="1">
      <alignment vertical="top"/>
    </xf>
    <xf numFmtId="0" fontId="11" fillId="2" borderId="4" xfId="3" applyFont="1" applyFill="1" applyBorder="1" applyAlignment="1">
      <alignment vertical="top"/>
    </xf>
    <xf numFmtId="0" fontId="11" fillId="2" borderId="29" xfId="3" applyFont="1" applyFill="1" applyBorder="1" applyAlignment="1">
      <alignment vertical="top"/>
    </xf>
    <xf numFmtId="0" fontId="29" fillId="2" borderId="30" xfId="0" applyFont="1" applyFill="1" applyBorder="1" applyAlignment="1">
      <alignment vertical="top"/>
    </xf>
    <xf numFmtId="0" fontId="29" fillId="2" borderId="31" xfId="0" applyFont="1" applyFill="1" applyBorder="1" applyAlignment="1">
      <alignment vertical="top"/>
    </xf>
    <xf numFmtId="0" fontId="11" fillId="2" borderId="5" xfId="3" applyFont="1" applyFill="1" applyBorder="1" applyAlignment="1">
      <alignment vertical="top"/>
    </xf>
    <xf numFmtId="0" fontId="16" fillId="0" borderId="32" xfId="3" applyNumberFormat="1" applyFont="1" applyBorder="1" applyAlignment="1">
      <alignment horizontal="right" vertical="center"/>
    </xf>
    <xf numFmtId="0" fontId="16" fillId="0" borderId="21" xfId="3" applyNumberFormat="1" applyFont="1" applyBorder="1" applyAlignment="1">
      <alignment horizontal="right" vertical="center"/>
    </xf>
    <xf numFmtId="0" fontId="16" fillId="2" borderId="30" xfId="0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horizontal="center" vertical="center" wrapText="1"/>
    </xf>
    <xf numFmtId="0" fontId="16" fillId="2" borderId="31" xfId="0" applyFont="1" applyFill="1" applyBorder="1" applyAlignment="1" applyProtection="1">
      <alignment horizontal="center" vertical="center" wrapText="1"/>
    </xf>
    <xf numFmtId="2" fontId="22" fillId="0" borderId="34" xfId="0" applyNumberFormat="1" applyFont="1" applyFill="1" applyBorder="1" applyAlignment="1">
      <alignment horizontal="left" vertical="center" wrapText="1"/>
    </xf>
    <xf numFmtId="2" fontId="22" fillId="0" borderId="23" xfId="0" applyNumberFormat="1" applyFont="1" applyFill="1" applyBorder="1" applyAlignment="1">
      <alignment horizontal="left" vertical="center" wrapText="1"/>
    </xf>
    <xf numFmtId="0" fontId="16" fillId="0" borderId="70" xfId="3" applyFont="1" applyBorder="1" applyAlignment="1">
      <alignment horizontal="center" vertical="center"/>
    </xf>
    <xf numFmtId="0" fontId="16" fillId="0" borderId="48" xfId="3" applyFont="1" applyBorder="1" applyAlignment="1">
      <alignment horizontal="center" vertical="center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16" fillId="0" borderId="75" xfId="3" applyFont="1" applyBorder="1" applyAlignment="1">
      <alignment horizontal="center" vertical="center"/>
    </xf>
    <xf numFmtId="9" fontId="7" fillId="0" borderId="73" xfId="11" applyNumberFormat="1" applyFont="1" applyBorder="1" applyAlignment="1" applyProtection="1">
      <alignment horizontal="center" vertical="center"/>
    </xf>
    <xf numFmtId="9" fontId="7" fillId="0" borderId="31" xfId="11" applyNumberFormat="1" applyFont="1" applyBorder="1" applyAlignment="1" applyProtection="1">
      <alignment horizontal="center" vertical="center"/>
    </xf>
    <xf numFmtId="9" fontId="7" fillId="0" borderId="21" xfId="11" applyNumberFormat="1" applyFont="1" applyBorder="1" applyAlignment="1" applyProtection="1">
      <alignment horizontal="center" vertical="center"/>
    </xf>
    <xf numFmtId="9" fontId="7" fillId="0" borderId="29" xfId="11" applyNumberFormat="1" applyFont="1" applyBorder="1" applyAlignment="1" applyProtection="1">
      <alignment horizontal="center" vertical="center"/>
    </xf>
    <xf numFmtId="9" fontId="7" fillId="0" borderId="74" xfId="11" applyNumberFormat="1" applyFont="1" applyBorder="1" applyAlignment="1" applyProtection="1">
      <alignment horizontal="center" vertical="center"/>
    </xf>
    <xf numFmtId="4" fontId="15" fillId="0" borderId="49" xfId="0" applyNumberFormat="1" applyFont="1" applyBorder="1" applyAlignment="1">
      <alignment horizontal="center" vertical="center"/>
    </xf>
    <xf numFmtId="0" fontId="1" fillId="2" borderId="30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right" vertical="center"/>
    </xf>
    <xf numFmtId="0" fontId="1" fillId="2" borderId="31" xfId="0" applyFont="1" applyFill="1" applyBorder="1" applyAlignment="1" applyProtection="1">
      <alignment horizontal="right" vertical="center"/>
    </xf>
    <xf numFmtId="0" fontId="28" fillId="2" borderId="4" xfId="0" applyFont="1" applyFill="1" applyBorder="1" applyAlignment="1">
      <alignment horizontal="left" vertical="top"/>
    </xf>
    <xf numFmtId="0" fontId="28" fillId="2" borderId="5" xfId="0" applyFont="1" applyFill="1" applyBorder="1" applyAlignment="1">
      <alignment horizontal="left" vertical="top"/>
    </xf>
    <xf numFmtId="0" fontId="28" fillId="2" borderId="29" xfId="0" applyFont="1" applyFill="1" applyBorder="1" applyAlignment="1">
      <alignment horizontal="left" vertical="top"/>
    </xf>
    <xf numFmtId="0" fontId="29" fillId="2" borderId="30" xfId="0" applyFont="1" applyFill="1" applyBorder="1" applyAlignment="1">
      <alignment horizontal="left" vertical="top"/>
    </xf>
    <xf numFmtId="0" fontId="29" fillId="2" borderId="0" xfId="0" applyFont="1" applyFill="1" applyBorder="1" applyAlignment="1">
      <alignment horizontal="left" vertical="top"/>
    </xf>
    <xf numFmtId="0" fontId="29" fillId="2" borderId="31" xfId="0" applyFont="1" applyFill="1" applyBorder="1" applyAlignment="1">
      <alignment horizontal="left" vertical="top"/>
    </xf>
    <xf numFmtId="0" fontId="29" fillId="2" borderId="32" xfId="0" applyFont="1" applyFill="1" applyBorder="1" applyAlignment="1">
      <alignment horizontal="left" vertical="top"/>
    </xf>
    <xf numFmtId="0" fontId="29" fillId="2" borderId="20" xfId="0" applyFont="1" applyFill="1" applyBorder="1" applyAlignment="1">
      <alignment horizontal="left" vertical="top"/>
    </xf>
    <xf numFmtId="0" fontId="29" fillId="2" borderId="2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/>
    </xf>
    <xf numFmtId="0" fontId="12" fillId="2" borderId="4" xfId="3" applyFont="1" applyFill="1" applyBorder="1" applyAlignment="1">
      <alignment horizontal="left" vertical="top"/>
    </xf>
    <xf numFmtId="0" fontId="12" fillId="2" borderId="5" xfId="3" applyFont="1" applyFill="1" applyBorder="1" applyAlignment="1">
      <alignment horizontal="left" vertical="top"/>
    </xf>
    <xf numFmtId="0" fontId="12" fillId="2" borderId="29" xfId="3" applyFont="1" applyFill="1" applyBorder="1" applyAlignment="1">
      <alignment horizontal="left" vertical="top"/>
    </xf>
    <xf numFmtId="0" fontId="11" fillId="2" borderId="32" xfId="3" applyFont="1" applyFill="1" applyBorder="1" applyAlignment="1">
      <alignment horizontal="left" vertical="top"/>
    </xf>
    <xf numFmtId="0" fontId="11" fillId="2" borderId="20" xfId="3" applyFont="1" applyFill="1" applyBorder="1" applyAlignment="1">
      <alignment horizontal="left" vertical="top"/>
    </xf>
    <xf numFmtId="0" fontId="11" fillId="2" borderId="21" xfId="3" applyFont="1" applyFill="1" applyBorder="1" applyAlignment="1">
      <alignment horizontal="left" vertical="top"/>
    </xf>
    <xf numFmtId="0" fontId="11" fillId="2" borderId="30" xfId="3" applyFont="1" applyFill="1" applyBorder="1" applyAlignment="1">
      <alignment horizontal="left" vertical="top"/>
    </xf>
    <xf numFmtId="0" fontId="11" fillId="2" borderId="0" xfId="3" applyFont="1" applyFill="1" applyBorder="1" applyAlignment="1">
      <alignment horizontal="left" vertical="top"/>
    </xf>
    <xf numFmtId="0" fontId="11" fillId="2" borderId="31" xfId="3" applyFont="1" applyFill="1" applyBorder="1" applyAlignment="1">
      <alignment horizontal="left" vertical="top"/>
    </xf>
    <xf numFmtId="0" fontId="12" fillId="2" borderId="30" xfId="3" applyFont="1" applyFill="1" applyBorder="1" applyAlignment="1">
      <alignment horizontal="left" vertical="top"/>
    </xf>
    <xf numFmtId="0" fontId="12" fillId="2" borderId="0" xfId="3" applyFont="1" applyFill="1" applyBorder="1" applyAlignment="1">
      <alignment horizontal="left" vertical="top"/>
    </xf>
    <xf numFmtId="0" fontId="12" fillId="2" borderId="31" xfId="3" applyFont="1" applyFill="1" applyBorder="1" applyAlignment="1">
      <alignment horizontal="left" vertical="top"/>
    </xf>
    <xf numFmtId="0" fontId="12" fillId="0" borderId="1" xfId="3" applyNumberFormat="1" applyFont="1" applyBorder="1" applyAlignment="1">
      <alignment horizontal="right" vertical="center"/>
    </xf>
    <xf numFmtId="0" fontId="12" fillId="0" borderId="2" xfId="3" applyNumberFormat="1" applyFont="1" applyBorder="1" applyAlignment="1">
      <alignment horizontal="right" vertical="center"/>
    </xf>
    <xf numFmtId="0" fontId="12" fillId="0" borderId="4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82" xfId="3" applyFont="1" applyBorder="1" applyAlignment="1">
      <alignment horizontal="center" vertical="center"/>
    </xf>
    <xf numFmtId="0" fontId="12" fillId="0" borderId="108" xfId="3" applyFont="1" applyBorder="1" applyAlignment="1">
      <alignment horizontal="center" vertical="center"/>
    </xf>
    <xf numFmtId="0" fontId="12" fillId="0" borderId="26" xfId="3" applyFont="1" applyBorder="1" applyAlignment="1">
      <alignment horizontal="center" vertical="center" wrapText="1"/>
    </xf>
    <xf numFmtId="0" fontId="12" fillId="0" borderId="46" xfId="3" applyFont="1" applyBorder="1" applyAlignment="1">
      <alignment horizontal="center" vertical="center" wrapText="1"/>
    </xf>
    <xf numFmtId="0" fontId="12" fillId="0" borderId="47" xfId="3" applyFont="1" applyBorder="1" applyAlignment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/>
    </xf>
    <xf numFmtId="0" fontId="16" fillId="2" borderId="5" xfId="0" applyFont="1" applyFill="1" applyBorder="1" applyAlignment="1" applyProtection="1">
      <alignment horizontal="center" vertical="center"/>
    </xf>
    <xf numFmtId="0" fontId="16" fillId="2" borderId="29" xfId="0" applyFont="1" applyFill="1" applyBorder="1" applyAlignment="1" applyProtection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1" fillId="10" borderId="1" xfId="0" applyFont="1" applyFill="1" applyBorder="1" applyAlignment="1">
      <alignment horizontal="right" vertical="center" wrapText="1"/>
    </xf>
    <xf numFmtId="0" fontId="1" fillId="10" borderId="2" xfId="0" applyFont="1" applyFill="1" applyBorder="1" applyAlignment="1">
      <alignment horizontal="right" vertical="center" wrapText="1"/>
    </xf>
    <xf numFmtId="0" fontId="4" fillId="9" borderId="1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0" fontId="1" fillId="9" borderId="29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9" borderId="3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10" borderId="95" xfId="0" applyFont="1" applyFill="1" applyBorder="1" applyAlignment="1">
      <alignment horizontal="left" vertical="center" wrapText="1"/>
    </xf>
    <xf numFmtId="0" fontId="1" fillId="10" borderId="9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/>
    </xf>
    <xf numFmtId="0" fontId="16" fillId="2" borderId="30" xfId="0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alignment horizontal="center" vertical="center"/>
    </xf>
    <xf numFmtId="0" fontId="16" fillId="2" borderId="31" xfId="0" applyFont="1" applyFill="1" applyBorder="1" applyAlignment="1" applyProtection="1">
      <alignment horizontal="center" vertical="center"/>
    </xf>
    <xf numFmtId="0" fontId="11" fillId="2" borderId="30" xfId="4" applyFont="1" applyFill="1" applyBorder="1" applyAlignment="1">
      <alignment horizontal="left" vertical="top"/>
    </xf>
    <xf numFmtId="0" fontId="1" fillId="10" borderId="93" xfId="0" applyFont="1" applyFill="1" applyBorder="1" applyAlignment="1">
      <alignment horizontal="left" vertical="center" wrapText="1"/>
    </xf>
    <xf numFmtId="0" fontId="2" fillId="2" borderId="99" xfId="0" applyFont="1" applyFill="1" applyBorder="1" applyAlignment="1">
      <alignment horizontal="left" vertical="center" wrapText="1"/>
    </xf>
    <xf numFmtId="0" fontId="2" fillId="2" borderId="100" xfId="0" applyFont="1" applyFill="1" applyBorder="1" applyAlignment="1">
      <alignment horizontal="left" vertical="center" wrapText="1"/>
    </xf>
    <xf numFmtId="0" fontId="2" fillId="2" borderId="69" xfId="0" applyFont="1" applyFill="1" applyBorder="1" applyAlignment="1">
      <alignment horizontal="left" vertical="center" wrapText="1"/>
    </xf>
    <xf numFmtId="0" fontId="2" fillId="2" borderId="97" xfId="0" applyFont="1" applyFill="1" applyBorder="1" applyAlignment="1">
      <alignment horizontal="left" vertical="center" wrapText="1"/>
    </xf>
    <xf numFmtId="0" fontId="2" fillId="2" borderId="94" xfId="0" applyFont="1" applyFill="1" applyBorder="1" applyAlignment="1">
      <alignment horizontal="left" vertical="center" wrapText="1"/>
    </xf>
    <xf numFmtId="0" fontId="2" fillId="2" borderId="101" xfId="0" applyFont="1" applyFill="1" applyBorder="1" applyAlignment="1">
      <alignment horizontal="left" vertical="center" wrapText="1"/>
    </xf>
    <xf numFmtId="0" fontId="11" fillId="2" borderId="0" xfId="4" applyFont="1" applyFill="1" applyBorder="1" applyAlignment="1">
      <alignment horizontal="left" vertical="top"/>
    </xf>
    <xf numFmtId="0" fontId="11" fillId="2" borderId="31" xfId="4" applyFont="1" applyFill="1" applyBorder="1" applyAlignment="1">
      <alignment horizontal="left" vertical="top"/>
    </xf>
    <xf numFmtId="17" fontId="33" fillId="0" borderId="30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30" xfId="0" applyFont="1" applyBorder="1" applyAlignment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20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5" fillId="2" borderId="4" xfId="0" applyFont="1" applyFill="1" applyBorder="1" applyAlignment="1" applyProtection="1">
      <alignment horizontal="center" vertical="top"/>
    </xf>
    <xf numFmtId="0" fontId="25" fillId="2" borderId="5" xfId="0" applyFont="1" applyFill="1" applyBorder="1" applyAlignment="1" applyProtection="1">
      <alignment horizontal="center" vertical="top"/>
    </xf>
    <xf numFmtId="0" fontId="25" fillId="2" borderId="29" xfId="0" applyFont="1" applyFill="1" applyBorder="1" applyAlignment="1" applyProtection="1">
      <alignment horizontal="center" vertical="top"/>
    </xf>
    <xf numFmtId="0" fontId="25" fillId="2" borderId="32" xfId="0" applyFont="1" applyFill="1" applyBorder="1" applyAlignment="1" applyProtection="1">
      <alignment horizontal="center" vertical="top"/>
    </xf>
    <xf numFmtId="0" fontId="25" fillId="2" borderId="20" xfId="0" applyFont="1" applyFill="1" applyBorder="1" applyAlignment="1" applyProtection="1">
      <alignment horizontal="center" vertical="top"/>
    </xf>
    <xf numFmtId="0" fontId="25" fillId="2" borderId="21" xfId="0" applyFont="1" applyFill="1" applyBorder="1" applyAlignment="1" applyProtection="1">
      <alignment horizontal="center" vertical="top"/>
    </xf>
    <xf numFmtId="0" fontId="26" fillId="2" borderId="1" xfId="0" applyFont="1" applyFill="1" applyBorder="1" applyAlignment="1" applyProtection="1">
      <alignment horizontal="center" vertical="top"/>
    </xf>
    <xf numFmtId="0" fontId="26" fillId="2" borderId="2" xfId="0" applyFont="1" applyFill="1" applyBorder="1" applyAlignment="1" applyProtection="1">
      <alignment horizontal="center" vertical="top"/>
    </xf>
    <xf numFmtId="0" fontId="25" fillId="2" borderId="4" xfId="0" applyFont="1" applyFill="1" applyBorder="1" applyAlignment="1" applyProtection="1">
      <alignment horizontal="center" vertical="center" wrapText="1"/>
    </xf>
    <xf numFmtId="0" fontId="25" fillId="2" borderId="5" xfId="0" applyFont="1" applyFill="1" applyBorder="1" applyAlignment="1" applyProtection="1">
      <alignment horizontal="center" vertical="center" wrapText="1"/>
    </xf>
    <xf numFmtId="0" fontId="25" fillId="2" borderId="29" xfId="0" applyFont="1" applyFill="1" applyBorder="1" applyAlignment="1" applyProtection="1">
      <alignment horizontal="center" vertical="center" wrapText="1"/>
    </xf>
    <xf numFmtId="0" fontId="25" fillId="2" borderId="32" xfId="0" applyFont="1" applyFill="1" applyBorder="1" applyAlignment="1" applyProtection="1">
      <alignment horizontal="center" vertical="center" wrapText="1"/>
    </xf>
    <xf numFmtId="0" fontId="25" fillId="2" borderId="20" xfId="0" applyFont="1" applyFill="1" applyBorder="1" applyAlignment="1" applyProtection="1">
      <alignment horizontal="center" vertical="center" wrapText="1"/>
    </xf>
    <xf numFmtId="0" fontId="25" fillId="2" borderId="21" xfId="0" applyFont="1" applyFill="1" applyBorder="1" applyAlignment="1" applyProtection="1">
      <alignment horizontal="center" vertical="center" wrapText="1"/>
    </xf>
    <xf numFmtId="0" fontId="23" fillId="3" borderId="4" xfId="0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23" fillId="3" borderId="29" xfId="0" applyFont="1" applyFill="1" applyBorder="1" applyAlignment="1">
      <alignment horizontal="center" vertical="center"/>
    </xf>
    <xf numFmtId="0" fontId="23" fillId="3" borderId="32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/>
    </xf>
    <xf numFmtId="0" fontId="23" fillId="3" borderId="21" xfId="0" applyFont="1" applyFill="1" applyBorder="1" applyAlignment="1">
      <alignment horizontal="center" vertical="center"/>
    </xf>
    <xf numFmtId="0" fontId="19" fillId="0" borderId="63" xfId="0" applyFont="1" applyFill="1" applyBorder="1" applyAlignment="1">
      <alignment horizontal="center" vertical="center" textRotation="90" wrapText="1"/>
    </xf>
    <xf numFmtId="0" fontId="19" fillId="0" borderId="57" xfId="0" applyFont="1" applyFill="1" applyBorder="1" applyAlignment="1">
      <alignment horizontal="center" vertical="center" textRotation="90" wrapText="1"/>
    </xf>
    <xf numFmtId="0" fontId="19" fillId="0" borderId="28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0" fontId="19" fillId="0" borderId="34" xfId="0" applyFont="1" applyFill="1" applyBorder="1" applyAlignment="1">
      <alignment horizontal="center" vertical="center" wrapText="1"/>
    </xf>
    <xf numFmtId="0" fontId="19" fillId="0" borderId="75" xfId="0" applyFont="1" applyFill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justify"/>
    </xf>
    <xf numFmtId="0" fontId="19" fillId="0" borderId="2" xfId="0" applyNumberFormat="1" applyFont="1" applyBorder="1" applyAlignment="1">
      <alignment horizontal="center" vertical="justify"/>
    </xf>
    <xf numFmtId="0" fontId="19" fillId="0" borderId="3" xfId="0" applyNumberFormat="1" applyFont="1" applyBorder="1" applyAlignment="1">
      <alignment horizontal="center" vertical="justify"/>
    </xf>
    <xf numFmtId="0" fontId="19" fillId="2" borderId="20" xfId="0" applyFont="1" applyFill="1" applyBorder="1" applyAlignment="1">
      <alignment vertical="top" wrapText="1"/>
    </xf>
    <xf numFmtId="0" fontId="19" fillId="2" borderId="21" xfId="0" applyFont="1" applyFill="1" applyBorder="1" applyAlignment="1">
      <alignment vertical="top" wrapText="1"/>
    </xf>
    <xf numFmtId="0" fontId="15" fillId="0" borderId="45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vertical="top"/>
    </xf>
    <xf numFmtId="0" fontId="19" fillId="2" borderId="5" xfId="0" applyFont="1" applyFill="1" applyBorder="1" applyAlignment="1">
      <alignment vertical="top"/>
    </xf>
    <xf numFmtId="0" fontId="19" fillId="2" borderId="29" xfId="0" applyFont="1" applyFill="1" applyBorder="1" applyAlignment="1">
      <alignment vertical="top"/>
    </xf>
    <xf numFmtId="0" fontId="19" fillId="2" borderId="0" xfId="0" applyFont="1" applyFill="1" applyBorder="1" applyAlignment="1">
      <alignment vertical="top" wrapText="1"/>
    </xf>
    <xf numFmtId="0" fontId="19" fillId="2" borderId="31" xfId="0" applyFont="1" applyFill="1" applyBorder="1" applyAlignment="1">
      <alignment vertical="top" wrapText="1"/>
    </xf>
    <xf numFmtId="0" fontId="25" fillId="9" borderId="4" xfId="0" applyFont="1" applyFill="1" applyBorder="1" applyAlignment="1">
      <alignment horizontal="center" vertical="center"/>
    </xf>
    <xf numFmtId="0" fontId="25" fillId="9" borderId="5" xfId="0" applyFont="1" applyFill="1" applyBorder="1" applyAlignment="1">
      <alignment horizontal="center" vertical="center"/>
    </xf>
    <xf numFmtId="0" fontId="25" fillId="9" borderId="29" xfId="0" applyFont="1" applyFill="1" applyBorder="1" applyAlignment="1">
      <alignment horizontal="center" vertical="center"/>
    </xf>
    <xf numFmtId="0" fontId="25" fillId="9" borderId="32" xfId="0" applyFont="1" applyFill="1" applyBorder="1" applyAlignment="1">
      <alignment horizontal="center" vertical="center"/>
    </xf>
    <xf numFmtId="0" fontId="25" fillId="9" borderId="20" xfId="0" applyFont="1" applyFill="1" applyBorder="1" applyAlignment="1">
      <alignment horizontal="center" vertical="center"/>
    </xf>
    <xf numFmtId="0" fontId="25" fillId="9" borderId="21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6" fillId="0" borderId="70" xfId="0" applyFont="1" applyBorder="1" applyAlignment="1">
      <alignment horizontal="right" vertical="center"/>
    </xf>
    <xf numFmtId="0" fontId="26" fillId="0" borderId="71" xfId="0" applyFont="1" applyBorder="1" applyAlignment="1">
      <alignment horizontal="right" vertical="center"/>
    </xf>
    <xf numFmtId="0" fontId="26" fillId="0" borderId="75" xfId="0" applyFont="1" applyBorder="1" applyAlignment="1">
      <alignment horizontal="right" vertical="center"/>
    </xf>
    <xf numFmtId="0" fontId="26" fillId="0" borderId="80" xfId="0" applyFont="1" applyBorder="1" applyAlignment="1">
      <alignment horizontal="right" vertical="center"/>
    </xf>
    <xf numFmtId="0" fontId="26" fillId="0" borderId="70" xfId="0" applyFont="1" applyBorder="1" applyAlignment="1">
      <alignment horizontal="right" vertical="center" wrapText="1"/>
    </xf>
    <xf numFmtId="0" fontId="26" fillId="0" borderId="71" xfId="0" applyFont="1" applyBorder="1" applyAlignment="1">
      <alignment horizontal="right" vertical="center" wrapText="1"/>
    </xf>
    <xf numFmtId="0" fontId="16" fillId="2" borderId="0" xfId="0" quotePrefix="1" applyFont="1" applyFill="1" applyBorder="1" applyAlignment="1">
      <alignment horizontal="center" vertical="center"/>
    </xf>
    <xf numFmtId="0" fontId="16" fillId="5" borderId="35" xfId="0" applyFont="1" applyFill="1" applyBorder="1" applyAlignment="1">
      <alignment horizontal="left" vertical="center" wrapText="1"/>
    </xf>
    <xf numFmtId="0" fontId="16" fillId="5" borderId="36" xfId="0" applyFont="1" applyFill="1" applyBorder="1" applyAlignment="1">
      <alignment horizontal="left" vertical="center" wrapText="1"/>
    </xf>
    <xf numFmtId="0" fontId="16" fillId="5" borderId="35" xfId="0" quotePrefix="1" applyFont="1" applyFill="1" applyBorder="1" applyAlignment="1">
      <alignment horizontal="center" vertical="center"/>
    </xf>
    <xf numFmtId="0" fontId="16" fillId="5" borderId="36" xfId="0" quotePrefix="1" applyFont="1" applyFill="1" applyBorder="1" applyAlignment="1">
      <alignment horizontal="center" vertical="center"/>
    </xf>
    <xf numFmtId="0" fontId="26" fillId="0" borderId="75" xfId="0" applyFont="1" applyBorder="1" applyAlignment="1">
      <alignment horizontal="right" vertical="center" wrapText="1"/>
    </xf>
    <xf numFmtId="0" fontId="26" fillId="0" borderId="80" xfId="0" applyFont="1" applyBorder="1" applyAlignment="1">
      <alignment horizontal="right" vertical="center" wrapText="1"/>
    </xf>
    <xf numFmtId="4" fontId="16" fillId="2" borderId="34" xfId="0" applyNumberFormat="1" applyFont="1" applyFill="1" applyBorder="1" applyAlignment="1">
      <alignment horizontal="center" vertical="center" wrapText="1"/>
    </xf>
    <xf numFmtId="4" fontId="16" fillId="2" borderId="24" xfId="0" applyNumberFormat="1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left" vertical="center" wrapText="1"/>
    </xf>
    <xf numFmtId="0" fontId="16" fillId="5" borderId="20" xfId="0" applyFont="1" applyFill="1" applyBorder="1" applyAlignment="1">
      <alignment horizontal="left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32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0" fontId="25" fillId="3" borderId="29" xfId="0" applyFont="1" applyFill="1" applyBorder="1" applyAlignment="1">
      <alignment horizontal="center" vertical="center"/>
    </xf>
    <xf numFmtId="0" fontId="25" fillId="3" borderId="32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1" xfId="0" applyFont="1" applyFill="1" applyBorder="1" applyAlignment="1">
      <alignment horizontal="center" vertical="center"/>
    </xf>
    <xf numFmtId="0" fontId="25" fillId="3" borderId="63" xfId="0" applyFont="1" applyFill="1" applyBorder="1" applyAlignment="1">
      <alignment horizontal="center" vertical="center" textRotation="90" wrapText="1"/>
    </xf>
    <xf numFmtId="0" fontId="25" fillId="3" borderId="57" xfId="0" applyFont="1" applyFill="1" applyBorder="1" applyAlignment="1">
      <alignment horizontal="center" vertical="center" textRotation="90" wrapText="1"/>
    </xf>
    <xf numFmtId="0" fontId="25" fillId="3" borderId="28" xfId="0" applyFont="1" applyFill="1" applyBorder="1" applyAlignment="1">
      <alignment horizontal="center" vertical="center" wrapText="1"/>
    </xf>
    <xf numFmtId="0" fontId="25" fillId="3" borderId="37" xfId="0" applyFont="1" applyFill="1" applyBorder="1" applyAlignment="1">
      <alignment horizontal="center" vertical="center" wrapText="1"/>
    </xf>
    <xf numFmtId="0" fontId="25" fillId="3" borderId="34" xfId="0" applyFont="1" applyFill="1" applyBorder="1" applyAlignment="1">
      <alignment horizontal="center" vertical="center" wrapText="1"/>
    </xf>
    <xf numFmtId="0" fontId="25" fillId="3" borderId="75" xfId="0" applyFont="1" applyFill="1" applyBorder="1" applyAlignment="1">
      <alignment horizontal="center" vertical="center" wrapText="1"/>
    </xf>
    <xf numFmtId="0" fontId="25" fillId="3" borderId="1" xfId="0" applyNumberFormat="1" applyFont="1" applyFill="1" applyBorder="1" applyAlignment="1">
      <alignment horizontal="center" vertical="justify"/>
    </xf>
    <xf numFmtId="0" fontId="25" fillId="3" borderId="2" xfId="0" applyNumberFormat="1" applyFont="1" applyFill="1" applyBorder="1" applyAlignment="1">
      <alignment horizontal="center" vertical="justify"/>
    </xf>
    <xf numFmtId="0" fontId="25" fillId="3" borderId="3" xfId="0" applyNumberFormat="1" applyFont="1" applyFill="1" applyBorder="1" applyAlignment="1">
      <alignment horizontal="center" vertical="justify"/>
    </xf>
    <xf numFmtId="0" fontId="16" fillId="5" borderId="35" xfId="0" quotePrefix="1" applyFont="1" applyFill="1" applyBorder="1" applyAlignment="1">
      <alignment horizontal="center" vertical="center" wrapText="1"/>
    </xf>
    <xf numFmtId="0" fontId="16" fillId="5" borderId="36" xfId="0" quotePrefix="1" applyFont="1" applyFill="1" applyBorder="1" applyAlignment="1">
      <alignment horizontal="center" vertical="center" wrapText="1"/>
    </xf>
    <xf numFmtId="4" fontId="16" fillId="2" borderId="35" xfId="0" applyNumberFormat="1" applyFont="1" applyFill="1" applyBorder="1" applyAlignment="1">
      <alignment horizontal="center" vertical="center" wrapText="1"/>
    </xf>
    <xf numFmtId="4" fontId="16" fillId="2" borderId="36" xfId="0" applyNumberFormat="1" applyFont="1" applyFill="1" applyBorder="1" applyAlignment="1">
      <alignment horizontal="center" vertical="center" wrapText="1"/>
    </xf>
    <xf numFmtId="0" fontId="25" fillId="3" borderId="35" xfId="0" applyFont="1" applyFill="1" applyBorder="1" applyAlignment="1">
      <alignment horizontal="center" vertical="center" wrapText="1"/>
    </xf>
    <xf numFmtId="0" fontId="25" fillId="3" borderId="36" xfId="0" applyFont="1" applyFill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right"/>
    </xf>
    <xf numFmtId="0" fontId="25" fillId="3" borderId="2" xfId="0" applyFont="1" applyFill="1" applyBorder="1" applyAlignment="1">
      <alignment horizontal="right"/>
    </xf>
    <xf numFmtId="0" fontId="25" fillId="3" borderId="1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right" vertical="center"/>
    </xf>
    <xf numFmtId="0" fontId="25" fillId="3" borderId="2" xfId="0" applyFont="1" applyFill="1" applyBorder="1" applyAlignment="1">
      <alignment horizontal="right" vertical="center"/>
    </xf>
    <xf numFmtId="0" fontId="16" fillId="5" borderId="4" xfId="0" applyFont="1" applyFill="1" applyBorder="1" applyAlignment="1">
      <alignment horizontal="right" vertical="center" wrapText="1"/>
    </xf>
    <xf numFmtId="0" fontId="16" fillId="5" borderId="29" xfId="0" applyFont="1" applyFill="1" applyBorder="1" applyAlignment="1">
      <alignment horizontal="right" vertical="center" wrapText="1"/>
    </xf>
    <xf numFmtId="0" fontId="16" fillId="5" borderId="32" xfId="0" applyFont="1" applyFill="1" applyBorder="1" applyAlignment="1">
      <alignment horizontal="right" vertical="center" wrapText="1"/>
    </xf>
    <xf numFmtId="0" fontId="16" fillId="5" borderId="21" xfId="0" applyFont="1" applyFill="1" applyBorder="1" applyAlignment="1">
      <alignment horizontal="right" vertical="center" wrapText="1"/>
    </xf>
    <xf numFmtId="0" fontId="19" fillId="3" borderId="66" xfId="0" applyFont="1" applyFill="1" applyBorder="1" applyAlignment="1">
      <alignment horizontal="center" vertical="center" textRotation="90" wrapText="1"/>
    </xf>
    <xf numFmtId="0" fontId="19" fillId="3" borderId="121" xfId="0" applyFont="1" applyFill="1" applyBorder="1" applyAlignment="1">
      <alignment horizontal="center" vertical="center" textRotation="90" wrapText="1"/>
    </xf>
    <xf numFmtId="0" fontId="19" fillId="3" borderId="42" xfId="0" applyFont="1" applyFill="1" applyBorder="1" applyAlignment="1">
      <alignment horizontal="center" vertical="center" wrapText="1"/>
    </xf>
    <xf numFmtId="0" fontId="19" fillId="3" borderId="122" xfId="0" applyFont="1" applyFill="1" applyBorder="1" applyAlignment="1">
      <alignment horizontal="center" vertical="center" wrapText="1"/>
    </xf>
    <xf numFmtId="0" fontId="19" fillId="3" borderId="41" xfId="0" applyFont="1" applyFill="1" applyBorder="1" applyAlignment="1">
      <alignment horizontal="center" vertical="center" wrapText="1"/>
    </xf>
    <xf numFmtId="0" fontId="19" fillId="3" borderId="123" xfId="0" applyFont="1" applyFill="1" applyBorder="1" applyAlignment="1">
      <alignment horizontal="center" vertical="center" wrapText="1"/>
    </xf>
    <xf numFmtId="0" fontId="19" fillId="3" borderId="32" xfId="0" applyNumberFormat="1" applyFont="1" applyFill="1" applyBorder="1" applyAlignment="1">
      <alignment horizontal="center" vertical="justify"/>
    </xf>
    <xf numFmtId="0" fontId="19" fillId="3" borderId="20" xfId="0" applyNumberFormat="1" applyFont="1" applyFill="1" applyBorder="1" applyAlignment="1">
      <alignment horizontal="center" vertical="justify"/>
    </xf>
    <xf numFmtId="0" fontId="19" fillId="3" borderId="21" xfId="0" applyNumberFormat="1" applyFont="1" applyFill="1" applyBorder="1" applyAlignment="1">
      <alignment horizontal="center" vertical="justify"/>
    </xf>
    <xf numFmtId="0" fontId="19" fillId="3" borderId="85" xfId="0" applyFont="1" applyFill="1" applyBorder="1" applyAlignment="1">
      <alignment horizontal="center" vertical="center" wrapText="1"/>
    </xf>
    <xf numFmtId="0" fontId="19" fillId="3" borderId="81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29" xfId="0" applyFont="1" applyFill="1" applyBorder="1" applyAlignment="1">
      <alignment horizontal="center" vertical="center"/>
    </xf>
    <xf numFmtId="0" fontId="19" fillId="3" borderId="32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/>
    </xf>
    <xf numFmtId="0" fontId="19" fillId="3" borderId="21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left"/>
    </xf>
    <xf numFmtId="0" fontId="15" fillId="2" borderId="21" xfId="0" applyFont="1" applyFill="1" applyBorder="1" applyAlignment="1">
      <alignment horizontal="left"/>
    </xf>
    <xf numFmtId="0" fontId="30" fillId="2" borderId="4" xfId="0" applyFont="1" applyFill="1" applyBorder="1" applyAlignment="1">
      <alignment horizontal="left" vertical="top"/>
    </xf>
    <xf numFmtId="0" fontId="30" fillId="2" borderId="5" xfId="0" applyFont="1" applyFill="1" applyBorder="1" applyAlignment="1">
      <alignment horizontal="left" vertical="top"/>
    </xf>
    <xf numFmtId="0" fontId="30" fillId="2" borderId="29" xfId="0" applyFont="1" applyFill="1" applyBorder="1" applyAlignment="1">
      <alignment horizontal="left" vertical="top"/>
    </xf>
    <xf numFmtId="0" fontId="19" fillId="2" borderId="20" xfId="0" applyFont="1" applyFill="1" applyBorder="1" applyAlignment="1">
      <alignment horizontal="left" vertical="top" wrapText="1"/>
    </xf>
    <xf numFmtId="0" fontId="19" fillId="2" borderId="21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/>
    </xf>
    <xf numFmtId="0" fontId="15" fillId="2" borderId="31" xfId="0" applyFont="1" applyFill="1" applyBorder="1" applyAlignment="1">
      <alignment horizontal="left"/>
    </xf>
    <xf numFmtId="170" fontId="2" fillId="0" borderId="12" xfId="10" applyNumberFormat="1" applyFont="1" applyFill="1" applyBorder="1" applyAlignment="1">
      <alignment horizontal="center" vertical="center"/>
    </xf>
    <xf numFmtId="170" fontId="2" fillId="0" borderId="79" xfId="1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/>
    </xf>
    <xf numFmtId="170" fontId="3" fillId="0" borderId="80" xfId="0" applyNumberFormat="1" applyFont="1" applyFill="1" applyBorder="1" applyAlignment="1">
      <alignment horizontal="center"/>
    </xf>
    <xf numFmtId="0" fontId="1" fillId="3" borderId="35" xfId="10" applyFont="1" applyFill="1" applyBorder="1" applyAlignment="1">
      <alignment horizontal="center" vertical="center"/>
    </xf>
    <xf numFmtId="0" fontId="1" fillId="3" borderId="81" xfId="10" applyFont="1" applyFill="1" applyBorder="1" applyAlignment="1">
      <alignment horizontal="center" vertical="center"/>
    </xf>
    <xf numFmtId="4" fontId="1" fillId="3" borderId="35" xfId="10" applyNumberFormat="1" applyFont="1" applyFill="1" applyBorder="1" applyAlignment="1">
      <alignment horizontal="center" vertical="center"/>
    </xf>
    <xf numFmtId="4" fontId="1" fillId="3" borderId="81" xfId="1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170" fontId="2" fillId="0" borderId="9" xfId="10" applyNumberFormat="1" applyFont="1" applyFill="1" applyBorder="1" applyAlignment="1">
      <alignment horizontal="center" vertical="center"/>
    </xf>
    <xf numFmtId="170" fontId="2" fillId="0" borderId="49" xfId="10" applyNumberFormat="1" applyFont="1" applyFill="1" applyBorder="1" applyAlignment="1">
      <alignment horizontal="center" vertical="center"/>
    </xf>
    <xf numFmtId="0" fontId="1" fillId="2" borderId="4" xfId="10" applyFont="1" applyFill="1" applyBorder="1" applyAlignment="1">
      <alignment horizontal="center" vertical="center"/>
    </xf>
    <xf numFmtId="0" fontId="1" fillId="2" borderId="5" xfId="10" applyFont="1" applyFill="1" applyBorder="1" applyAlignment="1">
      <alignment horizontal="center" vertical="center"/>
    </xf>
    <xf numFmtId="0" fontId="1" fillId="2" borderId="29" xfId="10" applyFont="1" applyFill="1" applyBorder="1" applyAlignment="1">
      <alignment horizontal="center" vertical="center"/>
    </xf>
    <xf numFmtId="4" fontId="1" fillId="2" borderId="58" xfId="10" applyNumberFormat="1" applyFont="1" applyFill="1" applyBorder="1" applyAlignment="1">
      <alignment horizontal="center" vertical="center"/>
    </xf>
    <xf numFmtId="4" fontId="1" fillId="2" borderId="59" xfId="10" applyNumberFormat="1" applyFont="1" applyFill="1" applyBorder="1" applyAlignment="1">
      <alignment horizontal="center" vertical="center"/>
    </xf>
    <xf numFmtId="170" fontId="2" fillId="0" borderId="46" xfId="10" applyNumberFormat="1" applyFont="1" applyFill="1" applyBorder="1" applyAlignment="1">
      <alignment horizontal="center" vertical="center"/>
    </xf>
    <xf numFmtId="170" fontId="2" fillId="0" borderId="47" xfId="10" applyNumberFormat="1" applyFont="1" applyFill="1" applyBorder="1" applyAlignment="1">
      <alignment horizontal="center" vertical="center"/>
    </xf>
    <xf numFmtId="4" fontId="1" fillId="3" borderId="4" xfId="10" applyNumberFormat="1" applyFont="1" applyFill="1" applyBorder="1" applyAlignment="1">
      <alignment horizontal="left" vertical="center" wrapText="1"/>
    </xf>
    <xf numFmtId="4" fontId="1" fillId="3" borderId="5" xfId="10" applyNumberFormat="1" applyFont="1" applyFill="1" applyBorder="1" applyAlignment="1">
      <alignment horizontal="left" vertical="center" wrapText="1"/>
    </xf>
    <xf numFmtId="4" fontId="1" fillId="3" borderId="32" xfId="10" applyNumberFormat="1" applyFont="1" applyFill="1" applyBorder="1" applyAlignment="1">
      <alignment horizontal="left" vertical="center" wrapText="1"/>
    </xf>
    <xf numFmtId="4" fontId="1" fillId="3" borderId="20" xfId="10" applyNumberFormat="1" applyFont="1" applyFill="1" applyBorder="1" applyAlignment="1">
      <alignment horizontal="left" vertical="center" wrapText="1"/>
    </xf>
    <xf numFmtId="170" fontId="3" fillId="0" borderId="12" xfId="0" applyNumberFormat="1" applyFont="1" applyFill="1" applyBorder="1" applyAlignment="1">
      <alignment horizontal="center"/>
    </xf>
    <xf numFmtId="170" fontId="3" fillId="0" borderId="79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3" fontId="1" fillId="3" borderId="1" xfId="5" applyFont="1" applyFill="1" applyBorder="1" applyAlignment="1">
      <alignment horizontal="center" vertical="center" wrapText="1"/>
    </xf>
    <xf numFmtId="3" fontId="1" fillId="3" borderId="2" xfId="5" applyFont="1" applyFill="1" applyBorder="1" applyAlignment="1">
      <alignment horizontal="center" vertical="center" wrapText="1"/>
    </xf>
    <xf numFmtId="3" fontId="1" fillId="3" borderId="3" xfId="5" applyFont="1" applyFill="1" applyBorder="1" applyAlignment="1">
      <alignment horizontal="center" vertical="center" wrapText="1"/>
    </xf>
    <xf numFmtId="0" fontId="1" fillId="2" borderId="32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7" borderId="12" xfId="0" applyFont="1" applyFill="1" applyBorder="1" applyAlignment="1">
      <alignment horizontal="left" vertical="center" wrapText="1"/>
    </xf>
    <xf numFmtId="0" fontId="1" fillId="7" borderId="7" xfId="0" applyFont="1" applyFill="1" applyBorder="1" applyAlignment="1">
      <alignment horizontal="left" vertical="center" wrapText="1"/>
    </xf>
    <xf numFmtId="0" fontId="1" fillId="7" borderId="8" xfId="0" applyFont="1" applyFill="1" applyBorder="1" applyAlignment="1">
      <alignment horizontal="left" vertical="center" wrapText="1"/>
    </xf>
    <xf numFmtId="0" fontId="4" fillId="7" borderId="58" xfId="0" applyFont="1" applyFill="1" applyBorder="1" applyAlignment="1">
      <alignment horizontal="left" vertical="center"/>
    </xf>
    <xf numFmtId="0" fontId="4" fillId="7" borderId="25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4" fontId="1" fillId="7" borderId="58" xfId="0" applyNumberFormat="1" applyFont="1" applyFill="1" applyBorder="1" applyAlignment="1">
      <alignment horizontal="right" vertical="center" wrapText="1"/>
    </xf>
    <xf numFmtId="0" fontId="1" fillId="7" borderId="25" xfId="0" applyFont="1" applyFill="1" applyBorder="1" applyAlignment="1">
      <alignment horizontal="right" vertical="center" wrapText="1"/>
    </xf>
    <xf numFmtId="0" fontId="1" fillId="7" borderId="6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1" fillId="5" borderId="1" xfId="5" applyFont="1" applyFill="1" applyBorder="1" applyAlignment="1">
      <alignment horizontal="left" vertical="center" wrapText="1"/>
    </xf>
    <xf numFmtId="3" fontId="1" fillId="5" borderId="2" xfId="5" applyFont="1" applyFill="1" applyBorder="1" applyAlignment="1">
      <alignment horizontal="left" vertical="center" wrapText="1"/>
    </xf>
    <xf numFmtId="3" fontId="1" fillId="5" borderId="3" xfId="5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right" vertical="center" wrapText="1"/>
    </xf>
    <xf numFmtId="0" fontId="1" fillId="5" borderId="2" xfId="0" applyFont="1" applyFill="1" applyBorder="1" applyAlignment="1">
      <alignment horizontal="right" vertical="center" wrapText="1"/>
    </xf>
    <xf numFmtId="0" fontId="1" fillId="7" borderId="64" xfId="0" applyFont="1" applyFill="1" applyBorder="1" applyAlignment="1">
      <alignment horizontal="left" vertical="center" wrapText="1"/>
    </xf>
    <xf numFmtId="0" fontId="1" fillId="7" borderId="5" xfId="0" applyFont="1" applyFill="1" applyBorder="1" applyAlignment="1">
      <alignment horizontal="left" vertical="center" wrapText="1"/>
    </xf>
    <xf numFmtId="0" fontId="1" fillId="7" borderId="112" xfId="0" applyFont="1" applyFill="1" applyBorder="1" applyAlignment="1">
      <alignment horizontal="left" vertical="center" wrapText="1"/>
    </xf>
    <xf numFmtId="0" fontId="1" fillId="7" borderId="55" xfId="0" applyFont="1" applyFill="1" applyBorder="1" applyAlignment="1">
      <alignment horizontal="left" vertical="center" wrapText="1"/>
    </xf>
    <xf numFmtId="0" fontId="1" fillId="7" borderId="0" xfId="0" applyFont="1" applyFill="1" applyBorder="1" applyAlignment="1">
      <alignment horizontal="left" vertical="center" wrapText="1"/>
    </xf>
    <xf numFmtId="0" fontId="1" fillId="7" borderId="54" xfId="0" applyFont="1" applyFill="1" applyBorder="1" applyAlignment="1">
      <alignment horizontal="left" vertical="center" wrapText="1"/>
    </xf>
    <xf numFmtId="0" fontId="1" fillId="7" borderId="16" xfId="0" applyFont="1" applyFill="1" applyBorder="1" applyAlignment="1">
      <alignment horizontal="left" vertical="center" wrapText="1"/>
    </xf>
    <xf numFmtId="0" fontId="1" fillId="7" borderId="42" xfId="0" applyFont="1" applyFill="1" applyBorder="1" applyAlignment="1">
      <alignment horizontal="left" vertical="center" wrapText="1"/>
    </xf>
    <xf numFmtId="0" fontId="1" fillId="7" borderId="15" xfId="0" applyFont="1" applyFill="1" applyBorder="1" applyAlignment="1">
      <alignment horizontal="left" vertical="center" wrapText="1"/>
    </xf>
    <xf numFmtId="3" fontId="1" fillId="5" borderId="60" xfId="5" applyFont="1" applyFill="1" applyBorder="1" applyAlignment="1">
      <alignment horizontal="left" vertical="center" wrapText="1"/>
    </xf>
    <xf numFmtId="0" fontId="1" fillId="5" borderId="32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3" fontId="1" fillId="5" borderId="64" xfId="5" applyFont="1" applyFill="1" applyBorder="1" applyAlignment="1">
      <alignment horizontal="left" vertical="center" wrapText="1"/>
    </xf>
    <xf numFmtId="3" fontId="1" fillId="5" borderId="5" xfId="5" applyFont="1" applyFill="1" applyBorder="1" applyAlignment="1">
      <alignment horizontal="left" vertical="center" wrapText="1"/>
    </xf>
    <xf numFmtId="3" fontId="1" fillId="5" borderId="29" xfId="5" applyFont="1" applyFill="1" applyBorder="1" applyAlignment="1">
      <alignment horizontal="left" vertical="center" wrapText="1"/>
    </xf>
    <xf numFmtId="0" fontId="1" fillId="5" borderId="20" xfId="0" applyFont="1" applyFill="1" applyBorder="1" applyAlignment="1">
      <alignment horizontal="right" vertical="center" wrapText="1"/>
    </xf>
    <xf numFmtId="0" fontId="19" fillId="0" borderId="26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46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8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12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2" fillId="0" borderId="49" xfId="0" applyNumberFormat="1" applyFont="1" applyFill="1" applyBorder="1" applyAlignment="1">
      <alignment horizontal="center" vertical="center"/>
    </xf>
    <xf numFmtId="166" fontId="14" fillId="0" borderId="6" xfId="0" applyNumberFormat="1" applyFont="1" applyFill="1" applyBorder="1" applyAlignment="1" applyProtection="1">
      <alignment vertical="center" wrapText="1"/>
      <protection locked="0"/>
    </xf>
    <xf numFmtId="4" fontId="2" fillId="0" borderId="46" xfId="7" applyNumberFormat="1" applyFont="1" applyFill="1" applyBorder="1" applyAlignment="1">
      <alignment horizontal="center" vertical="center"/>
    </xf>
    <xf numFmtId="4" fontId="2" fillId="0" borderId="47" xfId="7" applyNumberFormat="1" applyFont="1" applyFill="1" applyBorder="1" applyAlignment="1">
      <alignment horizontal="center" vertical="center"/>
    </xf>
    <xf numFmtId="49" fontId="2" fillId="0" borderId="83" xfId="4" applyNumberFormat="1" applyFont="1" applyFill="1" applyBorder="1" applyAlignment="1">
      <alignment horizontal="left" vertical="center" wrapText="1"/>
    </xf>
    <xf numFmtId="4" fontId="2" fillId="0" borderId="46" xfId="5" applyNumberFormat="1" applyFont="1" applyFill="1" applyBorder="1" applyAlignment="1">
      <alignment horizontal="center" vertical="center"/>
    </xf>
    <xf numFmtId="0" fontId="1" fillId="0" borderId="46" xfId="0" applyFont="1" applyFill="1" applyBorder="1" applyAlignment="1" applyProtection="1">
      <alignment horizontal="center" vertical="center"/>
    </xf>
    <xf numFmtId="4" fontId="2" fillId="0" borderId="46" xfId="0" applyNumberFormat="1" applyFont="1" applyFill="1" applyBorder="1" applyAlignment="1">
      <alignment horizontal="center" vertical="center"/>
    </xf>
    <xf numFmtId="49" fontId="2" fillId="0" borderId="15" xfId="4" applyNumberFormat="1" applyFont="1" applyFill="1" applyBorder="1" applyAlignment="1">
      <alignment horizontal="left" vertical="center" wrapText="1"/>
    </xf>
    <xf numFmtId="4" fontId="2" fillId="0" borderId="6" xfId="5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</cellXfs>
  <cellStyles count="13">
    <cellStyle name="Normal" xfId="0" builtinId="0"/>
    <cellStyle name="Normal 2" xfId="9"/>
    <cellStyle name="Normal 2 2" xfId="10"/>
    <cellStyle name="Normal 3" xfId="8"/>
    <cellStyle name="Normal_Estrutura_de_preço_-_CODEVASF_versão8" xfId="7"/>
    <cellStyle name="Normal_Estrutura_de_preços_-_CODEVASF_versão10" xfId="5"/>
    <cellStyle name="Normal_PP-2A" xfId="2"/>
    <cellStyle name="Normal_PP-V" xfId="4"/>
    <cellStyle name="Normal_PP-VI" xfId="3"/>
    <cellStyle name="Porcentagem" xfId="12" builtinId="5"/>
    <cellStyle name="Separador de milhares 5" xfId="1"/>
    <cellStyle name="TableStyleLight1" xfId="6"/>
    <cellStyle name="Vírgula" xfId="1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109538</xdr:colOff>
      <xdr:row>0</xdr:row>
      <xdr:rowOff>152400</xdr:rowOff>
    </xdr:from>
    <xdr:to>
      <xdr:col>1</xdr:col>
      <xdr:colOff>500062</xdr:colOff>
      <xdr:row>2</xdr:row>
      <xdr:rowOff>47716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8" y="152400"/>
          <a:ext cx="723899" cy="204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52388</xdr:colOff>
      <xdr:row>0</xdr:row>
      <xdr:rowOff>114301</xdr:rowOff>
    </xdr:from>
    <xdr:to>
      <xdr:col>1</xdr:col>
      <xdr:colOff>600075</xdr:colOff>
      <xdr:row>2</xdr:row>
      <xdr:rowOff>31136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8" y="114301"/>
          <a:ext cx="871537" cy="240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73820</xdr:colOff>
      <xdr:row>0</xdr:row>
      <xdr:rowOff>9525</xdr:rowOff>
    </xdr:from>
    <xdr:to>
      <xdr:col>1</xdr:col>
      <xdr:colOff>833437</xdr:colOff>
      <xdr:row>1</xdr:row>
      <xdr:rowOff>119969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20" y="9525"/>
          <a:ext cx="1321592" cy="3104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73820</xdr:colOff>
      <xdr:row>0</xdr:row>
      <xdr:rowOff>9525</xdr:rowOff>
    </xdr:from>
    <xdr:to>
      <xdr:col>1</xdr:col>
      <xdr:colOff>833437</xdr:colOff>
      <xdr:row>1</xdr:row>
      <xdr:rowOff>119969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20" y="9525"/>
          <a:ext cx="1502567" cy="272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73820</xdr:colOff>
      <xdr:row>0</xdr:row>
      <xdr:rowOff>9525</xdr:rowOff>
    </xdr:from>
    <xdr:to>
      <xdr:col>1</xdr:col>
      <xdr:colOff>833437</xdr:colOff>
      <xdr:row>1</xdr:row>
      <xdr:rowOff>119969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20" y="9525"/>
          <a:ext cx="1321592" cy="3104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1</xdr:rowOff>
    </xdr:from>
    <xdr:to>
      <xdr:col>1</xdr:col>
      <xdr:colOff>1309273</xdr:colOff>
      <xdr:row>1</xdr:row>
      <xdr:rowOff>109905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1309272" cy="3004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126547</xdr:colOff>
      <xdr:row>0</xdr:row>
      <xdr:rowOff>50348</xdr:rowOff>
    </xdr:from>
    <xdr:to>
      <xdr:col>1</xdr:col>
      <xdr:colOff>583746</xdr:colOff>
      <xdr:row>1</xdr:row>
      <xdr:rowOff>108857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47" y="50348"/>
          <a:ext cx="919842" cy="208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0</xdr:row>
      <xdr:rowOff>104776</xdr:rowOff>
    </xdr:from>
    <xdr:to>
      <xdr:col>1</xdr:col>
      <xdr:colOff>542925</xdr:colOff>
      <xdr:row>2</xdr:row>
      <xdr:rowOff>24180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104776"/>
          <a:ext cx="781049" cy="224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109538</xdr:colOff>
      <xdr:row>0</xdr:row>
      <xdr:rowOff>152400</xdr:rowOff>
    </xdr:from>
    <xdr:to>
      <xdr:col>1</xdr:col>
      <xdr:colOff>500062</xdr:colOff>
      <xdr:row>2</xdr:row>
      <xdr:rowOff>47716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8" y="152400"/>
          <a:ext cx="866774" cy="2763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61913</xdr:colOff>
      <xdr:row>0</xdr:row>
      <xdr:rowOff>9526</xdr:rowOff>
    </xdr:from>
    <xdr:to>
      <xdr:col>1</xdr:col>
      <xdr:colOff>385918</xdr:colOff>
      <xdr:row>1</xdr:row>
      <xdr:rowOff>59532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3" y="9526"/>
          <a:ext cx="538318" cy="216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21432</xdr:colOff>
      <xdr:row>0</xdr:row>
      <xdr:rowOff>95251</xdr:rowOff>
    </xdr:from>
    <xdr:to>
      <xdr:col>1</xdr:col>
      <xdr:colOff>639905</xdr:colOff>
      <xdr:row>2</xdr:row>
      <xdr:rowOff>47625</xdr:rowOff>
    </xdr:to>
    <xdr:pic>
      <xdr:nvPicPr>
        <xdr:cNvPr id="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2" y="95251"/>
          <a:ext cx="975661" cy="2857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407194</xdr:colOff>
      <xdr:row>0</xdr:row>
      <xdr:rowOff>57150</xdr:rowOff>
    </xdr:from>
    <xdr:to>
      <xdr:col>1</xdr:col>
      <xdr:colOff>1595437</xdr:colOff>
      <xdr:row>1</xdr:row>
      <xdr:rowOff>144147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069" y="57150"/>
          <a:ext cx="1188243" cy="253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129949</xdr:colOff>
      <xdr:row>0</xdr:row>
      <xdr:rowOff>63953</xdr:rowOff>
    </xdr:from>
    <xdr:to>
      <xdr:col>1</xdr:col>
      <xdr:colOff>775607</xdr:colOff>
      <xdr:row>1</xdr:row>
      <xdr:rowOff>169968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49" y="63953"/>
          <a:ext cx="1189944" cy="296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61914</xdr:colOff>
      <xdr:row>0</xdr:row>
      <xdr:rowOff>51858</xdr:rowOff>
    </xdr:from>
    <xdr:to>
      <xdr:col>1</xdr:col>
      <xdr:colOff>878418</xdr:colOff>
      <xdr:row>2</xdr:row>
      <xdr:rowOff>72290</xdr:rowOff>
    </xdr:to>
    <xdr:pic>
      <xdr:nvPicPr>
        <xdr:cNvPr id="3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4" y="51858"/>
          <a:ext cx="1165754" cy="316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61913</xdr:colOff>
      <xdr:row>0</xdr:row>
      <xdr:rowOff>9525</xdr:rowOff>
    </xdr:from>
    <xdr:to>
      <xdr:col>1</xdr:col>
      <xdr:colOff>1250156</xdr:colOff>
      <xdr:row>2</xdr:row>
      <xdr:rowOff>130968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3" y="9525"/>
          <a:ext cx="1731168" cy="4452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33338</xdr:colOff>
      <xdr:row>0</xdr:row>
      <xdr:rowOff>123825</xdr:rowOff>
    </xdr:from>
    <xdr:to>
      <xdr:col>1</xdr:col>
      <xdr:colOff>485775</xdr:colOff>
      <xdr:row>2</xdr:row>
      <xdr:rowOff>7954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8" y="123825"/>
          <a:ext cx="585787" cy="1889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0</xdr:row>
      <xdr:rowOff>123826</xdr:rowOff>
    </xdr:from>
    <xdr:to>
      <xdr:col>1</xdr:col>
      <xdr:colOff>514350</xdr:colOff>
      <xdr:row>2</xdr:row>
      <xdr:rowOff>38100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" y="123826"/>
          <a:ext cx="614363" cy="295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tabSelected="1" view="pageBreakPreview" topLeftCell="A4" zoomScaleNormal="85" zoomScaleSheetLayoutView="100" workbookViewId="0">
      <selection activeCell="I41" sqref="I41"/>
    </sheetView>
  </sheetViews>
  <sheetFormatPr defaultRowHeight="15" x14ac:dyDescent="0.25"/>
  <cols>
    <col min="1" max="1" width="7.140625" style="8" customWidth="1"/>
    <col min="2" max="2" width="80.140625" style="54" customWidth="1"/>
    <col min="3" max="3" width="17.140625" style="398" bestFit="1" customWidth="1"/>
    <col min="4" max="4" width="3.42578125" style="774" customWidth="1"/>
    <col min="8" max="8" width="15" bestFit="1" customWidth="1"/>
    <col min="9" max="9" width="5" bestFit="1" customWidth="1"/>
    <col min="18" max="16384" width="9.140625" style="8"/>
  </cols>
  <sheetData>
    <row r="1" spans="1:3" x14ac:dyDescent="0.25">
      <c r="A1" s="1062" t="s">
        <v>294</v>
      </c>
      <c r="B1" s="1063"/>
      <c r="C1" s="1064"/>
    </row>
    <row r="2" spans="1:3" x14ac:dyDescent="0.25">
      <c r="A2" s="1065" t="s">
        <v>295</v>
      </c>
      <c r="B2" s="1066"/>
      <c r="C2" s="1067"/>
    </row>
    <row r="3" spans="1:3" ht="15.75" thickBot="1" x14ac:dyDescent="0.3">
      <c r="A3" s="1068"/>
      <c r="B3" s="1069"/>
      <c r="C3" s="1070"/>
    </row>
    <row r="4" spans="1:3" ht="15.75" thickBot="1" x14ac:dyDescent="0.3">
      <c r="A4" s="38"/>
      <c r="B4" s="82"/>
      <c r="C4" s="397"/>
    </row>
    <row r="5" spans="1:3" x14ac:dyDescent="0.25">
      <c r="A5" s="1074" t="s">
        <v>292</v>
      </c>
      <c r="B5" s="1075"/>
      <c r="C5" s="1076"/>
    </row>
    <row r="6" spans="1:3" x14ac:dyDescent="0.25">
      <c r="A6" s="1077"/>
      <c r="B6" s="1078"/>
      <c r="C6" s="1079"/>
    </row>
    <row r="7" spans="1:3" ht="15.75" thickBot="1" x14ac:dyDescent="0.3">
      <c r="A7" s="1080"/>
      <c r="B7" s="1081"/>
      <c r="C7" s="1082"/>
    </row>
    <row r="8" spans="1:3" ht="15.75" thickBot="1" x14ac:dyDescent="0.3">
      <c r="A8" s="38"/>
      <c r="B8" s="82"/>
      <c r="C8" s="397"/>
    </row>
    <row r="9" spans="1:3" ht="15.75" thickBot="1" x14ac:dyDescent="0.3">
      <c r="A9" s="1071" t="s">
        <v>886</v>
      </c>
      <c r="B9" s="1072"/>
      <c r="C9" s="1073"/>
    </row>
    <row r="10" spans="1:3" ht="15.75" thickBot="1" x14ac:dyDescent="0.3">
      <c r="A10" s="38"/>
      <c r="B10" s="82"/>
      <c r="C10" s="397"/>
    </row>
    <row r="11" spans="1:3" x14ac:dyDescent="0.25">
      <c r="A11" s="1083" t="s">
        <v>0</v>
      </c>
      <c r="B11" s="1086" t="s">
        <v>1</v>
      </c>
      <c r="C11" s="1093" t="s">
        <v>311</v>
      </c>
    </row>
    <row r="12" spans="1:3" x14ac:dyDescent="0.25">
      <c r="A12" s="1084"/>
      <c r="B12" s="1087"/>
      <c r="C12" s="1094"/>
    </row>
    <row r="13" spans="1:3" ht="15.75" thickBot="1" x14ac:dyDescent="0.3">
      <c r="A13" s="1085"/>
      <c r="B13" s="1088"/>
      <c r="C13" s="1095"/>
    </row>
    <row r="14" spans="1:3" ht="15.75" thickBot="1" x14ac:dyDescent="0.3">
      <c r="A14" s="1098" t="s">
        <v>501</v>
      </c>
      <c r="B14" s="1099"/>
      <c r="C14" s="1100"/>
    </row>
    <row r="15" spans="1:3" ht="15.75" thickBot="1" x14ac:dyDescent="0.3">
      <c r="A15" s="190" t="s">
        <v>99</v>
      </c>
      <c r="B15" s="1091" t="s">
        <v>763</v>
      </c>
      <c r="C15" s="1092"/>
    </row>
    <row r="16" spans="1:3" ht="15.75" thickBot="1" x14ac:dyDescent="0.3">
      <c r="A16" s="7" t="s">
        <v>4</v>
      </c>
      <c r="B16" s="551" t="s">
        <v>764</v>
      </c>
      <c r="C16" s="1039">
        <f>Mobilizacao_Desmobilizacao!F24</f>
        <v>35847.012222222227</v>
      </c>
    </row>
    <row r="17" spans="1:8" ht="15.75" thickBot="1" x14ac:dyDescent="0.3">
      <c r="A17" s="190" t="s">
        <v>100</v>
      </c>
      <c r="B17" s="1091" t="s">
        <v>765</v>
      </c>
      <c r="C17" s="1092"/>
      <c r="H17" s="770"/>
    </row>
    <row r="18" spans="1:8" ht="15.75" thickBot="1" x14ac:dyDescent="0.3">
      <c r="A18" s="7" t="s">
        <v>81</v>
      </c>
      <c r="B18" s="551" t="s">
        <v>766</v>
      </c>
      <c r="C18" s="1039">
        <f>Mobilizacao_Desmobilizacao!F37</f>
        <v>45077.212222222224</v>
      </c>
      <c r="H18" s="771"/>
    </row>
    <row r="19" spans="1:8" ht="15.75" thickBot="1" x14ac:dyDescent="0.3">
      <c r="A19" s="363" t="s">
        <v>101</v>
      </c>
      <c r="B19" s="1096" t="s">
        <v>957</v>
      </c>
      <c r="C19" s="1097"/>
    </row>
    <row r="20" spans="1:8" ht="36" x14ac:dyDescent="0.25">
      <c r="A20" s="2" t="s">
        <v>83</v>
      </c>
      <c r="B20" s="409" t="s">
        <v>281</v>
      </c>
      <c r="C20" s="1040">
        <f>'Preco por Produto'!C17</f>
        <v>25145461.657648012</v>
      </c>
    </row>
    <row r="21" spans="1:8" x14ac:dyDescent="0.25">
      <c r="A21" s="3" t="s">
        <v>84</v>
      </c>
      <c r="B21" s="410" t="s">
        <v>44</v>
      </c>
      <c r="C21" s="1041">
        <f>ROUND(('Preco por Produto'!C42+'Preco por Produto'!D42),2)</f>
        <v>2079498.27</v>
      </c>
    </row>
    <row r="22" spans="1:8" x14ac:dyDescent="0.25">
      <c r="A22" s="3" t="s">
        <v>257</v>
      </c>
      <c r="B22" s="410" t="s">
        <v>225</v>
      </c>
      <c r="C22" s="1041">
        <f>'Preco por Produto'!C75</f>
        <v>283939.39535999997</v>
      </c>
    </row>
    <row r="23" spans="1:8" x14ac:dyDescent="0.25">
      <c r="A23" s="3" t="s">
        <v>258</v>
      </c>
      <c r="B23" s="410" t="s">
        <v>690</v>
      </c>
      <c r="C23" s="1041">
        <f>'Preco por Produto'!C99</f>
        <v>2102750.3537280001</v>
      </c>
    </row>
    <row r="24" spans="1:8" x14ac:dyDescent="0.25">
      <c r="A24" s="3" t="s">
        <v>316</v>
      </c>
      <c r="B24" s="410" t="s">
        <v>45</v>
      </c>
      <c r="C24" s="1041">
        <f>'Preco por Produto'!C135</f>
        <v>337692.67200000002</v>
      </c>
    </row>
    <row r="25" spans="1:8" x14ac:dyDescent="0.25">
      <c r="A25" s="3" t="s">
        <v>376</v>
      </c>
      <c r="B25" s="410" t="s">
        <v>283</v>
      </c>
      <c r="C25" s="1041">
        <f>'Preco por Produto'!C159</f>
        <v>2884999.5688319998</v>
      </c>
    </row>
    <row r="26" spans="1:8" ht="15.75" thickBot="1" x14ac:dyDescent="0.3">
      <c r="A26" s="4" t="s">
        <v>377</v>
      </c>
      <c r="B26" s="411" t="s">
        <v>849</v>
      </c>
      <c r="C26" s="1042">
        <f>'Preco por Produto'!C195</f>
        <v>7619424.8225760022</v>
      </c>
    </row>
    <row r="27" spans="1:8" ht="15.75" thickBot="1" x14ac:dyDescent="0.3">
      <c r="A27" s="416" t="s">
        <v>260</v>
      </c>
      <c r="B27" s="1091" t="s">
        <v>767</v>
      </c>
      <c r="C27" s="1092"/>
    </row>
    <row r="28" spans="1:8" x14ac:dyDescent="0.25">
      <c r="A28" s="2" t="s">
        <v>85</v>
      </c>
      <c r="B28" s="367" t="s">
        <v>939</v>
      </c>
      <c r="C28" s="1040">
        <f>'Viagens e Diárias (Por Demanda)'!I14</f>
        <v>415359</v>
      </c>
    </row>
    <row r="29" spans="1:8" ht="15.75" thickBot="1" x14ac:dyDescent="0.3">
      <c r="A29" s="3" t="s">
        <v>86</v>
      </c>
      <c r="B29" s="407" t="s">
        <v>769</v>
      </c>
      <c r="C29" s="1043">
        <f>'Viagens e Diárias (Por Demanda)'!I22</f>
        <v>2177856</v>
      </c>
    </row>
    <row r="30" spans="1:8" ht="15.75" thickBot="1" x14ac:dyDescent="0.3">
      <c r="A30" s="363" t="s">
        <v>265</v>
      </c>
      <c r="B30" s="1096" t="s">
        <v>410</v>
      </c>
      <c r="C30" s="1097"/>
    </row>
    <row r="31" spans="1:8" x14ac:dyDescent="0.25">
      <c r="A31" s="2" t="s">
        <v>266</v>
      </c>
      <c r="B31" s="552" t="s">
        <v>770</v>
      </c>
      <c r="C31" s="1044">
        <f>'Escritorios (Adm_Manut)'!H13</f>
        <v>538436.88</v>
      </c>
    </row>
    <row r="32" spans="1:8" x14ac:dyDescent="0.25">
      <c r="A32" s="3" t="s">
        <v>267</v>
      </c>
      <c r="B32" s="407" t="s">
        <v>314</v>
      </c>
      <c r="C32" s="1045">
        <f>'Escritorios (Adm_Manut)'!H18</f>
        <v>349713.94000000006</v>
      </c>
    </row>
    <row r="33" spans="1:10" x14ac:dyDescent="0.25">
      <c r="A33" s="3" t="s">
        <v>414</v>
      </c>
      <c r="B33" s="407" t="s">
        <v>771</v>
      </c>
      <c r="C33" s="1045">
        <f>'Escritorios (Adm_Manut)'!H23</f>
        <v>544711.36</v>
      </c>
    </row>
    <row r="34" spans="1:10" x14ac:dyDescent="0.25">
      <c r="A34" s="3" t="s">
        <v>415</v>
      </c>
      <c r="B34" s="407" t="s">
        <v>411</v>
      </c>
      <c r="C34" s="1045">
        <f>'Escritorios (Adm_Manut)'!H36</f>
        <v>2177599.6800000002</v>
      </c>
    </row>
    <row r="35" spans="1:10" x14ac:dyDescent="0.25">
      <c r="A35" s="3" t="s">
        <v>416</v>
      </c>
      <c r="B35" s="407" t="s">
        <v>413</v>
      </c>
      <c r="C35" s="1045">
        <f>'MemCalculo (AdmManutEscritorio)'!F236</f>
        <v>19447.5</v>
      </c>
    </row>
    <row r="36" spans="1:10" x14ac:dyDescent="0.25">
      <c r="A36" s="5" t="s">
        <v>417</v>
      </c>
      <c r="B36" s="553" t="s">
        <v>776</v>
      </c>
      <c r="C36" s="1046">
        <f>'Escritorios (Adm_Manut)'!H41</f>
        <v>43200</v>
      </c>
    </row>
    <row r="37" spans="1:10" ht="15.75" thickBot="1" x14ac:dyDescent="0.3">
      <c r="A37" s="4" t="s">
        <v>418</v>
      </c>
      <c r="B37" s="554" t="s">
        <v>757</v>
      </c>
      <c r="C37" s="1043">
        <f>'Escritorios (Adm_Manut)'!H43</f>
        <v>114475.96799999999</v>
      </c>
    </row>
    <row r="38" spans="1:10" ht="15.75" thickBot="1" x14ac:dyDescent="0.3">
      <c r="A38" s="1098" t="s">
        <v>534</v>
      </c>
      <c r="B38" s="1099"/>
      <c r="C38" s="1100"/>
    </row>
    <row r="39" spans="1:10" ht="15.75" thickBot="1" x14ac:dyDescent="0.3">
      <c r="A39" s="363" t="s">
        <v>269</v>
      </c>
      <c r="B39" s="1091" t="s">
        <v>958</v>
      </c>
      <c r="C39" s="1092"/>
    </row>
    <row r="40" spans="1:10" x14ac:dyDescent="0.25">
      <c r="A40" s="2" t="s">
        <v>87</v>
      </c>
      <c r="B40" s="555" t="s">
        <v>774</v>
      </c>
      <c r="C40" s="1044">
        <f>'(Resumo - Calculo)'!D31</f>
        <v>4580679.2600000016</v>
      </c>
    </row>
    <row r="41" spans="1:10" x14ac:dyDescent="0.25">
      <c r="A41" s="3" t="s">
        <v>88</v>
      </c>
      <c r="B41" s="407" t="s">
        <v>775</v>
      </c>
      <c r="C41" s="1045">
        <f>'(Resumo - Calculo)'!E31</f>
        <v>2252694.6751140007</v>
      </c>
    </row>
    <row r="42" spans="1:10" ht="15.75" thickBot="1" x14ac:dyDescent="0.3">
      <c r="A42" s="4" t="s">
        <v>270</v>
      </c>
      <c r="B42" s="554" t="s">
        <v>773</v>
      </c>
      <c r="C42" s="404">
        <f>'(Resumo - Calculo)'!F31</f>
        <v>7862354.9550828859</v>
      </c>
    </row>
    <row r="43" spans="1:10" ht="15.75" thickBot="1" x14ac:dyDescent="0.3">
      <c r="A43" s="1089" t="s">
        <v>318</v>
      </c>
      <c r="B43" s="1090"/>
      <c r="C43" s="405">
        <f>SUM(C15:C42)</f>
        <v>61611220.182785347</v>
      </c>
      <c r="H43" s="770"/>
      <c r="J43" s="770"/>
    </row>
    <row r="45" spans="1:10" s="95" customFormat="1" ht="12.75" thickBot="1" x14ac:dyDescent="0.3">
      <c r="A45" s="8"/>
      <c r="B45" s="54"/>
      <c r="C45" s="398"/>
      <c r="D45" s="775"/>
    </row>
    <row r="46" spans="1:10" s="95" customFormat="1" ht="12" x14ac:dyDescent="0.25">
      <c r="A46" s="1053" t="s">
        <v>49</v>
      </c>
      <c r="B46" s="1054"/>
      <c r="C46" s="251" t="s">
        <v>50</v>
      </c>
      <c r="D46" s="775"/>
    </row>
    <row r="47" spans="1:10" s="95" customFormat="1" ht="12.75" thickBot="1" x14ac:dyDescent="0.3">
      <c r="A47" s="1055"/>
      <c r="B47" s="1056"/>
      <c r="C47" s="630"/>
      <c r="D47" s="775"/>
    </row>
    <row r="48" spans="1:10" s="95" customFormat="1" ht="12" x14ac:dyDescent="0.25">
      <c r="A48" s="1053" t="s">
        <v>51</v>
      </c>
      <c r="B48" s="1054"/>
      <c r="C48" s="221" t="s">
        <v>52</v>
      </c>
      <c r="D48" s="775"/>
    </row>
    <row r="49" spans="1:4" s="95" customFormat="1" ht="12.75" thickBot="1" x14ac:dyDescent="0.3">
      <c r="A49" s="1057"/>
      <c r="B49" s="1058"/>
      <c r="C49" s="222"/>
      <c r="D49" s="775"/>
    </row>
    <row r="50" spans="1:4" s="95" customFormat="1" ht="12.75" thickTop="1" x14ac:dyDescent="0.25">
      <c r="A50" s="1059" t="s">
        <v>53</v>
      </c>
      <c r="B50" s="1060"/>
      <c r="C50" s="1061"/>
      <c r="D50" s="775"/>
    </row>
    <row r="51" spans="1:4" s="95" customFormat="1" ht="12" x14ac:dyDescent="0.25">
      <c r="A51" s="1047"/>
      <c r="B51" s="1048"/>
      <c r="C51" s="1049"/>
      <c r="D51" s="775"/>
    </row>
    <row r="52" spans="1:4" s="95" customFormat="1" ht="12" x14ac:dyDescent="0.25">
      <c r="A52" s="1047"/>
      <c r="B52" s="1048"/>
      <c r="C52" s="1049"/>
      <c r="D52" s="775"/>
    </row>
    <row r="53" spans="1:4" s="95" customFormat="1" ht="12.75" thickBot="1" x14ac:dyDescent="0.3">
      <c r="A53" s="1050"/>
      <c r="B53" s="1051"/>
      <c r="C53" s="1052"/>
      <c r="D53" s="775"/>
    </row>
    <row r="54" spans="1:4" s="95" customFormat="1" ht="12" x14ac:dyDescent="0.25">
      <c r="A54" s="102"/>
      <c r="B54" s="129"/>
      <c r="C54" s="399"/>
      <c r="D54" s="775"/>
    </row>
    <row r="55" spans="1:4" s="95" customFormat="1" ht="12" x14ac:dyDescent="0.25">
      <c r="A55" s="102"/>
      <c r="B55" s="129"/>
      <c r="C55" s="399"/>
      <c r="D55" s="775"/>
    </row>
    <row r="56" spans="1:4" s="95" customFormat="1" ht="12" x14ac:dyDescent="0.25">
      <c r="A56" s="102"/>
      <c r="B56" s="129"/>
      <c r="C56" s="399"/>
      <c r="D56" s="775"/>
    </row>
    <row r="57" spans="1:4" s="95" customFormat="1" ht="12" x14ac:dyDescent="0.25">
      <c r="A57" s="102"/>
      <c r="B57" s="129"/>
      <c r="C57" s="399"/>
      <c r="D57" s="775"/>
    </row>
    <row r="58" spans="1:4" s="95" customFormat="1" ht="12" x14ac:dyDescent="0.25">
      <c r="A58" s="102"/>
      <c r="B58" s="129"/>
      <c r="C58" s="399"/>
      <c r="D58" s="775"/>
    </row>
    <row r="59" spans="1:4" s="95" customFormat="1" ht="12" x14ac:dyDescent="0.25">
      <c r="A59" s="102"/>
      <c r="B59" s="129"/>
      <c r="C59" s="399"/>
      <c r="D59" s="775"/>
    </row>
    <row r="60" spans="1:4" s="95" customFormat="1" ht="12" x14ac:dyDescent="0.25">
      <c r="A60" s="102"/>
      <c r="B60" s="129"/>
      <c r="C60" s="399"/>
      <c r="D60" s="775"/>
    </row>
    <row r="61" spans="1:4" s="95" customFormat="1" ht="12" x14ac:dyDescent="0.25">
      <c r="A61" s="102"/>
      <c r="B61" s="129"/>
      <c r="C61" s="399"/>
      <c r="D61" s="775"/>
    </row>
    <row r="62" spans="1:4" s="95" customFormat="1" ht="12" x14ac:dyDescent="0.25">
      <c r="B62" s="130"/>
      <c r="C62" s="400"/>
      <c r="D62" s="775"/>
    </row>
    <row r="63" spans="1:4" s="95" customFormat="1" ht="12" x14ac:dyDescent="0.25">
      <c r="B63" s="130"/>
      <c r="C63" s="400"/>
      <c r="D63" s="775"/>
    </row>
    <row r="64" spans="1:4" s="95" customFormat="1" ht="12" x14ac:dyDescent="0.25">
      <c r="B64" s="130"/>
      <c r="C64" s="400"/>
      <c r="D64" s="775"/>
    </row>
    <row r="65" spans="1:4" s="95" customFormat="1" ht="12" x14ac:dyDescent="0.25">
      <c r="B65" s="130"/>
      <c r="C65" s="400"/>
      <c r="D65" s="775"/>
    </row>
    <row r="66" spans="1:4" s="95" customFormat="1" ht="12" x14ac:dyDescent="0.25">
      <c r="B66" s="130"/>
      <c r="C66" s="400"/>
      <c r="D66" s="775"/>
    </row>
    <row r="67" spans="1:4" s="95" customFormat="1" ht="12" x14ac:dyDescent="0.25">
      <c r="B67" s="130"/>
      <c r="C67" s="400"/>
      <c r="D67" s="775"/>
    </row>
    <row r="68" spans="1:4" s="95" customFormat="1" ht="12" x14ac:dyDescent="0.25">
      <c r="B68" s="130"/>
      <c r="C68" s="400"/>
      <c r="D68" s="775"/>
    </row>
    <row r="69" spans="1:4" s="95" customFormat="1" ht="12" x14ac:dyDescent="0.25">
      <c r="B69" s="130"/>
      <c r="C69" s="400"/>
      <c r="D69" s="775"/>
    </row>
    <row r="70" spans="1:4" s="95" customFormat="1" ht="12" x14ac:dyDescent="0.25">
      <c r="B70" s="130"/>
      <c r="C70" s="400"/>
      <c r="D70" s="775"/>
    </row>
    <row r="71" spans="1:4" s="95" customFormat="1" ht="12" x14ac:dyDescent="0.25">
      <c r="B71" s="130"/>
      <c r="C71" s="400"/>
      <c r="D71" s="775"/>
    </row>
    <row r="72" spans="1:4" x14ac:dyDescent="0.25">
      <c r="A72" s="95"/>
      <c r="B72" s="130"/>
      <c r="C72" s="400"/>
    </row>
  </sheetData>
  <mergeCells count="25">
    <mergeCell ref="A11:A13"/>
    <mergeCell ref="B11:B13"/>
    <mergeCell ref="A43:B43"/>
    <mergeCell ref="B15:C15"/>
    <mergeCell ref="B17:C17"/>
    <mergeCell ref="B27:C27"/>
    <mergeCell ref="B39:C39"/>
    <mergeCell ref="C11:C13"/>
    <mergeCell ref="B19:C19"/>
    <mergeCell ref="B30:C30"/>
    <mergeCell ref="A14:C14"/>
    <mergeCell ref="A38:C38"/>
    <mergeCell ref="A1:C1"/>
    <mergeCell ref="A2:C2"/>
    <mergeCell ref="A3:C3"/>
    <mergeCell ref="A9:C9"/>
    <mergeCell ref="A5:C7"/>
    <mergeCell ref="A51:C51"/>
    <mergeCell ref="A52:C52"/>
    <mergeCell ref="A53:C53"/>
    <mergeCell ref="A46:B46"/>
    <mergeCell ref="A47:B47"/>
    <mergeCell ref="A48:B48"/>
    <mergeCell ref="A49:B49"/>
    <mergeCell ref="A50:C50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81" orientation="portrait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view="pageBreakPreview" zoomScale="60" zoomScaleNormal="90" workbookViewId="0">
      <selection activeCell="J15" sqref="J15"/>
    </sheetView>
  </sheetViews>
  <sheetFormatPr defaultRowHeight="12" x14ac:dyDescent="0.25"/>
  <cols>
    <col min="1" max="1" width="4.85546875" style="8" bestFit="1" customWidth="1"/>
    <col min="2" max="2" width="73.85546875" style="8" bestFit="1" customWidth="1"/>
    <col min="3" max="3" width="8.28515625" style="8" bestFit="1" customWidth="1"/>
    <col min="4" max="4" width="12.140625" style="8" customWidth="1"/>
    <col min="5" max="5" width="2.140625" style="401" customWidth="1"/>
    <col min="6" max="6" width="8.28515625" style="8" bestFit="1" customWidth="1"/>
    <col min="7" max="7" width="12.85546875" style="8" customWidth="1"/>
    <col min="8" max="16384" width="9.140625" style="8"/>
  </cols>
  <sheetData>
    <row r="1" spans="1:9" ht="15" customHeight="1" x14ac:dyDescent="0.25">
      <c r="A1" s="1514" t="s">
        <v>294</v>
      </c>
      <c r="B1" s="1515"/>
      <c r="C1" s="1515"/>
      <c r="D1" s="1515"/>
      <c r="E1" s="1515"/>
      <c r="F1" s="1515"/>
      <c r="G1" s="1516"/>
    </row>
    <row r="2" spans="1:9" ht="12.75" x14ac:dyDescent="0.25">
      <c r="A2" s="1530" t="s">
        <v>295</v>
      </c>
      <c r="B2" s="1531"/>
      <c r="C2" s="1531"/>
      <c r="D2" s="1531"/>
      <c r="E2" s="1531"/>
      <c r="F2" s="1531"/>
      <c r="G2" s="1532"/>
    </row>
    <row r="3" spans="1:9" ht="15.75" customHeight="1" thickBot="1" x14ac:dyDescent="0.3">
      <c r="A3" s="1546"/>
      <c r="B3" s="1547"/>
      <c r="C3" s="1547"/>
      <c r="D3" s="1547"/>
      <c r="E3" s="1547"/>
      <c r="F3" s="1547"/>
      <c r="G3" s="1548"/>
    </row>
    <row r="4" spans="1:9" ht="13.5" thickBot="1" x14ac:dyDescent="0.3">
      <c r="A4" s="76"/>
      <c r="B4" s="77"/>
      <c r="C4" s="78"/>
      <c r="D4" s="78"/>
      <c r="E4" s="207"/>
    </row>
    <row r="5" spans="1:9" ht="12.75" customHeight="1" x14ac:dyDescent="0.25">
      <c r="A5" s="1104" t="s">
        <v>292</v>
      </c>
      <c r="B5" s="1105"/>
      <c r="C5" s="1105"/>
      <c r="D5" s="1105"/>
      <c r="E5" s="1105"/>
      <c r="F5" s="1105"/>
      <c r="G5" s="1106"/>
      <c r="H5" s="1543"/>
      <c r="I5" s="1544"/>
    </row>
    <row r="6" spans="1:9" ht="15" customHeight="1" thickBot="1" x14ac:dyDescent="0.3">
      <c r="A6" s="1107"/>
      <c r="B6" s="1108"/>
      <c r="C6" s="1108"/>
      <c r="D6" s="1108"/>
      <c r="E6" s="1108"/>
      <c r="F6" s="1108"/>
      <c r="G6" s="1109"/>
      <c r="H6" s="1545"/>
      <c r="I6" s="1544"/>
    </row>
    <row r="7" spans="1:9" ht="13.5" thickBot="1" x14ac:dyDescent="0.3">
      <c r="A7" s="76"/>
      <c r="B7" s="77"/>
      <c r="C7" s="78"/>
      <c r="D7" s="78"/>
      <c r="E7" s="207"/>
    </row>
    <row r="8" spans="1:9" ht="15.75" customHeight="1" thickBot="1" x14ac:dyDescent="0.3">
      <c r="A8" s="1110" t="s">
        <v>459</v>
      </c>
      <c r="B8" s="1111"/>
      <c r="C8" s="1111"/>
      <c r="D8" s="1111"/>
      <c r="E8" s="1111"/>
      <c r="F8" s="1111"/>
      <c r="G8" s="1112"/>
    </row>
    <row r="9" spans="1:9" ht="12.75" thickBot="1" x14ac:dyDescent="0.3"/>
    <row r="10" spans="1:9" ht="15.75" customHeight="1" thickBot="1" x14ac:dyDescent="0.3">
      <c r="A10" s="1524" t="s">
        <v>0</v>
      </c>
      <c r="B10" s="1522" t="s">
        <v>162</v>
      </c>
      <c r="C10" s="1520" t="s">
        <v>876</v>
      </c>
      <c r="D10" s="1521"/>
      <c r="E10" s="230"/>
      <c r="F10" s="1520" t="s">
        <v>875</v>
      </c>
      <c r="G10" s="1521"/>
    </row>
    <row r="11" spans="1:9" ht="15.75" customHeight="1" thickBot="1" x14ac:dyDescent="0.3">
      <c r="A11" s="1525"/>
      <c r="B11" s="1523"/>
      <c r="C11" s="526" t="s">
        <v>460</v>
      </c>
      <c r="D11" s="139" t="s">
        <v>461</v>
      </c>
      <c r="E11" s="531"/>
      <c r="F11" s="526" t="s">
        <v>460</v>
      </c>
      <c r="G11" s="139" t="s">
        <v>461</v>
      </c>
    </row>
    <row r="12" spans="1:9" ht="12.75" thickBot="1" x14ac:dyDescent="0.3">
      <c r="A12" s="138"/>
      <c r="B12" s="138"/>
      <c r="C12" s="138"/>
      <c r="D12" s="138"/>
      <c r="E12" s="138"/>
    </row>
    <row r="13" spans="1:9" ht="12.75" customHeight="1" thickBot="1" x14ac:dyDescent="0.3">
      <c r="A13" s="1527" t="s">
        <v>438</v>
      </c>
      <c r="B13" s="1528"/>
      <c r="C13" s="142" t="s">
        <v>439</v>
      </c>
      <c r="D13" s="137" t="s">
        <v>439</v>
      </c>
      <c r="E13" s="532"/>
      <c r="F13" s="142" t="s">
        <v>439</v>
      </c>
      <c r="G13" s="137" t="s">
        <v>439</v>
      </c>
    </row>
    <row r="14" spans="1:9" ht="12.75" thickTop="1" x14ac:dyDescent="0.25">
      <c r="A14" s="136" t="s">
        <v>65</v>
      </c>
      <c r="B14" s="140" t="s">
        <v>440</v>
      </c>
      <c r="C14" s="989">
        <v>0.2</v>
      </c>
      <c r="D14" s="990">
        <v>0.2</v>
      </c>
      <c r="E14" s="530"/>
      <c r="F14" s="989">
        <v>0.2</v>
      </c>
      <c r="G14" s="990">
        <v>0.2</v>
      </c>
    </row>
    <row r="15" spans="1:9" x14ac:dyDescent="0.25">
      <c r="A15" s="136" t="s">
        <v>464</v>
      </c>
      <c r="B15" s="303" t="s">
        <v>443</v>
      </c>
      <c r="C15" s="991">
        <v>1.4999999999999999E-2</v>
      </c>
      <c r="D15" s="992">
        <v>1.4999999999999999E-2</v>
      </c>
      <c r="E15" s="530"/>
      <c r="F15" s="991">
        <v>1.4999999999999999E-2</v>
      </c>
      <c r="G15" s="992">
        <v>1.4999999999999999E-2</v>
      </c>
    </row>
    <row r="16" spans="1:9" x14ac:dyDescent="0.25">
      <c r="A16" s="136" t="s">
        <v>97</v>
      </c>
      <c r="B16" s="303" t="s">
        <v>444</v>
      </c>
      <c r="C16" s="991">
        <v>0.01</v>
      </c>
      <c r="D16" s="992">
        <v>0.01</v>
      </c>
      <c r="E16" s="530"/>
      <c r="F16" s="991">
        <v>0.01</v>
      </c>
      <c r="G16" s="992">
        <v>0.01</v>
      </c>
    </row>
    <row r="17" spans="1:7" x14ac:dyDescent="0.25">
      <c r="A17" s="136" t="s">
        <v>66</v>
      </c>
      <c r="B17" s="141" t="s">
        <v>446</v>
      </c>
      <c r="C17" s="993">
        <v>2E-3</v>
      </c>
      <c r="D17" s="994">
        <v>2E-3</v>
      </c>
      <c r="E17" s="530"/>
      <c r="F17" s="993">
        <v>2E-3</v>
      </c>
      <c r="G17" s="994">
        <v>2E-3</v>
      </c>
    </row>
    <row r="18" spans="1:7" x14ac:dyDescent="0.25">
      <c r="A18" s="136" t="s">
        <v>465</v>
      </c>
      <c r="B18" s="303" t="s">
        <v>445</v>
      </c>
      <c r="C18" s="991">
        <v>6.0000000000000001E-3</v>
      </c>
      <c r="D18" s="992">
        <v>6.0000000000000001E-3</v>
      </c>
      <c r="E18" s="530"/>
      <c r="F18" s="991">
        <v>6.0000000000000001E-3</v>
      </c>
      <c r="G18" s="992">
        <v>6.0000000000000001E-3</v>
      </c>
    </row>
    <row r="19" spans="1:7" x14ac:dyDescent="0.25">
      <c r="A19" s="136" t="s">
        <v>466</v>
      </c>
      <c r="B19" s="303" t="s">
        <v>442</v>
      </c>
      <c r="C19" s="991">
        <v>2.5000000000000001E-2</v>
      </c>
      <c r="D19" s="992">
        <v>2.5000000000000001E-2</v>
      </c>
      <c r="E19" s="530"/>
      <c r="F19" s="991">
        <v>2.5000000000000001E-2</v>
      </c>
      <c r="G19" s="992">
        <v>2.5000000000000001E-2</v>
      </c>
    </row>
    <row r="20" spans="1:7" x14ac:dyDescent="0.25">
      <c r="A20" s="136" t="s">
        <v>467</v>
      </c>
      <c r="B20" s="303" t="s">
        <v>463</v>
      </c>
      <c r="C20" s="991">
        <v>0.03</v>
      </c>
      <c r="D20" s="992">
        <v>0.03</v>
      </c>
      <c r="E20" s="530"/>
      <c r="F20" s="991">
        <v>0.03</v>
      </c>
      <c r="G20" s="992">
        <v>0.03</v>
      </c>
    </row>
    <row r="21" spans="1:7" x14ac:dyDescent="0.25">
      <c r="A21" s="136" t="s">
        <v>468</v>
      </c>
      <c r="B21" s="303" t="s">
        <v>441</v>
      </c>
      <c r="C21" s="991">
        <v>0.08</v>
      </c>
      <c r="D21" s="992">
        <v>0.08</v>
      </c>
      <c r="E21" s="530"/>
      <c r="F21" s="991">
        <v>0.08</v>
      </c>
      <c r="G21" s="992">
        <v>0.08</v>
      </c>
    </row>
    <row r="22" spans="1:7" ht="12.75" customHeight="1" thickBot="1" x14ac:dyDescent="0.3">
      <c r="A22" s="136" t="s">
        <v>468</v>
      </c>
      <c r="B22" s="303" t="s">
        <v>863</v>
      </c>
      <c r="C22" s="991">
        <v>0.01</v>
      </c>
      <c r="D22" s="992">
        <v>0.01</v>
      </c>
      <c r="E22" s="530"/>
      <c r="F22" s="995" t="s">
        <v>169</v>
      </c>
      <c r="G22" s="996" t="s">
        <v>169</v>
      </c>
    </row>
    <row r="23" spans="1:7" ht="12.75" thickBot="1" x14ac:dyDescent="0.3">
      <c r="A23" s="1518" t="s">
        <v>447</v>
      </c>
      <c r="B23" s="1519"/>
      <c r="C23" s="1001">
        <f>SUM(C14:C22)</f>
        <v>0.37800000000000006</v>
      </c>
      <c r="D23" s="1000">
        <f>SUM(D14:D22)</f>
        <v>0.37800000000000006</v>
      </c>
      <c r="E23" s="533"/>
      <c r="F23" s="1001">
        <f>SUM(F14:F21)</f>
        <v>0.36800000000000005</v>
      </c>
      <c r="G23" s="1000">
        <f>SUM(G14:G21)</f>
        <v>0.36800000000000005</v>
      </c>
    </row>
    <row r="24" spans="1:7" ht="12.75" customHeight="1" thickBot="1" x14ac:dyDescent="0.3">
      <c r="A24" s="1526"/>
      <c r="B24" s="1526"/>
      <c r="C24" s="1529"/>
      <c r="D24" s="1529"/>
      <c r="E24" s="300"/>
      <c r="F24" s="527"/>
      <c r="G24" s="527"/>
    </row>
    <row r="25" spans="1:7" ht="12.75" thickBot="1" x14ac:dyDescent="0.3">
      <c r="A25" s="1527" t="s">
        <v>448</v>
      </c>
      <c r="B25" s="1534"/>
      <c r="C25" s="134" t="s">
        <v>439</v>
      </c>
      <c r="D25" s="134" t="s">
        <v>439</v>
      </c>
      <c r="E25" s="532"/>
      <c r="F25" s="134" t="s">
        <v>439</v>
      </c>
      <c r="G25" s="134" t="s">
        <v>439</v>
      </c>
    </row>
    <row r="26" spans="1:7" ht="12.75" thickTop="1" x14ac:dyDescent="0.25">
      <c r="A26" s="144" t="s">
        <v>477</v>
      </c>
      <c r="B26" s="99" t="s">
        <v>469</v>
      </c>
      <c r="C26" s="996">
        <v>0.1777</v>
      </c>
      <c r="D26" s="996" t="s">
        <v>169</v>
      </c>
      <c r="E26" s="530"/>
      <c r="F26" s="996">
        <v>0.18079999999999999</v>
      </c>
      <c r="G26" s="996" t="s">
        <v>169</v>
      </c>
    </row>
    <row r="27" spans="1:7" x14ac:dyDescent="0.25">
      <c r="A27" s="146" t="s">
        <v>478</v>
      </c>
      <c r="B27" s="143" t="s">
        <v>470</v>
      </c>
      <c r="C27" s="992">
        <v>3.4099999999999998E-2</v>
      </c>
      <c r="D27" s="992" t="s">
        <v>169</v>
      </c>
      <c r="E27" s="530"/>
      <c r="F27" s="992">
        <v>4.3400000000000001E-2</v>
      </c>
      <c r="G27" s="992" t="s">
        <v>169</v>
      </c>
    </row>
    <row r="28" spans="1:7" x14ac:dyDescent="0.25">
      <c r="A28" s="146" t="s">
        <v>479</v>
      </c>
      <c r="B28" s="143" t="s">
        <v>471</v>
      </c>
      <c r="C28" s="992">
        <v>8.9999999999999993E-3</v>
      </c>
      <c r="D28" s="992">
        <v>7.0000000000000001E-3</v>
      </c>
      <c r="E28" s="530"/>
      <c r="F28" s="992">
        <v>9.1999999999999998E-3</v>
      </c>
      <c r="G28" s="992">
        <v>7.0000000000000001E-3</v>
      </c>
    </row>
    <row r="29" spans="1:7" x14ac:dyDescent="0.25">
      <c r="A29" s="146" t="s">
        <v>480</v>
      </c>
      <c r="B29" s="143" t="s">
        <v>450</v>
      </c>
      <c r="C29" s="992">
        <v>0.1072</v>
      </c>
      <c r="D29" s="992">
        <v>8.3299999999999999E-2</v>
      </c>
      <c r="E29" s="530"/>
      <c r="F29" s="992">
        <v>0.1094</v>
      </c>
      <c r="G29" s="992">
        <v>8.3299999999999999E-2</v>
      </c>
    </row>
    <row r="30" spans="1:7" x14ac:dyDescent="0.25">
      <c r="A30" s="146" t="s">
        <v>481</v>
      </c>
      <c r="B30" s="143" t="s">
        <v>472</v>
      </c>
      <c r="C30" s="992">
        <v>5.9999999999999995E-4</v>
      </c>
      <c r="D30" s="992">
        <v>5.0000000000000001E-4</v>
      </c>
      <c r="E30" s="530"/>
      <c r="F30" s="992">
        <v>6.9999999999999999E-4</v>
      </c>
      <c r="G30" s="992">
        <v>5.0000000000000001E-4</v>
      </c>
    </row>
    <row r="31" spans="1:7" x14ac:dyDescent="0.25">
      <c r="A31" s="146" t="s">
        <v>482</v>
      </c>
      <c r="B31" s="143" t="s">
        <v>864</v>
      </c>
      <c r="C31" s="992">
        <v>7.1000000000000004E-3</v>
      </c>
      <c r="D31" s="992">
        <v>5.5999999999999999E-3</v>
      </c>
      <c r="E31" s="530"/>
      <c r="F31" s="992">
        <v>7.3000000000000001E-3</v>
      </c>
      <c r="G31" s="992">
        <v>5.5999999999999999E-3</v>
      </c>
    </row>
    <row r="32" spans="1:7" x14ac:dyDescent="0.25">
      <c r="A32" s="146" t="s">
        <v>483</v>
      </c>
      <c r="B32" s="143" t="s">
        <v>473</v>
      </c>
      <c r="C32" s="992">
        <v>1.4200000000000001E-2</v>
      </c>
      <c r="D32" s="992" t="s">
        <v>169</v>
      </c>
      <c r="E32" s="530"/>
      <c r="F32" s="992">
        <v>2.2800000000000001E-2</v>
      </c>
      <c r="G32" s="992" t="s">
        <v>169</v>
      </c>
    </row>
    <row r="33" spans="1:7" x14ac:dyDescent="0.25">
      <c r="A33" s="146" t="s">
        <v>484</v>
      </c>
      <c r="B33" s="143" t="s">
        <v>474</v>
      </c>
      <c r="C33" s="992">
        <v>1.1000000000000001E-3</v>
      </c>
      <c r="D33" s="992">
        <v>8.0000000000000004E-4</v>
      </c>
      <c r="E33" s="530"/>
      <c r="F33" s="992">
        <v>1.1000000000000001E-3</v>
      </c>
      <c r="G33" s="992">
        <v>8.0000000000000004E-4</v>
      </c>
    </row>
    <row r="34" spans="1:7" x14ac:dyDescent="0.25">
      <c r="A34" s="146" t="s">
        <v>485</v>
      </c>
      <c r="B34" s="143" t="s">
        <v>475</v>
      </c>
      <c r="C34" s="992">
        <v>8.1199999999999994E-2</v>
      </c>
      <c r="D34" s="992">
        <v>6.3100000000000003E-2</v>
      </c>
      <c r="E34" s="530"/>
      <c r="F34" s="992">
        <v>8.8999999999999996E-2</v>
      </c>
      <c r="G34" s="992">
        <v>6.7799999999999999E-2</v>
      </c>
    </row>
    <row r="35" spans="1:7" ht="12.75" customHeight="1" thickBot="1" x14ac:dyDescent="0.3">
      <c r="A35" s="145" t="s">
        <v>486</v>
      </c>
      <c r="B35" s="99" t="s">
        <v>476</v>
      </c>
      <c r="C35" s="996">
        <v>2.9999999999999997E-4</v>
      </c>
      <c r="D35" s="996">
        <v>2.0000000000000001E-4</v>
      </c>
      <c r="E35" s="530"/>
      <c r="F35" s="996">
        <v>2.9999999999999997E-4</v>
      </c>
      <c r="G35" s="996">
        <v>2.0000000000000001E-4</v>
      </c>
    </row>
    <row r="36" spans="1:7" ht="12.75" thickBot="1" x14ac:dyDescent="0.3">
      <c r="A36" s="1518" t="s">
        <v>451</v>
      </c>
      <c r="B36" s="1519"/>
      <c r="C36" s="1000">
        <f>SUM(C26:C35)</f>
        <v>0.4325</v>
      </c>
      <c r="D36" s="1000">
        <f>SUM(D26:D35)</f>
        <v>0.1605</v>
      </c>
      <c r="E36" s="534"/>
      <c r="F36" s="1000">
        <f>SUM(F26:F35)</f>
        <v>0.46399999999999991</v>
      </c>
      <c r="G36" s="1000">
        <f>SUM(G26:G35)</f>
        <v>0.16519999999999999</v>
      </c>
    </row>
    <row r="37" spans="1:7" ht="12.75" customHeight="1" thickBot="1" x14ac:dyDescent="0.3">
      <c r="A37" s="1517"/>
      <c r="B37" s="1517"/>
      <c r="C37" s="1517"/>
      <c r="D37" s="1517"/>
      <c r="E37" s="529"/>
      <c r="F37" s="528"/>
      <c r="G37" s="528"/>
    </row>
    <row r="38" spans="1:7" ht="12.75" thickBot="1" x14ac:dyDescent="0.3">
      <c r="A38" s="1527" t="s">
        <v>452</v>
      </c>
      <c r="B38" s="1528"/>
      <c r="C38" s="134" t="s">
        <v>439</v>
      </c>
      <c r="D38" s="134" t="s">
        <v>439</v>
      </c>
      <c r="E38" s="532"/>
      <c r="F38" s="134" t="s">
        <v>439</v>
      </c>
      <c r="G38" s="134" t="s">
        <v>439</v>
      </c>
    </row>
    <row r="39" spans="1:7" ht="12.75" thickTop="1" x14ac:dyDescent="0.25">
      <c r="A39" s="144" t="s">
        <v>487</v>
      </c>
      <c r="B39" s="99" t="s">
        <v>453</v>
      </c>
      <c r="C39" s="996">
        <v>5.1900000000000002E-2</v>
      </c>
      <c r="D39" s="996">
        <v>4.0399999999999998E-2</v>
      </c>
      <c r="E39" s="530"/>
      <c r="F39" s="996">
        <v>5.6500000000000002E-2</v>
      </c>
      <c r="G39" s="996">
        <v>4.3099999999999999E-2</v>
      </c>
    </row>
    <row r="40" spans="1:7" x14ac:dyDescent="0.25">
      <c r="A40" s="146" t="s">
        <v>488</v>
      </c>
      <c r="B40" s="143" t="s">
        <v>449</v>
      </c>
      <c r="C40" s="992">
        <v>1.1999999999999999E-3</v>
      </c>
      <c r="D40" s="992">
        <v>1E-3</v>
      </c>
      <c r="E40" s="530"/>
      <c r="F40" s="992">
        <v>1.2999999999999999E-3</v>
      </c>
      <c r="G40" s="992">
        <v>1E-3</v>
      </c>
    </row>
    <row r="41" spans="1:7" x14ac:dyDescent="0.25">
      <c r="A41" s="146" t="s">
        <v>489</v>
      </c>
      <c r="B41" s="143" t="s">
        <v>492</v>
      </c>
      <c r="C41" s="992">
        <v>5.2400000000000002E-2</v>
      </c>
      <c r="D41" s="992">
        <v>4.0800000000000003E-2</v>
      </c>
      <c r="E41" s="530"/>
      <c r="F41" s="992">
        <v>5.0799999999999998E-2</v>
      </c>
      <c r="G41" s="992">
        <v>3.8699999999999998E-2</v>
      </c>
    </row>
    <row r="42" spans="1:7" x14ac:dyDescent="0.25">
      <c r="A42" s="146" t="s">
        <v>490</v>
      </c>
      <c r="B42" s="143" t="s">
        <v>493</v>
      </c>
      <c r="C42" s="992">
        <v>4.9799999999999997E-2</v>
      </c>
      <c r="D42" s="992">
        <v>3.8800000000000001E-2</v>
      </c>
      <c r="E42" s="530"/>
      <c r="F42" s="992">
        <v>5.0599999999999999E-2</v>
      </c>
      <c r="G42" s="992">
        <v>3.85E-2</v>
      </c>
    </row>
    <row r="43" spans="1:7" ht="12.75" customHeight="1" thickBot="1" x14ac:dyDescent="0.3">
      <c r="A43" s="146" t="s">
        <v>491</v>
      </c>
      <c r="B43" s="143" t="s">
        <v>454</v>
      </c>
      <c r="C43" s="992">
        <v>4.4000000000000003E-3</v>
      </c>
      <c r="D43" s="992">
        <v>3.3999999999999998E-3</v>
      </c>
      <c r="E43" s="530"/>
      <c r="F43" s="992">
        <v>4.7999999999999996E-3</v>
      </c>
      <c r="G43" s="992">
        <v>3.5999999999999999E-3</v>
      </c>
    </row>
    <row r="44" spans="1:7" ht="12.75" thickBot="1" x14ac:dyDescent="0.3">
      <c r="A44" s="1518" t="s">
        <v>455</v>
      </c>
      <c r="B44" s="1519"/>
      <c r="C44" s="1001">
        <f>SUM(C39:C43)</f>
        <v>0.15969999999999998</v>
      </c>
      <c r="D44" s="1000">
        <f>SUM(D39:D43)</f>
        <v>0.1244</v>
      </c>
      <c r="E44" s="534"/>
      <c r="F44" s="1001">
        <f>SUM(F39:F43)</f>
        <v>0.16400000000000001</v>
      </c>
      <c r="G44" s="1000">
        <f>SUM(G39:G43)</f>
        <v>0.1249</v>
      </c>
    </row>
    <row r="45" spans="1:7" ht="12.75" customHeight="1" thickBot="1" x14ac:dyDescent="0.3">
      <c r="A45" s="1526"/>
      <c r="B45" s="1526"/>
      <c r="C45" s="1526"/>
      <c r="D45" s="1526"/>
      <c r="E45" s="300"/>
      <c r="F45" s="997"/>
      <c r="G45" s="997"/>
    </row>
    <row r="46" spans="1:7" ht="12.75" thickBot="1" x14ac:dyDescent="0.3">
      <c r="A46" s="1527" t="s">
        <v>456</v>
      </c>
      <c r="B46" s="1528"/>
      <c r="C46" s="134" t="s">
        <v>439</v>
      </c>
      <c r="D46" s="134" t="s">
        <v>439</v>
      </c>
      <c r="E46" s="532"/>
      <c r="F46" s="134" t="s">
        <v>439</v>
      </c>
      <c r="G46" s="134" t="s">
        <v>439</v>
      </c>
    </row>
    <row r="47" spans="1:7" ht="12.75" thickTop="1" x14ac:dyDescent="0.25">
      <c r="A47" s="144" t="s">
        <v>494</v>
      </c>
      <c r="B47" s="99" t="s">
        <v>496</v>
      </c>
      <c r="C47" s="996">
        <f>C23*C36</f>
        <v>0.16348500000000002</v>
      </c>
      <c r="D47" s="996">
        <f>ROUND(D23*D36,4)</f>
        <v>6.0699999999999997E-2</v>
      </c>
      <c r="E47" s="530"/>
      <c r="F47" s="996">
        <f>F23*F36</f>
        <v>0.17075199999999999</v>
      </c>
      <c r="G47" s="996">
        <f>G23*G36</f>
        <v>6.0793600000000003E-2</v>
      </c>
    </row>
    <row r="48" spans="1:7" ht="12.75" customHeight="1" thickBot="1" x14ac:dyDescent="0.3">
      <c r="A48" s="146" t="s">
        <v>495</v>
      </c>
      <c r="B48" s="143" t="s">
        <v>497</v>
      </c>
      <c r="C48" s="992">
        <f>(C23*C40)+(C21*C39)</f>
        <v>4.6056000000000005E-3</v>
      </c>
      <c r="D48" s="992">
        <f>ROUND((D23*D40)+(D21*D39),4)</f>
        <v>3.5999999999999999E-3</v>
      </c>
      <c r="E48" s="530"/>
      <c r="F48" s="992">
        <f>(F23*F40)+(F21*F39)</f>
        <v>4.9984000000000009E-3</v>
      </c>
      <c r="G48" s="992">
        <f>(G23*G40)+(G21*G39)</f>
        <v>3.8159999999999999E-3</v>
      </c>
    </row>
    <row r="49" spans="1:7" ht="12.75" thickBot="1" x14ac:dyDescent="0.3">
      <c r="A49" s="1518" t="s">
        <v>457</v>
      </c>
      <c r="B49" s="1519"/>
      <c r="C49" s="1001">
        <f>SUM(C47:C48)</f>
        <v>0.16809060000000001</v>
      </c>
      <c r="D49" s="1000">
        <f>SUM(D47:D48)</f>
        <v>6.4299999999999996E-2</v>
      </c>
      <c r="E49" s="534"/>
      <c r="F49" s="1001">
        <f>SUM(F47:F48)</f>
        <v>0.1757504</v>
      </c>
      <c r="G49" s="1000">
        <f>SUM(G47:G48)</f>
        <v>6.4609600000000003E-2</v>
      </c>
    </row>
    <row r="50" spans="1:7" x14ac:dyDescent="0.25">
      <c r="A50" s="1517"/>
      <c r="B50" s="1517"/>
      <c r="C50" s="1517"/>
      <c r="D50" s="1517"/>
      <c r="E50" s="529"/>
      <c r="F50" s="528"/>
      <c r="G50" s="528"/>
    </row>
    <row r="51" spans="1:7" ht="12.75" customHeight="1" thickBot="1" x14ac:dyDescent="0.3">
      <c r="A51" s="274"/>
      <c r="B51" s="274"/>
      <c r="C51" s="274"/>
      <c r="D51" s="274"/>
      <c r="E51" s="529"/>
      <c r="F51" s="135"/>
      <c r="G51" s="135"/>
    </row>
    <row r="52" spans="1:7" ht="12.75" customHeight="1" thickBot="1" x14ac:dyDescent="0.3">
      <c r="A52" s="1527" t="s">
        <v>498</v>
      </c>
      <c r="B52" s="1528"/>
      <c r="C52" s="134" t="s">
        <v>439</v>
      </c>
      <c r="D52" s="134" t="s">
        <v>439</v>
      </c>
      <c r="E52" s="532"/>
      <c r="F52" s="134" t="s">
        <v>439</v>
      </c>
      <c r="G52" s="134" t="s">
        <v>439</v>
      </c>
    </row>
    <row r="53" spans="1:7" ht="12" customHeight="1" thickTop="1" x14ac:dyDescent="0.25">
      <c r="A53" s="1535" t="s">
        <v>438</v>
      </c>
      <c r="B53" s="1536"/>
      <c r="C53" s="998">
        <f>C23</f>
        <v>0.37800000000000006</v>
      </c>
      <c r="D53" s="998">
        <f>D23</f>
        <v>0.37800000000000006</v>
      </c>
      <c r="E53" s="535"/>
      <c r="F53" s="998">
        <f>F23</f>
        <v>0.36800000000000005</v>
      </c>
      <c r="G53" s="998">
        <f>G23</f>
        <v>0.36800000000000005</v>
      </c>
    </row>
    <row r="54" spans="1:7" ht="12" customHeight="1" x14ac:dyDescent="0.25">
      <c r="A54" s="1537" t="s">
        <v>448</v>
      </c>
      <c r="B54" s="1538"/>
      <c r="C54" s="998">
        <f>C36</f>
        <v>0.4325</v>
      </c>
      <c r="D54" s="998">
        <f>D36</f>
        <v>0.1605</v>
      </c>
      <c r="E54" s="535"/>
      <c r="F54" s="998">
        <f>F36</f>
        <v>0.46399999999999991</v>
      </c>
      <c r="G54" s="998">
        <f>G36</f>
        <v>0.16519999999999999</v>
      </c>
    </row>
    <row r="55" spans="1:7" ht="12.75" customHeight="1" x14ac:dyDescent="0.25">
      <c r="A55" s="1537" t="s">
        <v>452</v>
      </c>
      <c r="B55" s="1538"/>
      <c r="C55" s="998">
        <f>C44</f>
        <v>0.15969999999999998</v>
      </c>
      <c r="D55" s="998">
        <f>D44</f>
        <v>0.1244</v>
      </c>
      <c r="E55" s="535"/>
      <c r="F55" s="998">
        <f>F44</f>
        <v>0.16400000000000001</v>
      </c>
      <c r="G55" s="998">
        <f>G44</f>
        <v>0.1249</v>
      </c>
    </row>
    <row r="56" spans="1:7" ht="12.75" customHeight="1" thickBot="1" x14ac:dyDescent="0.3">
      <c r="A56" s="1539" t="s">
        <v>456</v>
      </c>
      <c r="B56" s="1540"/>
      <c r="C56" s="999">
        <f>C49</f>
        <v>0.16809060000000001</v>
      </c>
      <c r="D56" s="999">
        <f>D49</f>
        <v>6.4299999999999996E-2</v>
      </c>
      <c r="E56" s="535"/>
      <c r="F56" s="999">
        <f>F49</f>
        <v>0.1757504</v>
      </c>
      <c r="G56" s="999">
        <f>G49</f>
        <v>6.4609600000000003E-2</v>
      </c>
    </row>
    <row r="57" spans="1:7" ht="12.75" thickBot="1" x14ac:dyDescent="0.3">
      <c r="A57" s="1518" t="s">
        <v>458</v>
      </c>
      <c r="B57" s="1519"/>
      <c r="C57" s="1000">
        <f>SUM(C53:C56)</f>
        <v>1.1382905999999999</v>
      </c>
      <c r="D57" s="1000">
        <f>SUM(D53:D56)</f>
        <v>0.72720000000000007</v>
      </c>
      <c r="E57" s="534"/>
      <c r="F57" s="1000">
        <f>SUM(F53:F56)</f>
        <v>1.1717504000000001</v>
      </c>
      <c r="G57" s="1000">
        <f>SUM(G53:G56)</f>
        <v>0.72270960000000006</v>
      </c>
    </row>
    <row r="59" spans="1:7" ht="12.75" thickBot="1" x14ac:dyDescent="0.3"/>
    <row r="60" spans="1:7" ht="15" customHeight="1" x14ac:dyDescent="0.25">
      <c r="A60" s="1053" t="s">
        <v>49</v>
      </c>
      <c r="B60" s="1190"/>
      <c r="C60" s="1190"/>
      <c r="D60" s="1054"/>
      <c r="E60" s="1053" t="s">
        <v>50</v>
      </c>
      <c r="F60" s="1190"/>
      <c r="G60" s="1054"/>
    </row>
    <row r="61" spans="1:7" ht="15.75" customHeight="1" thickBot="1" x14ac:dyDescent="0.3">
      <c r="A61" s="1055"/>
      <c r="B61" s="1191"/>
      <c r="C61" s="1191"/>
      <c r="D61" s="1056"/>
      <c r="E61" s="1055"/>
      <c r="F61" s="1191"/>
      <c r="G61" s="1056"/>
    </row>
    <row r="62" spans="1:7" ht="15" customHeight="1" x14ac:dyDescent="0.25">
      <c r="A62" s="1533" t="s">
        <v>51</v>
      </c>
      <c r="B62" s="1541"/>
      <c r="C62" s="1541"/>
      <c r="D62" s="1542"/>
      <c r="E62" s="1533" t="s">
        <v>52</v>
      </c>
      <c r="F62" s="1541"/>
      <c r="G62" s="1542"/>
    </row>
    <row r="63" spans="1:7" ht="15.75" customHeight="1" thickBot="1" x14ac:dyDescent="0.3">
      <c r="A63" s="1057"/>
      <c r="B63" s="1176"/>
      <c r="C63" s="1176"/>
      <c r="D63" s="1058"/>
      <c r="E63" s="1057"/>
      <c r="F63" s="1176"/>
      <c r="G63" s="1058"/>
    </row>
    <row r="64" spans="1:7" ht="15.75" customHeight="1" thickTop="1" x14ac:dyDescent="0.25">
      <c r="A64" s="1177" t="s">
        <v>53</v>
      </c>
      <c r="B64" s="1178"/>
      <c r="C64" s="1178"/>
      <c r="D64" s="1178"/>
      <c r="E64" s="1178"/>
      <c r="F64" s="1178"/>
      <c r="G64" s="1179"/>
    </row>
    <row r="65" spans="1:7" x14ac:dyDescent="0.25">
      <c r="A65" s="636" t="s">
        <v>99</v>
      </c>
      <c r="B65" s="1541" t="s">
        <v>462</v>
      </c>
      <c r="C65" s="1541"/>
      <c r="D65" s="1541"/>
      <c r="E65" s="1541"/>
      <c r="F65" s="1541"/>
      <c r="G65" s="1542"/>
    </row>
    <row r="66" spans="1:7" ht="12.75" customHeight="1" x14ac:dyDescent="0.25">
      <c r="A66" s="1533" t="s">
        <v>100</v>
      </c>
      <c r="B66" s="1048" t="s">
        <v>499</v>
      </c>
      <c r="C66" s="1048"/>
      <c r="D66" s="1048"/>
      <c r="E66" s="1048"/>
      <c r="F66" s="1048"/>
      <c r="G66" s="1049"/>
    </row>
    <row r="67" spans="1:7" ht="15.75" customHeight="1" thickBot="1" x14ac:dyDescent="0.3">
      <c r="A67" s="1055"/>
      <c r="B67" s="1051"/>
      <c r="C67" s="1051"/>
      <c r="D67" s="1051"/>
      <c r="E67" s="1051"/>
      <c r="F67" s="1051"/>
      <c r="G67" s="1052"/>
    </row>
  </sheetData>
  <mergeCells count="40">
    <mergeCell ref="H5:I6"/>
    <mergeCell ref="A64:G64"/>
    <mergeCell ref="B65:G65"/>
    <mergeCell ref="B66:G67"/>
    <mergeCell ref="A3:G3"/>
    <mergeCell ref="A61:D61"/>
    <mergeCell ref="A62:D62"/>
    <mergeCell ref="A63:D63"/>
    <mergeCell ref="A2:G2"/>
    <mergeCell ref="A66:A67"/>
    <mergeCell ref="A25:B25"/>
    <mergeCell ref="A36:B36"/>
    <mergeCell ref="A37:D37"/>
    <mergeCell ref="A38:B38"/>
    <mergeCell ref="A52:B52"/>
    <mergeCell ref="A53:B53"/>
    <mergeCell ref="A54:B54"/>
    <mergeCell ref="A55:B55"/>
    <mergeCell ref="A56:B56"/>
    <mergeCell ref="E60:G60"/>
    <mergeCell ref="E61:G61"/>
    <mergeCell ref="E62:G62"/>
    <mergeCell ref="E63:G63"/>
    <mergeCell ref="A60:D60"/>
    <mergeCell ref="A1:G1"/>
    <mergeCell ref="A50:D50"/>
    <mergeCell ref="A57:B57"/>
    <mergeCell ref="C10:D10"/>
    <mergeCell ref="B10:B11"/>
    <mergeCell ref="A10:A11"/>
    <mergeCell ref="F10:G10"/>
    <mergeCell ref="A44:B44"/>
    <mergeCell ref="A45:D45"/>
    <mergeCell ref="A46:B46"/>
    <mergeCell ref="A49:B49"/>
    <mergeCell ref="A13:B13"/>
    <mergeCell ref="A8:G8"/>
    <mergeCell ref="A5:G6"/>
    <mergeCell ref="A23:B23"/>
    <mergeCell ref="A24:D24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69" orientation="portrait" horizontalDpi="4294967294" verticalDpi="4294967294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topLeftCell="A3" zoomScale="70" zoomScaleNormal="70" workbookViewId="0">
      <selection activeCell="AA37" sqref="AA37"/>
    </sheetView>
  </sheetViews>
  <sheetFormatPr defaultRowHeight="12.75" x14ac:dyDescent="0.2"/>
  <cols>
    <col min="1" max="1" width="9.140625" style="156"/>
    <col min="2" max="2" width="98.7109375" style="156" customWidth="1"/>
    <col min="3" max="3" width="10.7109375" style="156" customWidth="1"/>
    <col min="4" max="23" width="5.5703125" style="156" customWidth="1"/>
    <col min="24" max="16384" width="9.140625" style="156"/>
  </cols>
  <sheetData>
    <row r="1" spans="1:23" ht="15.75" x14ac:dyDescent="0.2">
      <c r="A1" s="1550" t="s">
        <v>294</v>
      </c>
      <c r="B1" s="1551"/>
      <c r="C1" s="1551"/>
      <c r="D1" s="1551"/>
      <c r="E1" s="1551"/>
      <c r="F1" s="1551"/>
      <c r="G1" s="1551"/>
      <c r="H1" s="1551"/>
      <c r="I1" s="1551"/>
      <c r="J1" s="1551"/>
      <c r="K1" s="1551"/>
      <c r="L1" s="1551"/>
      <c r="M1" s="1551"/>
      <c r="N1" s="1551"/>
      <c r="O1" s="1551"/>
      <c r="P1" s="1551"/>
      <c r="Q1" s="1551"/>
      <c r="R1" s="1551"/>
      <c r="S1" s="1551"/>
      <c r="T1" s="1551"/>
      <c r="U1" s="1551"/>
      <c r="V1" s="1551"/>
      <c r="W1" s="1552"/>
    </row>
    <row r="2" spans="1:23" ht="16.5" thickBot="1" x14ac:dyDescent="0.25">
      <c r="A2" s="1553" t="s">
        <v>295</v>
      </c>
      <c r="B2" s="1554"/>
      <c r="C2" s="1554"/>
      <c r="D2" s="1554"/>
      <c r="E2" s="1554"/>
      <c r="F2" s="1554"/>
      <c r="G2" s="1554"/>
      <c r="H2" s="1554"/>
      <c r="I2" s="1554"/>
      <c r="J2" s="1554"/>
      <c r="K2" s="1554"/>
      <c r="L2" s="1554"/>
      <c r="M2" s="1554"/>
      <c r="N2" s="1554"/>
      <c r="O2" s="1554"/>
      <c r="P2" s="1554"/>
      <c r="Q2" s="1554"/>
      <c r="R2" s="1554"/>
      <c r="S2" s="1554"/>
      <c r="T2" s="1554"/>
      <c r="U2" s="1554"/>
      <c r="V2" s="1554"/>
      <c r="W2" s="1555"/>
    </row>
    <row r="3" spans="1:23" ht="15.75" thickBot="1" x14ac:dyDescent="0.25">
      <c r="A3" s="1556"/>
      <c r="B3" s="1557"/>
      <c r="C3" s="1557"/>
      <c r="D3" s="1557"/>
      <c r="E3" s="1557"/>
      <c r="F3" s="1557"/>
      <c r="G3" s="1557"/>
      <c r="H3" s="1557"/>
      <c r="I3" s="1557"/>
      <c r="J3" s="1557"/>
      <c r="K3" s="1557"/>
      <c r="L3" s="1557"/>
      <c r="M3" s="1557"/>
      <c r="N3" s="1557"/>
      <c r="O3" s="1557"/>
      <c r="P3" s="1557"/>
      <c r="Q3" s="1557"/>
      <c r="R3" s="1557"/>
      <c r="S3" s="1557"/>
      <c r="T3" s="1557"/>
      <c r="U3" s="1557"/>
      <c r="V3" s="1557"/>
      <c r="W3" s="1557"/>
    </row>
    <row r="4" spans="1:23" x14ac:dyDescent="0.2">
      <c r="A4" s="1558" t="s">
        <v>292</v>
      </c>
      <c r="B4" s="1559"/>
      <c r="C4" s="1559"/>
      <c r="D4" s="1559"/>
      <c r="E4" s="1559"/>
      <c r="F4" s="1559"/>
      <c r="G4" s="1559"/>
      <c r="H4" s="1559"/>
      <c r="I4" s="1559"/>
      <c r="J4" s="1559"/>
      <c r="K4" s="1559"/>
      <c r="L4" s="1559"/>
      <c r="M4" s="1559"/>
      <c r="N4" s="1559"/>
      <c r="O4" s="1559"/>
      <c r="P4" s="1559"/>
      <c r="Q4" s="1559"/>
      <c r="R4" s="1559"/>
      <c r="S4" s="1559"/>
      <c r="T4" s="1559"/>
      <c r="U4" s="1559"/>
      <c r="V4" s="1559"/>
      <c r="W4" s="1560"/>
    </row>
    <row r="5" spans="1:23" ht="13.5" thickBot="1" x14ac:dyDescent="0.25">
      <c r="A5" s="1561"/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  <c r="T5" s="1562"/>
      <c r="U5" s="1562"/>
      <c r="V5" s="1562"/>
      <c r="W5" s="1563"/>
    </row>
    <row r="6" spans="1:23" ht="15.75" thickBot="1" x14ac:dyDescent="0.25">
      <c r="A6" s="473"/>
      <c r="B6" s="473"/>
      <c r="C6" s="473"/>
      <c r="D6" s="473"/>
      <c r="E6" s="473"/>
      <c r="F6" s="473"/>
      <c r="G6" s="473"/>
      <c r="H6" s="473"/>
      <c r="I6" s="473"/>
      <c r="J6" s="473"/>
      <c r="K6" s="473"/>
      <c r="L6" s="473"/>
      <c r="M6" s="473"/>
      <c r="N6" s="473"/>
      <c r="O6" s="473"/>
      <c r="P6" s="473"/>
      <c r="Q6" s="473"/>
      <c r="R6" s="473"/>
      <c r="S6" s="473"/>
      <c r="T6" s="473"/>
      <c r="U6" s="473"/>
      <c r="V6" s="473"/>
      <c r="W6" s="473"/>
    </row>
    <row r="7" spans="1:23" x14ac:dyDescent="0.2">
      <c r="A7" s="1564" t="s">
        <v>593</v>
      </c>
      <c r="B7" s="1565"/>
      <c r="C7" s="1565"/>
      <c r="D7" s="1565"/>
      <c r="E7" s="1565"/>
      <c r="F7" s="1565"/>
      <c r="G7" s="1565"/>
      <c r="H7" s="1565"/>
      <c r="I7" s="1565"/>
      <c r="J7" s="1565"/>
      <c r="K7" s="1565"/>
      <c r="L7" s="1565"/>
      <c r="M7" s="1565"/>
      <c r="N7" s="1565"/>
      <c r="O7" s="1565"/>
      <c r="P7" s="1565"/>
      <c r="Q7" s="1565"/>
      <c r="R7" s="1565"/>
      <c r="S7" s="1565"/>
      <c r="T7" s="1565"/>
      <c r="U7" s="1565"/>
      <c r="V7" s="1565"/>
      <c r="W7" s="1566"/>
    </row>
    <row r="8" spans="1:23" ht="13.5" thickBot="1" x14ac:dyDescent="0.25">
      <c r="A8" s="1567"/>
      <c r="B8" s="1568"/>
      <c r="C8" s="1568"/>
      <c r="D8" s="1568"/>
      <c r="E8" s="1568"/>
      <c r="F8" s="1568"/>
      <c r="G8" s="1568"/>
      <c r="H8" s="1568"/>
      <c r="I8" s="1568"/>
      <c r="J8" s="1568"/>
      <c r="K8" s="1568"/>
      <c r="L8" s="1568"/>
      <c r="M8" s="1568"/>
      <c r="N8" s="1568"/>
      <c r="O8" s="1568"/>
      <c r="P8" s="1568"/>
      <c r="Q8" s="1568"/>
      <c r="R8" s="1568"/>
      <c r="S8" s="1568"/>
      <c r="T8" s="1568"/>
      <c r="U8" s="1568"/>
      <c r="V8" s="1568"/>
      <c r="W8" s="1569"/>
    </row>
    <row r="9" spans="1:23" ht="13.5" thickBot="1" x14ac:dyDescent="0.25">
      <c r="A9" s="76"/>
      <c r="B9" s="77"/>
      <c r="C9" s="419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</row>
    <row r="10" spans="1:23" ht="13.5" thickBot="1" x14ac:dyDescent="0.25">
      <c r="A10" s="1570" t="s">
        <v>0</v>
      </c>
      <c r="B10" s="1572" t="s">
        <v>804</v>
      </c>
      <c r="C10" s="1574" t="s">
        <v>594</v>
      </c>
      <c r="D10" s="1576" t="s">
        <v>63</v>
      </c>
      <c r="E10" s="1577"/>
      <c r="F10" s="1577"/>
      <c r="G10" s="1577"/>
      <c r="H10" s="1577"/>
      <c r="I10" s="1577"/>
      <c r="J10" s="1577"/>
      <c r="K10" s="1577"/>
      <c r="L10" s="1577"/>
      <c r="M10" s="1577"/>
      <c r="N10" s="1577"/>
      <c r="O10" s="1577"/>
      <c r="P10" s="1577"/>
      <c r="Q10" s="1577"/>
      <c r="R10" s="1577"/>
      <c r="S10" s="1577"/>
      <c r="T10" s="1577"/>
      <c r="U10" s="1577"/>
      <c r="V10" s="1577"/>
      <c r="W10" s="1578"/>
    </row>
    <row r="11" spans="1:23" ht="13.5" thickBot="1" x14ac:dyDescent="0.25">
      <c r="A11" s="1571"/>
      <c r="B11" s="1573"/>
      <c r="C11" s="1575"/>
      <c r="D11" s="420" t="s">
        <v>595</v>
      </c>
      <c r="E11" s="421" t="s">
        <v>596</v>
      </c>
      <c r="F11" s="421" t="s">
        <v>597</v>
      </c>
      <c r="G11" s="421" t="s">
        <v>598</v>
      </c>
      <c r="H11" s="421" t="s">
        <v>599</v>
      </c>
      <c r="I11" s="421" t="s">
        <v>600</v>
      </c>
      <c r="J11" s="421" t="s">
        <v>601</v>
      </c>
      <c r="K11" s="421" t="s">
        <v>602</v>
      </c>
      <c r="L11" s="421" t="s">
        <v>603</v>
      </c>
      <c r="M11" s="421" t="s">
        <v>604</v>
      </c>
      <c r="N11" s="421" t="s">
        <v>605</v>
      </c>
      <c r="O11" s="421" t="s">
        <v>606</v>
      </c>
      <c r="P11" s="421" t="s">
        <v>607</v>
      </c>
      <c r="Q11" s="421" t="s">
        <v>608</v>
      </c>
      <c r="R11" s="421" t="s">
        <v>609</v>
      </c>
      <c r="S11" s="421" t="s">
        <v>610</v>
      </c>
      <c r="T11" s="421" t="s">
        <v>611</v>
      </c>
      <c r="U11" s="421" t="s">
        <v>612</v>
      </c>
      <c r="V11" s="421" t="s">
        <v>613</v>
      </c>
      <c r="W11" s="422" t="s">
        <v>805</v>
      </c>
    </row>
    <row r="12" spans="1:23" ht="13.5" thickBot="1" x14ac:dyDescent="0.25">
      <c r="A12" s="1549"/>
      <c r="B12" s="1549"/>
      <c r="C12" s="1549"/>
      <c r="D12" s="1549"/>
      <c r="E12" s="1549"/>
      <c r="F12" s="1549"/>
      <c r="G12" s="1549"/>
      <c r="H12" s="1549"/>
      <c r="I12" s="1549"/>
      <c r="J12" s="1549"/>
      <c r="K12" s="1549"/>
      <c r="L12" s="1549"/>
      <c r="M12" s="1549"/>
      <c r="N12" s="1549"/>
      <c r="O12" s="1549"/>
      <c r="P12" s="1549"/>
      <c r="Q12" s="1549"/>
      <c r="R12" s="1549"/>
      <c r="S12" s="1549"/>
      <c r="T12" s="1549"/>
      <c r="U12" s="1549"/>
      <c r="V12" s="1549"/>
      <c r="W12" s="1549"/>
    </row>
    <row r="13" spans="1:23" ht="27" customHeight="1" thickBot="1" x14ac:dyDescent="0.25">
      <c r="A13" s="423" t="s">
        <v>260</v>
      </c>
      <c r="B13" s="457" t="s">
        <v>592</v>
      </c>
      <c r="C13" s="505">
        <v>1</v>
      </c>
      <c r="D13" s="425" t="s">
        <v>806</v>
      </c>
      <c r="E13" s="426"/>
      <c r="F13" s="426"/>
      <c r="G13" s="426"/>
      <c r="H13" s="426"/>
      <c r="I13" s="426"/>
      <c r="J13" s="426"/>
      <c r="K13" s="426"/>
      <c r="L13" s="426"/>
      <c r="M13" s="426"/>
      <c r="N13" s="426"/>
      <c r="O13" s="426"/>
      <c r="P13" s="426"/>
      <c r="Q13" s="426"/>
      <c r="R13" s="426"/>
      <c r="S13" s="426"/>
      <c r="T13" s="426"/>
      <c r="U13" s="426"/>
      <c r="V13" s="426"/>
      <c r="W13" s="427"/>
    </row>
    <row r="14" spans="1:23" ht="13.5" thickBot="1" x14ac:dyDescent="0.25">
      <c r="A14" s="1549"/>
      <c r="B14" s="1549"/>
      <c r="C14" s="1549"/>
      <c r="D14" s="1549"/>
      <c r="E14" s="1549"/>
      <c r="F14" s="1549"/>
      <c r="G14" s="1549"/>
      <c r="H14" s="1549"/>
      <c r="I14" s="1549"/>
      <c r="J14" s="1549"/>
      <c r="K14" s="1549"/>
      <c r="L14" s="1549"/>
      <c r="M14" s="1549"/>
      <c r="N14" s="1549"/>
      <c r="O14" s="1549"/>
      <c r="P14" s="1549"/>
      <c r="Q14" s="1549"/>
      <c r="R14" s="1549"/>
      <c r="S14" s="1549"/>
      <c r="T14" s="1549"/>
      <c r="U14" s="1549"/>
      <c r="V14" s="1549"/>
      <c r="W14" s="1549"/>
    </row>
    <row r="15" spans="1:23" ht="39" thickBot="1" x14ac:dyDescent="0.25">
      <c r="A15" s="428" t="s">
        <v>266</v>
      </c>
      <c r="B15" s="458" t="s">
        <v>582</v>
      </c>
      <c r="C15" s="504">
        <v>18</v>
      </c>
      <c r="D15" s="430"/>
      <c r="E15" s="459" t="s">
        <v>806</v>
      </c>
      <c r="F15" s="459" t="s">
        <v>806</v>
      </c>
      <c r="G15" s="459" t="s">
        <v>806</v>
      </c>
      <c r="H15" s="459" t="s">
        <v>806</v>
      </c>
      <c r="I15" s="459" t="s">
        <v>806</v>
      </c>
      <c r="J15" s="459" t="s">
        <v>806</v>
      </c>
      <c r="K15" s="459" t="s">
        <v>806</v>
      </c>
      <c r="L15" s="459" t="s">
        <v>806</v>
      </c>
      <c r="M15" s="459" t="s">
        <v>806</v>
      </c>
      <c r="N15" s="459" t="s">
        <v>806</v>
      </c>
      <c r="O15" s="459" t="s">
        <v>806</v>
      </c>
      <c r="P15" s="459" t="s">
        <v>806</v>
      </c>
      <c r="Q15" s="459" t="s">
        <v>806</v>
      </c>
      <c r="R15" s="459" t="s">
        <v>806</v>
      </c>
      <c r="S15" s="459" t="s">
        <v>806</v>
      </c>
      <c r="T15" s="459" t="s">
        <v>806</v>
      </c>
      <c r="U15" s="459" t="s">
        <v>806</v>
      </c>
      <c r="V15" s="459" t="s">
        <v>806</v>
      </c>
      <c r="W15" s="427"/>
    </row>
    <row r="16" spans="1:23" ht="13.5" thickBot="1" x14ac:dyDescent="0.25">
      <c r="A16" s="1549"/>
      <c r="B16" s="1549"/>
      <c r="C16" s="1549"/>
      <c r="D16" s="1549"/>
      <c r="E16" s="1549"/>
      <c r="F16" s="1549"/>
      <c r="G16" s="1549"/>
      <c r="H16" s="1549"/>
      <c r="I16" s="1549"/>
      <c r="J16" s="1549"/>
      <c r="K16" s="1549"/>
      <c r="L16" s="1549"/>
      <c r="M16" s="1549"/>
      <c r="N16" s="1549"/>
      <c r="O16" s="1549"/>
      <c r="P16" s="1549"/>
      <c r="Q16" s="1549"/>
      <c r="R16" s="1549"/>
      <c r="S16" s="1549"/>
      <c r="T16" s="1549"/>
      <c r="U16" s="1549"/>
      <c r="V16" s="1549"/>
      <c r="W16" s="1549"/>
    </row>
    <row r="17" spans="1:23" x14ac:dyDescent="0.2">
      <c r="A17" s="701" t="s">
        <v>583</v>
      </c>
      <c r="B17" s="698" t="s">
        <v>614</v>
      </c>
      <c r="C17" s="696">
        <v>3</v>
      </c>
      <c r="D17" s="693"/>
      <c r="E17" s="691" t="s">
        <v>806</v>
      </c>
      <c r="F17" s="691" t="s">
        <v>806</v>
      </c>
      <c r="G17" s="691" t="s">
        <v>806</v>
      </c>
      <c r="H17" s="433"/>
      <c r="I17" s="433"/>
      <c r="J17" s="433"/>
      <c r="K17" s="433"/>
      <c r="L17" s="433"/>
      <c r="M17" s="433"/>
      <c r="N17" s="433"/>
      <c r="O17" s="433"/>
      <c r="P17" s="433"/>
      <c r="Q17" s="433"/>
      <c r="R17" s="433"/>
      <c r="S17" s="433"/>
      <c r="T17" s="433"/>
      <c r="U17" s="433"/>
      <c r="V17" s="433"/>
      <c r="W17" s="434"/>
    </row>
    <row r="18" spans="1:23" s="80" customFormat="1" x14ac:dyDescent="0.2">
      <c r="A18" s="702" t="s">
        <v>584</v>
      </c>
      <c r="B18" s="699" t="s">
        <v>585</v>
      </c>
      <c r="C18" s="697">
        <v>18</v>
      </c>
      <c r="D18" s="694"/>
      <c r="E18" s="690" t="s">
        <v>806</v>
      </c>
      <c r="F18" s="690" t="s">
        <v>806</v>
      </c>
      <c r="G18" s="690" t="s">
        <v>806</v>
      </c>
      <c r="H18" s="690" t="s">
        <v>806</v>
      </c>
      <c r="I18" s="690" t="s">
        <v>806</v>
      </c>
      <c r="J18" s="690" t="s">
        <v>806</v>
      </c>
      <c r="K18" s="690" t="s">
        <v>806</v>
      </c>
      <c r="L18" s="690" t="s">
        <v>806</v>
      </c>
      <c r="M18" s="690" t="s">
        <v>806</v>
      </c>
      <c r="N18" s="690" t="s">
        <v>806</v>
      </c>
      <c r="O18" s="690" t="s">
        <v>806</v>
      </c>
      <c r="P18" s="690" t="s">
        <v>806</v>
      </c>
      <c r="Q18" s="690" t="s">
        <v>806</v>
      </c>
      <c r="R18" s="690" t="s">
        <v>806</v>
      </c>
      <c r="S18" s="690" t="s">
        <v>806</v>
      </c>
      <c r="T18" s="690" t="s">
        <v>806</v>
      </c>
      <c r="U18" s="690" t="s">
        <v>806</v>
      </c>
      <c r="V18" s="690" t="s">
        <v>806</v>
      </c>
      <c r="W18" s="692"/>
    </row>
    <row r="19" spans="1:23" ht="30" customHeight="1" x14ac:dyDescent="0.2">
      <c r="A19" s="702" t="s">
        <v>586</v>
      </c>
      <c r="B19" s="700" t="s">
        <v>587</v>
      </c>
      <c r="C19" s="697">
        <v>18</v>
      </c>
      <c r="D19" s="695"/>
      <c r="E19" s="690" t="s">
        <v>806</v>
      </c>
      <c r="F19" s="690" t="s">
        <v>806</v>
      </c>
      <c r="G19" s="690" t="s">
        <v>806</v>
      </c>
      <c r="H19" s="690" t="s">
        <v>806</v>
      </c>
      <c r="I19" s="690" t="s">
        <v>806</v>
      </c>
      <c r="J19" s="690" t="s">
        <v>806</v>
      </c>
      <c r="K19" s="690" t="s">
        <v>806</v>
      </c>
      <c r="L19" s="690" t="s">
        <v>806</v>
      </c>
      <c r="M19" s="690" t="s">
        <v>806</v>
      </c>
      <c r="N19" s="690" t="s">
        <v>806</v>
      </c>
      <c r="O19" s="690" t="s">
        <v>806</v>
      </c>
      <c r="P19" s="690" t="s">
        <v>806</v>
      </c>
      <c r="Q19" s="690" t="s">
        <v>806</v>
      </c>
      <c r="R19" s="690" t="s">
        <v>806</v>
      </c>
      <c r="S19" s="690" t="s">
        <v>806</v>
      </c>
      <c r="T19" s="690" t="s">
        <v>806</v>
      </c>
      <c r="U19" s="690" t="s">
        <v>806</v>
      </c>
      <c r="V19" s="690" t="s">
        <v>806</v>
      </c>
      <c r="W19" s="438"/>
    </row>
    <row r="20" spans="1:23" x14ac:dyDescent="0.2">
      <c r="A20" s="702" t="s">
        <v>588</v>
      </c>
      <c r="B20" s="798" t="s">
        <v>589</v>
      </c>
      <c r="C20" s="697">
        <v>4</v>
      </c>
      <c r="D20" s="695"/>
      <c r="E20" s="437"/>
      <c r="F20" s="437"/>
      <c r="G20" s="437"/>
      <c r="H20" s="437"/>
      <c r="I20" s="437"/>
      <c r="J20" s="437"/>
      <c r="K20" s="437"/>
      <c r="L20" s="437"/>
      <c r="M20" s="437"/>
      <c r="N20" s="437"/>
      <c r="O20" s="690" t="s">
        <v>806</v>
      </c>
      <c r="P20" s="690" t="s">
        <v>806</v>
      </c>
      <c r="Q20" s="690" t="s">
        <v>806</v>
      </c>
      <c r="R20" s="690" t="s">
        <v>806</v>
      </c>
      <c r="S20" s="437"/>
      <c r="T20" s="437"/>
      <c r="U20" s="437"/>
      <c r="V20" s="437"/>
      <c r="W20" s="438"/>
    </row>
    <row r="21" spans="1:23" ht="13.5" thickBot="1" x14ac:dyDescent="0.25">
      <c r="A21" s="821" t="s">
        <v>969</v>
      </c>
      <c r="B21" s="822" t="s">
        <v>968</v>
      </c>
      <c r="C21" s="823">
        <v>4</v>
      </c>
      <c r="D21" s="482"/>
      <c r="E21" s="824"/>
      <c r="F21" s="824"/>
      <c r="G21" s="824"/>
      <c r="H21" s="825" t="s">
        <v>806</v>
      </c>
      <c r="I21" s="825" t="s">
        <v>806</v>
      </c>
      <c r="J21" s="825" t="s">
        <v>806</v>
      </c>
      <c r="K21" s="825" t="s">
        <v>806</v>
      </c>
      <c r="L21" s="825" t="s">
        <v>806</v>
      </c>
      <c r="M21" s="825" t="s">
        <v>806</v>
      </c>
      <c r="N21" s="824"/>
      <c r="O21" s="824"/>
      <c r="P21" s="824"/>
      <c r="Q21" s="824"/>
      <c r="R21" s="824"/>
      <c r="S21" s="824"/>
      <c r="T21" s="824"/>
      <c r="U21" s="824"/>
      <c r="V21" s="824"/>
      <c r="W21" s="826"/>
    </row>
    <row r="22" spans="1:23" ht="13.5" thickBot="1" x14ac:dyDescent="0.25">
      <c r="A22" s="806"/>
      <c r="B22" s="806"/>
      <c r="C22" s="806"/>
      <c r="D22" s="806"/>
      <c r="E22" s="806"/>
      <c r="F22" s="806"/>
      <c r="G22" s="806"/>
      <c r="H22" s="806"/>
      <c r="I22" s="806"/>
      <c r="J22" s="806"/>
      <c r="K22" s="806"/>
      <c r="L22" s="806"/>
      <c r="M22" s="806"/>
      <c r="N22" s="806"/>
      <c r="O22" s="806"/>
      <c r="P22" s="806"/>
      <c r="Q22" s="806"/>
      <c r="R22" s="806"/>
      <c r="S22" s="806"/>
      <c r="T22" s="806"/>
      <c r="U22" s="806"/>
      <c r="V22" s="806"/>
      <c r="W22" s="806"/>
    </row>
    <row r="23" spans="1:23" ht="13.5" thickBot="1" x14ac:dyDescent="0.25">
      <c r="A23" s="428" t="s">
        <v>267</v>
      </c>
      <c r="B23" s="458" t="s">
        <v>590</v>
      </c>
      <c r="C23" s="504">
        <v>18</v>
      </c>
      <c r="D23" s="448"/>
      <c r="E23" s="465" t="s">
        <v>806</v>
      </c>
      <c r="F23" s="465" t="s">
        <v>806</v>
      </c>
      <c r="G23" s="465" t="s">
        <v>806</v>
      </c>
      <c r="H23" s="465" t="s">
        <v>806</v>
      </c>
      <c r="I23" s="465" t="s">
        <v>806</v>
      </c>
      <c r="J23" s="465" t="s">
        <v>806</v>
      </c>
      <c r="K23" s="465" t="s">
        <v>806</v>
      </c>
      <c r="L23" s="465" t="s">
        <v>806</v>
      </c>
      <c r="M23" s="465" t="s">
        <v>806</v>
      </c>
      <c r="N23" s="465" t="s">
        <v>806</v>
      </c>
      <c r="O23" s="465" t="s">
        <v>806</v>
      </c>
      <c r="P23" s="465" t="s">
        <v>806</v>
      </c>
      <c r="Q23" s="465" t="s">
        <v>806</v>
      </c>
      <c r="R23" s="465" t="s">
        <v>806</v>
      </c>
      <c r="S23" s="465" t="s">
        <v>806</v>
      </c>
      <c r="T23" s="465" t="s">
        <v>806</v>
      </c>
      <c r="U23" s="465" t="s">
        <v>806</v>
      </c>
      <c r="V23" s="465" t="s">
        <v>806</v>
      </c>
      <c r="W23" s="427"/>
    </row>
    <row r="24" spans="1:23" ht="13.5" thickBot="1" x14ac:dyDescent="0.25">
      <c r="A24" s="1549"/>
      <c r="B24" s="1549"/>
      <c r="C24" s="1549"/>
      <c r="D24" s="1549"/>
      <c r="E24" s="1549"/>
      <c r="F24" s="1549"/>
      <c r="G24" s="1549"/>
      <c r="H24" s="1549"/>
      <c r="I24" s="1549"/>
      <c r="J24" s="1549"/>
      <c r="K24" s="1549"/>
      <c r="L24" s="1549"/>
      <c r="M24" s="1549"/>
      <c r="N24" s="1549"/>
      <c r="O24" s="1549"/>
      <c r="P24" s="1549"/>
      <c r="Q24" s="1549"/>
      <c r="R24" s="1549"/>
      <c r="S24" s="1549"/>
      <c r="T24" s="1549"/>
      <c r="U24" s="1549"/>
      <c r="V24" s="1549"/>
      <c r="W24" s="1549"/>
    </row>
    <row r="25" spans="1:23" ht="24.95" customHeight="1" x14ac:dyDescent="0.2">
      <c r="A25" s="701" t="s">
        <v>615</v>
      </c>
      <c r="B25" s="704" t="s">
        <v>807</v>
      </c>
      <c r="C25" s="432">
        <v>1</v>
      </c>
      <c r="D25" s="431"/>
      <c r="E25" s="460" t="s">
        <v>806</v>
      </c>
      <c r="F25" s="433"/>
      <c r="G25" s="433"/>
      <c r="H25" s="433"/>
      <c r="I25" s="433"/>
      <c r="J25" s="433"/>
      <c r="K25" s="433"/>
      <c r="L25" s="433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434"/>
    </row>
    <row r="26" spans="1:23" ht="24.95" customHeight="1" x14ac:dyDescent="0.2">
      <c r="A26" s="702" t="s">
        <v>616</v>
      </c>
      <c r="B26" s="705" t="s">
        <v>808</v>
      </c>
      <c r="C26" s="436" t="s">
        <v>622</v>
      </c>
      <c r="D26" s="435"/>
      <c r="E26" s="451"/>
      <c r="F26" s="461" t="s">
        <v>806</v>
      </c>
      <c r="G26" s="437"/>
      <c r="H26" s="437"/>
      <c r="I26" s="437"/>
      <c r="J26" s="437"/>
      <c r="K26" s="437"/>
      <c r="L26" s="437"/>
      <c r="M26" s="437"/>
      <c r="N26" s="437"/>
      <c r="O26" s="437"/>
      <c r="P26" s="437"/>
      <c r="Q26" s="437"/>
      <c r="R26" s="437"/>
      <c r="S26" s="437"/>
      <c r="T26" s="437"/>
      <c r="U26" s="437"/>
      <c r="V26" s="437"/>
      <c r="W26" s="438"/>
    </row>
    <row r="27" spans="1:23" ht="24.95" customHeight="1" x14ac:dyDescent="0.2">
      <c r="A27" s="702" t="s">
        <v>617</v>
      </c>
      <c r="B27" s="705" t="s">
        <v>809</v>
      </c>
      <c r="C27" s="436" t="s">
        <v>623</v>
      </c>
      <c r="D27" s="435"/>
      <c r="E27" s="437"/>
      <c r="F27" s="437"/>
      <c r="G27" s="461" t="s">
        <v>806</v>
      </c>
      <c r="H27" s="437"/>
      <c r="I27" s="437"/>
      <c r="J27" s="437"/>
      <c r="K27" s="437"/>
      <c r="L27" s="437"/>
      <c r="M27" s="437"/>
      <c r="N27" s="437"/>
      <c r="O27" s="437"/>
      <c r="P27" s="437"/>
      <c r="Q27" s="437"/>
      <c r="R27" s="437"/>
      <c r="S27" s="437"/>
      <c r="T27" s="437"/>
      <c r="U27" s="437"/>
      <c r="V27" s="437"/>
      <c r="W27" s="438"/>
    </row>
    <row r="28" spans="1:23" ht="24.95" customHeight="1" x14ac:dyDescent="0.2">
      <c r="A28" s="702" t="s">
        <v>618</v>
      </c>
      <c r="B28" s="705" t="s">
        <v>810</v>
      </c>
      <c r="C28" s="436">
        <v>7</v>
      </c>
      <c r="D28" s="435"/>
      <c r="E28" s="437"/>
      <c r="F28" s="437"/>
      <c r="G28" s="451"/>
      <c r="H28" s="461" t="s">
        <v>806</v>
      </c>
      <c r="I28" s="461" t="s">
        <v>806</v>
      </c>
      <c r="J28" s="461" t="s">
        <v>806</v>
      </c>
      <c r="K28" s="461" t="s">
        <v>806</v>
      </c>
      <c r="L28" s="461" t="s">
        <v>806</v>
      </c>
      <c r="M28" s="461" t="s">
        <v>806</v>
      </c>
      <c r="N28" s="461" t="s">
        <v>806</v>
      </c>
      <c r="O28" s="437"/>
      <c r="P28" s="437"/>
      <c r="Q28" s="437"/>
      <c r="R28" s="437"/>
      <c r="S28" s="437"/>
      <c r="T28" s="437"/>
      <c r="U28" s="437"/>
      <c r="V28" s="437"/>
      <c r="W28" s="438"/>
    </row>
    <row r="29" spans="1:23" ht="24.95" customHeight="1" x14ac:dyDescent="0.2">
      <c r="A29" s="702" t="s">
        <v>619</v>
      </c>
      <c r="B29" s="705" t="s">
        <v>811</v>
      </c>
      <c r="C29" s="436">
        <v>10</v>
      </c>
      <c r="D29" s="435"/>
      <c r="E29" s="437"/>
      <c r="F29" s="437"/>
      <c r="G29" s="437"/>
      <c r="H29" s="437"/>
      <c r="I29" s="437"/>
      <c r="J29" s="437"/>
      <c r="K29" s="437"/>
      <c r="L29" s="437"/>
      <c r="M29" s="437"/>
      <c r="N29" s="451"/>
      <c r="O29" s="461" t="s">
        <v>806</v>
      </c>
      <c r="P29" s="461" t="s">
        <v>806</v>
      </c>
      <c r="Q29" s="461" t="s">
        <v>806</v>
      </c>
      <c r="R29" s="461" t="s">
        <v>806</v>
      </c>
      <c r="S29" s="461" t="s">
        <v>806</v>
      </c>
      <c r="T29" s="461" t="s">
        <v>806</v>
      </c>
      <c r="U29" s="461" t="s">
        <v>806</v>
      </c>
      <c r="V29" s="437"/>
      <c r="W29" s="438"/>
    </row>
    <row r="30" spans="1:23" ht="24.95" customHeight="1" x14ac:dyDescent="0.2">
      <c r="A30" s="702" t="s">
        <v>621</v>
      </c>
      <c r="B30" s="705" t="s">
        <v>812</v>
      </c>
      <c r="C30" s="436">
        <v>18</v>
      </c>
      <c r="D30" s="435"/>
      <c r="E30" s="461" t="s">
        <v>806</v>
      </c>
      <c r="F30" s="461" t="s">
        <v>806</v>
      </c>
      <c r="G30" s="461" t="s">
        <v>806</v>
      </c>
      <c r="H30" s="461" t="s">
        <v>806</v>
      </c>
      <c r="I30" s="461" t="s">
        <v>806</v>
      </c>
      <c r="J30" s="461" t="s">
        <v>806</v>
      </c>
      <c r="K30" s="461" t="s">
        <v>806</v>
      </c>
      <c r="L30" s="461" t="s">
        <v>806</v>
      </c>
      <c r="M30" s="461" t="s">
        <v>806</v>
      </c>
      <c r="N30" s="461" t="s">
        <v>806</v>
      </c>
      <c r="O30" s="461" t="s">
        <v>806</v>
      </c>
      <c r="P30" s="461" t="s">
        <v>806</v>
      </c>
      <c r="Q30" s="461" t="s">
        <v>806</v>
      </c>
      <c r="R30" s="461" t="s">
        <v>806</v>
      </c>
      <c r="S30" s="461" t="s">
        <v>806</v>
      </c>
      <c r="T30" s="461" t="s">
        <v>806</v>
      </c>
      <c r="U30" s="461" t="s">
        <v>806</v>
      </c>
      <c r="V30" s="461" t="s">
        <v>806</v>
      </c>
      <c r="W30" s="438"/>
    </row>
    <row r="31" spans="1:23" ht="24.95" customHeight="1" thickBot="1" x14ac:dyDescent="0.25">
      <c r="A31" s="703" t="s">
        <v>620</v>
      </c>
      <c r="B31" s="706" t="s">
        <v>813</v>
      </c>
      <c r="C31" s="440">
        <v>7</v>
      </c>
      <c r="D31" s="439"/>
      <c r="E31" s="441"/>
      <c r="F31" s="469" t="s">
        <v>806</v>
      </c>
      <c r="G31" s="469" t="s">
        <v>806</v>
      </c>
      <c r="H31" s="469" t="s">
        <v>806</v>
      </c>
      <c r="I31" s="469" t="s">
        <v>806</v>
      </c>
      <c r="J31" s="469" t="s">
        <v>806</v>
      </c>
      <c r="K31" s="469" t="s">
        <v>806</v>
      </c>
      <c r="L31" s="469" t="s">
        <v>806</v>
      </c>
      <c r="M31" s="441"/>
      <c r="N31" s="441"/>
      <c r="O31" s="441"/>
      <c r="P31" s="441"/>
      <c r="Q31" s="441"/>
      <c r="R31" s="441"/>
      <c r="S31" s="441"/>
      <c r="T31" s="441"/>
      <c r="U31" s="441"/>
      <c r="V31" s="441"/>
      <c r="W31" s="442"/>
    </row>
    <row r="32" spans="1:23" ht="13.5" thickBot="1" x14ac:dyDescent="0.25">
      <c r="A32" s="1549"/>
      <c r="B32" s="1549"/>
      <c r="C32" s="1549"/>
      <c r="D32" s="1549"/>
      <c r="E32" s="1549"/>
      <c r="F32" s="1549"/>
      <c r="G32" s="1549"/>
      <c r="H32" s="1549"/>
      <c r="I32" s="1549"/>
      <c r="J32" s="1549"/>
      <c r="K32" s="1549"/>
      <c r="L32" s="1549"/>
      <c r="M32" s="1549"/>
      <c r="N32" s="1549"/>
      <c r="O32" s="1549"/>
      <c r="P32" s="1549"/>
      <c r="Q32" s="1549"/>
      <c r="R32" s="1549"/>
      <c r="S32" s="1549"/>
      <c r="T32" s="1549"/>
      <c r="U32" s="1549"/>
      <c r="V32" s="1549"/>
      <c r="W32" s="1549"/>
    </row>
    <row r="33" spans="1:23" ht="20.100000000000001" customHeight="1" thickBot="1" x14ac:dyDescent="0.25">
      <c r="A33" s="428" t="s">
        <v>414</v>
      </c>
      <c r="B33" s="506" t="s">
        <v>236</v>
      </c>
      <c r="C33" s="507">
        <v>3</v>
      </c>
      <c r="D33" s="430"/>
      <c r="E33" s="426"/>
      <c r="F33" s="426"/>
      <c r="G33" s="426"/>
      <c r="H33" s="426"/>
      <c r="I33" s="426"/>
      <c r="J33" s="426"/>
      <c r="K33" s="426"/>
      <c r="L33" s="426"/>
      <c r="M33" s="459" t="s">
        <v>806</v>
      </c>
      <c r="N33" s="459" t="s">
        <v>806</v>
      </c>
      <c r="O33" s="459" t="s">
        <v>806</v>
      </c>
      <c r="P33" s="453"/>
      <c r="Q33" s="453"/>
      <c r="R33" s="426"/>
      <c r="S33" s="426"/>
      <c r="T33" s="426"/>
      <c r="U33" s="426"/>
      <c r="V33" s="426"/>
      <c r="W33" s="427"/>
    </row>
    <row r="34" spans="1:23" ht="13.5" thickBot="1" x14ac:dyDescent="0.25">
      <c r="A34" s="1549"/>
      <c r="B34" s="1549"/>
      <c r="C34" s="1549"/>
      <c r="D34" s="1549"/>
      <c r="E34" s="1549"/>
      <c r="F34" s="1549"/>
      <c r="G34" s="1549"/>
      <c r="H34" s="1549"/>
      <c r="I34" s="1549"/>
      <c r="J34" s="1549"/>
      <c r="K34" s="1549"/>
      <c r="L34" s="1549"/>
      <c r="M34" s="1549"/>
      <c r="N34" s="1549"/>
      <c r="O34" s="1549"/>
      <c r="P34" s="1549"/>
      <c r="Q34" s="1549"/>
      <c r="R34" s="1549"/>
      <c r="S34" s="1549"/>
      <c r="T34" s="1549"/>
      <c r="U34" s="1549"/>
      <c r="V34" s="1549"/>
      <c r="W34" s="1549"/>
    </row>
    <row r="35" spans="1:23" ht="20.100000000000001" customHeight="1" thickBot="1" x14ac:dyDescent="0.25">
      <c r="A35" s="428" t="s">
        <v>415</v>
      </c>
      <c r="B35" s="458" t="s">
        <v>591</v>
      </c>
      <c r="C35" s="504">
        <v>12</v>
      </c>
      <c r="D35" s="470"/>
      <c r="E35" s="459" t="s">
        <v>806</v>
      </c>
      <c r="F35" s="459" t="s">
        <v>806</v>
      </c>
      <c r="G35" s="459" t="s">
        <v>806</v>
      </c>
      <c r="H35" s="459" t="s">
        <v>806</v>
      </c>
      <c r="I35" s="459" t="s">
        <v>806</v>
      </c>
      <c r="J35" s="459" t="s">
        <v>806</v>
      </c>
      <c r="K35" s="1581" t="s">
        <v>877</v>
      </c>
      <c r="L35" s="1581"/>
      <c r="M35" s="1581"/>
      <c r="N35" s="1581"/>
      <c r="O35" s="1581"/>
      <c r="P35" s="1581"/>
      <c r="Q35" s="459" t="s">
        <v>806</v>
      </c>
      <c r="R35" s="459" t="s">
        <v>806</v>
      </c>
      <c r="S35" s="459" t="s">
        <v>806</v>
      </c>
      <c r="T35" s="459" t="s">
        <v>806</v>
      </c>
      <c r="U35" s="459" t="s">
        <v>806</v>
      </c>
      <c r="V35" s="459" t="s">
        <v>806</v>
      </c>
      <c r="W35" s="471"/>
    </row>
    <row r="36" spans="1:23" ht="13.5" thickBot="1" x14ac:dyDescent="0.25">
      <c r="A36" s="1549"/>
      <c r="B36" s="1549"/>
      <c r="C36" s="1549"/>
      <c r="D36" s="1549"/>
      <c r="E36" s="1549"/>
      <c r="F36" s="1549"/>
      <c r="G36" s="1549"/>
      <c r="H36" s="1549"/>
      <c r="I36" s="1549"/>
      <c r="J36" s="1549"/>
      <c r="K36" s="1549"/>
      <c r="L36" s="1549"/>
      <c r="M36" s="1549"/>
      <c r="N36" s="1549"/>
      <c r="O36" s="1549"/>
      <c r="P36" s="1549"/>
      <c r="Q36" s="1549"/>
      <c r="R36" s="1549"/>
      <c r="S36" s="1549"/>
      <c r="T36" s="1549"/>
      <c r="U36" s="1549"/>
      <c r="V36" s="1549"/>
      <c r="W36" s="1549"/>
    </row>
    <row r="37" spans="1:23" ht="20.100000000000001" customHeight="1" thickBot="1" x14ac:dyDescent="0.25">
      <c r="A37" s="428" t="s">
        <v>416</v>
      </c>
      <c r="B37" s="458" t="s">
        <v>825</v>
      </c>
      <c r="C37" s="504">
        <v>18</v>
      </c>
      <c r="D37" s="448"/>
      <c r="E37" s="459" t="s">
        <v>806</v>
      </c>
      <c r="F37" s="459" t="s">
        <v>806</v>
      </c>
      <c r="G37" s="459" t="s">
        <v>806</v>
      </c>
      <c r="H37" s="459" t="s">
        <v>806</v>
      </c>
      <c r="I37" s="459" t="s">
        <v>806</v>
      </c>
      <c r="J37" s="459" t="s">
        <v>806</v>
      </c>
      <c r="K37" s="459" t="s">
        <v>806</v>
      </c>
      <c r="L37" s="459" t="s">
        <v>806</v>
      </c>
      <c r="M37" s="459" t="s">
        <v>806</v>
      </c>
      <c r="N37" s="459" t="s">
        <v>806</v>
      </c>
      <c r="O37" s="459" t="s">
        <v>806</v>
      </c>
      <c r="P37" s="459" t="s">
        <v>806</v>
      </c>
      <c r="Q37" s="459" t="s">
        <v>806</v>
      </c>
      <c r="R37" s="459" t="s">
        <v>806</v>
      </c>
      <c r="S37" s="459" t="s">
        <v>806</v>
      </c>
      <c r="T37" s="459" t="s">
        <v>806</v>
      </c>
      <c r="U37" s="459" t="s">
        <v>806</v>
      </c>
      <c r="V37" s="459" t="s">
        <v>806</v>
      </c>
      <c r="W37" s="427"/>
    </row>
    <row r="38" spans="1:23" ht="13.5" thickBot="1" x14ac:dyDescent="0.25">
      <c r="A38" s="1549"/>
      <c r="B38" s="1549"/>
      <c r="C38" s="1549"/>
      <c r="D38" s="1549"/>
      <c r="E38" s="1549"/>
      <c r="F38" s="1549"/>
      <c r="G38" s="1549"/>
      <c r="H38" s="1549"/>
      <c r="I38" s="1549"/>
      <c r="J38" s="1549"/>
      <c r="K38" s="1549"/>
      <c r="L38" s="1549"/>
      <c r="M38" s="1549"/>
      <c r="N38" s="1549"/>
      <c r="O38" s="1549"/>
      <c r="P38" s="1549"/>
      <c r="Q38" s="1549"/>
      <c r="R38" s="1549"/>
      <c r="S38" s="1549"/>
      <c r="T38" s="1549"/>
      <c r="U38" s="1549"/>
      <c r="V38" s="1549"/>
      <c r="W38" s="1549"/>
    </row>
    <row r="39" spans="1:23" ht="20.100000000000001" customHeight="1" thickBot="1" x14ac:dyDescent="0.25">
      <c r="A39" s="428" t="s">
        <v>417</v>
      </c>
      <c r="B39" s="458" t="s">
        <v>237</v>
      </c>
      <c r="C39" s="504">
        <v>12</v>
      </c>
      <c r="D39" s="430"/>
      <c r="E39" s="459" t="s">
        <v>806</v>
      </c>
      <c r="F39" s="459" t="s">
        <v>806</v>
      </c>
      <c r="G39" s="459" t="s">
        <v>806</v>
      </c>
      <c r="H39" s="459" t="s">
        <v>806</v>
      </c>
      <c r="I39" s="459" t="s">
        <v>806</v>
      </c>
      <c r="J39" s="459" t="s">
        <v>806</v>
      </c>
      <c r="K39" s="1581" t="s">
        <v>877</v>
      </c>
      <c r="L39" s="1581"/>
      <c r="M39" s="1581"/>
      <c r="N39" s="1581"/>
      <c r="O39" s="1581"/>
      <c r="P39" s="1581"/>
      <c r="Q39" s="459" t="s">
        <v>806</v>
      </c>
      <c r="R39" s="459" t="s">
        <v>806</v>
      </c>
      <c r="S39" s="459" t="s">
        <v>806</v>
      </c>
      <c r="T39" s="459" t="s">
        <v>806</v>
      </c>
      <c r="U39" s="459" t="s">
        <v>806</v>
      </c>
      <c r="V39" s="459" t="s">
        <v>806</v>
      </c>
      <c r="W39" s="427"/>
    </row>
    <row r="40" spans="1:23" ht="13.5" thickBot="1" x14ac:dyDescent="0.25">
      <c r="A40" s="1549"/>
      <c r="B40" s="1549"/>
      <c r="C40" s="1549"/>
      <c r="D40" s="1549"/>
      <c r="E40" s="1549"/>
      <c r="F40" s="1549"/>
      <c r="G40" s="1549"/>
      <c r="H40" s="1549"/>
      <c r="I40" s="1549"/>
      <c r="J40" s="1549"/>
      <c r="K40" s="1549"/>
      <c r="L40" s="1549"/>
      <c r="M40" s="1549"/>
      <c r="N40" s="1549"/>
      <c r="O40" s="1549"/>
      <c r="P40" s="1549"/>
      <c r="Q40" s="1549"/>
      <c r="R40" s="1549"/>
      <c r="S40" s="1549"/>
      <c r="T40" s="1549"/>
      <c r="U40" s="1549"/>
      <c r="V40" s="1549"/>
      <c r="W40" s="1549"/>
    </row>
    <row r="41" spans="1:23" ht="20.100000000000001" customHeight="1" thickBot="1" x14ac:dyDescent="0.25">
      <c r="A41" s="428" t="s">
        <v>418</v>
      </c>
      <c r="B41" s="458" t="s">
        <v>814</v>
      </c>
      <c r="C41" s="504">
        <v>18</v>
      </c>
      <c r="D41" s="430"/>
      <c r="E41" s="459" t="s">
        <v>806</v>
      </c>
      <c r="F41" s="459" t="s">
        <v>806</v>
      </c>
      <c r="G41" s="459" t="s">
        <v>806</v>
      </c>
      <c r="H41" s="459" t="s">
        <v>806</v>
      </c>
      <c r="I41" s="459" t="s">
        <v>806</v>
      </c>
      <c r="J41" s="459" t="s">
        <v>806</v>
      </c>
      <c r="K41" s="459" t="s">
        <v>806</v>
      </c>
      <c r="L41" s="459" t="s">
        <v>806</v>
      </c>
      <c r="M41" s="459" t="s">
        <v>806</v>
      </c>
      <c r="N41" s="459" t="s">
        <v>806</v>
      </c>
      <c r="O41" s="459" t="s">
        <v>806</v>
      </c>
      <c r="P41" s="459" t="s">
        <v>806</v>
      </c>
      <c r="Q41" s="459" t="s">
        <v>806</v>
      </c>
      <c r="R41" s="459" t="s">
        <v>806</v>
      </c>
      <c r="S41" s="459" t="s">
        <v>806</v>
      </c>
      <c r="T41" s="459" t="s">
        <v>806</v>
      </c>
      <c r="U41" s="459" t="s">
        <v>806</v>
      </c>
      <c r="V41" s="459" t="s">
        <v>806</v>
      </c>
      <c r="W41" s="427"/>
    </row>
    <row r="42" spans="1:23" ht="13.5" thickBot="1" x14ac:dyDescent="0.25">
      <c r="A42" s="1549"/>
      <c r="B42" s="1549"/>
      <c r="C42" s="1549"/>
      <c r="D42" s="1549"/>
      <c r="E42" s="1549"/>
      <c r="F42" s="1549"/>
      <c r="G42" s="1549"/>
      <c r="H42" s="1549"/>
      <c r="I42" s="1549"/>
      <c r="J42" s="1549"/>
      <c r="K42" s="1549"/>
      <c r="L42" s="1549"/>
      <c r="M42" s="1549"/>
      <c r="N42" s="1549"/>
      <c r="O42" s="1549"/>
      <c r="P42" s="1549"/>
      <c r="Q42" s="1549"/>
      <c r="R42" s="1549"/>
      <c r="S42" s="1549"/>
      <c r="T42" s="1549"/>
      <c r="U42" s="1549"/>
      <c r="V42" s="1549"/>
      <c r="W42" s="1549"/>
    </row>
    <row r="43" spans="1:23" ht="20.100000000000001" customHeight="1" thickBot="1" x14ac:dyDescent="0.25">
      <c r="A43" s="428" t="s">
        <v>260</v>
      </c>
      <c r="B43" s="458" t="s">
        <v>624</v>
      </c>
      <c r="C43" s="504">
        <v>1</v>
      </c>
      <c r="D43" s="448"/>
      <c r="E43" s="426"/>
      <c r="F43" s="426"/>
      <c r="G43" s="426"/>
      <c r="H43" s="426"/>
      <c r="I43" s="426"/>
      <c r="J43" s="426"/>
      <c r="K43" s="426"/>
      <c r="L43" s="426"/>
      <c r="M43" s="426"/>
      <c r="N43" s="426"/>
      <c r="O43" s="426"/>
      <c r="P43" s="426"/>
      <c r="Q43" s="426"/>
      <c r="R43" s="426"/>
      <c r="S43" s="426"/>
      <c r="T43" s="426"/>
      <c r="U43" s="426"/>
      <c r="V43" s="426"/>
      <c r="W43" s="472" t="s">
        <v>806</v>
      </c>
    </row>
    <row r="44" spans="1:23" x14ac:dyDescent="0.2">
      <c r="A44" s="1582"/>
      <c r="B44" s="1582"/>
      <c r="C44" s="1582"/>
      <c r="D44" s="1582"/>
      <c r="E44" s="1582"/>
      <c r="F44" s="1582"/>
      <c r="G44" s="1582"/>
      <c r="H44" s="1582"/>
      <c r="I44" s="1582"/>
      <c r="J44" s="1582"/>
      <c r="K44" s="1582"/>
      <c r="L44" s="1582"/>
      <c r="M44" s="1582"/>
      <c r="N44" s="1582"/>
      <c r="O44" s="1582"/>
      <c r="P44" s="1582"/>
      <c r="Q44" s="1582"/>
      <c r="R44" s="1582"/>
      <c r="S44" s="1582"/>
      <c r="T44" s="1582"/>
      <c r="U44" s="1582"/>
      <c r="V44" s="1582"/>
      <c r="W44" s="1582"/>
    </row>
    <row r="45" spans="1:23" ht="13.5" thickBot="1" x14ac:dyDescent="0.25">
      <c r="A45" s="207"/>
      <c r="B45" s="207"/>
      <c r="C45" s="454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</row>
    <row r="46" spans="1:23" x14ac:dyDescent="0.2">
      <c r="A46" s="1583" t="s">
        <v>815</v>
      </c>
      <c r="B46" s="1584"/>
      <c r="C46" s="1584"/>
      <c r="D46" s="1584"/>
      <c r="E46" s="1584"/>
      <c r="F46" s="1584"/>
      <c r="G46" s="1584"/>
      <c r="H46" s="1584"/>
      <c r="I46" s="1584"/>
      <c r="J46" s="1584"/>
      <c r="K46" s="1584"/>
      <c r="L46" s="1584"/>
      <c r="M46" s="1584"/>
      <c r="N46" s="1584"/>
      <c r="O46" s="1584"/>
      <c r="P46" s="1584"/>
      <c r="Q46" s="1584"/>
      <c r="R46" s="1584"/>
      <c r="S46" s="1584"/>
      <c r="T46" s="1584"/>
      <c r="U46" s="1584"/>
      <c r="V46" s="1584"/>
      <c r="W46" s="1585"/>
    </row>
    <row r="47" spans="1:23" x14ac:dyDescent="0.2">
      <c r="A47" s="455" t="s">
        <v>99</v>
      </c>
      <c r="B47" s="1586" t="s">
        <v>816</v>
      </c>
      <c r="C47" s="1586"/>
      <c r="D47" s="1586"/>
      <c r="E47" s="1586"/>
      <c r="F47" s="1586"/>
      <c r="G47" s="1586"/>
      <c r="H47" s="1586"/>
      <c r="I47" s="1586"/>
      <c r="J47" s="1586"/>
      <c r="K47" s="1586"/>
      <c r="L47" s="1586"/>
      <c r="M47" s="1586"/>
      <c r="N47" s="1586"/>
      <c r="O47" s="1586"/>
      <c r="P47" s="1586"/>
      <c r="Q47" s="1586"/>
      <c r="R47" s="1586"/>
      <c r="S47" s="1586"/>
      <c r="T47" s="1586"/>
      <c r="U47" s="1586"/>
      <c r="V47" s="1586"/>
      <c r="W47" s="1587"/>
    </row>
    <row r="48" spans="1:23" ht="13.5" thickBot="1" x14ac:dyDescent="0.25">
      <c r="A48" s="456" t="s">
        <v>100</v>
      </c>
      <c r="B48" s="1579"/>
      <c r="C48" s="1579"/>
      <c r="D48" s="1579"/>
      <c r="E48" s="1579"/>
      <c r="F48" s="1579"/>
      <c r="G48" s="1579"/>
      <c r="H48" s="1579"/>
      <c r="I48" s="1579"/>
      <c r="J48" s="1579"/>
      <c r="K48" s="1579"/>
      <c r="L48" s="1579"/>
      <c r="M48" s="1579"/>
      <c r="N48" s="1579"/>
      <c r="O48" s="1579"/>
      <c r="P48" s="1579"/>
      <c r="Q48" s="1579"/>
      <c r="R48" s="1579"/>
      <c r="S48" s="1579"/>
      <c r="T48" s="1579"/>
      <c r="U48" s="1579"/>
      <c r="V48" s="1579"/>
      <c r="W48" s="1580"/>
    </row>
  </sheetData>
  <mergeCells count="25">
    <mergeCell ref="B48:W48"/>
    <mergeCell ref="A32:W32"/>
    <mergeCell ref="A34:W34"/>
    <mergeCell ref="K35:P35"/>
    <mergeCell ref="A36:W36"/>
    <mergeCell ref="A38:W38"/>
    <mergeCell ref="K39:P39"/>
    <mergeCell ref="A40:W40"/>
    <mergeCell ref="A42:W42"/>
    <mergeCell ref="A44:W44"/>
    <mergeCell ref="A46:W46"/>
    <mergeCell ref="B47:W47"/>
    <mergeCell ref="A24:W24"/>
    <mergeCell ref="A1:W1"/>
    <mergeCell ref="A2:W2"/>
    <mergeCell ref="A3:W3"/>
    <mergeCell ref="A4:W5"/>
    <mergeCell ref="A7:W8"/>
    <mergeCell ref="A10:A11"/>
    <mergeCell ref="B10:B11"/>
    <mergeCell ref="C10:C11"/>
    <mergeCell ref="D10:W10"/>
    <mergeCell ref="A12:W12"/>
    <mergeCell ref="A14:W14"/>
    <mergeCell ref="A16:W16"/>
  </mergeCells>
  <printOptions horizontalCentered="1" verticalCentered="1"/>
  <pageMargins left="0.59055118110236227" right="0.98425196850393704" top="0.98425196850393704" bottom="0.59055118110236227" header="0.31496062992125984" footer="0.31496062992125984"/>
  <pageSetup paperSize="9" scale="50" orientation="landscape" horizontalDpi="4294967294" verticalDpi="4294967294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8"/>
  <sheetViews>
    <sheetView topLeftCell="A42" zoomScale="60" zoomScaleNormal="60" workbookViewId="0">
      <selection activeCell="A24" sqref="A24:X24"/>
    </sheetView>
  </sheetViews>
  <sheetFormatPr defaultRowHeight="12.75" x14ac:dyDescent="0.2"/>
  <cols>
    <col min="1" max="1" width="7.7109375" style="638" bestFit="1" customWidth="1"/>
    <col min="2" max="2" width="67.5703125" style="638" customWidth="1"/>
    <col min="3" max="3" width="24" style="638" bestFit="1" customWidth="1"/>
    <col min="4" max="4" width="18" style="638" bestFit="1" customWidth="1"/>
    <col min="5" max="5" width="12.7109375" style="638" customWidth="1"/>
    <col min="6" max="24" width="13.28515625" style="638" customWidth="1"/>
    <col min="25" max="16384" width="9.140625" style="638"/>
  </cols>
  <sheetData>
    <row r="1" spans="1:24" x14ac:dyDescent="0.2">
      <c r="A1" s="1101" t="s">
        <v>294</v>
      </c>
      <c r="B1" s="1102"/>
      <c r="C1" s="1102"/>
      <c r="D1" s="1102"/>
      <c r="E1" s="1102"/>
      <c r="F1" s="1102"/>
      <c r="G1" s="1102"/>
      <c r="H1" s="1102"/>
      <c r="I1" s="1102"/>
      <c r="J1" s="1102"/>
      <c r="K1" s="1102"/>
      <c r="L1" s="1102"/>
      <c r="M1" s="1102"/>
      <c r="N1" s="1102"/>
      <c r="O1" s="1102"/>
      <c r="P1" s="1102"/>
      <c r="Q1" s="1102"/>
      <c r="R1" s="1102"/>
      <c r="S1" s="1102"/>
      <c r="T1" s="1102"/>
      <c r="U1" s="1102"/>
      <c r="V1" s="1102"/>
      <c r="W1" s="1102"/>
      <c r="X1" s="1103"/>
    </row>
    <row r="2" spans="1:24" x14ac:dyDescent="0.2">
      <c r="A2" s="1121" t="s">
        <v>295</v>
      </c>
      <c r="B2" s="1122"/>
      <c r="C2" s="1122"/>
      <c r="D2" s="1122"/>
      <c r="E2" s="1122"/>
      <c r="F2" s="1122"/>
      <c r="G2" s="1122"/>
      <c r="H2" s="1122"/>
      <c r="I2" s="1122"/>
      <c r="J2" s="1122"/>
      <c r="K2" s="1122"/>
      <c r="L2" s="1122"/>
      <c r="M2" s="1122"/>
      <c r="N2" s="1122"/>
      <c r="O2" s="1122"/>
      <c r="P2" s="1122"/>
      <c r="Q2" s="1122"/>
      <c r="R2" s="1122"/>
      <c r="S2" s="1122"/>
      <c r="T2" s="1122"/>
      <c r="U2" s="1122"/>
      <c r="V2" s="1122"/>
      <c r="W2" s="1122"/>
      <c r="X2" s="1123"/>
    </row>
    <row r="3" spans="1:24" ht="13.5" thickBot="1" x14ac:dyDescent="0.25">
      <c r="A3" s="631"/>
      <c r="B3" s="632"/>
      <c r="C3" s="632"/>
      <c r="D3" s="632"/>
      <c r="E3" s="632"/>
      <c r="F3" s="632"/>
      <c r="G3" s="632"/>
      <c r="H3" s="632"/>
      <c r="I3" s="632"/>
      <c r="J3" s="632"/>
      <c r="K3" s="632"/>
      <c r="L3" s="632"/>
      <c r="M3" s="632"/>
      <c r="N3" s="632"/>
      <c r="O3" s="632"/>
      <c r="P3" s="632"/>
      <c r="Q3" s="632"/>
      <c r="R3" s="632"/>
      <c r="S3" s="632"/>
      <c r="T3" s="632"/>
      <c r="U3" s="632"/>
      <c r="V3" s="632"/>
      <c r="W3" s="632"/>
      <c r="X3" s="633"/>
    </row>
    <row r="4" spans="1:24" ht="13.5" thickBot="1" x14ac:dyDescent="0.25">
      <c r="A4" s="1240"/>
      <c r="B4" s="1241"/>
      <c r="C4" s="1241"/>
      <c r="D4" s="1241"/>
      <c r="E4" s="1241"/>
      <c r="F4" s="1241"/>
      <c r="G4" s="1241"/>
      <c r="H4" s="1241"/>
      <c r="I4" s="1241"/>
      <c r="J4" s="1241"/>
      <c r="K4" s="1241"/>
      <c r="L4" s="1241"/>
      <c r="M4" s="1241"/>
      <c r="N4" s="1241"/>
      <c r="O4" s="1241"/>
      <c r="P4" s="1241"/>
      <c r="Q4" s="1241"/>
      <c r="R4" s="1241"/>
      <c r="S4" s="1241"/>
      <c r="T4" s="1241"/>
      <c r="U4" s="1241"/>
      <c r="V4" s="1241"/>
      <c r="W4" s="1241"/>
      <c r="X4" s="1241"/>
    </row>
    <row r="5" spans="1:24" x14ac:dyDescent="0.2">
      <c r="A5" s="1104" t="s">
        <v>292</v>
      </c>
      <c r="B5" s="1105"/>
      <c r="C5" s="1105"/>
      <c r="D5" s="1105"/>
      <c r="E5" s="1105"/>
      <c r="F5" s="1105"/>
      <c r="G5" s="1105"/>
      <c r="H5" s="1105"/>
      <c r="I5" s="1105"/>
      <c r="J5" s="1105"/>
      <c r="K5" s="1105"/>
      <c r="L5" s="1105"/>
      <c r="M5" s="1105"/>
      <c r="N5" s="1105"/>
      <c r="O5" s="1105"/>
      <c r="P5" s="1105"/>
      <c r="Q5" s="1105"/>
      <c r="R5" s="1105"/>
      <c r="S5" s="1105"/>
      <c r="T5" s="1105"/>
      <c r="U5" s="1105"/>
      <c r="V5" s="1105"/>
      <c r="W5" s="1105"/>
      <c r="X5" s="1106"/>
    </row>
    <row r="6" spans="1:24" ht="13.5" thickBot="1" x14ac:dyDescent="0.25">
      <c r="A6" s="1107"/>
      <c r="B6" s="1108"/>
      <c r="C6" s="1108"/>
      <c r="D6" s="1108"/>
      <c r="E6" s="1108"/>
      <c r="F6" s="1108"/>
      <c r="G6" s="1108"/>
      <c r="H6" s="1108"/>
      <c r="I6" s="1108"/>
      <c r="J6" s="1108"/>
      <c r="K6" s="1108"/>
      <c r="L6" s="1108"/>
      <c r="M6" s="1108"/>
      <c r="N6" s="1108"/>
      <c r="O6" s="1108"/>
      <c r="P6" s="1108"/>
      <c r="Q6" s="1108"/>
      <c r="R6" s="1108"/>
      <c r="S6" s="1108"/>
      <c r="T6" s="1108"/>
      <c r="U6" s="1108"/>
      <c r="V6" s="1108"/>
      <c r="W6" s="1108"/>
      <c r="X6" s="1109"/>
    </row>
    <row r="7" spans="1:24" ht="13.5" thickBot="1" x14ac:dyDescent="0.25">
      <c r="A7" s="639"/>
      <c r="B7" s="639"/>
      <c r="C7" s="639"/>
      <c r="D7" s="639"/>
      <c r="E7" s="639"/>
      <c r="F7" s="639"/>
      <c r="G7" s="639"/>
      <c r="H7" s="639"/>
      <c r="I7" s="639"/>
      <c r="J7" s="639"/>
      <c r="K7" s="639"/>
      <c r="L7" s="639"/>
      <c r="M7" s="639"/>
      <c r="N7" s="639"/>
      <c r="O7" s="639"/>
      <c r="P7" s="639"/>
      <c r="Q7" s="639"/>
      <c r="R7" s="639"/>
      <c r="S7" s="639"/>
      <c r="T7" s="639"/>
      <c r="U7" s="639"/>
      <c r="V7" s="639"/>
      <c r="W7" s="639"/>
      <c r="X7" s="639"/>
    </row>
    <row r="8" spans="1:24" x14ac:dyDescent="0.2">
      <c r="A8" s="1620" t="s">
        <v>899</v>
      </c>
      <c r="B8" s="1621"/>
      <c r="C8" s="1621"/>
      <c r="D8" s="1621"/>
      <c r="E8" s="1621"/>
      <c r="F8" s="1621"/>
      <c r="G8" s="1621"/>
      <c r="H8" s="1621"/>
      <c r="I8" s="1621"/>
      <c r="J8" s="1621"/>
      <c r="K8" s="1621"/>
      <c r="L8" s="1621"/>
      <c r="M8" s="1621"/>
      <c r="N8" s="1621"/>
      <c r="O8" s="1621"/>
      <c r="P8" s="1621"/>
      <c r="Q8" s="1621"/>
      <c r="R8" s="1621"/>
      <c r="S8" s="1621"/>
      <c r="T8" s="1621"/>
      <c r="U8" s="1621"/>
      <c r="V8" s="1621"/>
      <c r="W8" s="1621"/>
      <c r="X8" s="1622"/>
    </row>
    <row r="9" spans="1:24" ht="13.5" thickBot="1" x14ac:dyDescent="0.25">
      <c r="A9" s="1623"/>
      <c r="B9" s="1624"/>
      <c r="C9" s="1624"/>
      <c r="D9" s="1624"/>
      <c r="E9" s="1624"/>
      <c r="F9" s="1624"/>
      <c r="G9" s="1624"/>
      <c r="H9" s="1624"/>
      <c r="I9" s="1624"/>
      <c r="J9" s="1624"/>
      <c r="K9" s="1624"/>
      <c r="L9" s="1624"/>
      <c r="M9" s="1624"/>
      <c r="N9" s="1624"/>
      <c r="O9" s="1624"/>
      <c r="P9" s="1624"/>
      <c r="Q9" s="1624"/>
      <c r="R9" s="1624"/>
      <c r="S9" s="1624"/>
      <c r="T9" s="1624"/>
      <c r="U9" s="1624"/>
      <c r="V9" s="1624"/>
      <c r="W9" s="1624"/>
      <c r="X9" s="1625"/>
    </row>
    <row r="10" spans="1:24" ht="15.75" x14ac:dyDescent="0.2">
      <c r="A10" s="640"/>
      <c r="B10" s="640"/>
      <c r="C10" s="640"/>
      <c r="D10" s="640"/>
      <c r="E10" s="640"/>
      <c r="F10" s="640"/>
      <c r="G10" s="640"/>
      <c r="H10" s="640"/>
      <c r="I10" s="640"/>
      <c r="J10" s="640"/>
      <c r="K10" s="640"/>
      <c r="L10" s="640"/>
      <c r="M10" s="640"/>
      <c r="N10" s="640"/>
      <c r="O10" s="640"/>
      <c r="P10" s="640"/>
      <c r="Q10" s="640"/>
      <c r="R10" s="640"/>
      <c r="S10" s="640"/>
      <c r="T10" s="640"/>
      <c r="U10" s="640"/>
      <c r="V10" s="640"/>
      <c r="W10" s="640"/>
      <c r="X10" s="640"/>
    </row>
    <row r="11" spans="1:24" ht="15.75" x14ac:dyDescent="0.2">
      <c r="A11" s="640"/>
      <c r="B11" s="640"/>
      <c r="C11" s="640"/>
      <c r="D11" s="640"/>
      <c r="E11" s="640"/>
      <c r="F11" s="640"/>
      <c r="G11" s="640"/>
      <c r="H11" s="640"/>
      <c r="I11" s="640"/>
      <c r="J11" s="640"/>
      <c r="K11" s="640"/>
      <c r="L11" s="640"/>
      <c r="M11" s="640"/>
      <c r="N11" s="640"/>
      <c r="O11" s="640"/>
      <c r="P11" s="640"/>
      <c r="Q11" s="640"/>
      <c r="R11" s="640"/>
      <c r="S11" s="640"/>
      <c r="T11" s="640"/>
      <c r="U11" s="640"/>
      <c r="V11" s="640"/>
      <c r="W11" s="640"/>
      <c r="X11" s="640"/>
    </row>
    <row r="12" spans="1:24" ht="16.5" thickBot="1" x14ac:dyDescent="0.25">
      <c r="A12" s="640"/>
      <c r="B12" s="640"/>
      <c r="C12" s="640"/>
      <c r="D12" s="640"/>
      <c r="E12" s="640"/>
      <c r="F12" s="640"/>
      <c r="G12" s="640"/>
      <c r="H12" s="640"/>
      <c r="I12" s="640"/>
      <c r="J12" s="640"/>
      <c r="K12" s="640"/>
      <c r="L12" s="640"/>
      <c r="M12" s="640"/>
      <c r="N12" s="640"/>
      <c r="O12" s="640"/>
      <c r="P12" s="640"/>
      <c r="Q12" s="640"/>
      <c r="R12" s="640"/>
      <c r="S12" s="640"/>
      <c r="T12" s="640"/>
      <c r="U12" s="640"/>
      <c r="V12" s="640"/>
      <c r="W12" s="640"/>
      <c r="X12" s="640"/>
    </row>
    <row r="13" spans="1:24" x14ac:dyDescent="0.2">
      <c r="A13" s="1588" t="s">
        <v>901</v>
      </c>
      <c r="B13" s="1589"/>
      <c r="C13" s="1589"/>
      <c r="D13" s="1589"/>
      <c r="E13" s="1589"/>
      <c r="F13" s="1589"/>
      <c r="G13" s="1589"/>
      <c r="H13" s="1589"/>
      <c r="I13" s="1589"/>
      <c r="J13" s="1589"/>
      <c r="K13" s="1589"/>
      <c r="L13" s="1589"/>
      <c r="M13" s="1589"/>
      <c r="N13" s="1589"/>
      <c r="O13" s="1589"/>
      <c r="P13" s="1589"/>
      <c r="Q13" s="1589"/>
      <c r="R13" s="1589"/>
      <c r="S13" s="1589"/>
      <c r="T13" s="1589"/>
      <c r="U13" s="1589"/>
      <c r="V13" s="1589"/>
      <c r="W13" s="1589"/>
      <c r="X13" s="1590"/>
    </row>
    <row r="14" spans="1:24" ht="13.5" thickBot="1" x14ac:dyDescent="0.25">
      <c r="A14" s="1591"/>
      <c r="B14" s="1592"/>
      <c r="C14" s="1592"/>
      <c r="D14" s="1592"/>
      <c r="E14" s="1592"/>
      <c r="F14" s="1592"/>
      <c r="G14" s="1592"/>
      <c r="H14" s="1592"/>
      <c r="I14" s="1592"/>
      <c r="J14" s="1592"/>
      <c r="K14" s="1592"/>
      <c r="L14" s="1592"/>
      <c r="M14" s="1592"/>
      <c r="N14" s="1592"/>
      <c r="O14" s="1592"/>
      <c r="P14" s="1592"/>
      <c r="Q14" s="1592"/>
      <c r="R14" s="1592"/>
      <c r="S14" s="1592"/>
      <c r="T14" s="1592"/>
      <c r="U14" s="1592"/>
      <c r="V14" s="1592"/>
      <c r="W14" s="1592"/>
      <c r="X14" s="1593"/>
    </row>
    <row r="15" spans="1:24" ht="13.5" thickBot="1" x14ac:dyDescent="0.25">
      <c r="A15" s="220"/>
      <c r="B15" s="641"/>
      <c r="C15" s="641"/>
      <c r="D15" s="642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</row>
    <row r="16" spans="1:24" ht="32.1" customHeight="1" thickBot="1" x14ac:dyDescent="0.25">
      <c r="A16" s="1626" t="s">
        <v>0</v>
      </c>
      <c r="B16" s="1628" t="s">
        <v>804</v>
      </c>
      <c r="C16" s="1639" t="s">
        <v>897</v>
      </c>
      <c r="D16" s="1630" t="s">
        <v>896</v>
      </c>
      <c r="E16" s="1632" t="s">
        <v>900</v>
      </c>
      <c r="F16" s="1633"/>
      <c r="G16" s="1633"/>
      <c r="H16" s="1633"/>
      <c r="I16" s="1633"/>
      <c r="J16" s="1633"/>
      <c r="K16" s="1633"/>
      <c r="L16" s="1633"/>
      <c r="M16" s="1633"/>
      <c r="N16" s="1633"/>
      <c r="O16" s="1633"/>
      <c r="P16" s="1633"/>
      <c r="Q16" s="1633"/>
      <c r="R16" s="1633"/>
      <c r="S16" s="1633"/>
      <c r="T16" s="1633"/>
      <c r="U16" s="1633"/>
      <c r="V16" s="1633"/>
      <c r="W16" s="1633"/>
      <c r="X16" s="1634"/>
    </row>
    <row r="17" spans="1:24" ht="32.1" customHeight="1" thickBot="1" x14ac:dyDescent="0.25">
      <c r="A17" s="1627"/>
      <c r="B17" s="1629"/>
      <c r="C17" s="1640"/>
      <c r="D17" s="1631"/>
      <c r="E17" s="643" t="s">
        <v>595</v>
      </c>
      <c r="F17" s="644" t="s">
        <v>596</v>
      </c>
      <c r="G17" s="644" t="s">
        <v>597</v>
      </c>
      <c r="H17" s="644" t="s">
        <v>598</v>
      </c>
      <c r="I17" s="644" t="s">
        <v>599</v>
      </c>
      <c r="J17" s="644" t="s">
        <v>600</v>
      </c>
      <c r="K17" s="644" t="s">
        <v>601</v>
      </c>
      <c r="L17" s="644" t="s">
        <v>602</v>
      </c>
      <c r="M17" s="644" t="s">
        <v>603</v>
      </c>
      <c r="N17" s="644" t="s">
        <v>604</v>
      </c>
      <c r="O17" s="644" t="s">
        <v>605</v>
      </c>
      <c r="P17" s="644" t="s">
        <v>606</v>
      </c>
      <c r="Q17" s="644" t="s">
        <v>607</v>
      </c>
      <c r="R17" s="644" t="s">
        <v>608</v>
      </c>
      <c r="S17" s="644" t="s">
        <v>609</v>
      </c>
      <c r="T17" s="644" t="s">
        <v>610</v>
      </c>
      <c r="U17" s="644" t="s">
        <v>611</v>
      </c>
      <c r="V17" s="644" t="s">
        <v>612</v>
      </c>
      <c r="W17" s="644" t="s">
        <v>613</v>
      </c>
      <c r="X17" s="645" t="s">
        <v>805</v>
      </c>
    </row>
    <row r="18" spans="1:24" ht="9.9499999999999993" customHeight="1" thickBot="1" x14ac:dyDescent="0.25">
      <c r="A18" s="1603"/>
      <c r="B18" s="1603"/>
      <c r="C18" s="1603"/>
      <c r="D18" s="1603"/>
      <c r="E18" s="1603"/>
      <c r="F18" s="1603"/>
      <c r="G18" s="1603"/>
      <c r="H18" s="1603"/>
      <c r="I18" s="1603"/>
      <c r="J18" s="1603"/>
      <c r="K18" s="1603"/>
      <c r="L18" s="1603"/>
      <c r="M18" s="1603"/>
      <c r="N18" s="1603"/>
      <c r="O18" s="1603"/>
      <c r="P18" s="1603"/>
      <c r="Q18" s="1603"/>
      <c r="R18" s="1603"/>
      <c r="S18" s="1603"/>
      <c r="T18" s="1603"/>
      <c r="U18" s="1603"/>
      <c r="V18" s="1603"/>
      <c r="W18" s="1603"/>
      <c r="X18" s="1603"/>
    </row>
    <row r="19" spans="1:24" ht="32.1" customHeight="1" x14ac:dyDescent="0.2">
      <c r="A19" s="1606"/>
      <c r="B19" s="1612" t="s">
        <v>592</v>
      </c>
      <c r="C19" s="1614">
        <v>1</v>
      </c>
      <c r="D19" s="1616">
        <f>Mobilizacao_Desmobilizacao!F24</f>
        <v>35847.012222222227</v>
      </c>
      <c r="E19" s="646" t="s">
        <v>806</v>
      </c>
      <c r="F19" s="647"/>
      <c r="G19" s="647"/>
      <c r="H19" s="647"/>
      <c r="I19" s="647"/>
      <c r="J19" s="647"/>
      <c r="K19" s="647"/>
      <c r="L19" s="647"/>
      <c r="M19" s="647"/>
      <c r="N19" s="647"/>
      <c r="O19" s="647"/>
      <c r="P19" s="647"/>
      <c r="Q19" s="647"/>
      <c r="R19" s="647"/>
      <c r="S19" s="647"/>
      <c r="T19" s="647"/>
      <c r="U19" s="647"/>
      <c r="V19" s="647"/>
      <c r="W19" s="647"/>
      <c r="X19" s="648"/>
    </row>
    <row r="20" spans="1:24" ht="32.1" customHeight="1" thickBot="1" x14ac:dyDescent="0.25">
      <c r="A20" s="1607"/>
      <c r="B20" s="1613"/>
      <c r="C20" s="1615"/>
      <c r="D20" s="1617"/>
      <c r="E20" s="649">
        <f>$D$19*100%</f>
        <v>35847.012222222227</v>
      </c>
      <c r="F20" s="650"/>
      <c r="G20" s="650"/>
      <c r="H20" s="651"/>
      <c r="I20" s="650"/>
      <c r="J20" s="650"/>
      <c r="K20" s="650"/>
      <c r="L20" s="650"/>
      <c r="M20" s="650"/>
      <c r="N20" s="650"/>
      <c r="O20" s="651"/>
      <c r="P20" s="650"/>
      <c r="Q20" s="650"/>
      <c r="R20" s="650"/>
      <c r="S20" s="651"/>
      <c r="T20" s="650"/>
      <c r="U20" s="650"/>
      <c r="V20" s="650"/>
      <c r="W20" s="651"/>
      <c r="X20" s="652"/>
    </row>
    <row r="21" spans="1:24" ht="9.75" customHeight="1" thickBot="1" x14ac:dyDescent="0.25">
      <c r="A21" s="1603"/>
      <c r="B21" s="1603"/>
      <c r="C21" s="1603"/>
      <c r="D21" s="1603"/>
      <c r="E21" s="1603"/>
      <c r="F21" s="1603"/>
      <c r="G21" s="1603"/>
      <c r="H21" s="1603"/>
      <c r="I21" s="1603"/>
      <c r="J21" s="1603"/>
      <c r="K21" s="1603"/>
      <c r="L21" s="1603"/>
      <c r="M21" s="1603"/>
      <c r="N21" s="1603"/>
      <c r="O21" s="1603"/>
      <c r="P21" s="1603"/>
      <c r="Q21" s="1603"/>
      <c r="R21" s="1603"/>
      <c r="S21" s="1603"/>
      <c r="T21" s="1603"/>
      <c r="U21" s="1603"/>
      <c r="V21" s="1603"/>
      <c r="W21" s="1603"/>
      <c r="X21" s="1603"/>
    </row>
    <row r="22" spans="1:24" ht="32.1" customHeight="1" x14ac:dyDescent="0.2">
      <c r="A22" s="1606" t="s">
        <v>266</v>
      </c>
      <c r="B22" s="1604" t="s">
        <v>819</v>
      </c>
      <c r="C22" s="1618">
        <v>18</v>
      </c>
      <c r="D22" s="1610">
        <f>'(Resumo - Calculo)'!G23</f>
        <v>34296040.918988854</v>
      </c>
      <c r="E22" s="653"/>
      <c r="F22" s="654" t="s">
        <v>806</v>
      </c>
      <c r="G22" s="654" t="s">
        <v>806</v>
      </c>
      <c r="H22" s="654" t="s">
        <v>806</v>
      </c>
      <c r="I22" s="654" t="s">
        <v>806</v>
      </c>
      <c r="J22" s="654" t="s">
        <v>806</v>
      </c>
      <c r="K22" s="654" t="s">
        <v>806</v>
      </c>
      <c r="L22" s="654" t="s">
        <v>806</v>
      </c>
      <c r="M22" s="654" t="s">
        <v>806</v>
      </c>
      <c r="N22" s="654" t="s">
        <v>806</v>
      </c>
      <c r="O22" s="654" t="s">
        <v>806</v>
      </c>
      <c r="P22" s="654" t="s">
        <v>806</v>
      </c>
      <c r="Q22" s="654" t="s">
        <v>806</v>
      </c>
      <c r="R22" s="654" t="s">
        <v>806</v>
      </c>
      <c r="S22" s="654" t="s">
        <v>806</v>
      </c>
      <c r="T22" s="654" t="s">
        <v>806</v>
      </c>
      <c r="U22" s="654" t="s">
        <v>806</v>
      </c>
      <c r="V22" s="654" t="s">
        <v>806</v>
      </c>
      <c r="W22" s="654" t="s">
        <v>806</v>
      </c>
      <c r="X22" s="655"/>
    </row>
    <row r="23" spans="1:24" ht="32.1" customHeight="1" thickBot="1" x14ac:dyDescent="0.25">
      <c r="A23" s="1607"/>
      <c r="B23" s="1605"/>
      <c r="C23" s="1619"/>
      <c r="D23" s="1611"/>
      <c r="E23" s="656"/>
      <c r="F23" s="650">
        <f>(7.45%)*$D$22</f>
        <v>2555055.0484646694</v>
      </c>
      <c r="G23" s="650">
        <f>(7.14%)*$D$22</f>
        <v>2448737.321615804</v>
      </c>
      <c r="H23" s="650">
        <f>(8.14%)*$D$22</f>
        <v>2791697.7308056927</v>
      </c>
      <c r="I23" s="650">
        <f>(6.31%)*$D$22</f>
        <v>2164080.1819881964</v>
      </c>
      <c r="J23" s="650">
        <f>(8%)*$D$22</f>
        <v>2743683.2735191085</v>
      </c>
      <c r="K23" s="650">
        <f>(6.31%)*$D$22</f>
        <v>2164080.1819881964</v>
      </c>
      <c r="L23" s="650">
        <f>(6.31%)*$D$22</f>
        <v>2164080.1819881964</v>
      </c>
      <c r="M23" s="650">
        <f>(6.31%)*$D$22</f>
        <v>2164080.1819881964</v>
      </c>
      <c r="N23" s="650">
        <f>(7.62%)*$D$22</f>
        <v>2613358.3180269506</v>
      </c>
      <c r="O23" s="650">
        <f>(12.31%)*$D$22</f>
        <v>4221842.637127528</v>
      </c>
      <c r="P23" s="650">
        <f>(2.99%)*$D$22</f>
        <v>1025451.6234777669</v>
      </c>
      <c r="Q23" s="650">
        <f>(2.99%)*$D$22</f>
        <v>1025451.6234777669</v>
      </c>
      <c r="R23" s="650">
        <f>(2.99%)*$D$22</f>
        <v>1025451.6234777669</v>
      </c>
      <c r="S23" s="650">
        <f>(4.49%)*$D$22</f>
        <v>1539892.2372625996</v>
      </c>
      <c r="T23" s="650">
        <f>(2.16%)*$D$22</f>
        <v>740794.48385015933</v>
      </c>
      <c r="U23" s="650">
        <f>(2.16%)*$D$22</f>
        <v>740794.48385015933</v>
      </c>
      <c r="V23" s="650">
        <f>(2.16%)*$D$22</f>
        <v>740794.48385015933</v>
      </c>
      <c r="W23" s="650">
        <f>(4.16%)*$D$22</f>
        <v>1426715.3022299362</v>
      </c>
      <c r="X23" s="657"/>
    </row>
    <row r="24" spans="1:24" ht="9.9499999999999993" customHeight="1" thickBot="1" x14ac:dyDescent="0.25">
      <c r="A24" s="1603"/>
      <c r="B24" s="1603"/>
      <c r="C24" s="1603"/>
      <c r="D24" s="1603"/>
      <c r="E24" s="1603"/>
      <c r="F24" s="1603"/>
      <c r="G24" s="1603"/>
      <c r="H24" s="1603"/>
      <c r="I24" s="1603"/>
      <c r="J24" s="1603"/>
      <c r="K24" s="1603"/>
      <c r="L24" s="1603"/>
      <c r="M24" s="1603"/>
      <c r="N24" s="1603"/>
      <c r="O24" s="1603"/>
      <c r="P24" s="1603"/>
      <c r="Q24" s="1603"/>
      <c r="R24" s="1603"/>
      <c r="S24" s="1603"/>
      <c r="T24" s="1603"/>
      <c r="U24" s="1603"/>
      <c r="V24" s="1603"/>
      <c r="W24" s="1603"/>
      <c r="X24" s="1603"/>
    </row>
    <row r="25" spans="1:24" ht="32.1" customHeight="1" x14ac:dyDescent="0.2">
      <c r="A25" s="1606" t="s">
        <v>267</v>
      </c>
      <c r="B25" s="1604" t="s">
        <v>590</v>
      </c>
      <c r="C25" s="1614">
        <v>18</v>
      </c>
      <c r="D25" s="1637">
        <f>'(Resumo - Calculo)'!G24</f>
        <v>975708.88371462224</v>
      </c>
      <c r="E25" s="658"/>
      <c r="F25" s="654" t="s">
        <v>806</v>
      </c>
      <c r="G25" s="654" t="s">
        <v>806</v>
      </c>
      <c r="H25" s="654" t="s">
        <v>806</v>
      </c>
      <c r="I25" s="654" t="s">
        <v>806</v>
      </c>
      <c r="J25" s="654" t="s">
        <v>806</v>
      </c>
      <c r="K25" s="654" t="s">
        <v>806</v>
      </c>
      <c r="L25" s="654" t="s">
        <v>806</v>
      </c>
      <c r="M25" s="654" t="s">
        <v>806</v>
      </c>
      <c r="N25" s="654" t="s">
        <v>806</v>
      </c>
      <c r="O25" s="654" t="s">
        <v>806</v>
      </c>
      <c r="P25" s="654" t="s">
        <v>806</v>
      </c>
      <c r="Q25" s="654" t="s">
        <v>806</v>
      </c>
      <c r="R25" s="654" t="s">
        <v>806</v>
      </c>
      <c r="S25" s="654" t="s">
        <v>806</v>
      </c>
      <c r="T25" s="654" t="s">
        <v>806</v>
      </c>
      <c r="U25" s="654" t="s">
        <v>806</v>
      </c>
      <c r="V25" s="654" t="s">
        <v>806</v>
      </c>
      <c r="W25" s="654" t="s">
        <v>806</v>
      </c>
      <c r="X25" s="648"/>
    </row>
    <row r="26" spans="1:24" ht="32.1" customHeight="1" thickBot="1" x14ac:dyDescent="0.25">
      <c r="A26" s="1607"/>
      <c r="B26" s="1605"/>
      <c r="C26" s="1615"/>
      <c r="D26" s="1638"/>
      <c r="E26" s="659"/>
      <c r="F26" s="660">
        <f>(7.56%)*$D$25</f>
        <v>73763.591608825445</v>
      </c>
      <c r="G26" s="660">
        <f>(10.84%)*$D$25</f>
        <v>105766.84299466504</v>
      </c>
      <c r="H26" s="660">
        <f>(11.34%)*$D$25</f>
        <v>110645.38741323816</v>
      </c>
      <c r="I26" s="660">
        <f>(7.06%)*$D$25</f>
        <v>68885.047190252328</v>
      </c>
      <c r="J26" s="660">
        <f>(6.56%)*$D$25</f>
        <v>64006.50277167921</v>
      </c>
      <c r="K26" s="660">
        <f>(7.06%)*$D$25</f>
        <v>68885.047190252328</v>
      </c>
      <c r="L26" s="660">
        <f>(6.56%)*$D$25</f>
        <v>64006.50277167921</v>
      </c>
      <c r="M26" s="660">
        <f>(7.56%)*$D$25</f>
        <v>73763.591608825445</v>
      </c>
      <c r="N26" s="660">
        <f>(3.78%)*$D$25</f>
        <v>36881.795804412723</v>
      </c>
      <c r="O26" s="660">
        <f>(3.28%)*$D$25</f>
        <v>32003.251385839605</v>
      </c>
      <c r="P26" s="660">
        <f>(3.28%)*$D$25</f>
        <v>32003.251385839605</v>
      </c>
      <c r="Q26" s="660">
        <f>(3.78%)*$D$25</f>
        <v>36881.795804412723</v>
      </c>
      <c r="R26" s="660">
        <f>(3.28%)*$D$25</f>
        <v>32003.251385839605</v>
      </c>
      <c r="S26" s="660">
        <f>(3.28%)*$D$25</f>
        <v>32003.251385839605</v>
      </c>
      <c r="T26" s="660">
        <f>(3.78%)*$D$25</f>
        <v>36881.795804412723</v>
      </c>
      <c r="U26" s="660">
        <f>(3.28%)*$D$25</f>
        <v>32003.251385839605</v>
      </c>
      <c r="V26" s="660">
        <f>(3.28%)*$D$25</f>
        <v>32003.251385839605</v>
      </c>
      <c r="W26" s="660">
        <f>(4.44%)*$D$25</f>
        <v>43321.474436929231</v>
      </c>
      <c r="X26" s="652"/>
    </row>
    <row r="27" spans="1:24" ht="9.9499999999999993" customHeight="1" thickBot="1" x14ac:dyDescent="0.25">
      <c r="A27" s="1603"/>
      <c r="B27" s="1603"/>
      <c r="C27" s="1603"/>
      <c r="D27" s="1603"/>
      <c r="E27" s="1603"/>
      <c r="F27" s="1603"/>
      <c r="G27" s="1603"/>
      <c r="H27" s="1603"/>
      <c r="I27" s="1603"/>
      <c r="J27" s="1603"/>
      <c r="K27" s="1603"/>
      <c r="L27" s="1603"/>
      <c r="M27" s="1603"/>
      <c r="N27" s="1603"/>
      <c r="O27" s="1603"/>
      <c r="P27" s="1603"/>
      <c r="Q27" s="1603"/>
      <c r="R27" s="1603"/>
      <c r="S27" s="1603"/>
      <c r="T27" s="1603"/>
      <c r="U27" s="1603"/>
      <c r="V27" s="1603"/>
      <c r="W27" s="1603"/>
      <c r="X27" s="1603"/>
    </row>
    <row r="28" spans="1:24" ht="32.1" customHeight="1" x14ac:dyDescent="0.2">
      <c r="A28" s="1606" t="s">
        <v>414</v>
      </c>
      <c r="B28" s="1604" t="s">
        <v>236</v>
      </c>
      <c r="C28" s="1614">
        <v>3</v>
      </c>
      <c r="D28" s="1637">
        <f>'(Resumo - Calculo)'!G26</f>
        <v>393977.22136587359</v>
      </c>
      <c r="E28" s="661"/>
      <c r="F28" s="647"/>
      <c r="G28" s="647"/>
      <c r="H28" s="647"/>
      <c r="I28" s="647"/>
      <c r="J28" s="647"/>
      <c r="K28" s="647"/>
      <c r="L28" s="647"/>
      <c r="M28" s="647"/>
      <c r="N28" s="647"/>
      <c r="O28" s="647"/>
      <c r="P28" s="654" t="s">
        <v>806</v>
      </c>
      <c r="Q28" s="654" t="s">
        <v>806</v>
      </c>
      <c r="R28" s="654" t="s">
        <v>806</v>
      </c>
      <c r="S28" s="647"/>
      <c r="T28" s="647"/>
      <c r="U28" s="647"/>
      <c r="V28" s="647"/>
      <c r="W28" s="647"/>
      <c r="X28" s="648"/>
    </row>
    <row r="29" spans="1:24" ht="32.1" customHeight="1" thickBot="1" x14ac:dyDescent="0.25">
      <c r="A29" s="1607"/>
      <c r="B29" s="1605"/>
      <c r="C29" s="1615"/>
      <c r="D29" s="1638"/>
      <c r="E29" s="659"/>
      <c r="F29" s="662"/>
      <c r="G29" s="662"/>
      <c r="H29" s="662"/>
      <c r="I29" s="662"/>
      <c r="J29" s="662"/>
      <c r="K29" s="662"/>
      <c r="L29" s="662"/>
      <c r="M29" s="662"/>
      <c r="N29" s="662"/>
      <c r="O29" s="662"/>
      <c r="P29" s="650">
        <f>$D$28*32%</f>
        <v>126072.71083707955</v>
      </c>
      <c r="Q29" s="650">
        <f>$D$28*32%</f>
        <v>126072.71083707955</v>
      </c>
      <c r="R29" s="650">
        <f>$D$28*36%</f>
        <v>141831.79969171449</v>
      </c>
      <c r="S29" s="662"/>
      <c r="T29" s="662"/>
      <c r="U29" s="662"/>
      <c r="V29" s="662"/>
      <c r="W29" s="662"/>
      <c r="X29" s="663"/>
    </row>
    <row r="30" spans="1:24" ht="9.9499999999999993" customHeight="1" thickBot="1" x14ac:dyDescent="0.25">
      <c r="A30" s="1603"/>
      <c r="B30" s="1603"/>
      <c r="C30" s="1603"/>
      <c r="D30" s="1603"/>
      <c r="E30" s="1603"/>
      <c r="F30" s="1603"/>
      <c r="G30" s="1603"/>
      <c r="H30" s="1603"/>
      <c r="I30" s="1603"/>
      <c r="J30" s="1603"/>
      <c r="K30" s="1603"/>
      <c r="L30" s="1603"/>
      <c r="M30" s="1603"/>
      <c r="N30" s="1603"/>
      <c r="O30" s="1603"/>
      <c r="P30" s="1603"/>
      <c r="Q30" s="1603"/>
      <c r="R30" s="1603"/>
      <c r="S30" s="1603"/>
      <c r="T30" s="1603"/>
      <c r="U30" s="1603"/>
      <c r="V30" s="1603"/>
      <c r="W30" s="1603"/>
      <c r="X30" s="1603"/>
    </row>
    <row r="31" spans="1:24" ht="32.1" customHeight="1" thickBot="1" x14ac:dyDescent="0.25">
      <c r="A31" s="1606" t="s">
        <v>415</v>
      </c>
      <c r="B31" s="1604" t="s">
        <v>591</v>
      </c>
      <c r="C31" s="1614">
        <v>12</v>
      </c>
      <c r="D31" s="1637">
        <f>'(Resumo - Calculo)'!G27</f>
        <v>2880956.216292833</v>
      </c>
      <c r="E31" s="664"/>
      <c r="F31" s="654" t="s">
        <v>806</v>
      </c>
      <c r="G31" s="654" t="s">
        <v>806</v>
      </c>
      <c r="H31" s="654" t="s">
        <v>806</v>
      </c>
      <c r="I31" s="654" t="s">
        <v>806</v>
      </c>
      <c r="J31" s="654" t="s">
        <v>806</v>
      </c>
      <c r="K31" s="665" t="s">
        <v>806</v>
      </c>
      <c r="L31" s="1641" t="s">
        <v>877</v>
      </c>
      <c r="M31" s="1642"/>
      <c r="N31" s="1642"/>
      <c r="O31" s="1642"/>
      <c r="P31" s="1642"/>
      <c r="Q31" s="1643"/>
      <c r="R31" s="654" t="s">
        <v>806</v>
      </c>
      <c r="S31" s="654" t="s">
        <v>806</v>
      </c>
      <c r="T31" s="654" t="s">
        <v>806</v>
      </c>
      <c r="U31" s="654" t="s">
        <v>806</v>
      </c>
      <c r="V31" s="654" t="s">
        <v>806</v>
      </c>
      <c r="W31" s="654" t="s">
        <v>806</v>
      </c>
      <c r="X31" s="666"/>
    </row>
    <row r="32" spans="1:24" ht="32.1" customHeight="1" thickBot="1" x14ac:dyDescent="0.25">
      <c r="A32" s="1607"/>
      <c r="B32" s="1605"/>
      <c r="C32" s="1615"/>
      <c r="D32" s="1638"/>
      <c r="E32" s="667"/>
      <c r="F32" s="662">
        <f>(8%)*$D$31</f>
        <v>230476.49730342664</v>
      </c>
      <c r="G32" s="662">
        <f>(8%)*$D$31</f>
        <v>230476.49730342664</v>
      </c>
      <c r="H32" s="662">
        <f>(8%)*$D$31</f>
        <v>230476.49730342664</v>
      </c>
      <c r="I32" s="662">
        <f>(8%)*$D$31</f>
        <v>230476.49730342664</v>
      </c>
      <c r="J32" s="662">
        <f>(8%)*$D$31</f>
        <v>230476.49730342664</v>
      </c>
      <c r="K32" s="662">
        <f>(10%)*$D$31</f>
        <v>288095.6216292833</v>
      </c>
      <c r="L32" s="668"/>
      <c r="M32" s="668"/>
      <c r="N32" s="668"/>
      <c r="O32" s="668"/>
      <c r="P32" s="668"/>
      <c r="Q32" s="668"/>
      <c r="R32" s="662">
        <f>(8%)*$D$31</f>
        <v>230476.49730342664</v>
      </c>
      <c r="S32" s="662">
        <f>(8%)*$D$31</f>
        <v>230476.49730342664</v>
      </c>
      <c r="T32" s="662">
        <f>(8%)*$D$31</f>
        <v>230476.49730342664</v>
      </c>
      <c r="U32" s="662">
        <f>(8%)*$D$31</f>
        <v>230476.49730342664</v>
      </c>
      <c r="V32" s="662">
        <f>(8%)*$D$31</f>
        <v>230476.49730342664</v>
      </c>
      <c r="W32" s="662">
        <f>(10%)*$D$31</f>
        <v>288095.6216292833</v>
      </c>
      <c r="X32" s="669"/>
    </row>
    <row r="33" spans="1:24" ht="9.9499999999999993" customHeight="1" thickBot="1" x14ac:dyDescent="0.25">
      <c r="A33" s="1603"/>
      <c r="B33" s="1603"/>
      <c r="C33" s="1603"/>
      <c r="D33" s="1603"/>
      <c r="E33" s="1603"/>
      <c r="F33" s="1603"/>
      <c r="G33" s="1603"/>
      <c r="H33" s="1603"/>
      <c r="I33" s="1603"/>
      <c r="J33" s="1603"/>
      <c r="K33" s="1603"/>
      <c r="L33" s="1603"/>
      <c r="M33" s="1603"/>
      <c r="N33" s="1603"/>
      <c r="O33" s="1603"/>
      <c r="P33" s="1603"/>
      <c r="Q33" s="1603"/>
      <c r="R33" s="1603"/>
      <c r="S33" s="1603"/>
      <c r="T33" s="1603"/>
      <c r="U33" s="1603"/>
      <c r="V33" s="1603"/>
      <c r="W33" s="1603"/>
      <c r="X33" s="1603"/>
    </row>
    <row r="34" spans="1:24" ht="32.1" customHeight="1" thickBot="1" x14ac:dyDescent="0.25">
      <c r="A34" s="1606" t="s">
        <v>417</v>
      </c>
      <c r="B34" s="1604" t="s">
        <v>237</v>
      </c>
      <c r="C34" s="1614">
        <v>12</v>
      </c>
      <c r="D34" s="1637">
        <f>'(Resumo - Calculo)'!G29</f>
        <v>3929947.0285646324</v>
      </c>
      <c r="E34" s="661"/>
      <c r="F34" s="654" t="s">
        <v>806</v>
      </c>
      <c r="G34" s="654" t="s">
        <v>806</v>
      </c>
      <c r="H34" s="654" t="s">
        <v>806</v>
      </c>
      <c r="I34" s="654" t="s">
        <v>806</v>
      </c>
      <c r="J34" s="654" t="s">
        <v>806</v>
      </c>
      <c r="K34" s="665" t="s">
        <v>806</v>
      </c>
      <c r="L34" s="1641" t="s">
        <v>877</v>
      </c>
      <c r="M34" s="1642"/>
      <c r="N34" s="1642"/>
      <c r="O34" s="1642"/>
      <c r="P34" s="1642"/>
      <c r="Q34" s="1643"/>
      <c r="R34" s="654" t="s">
        <v>806</v>
      </c>
      <c r="S34" s="654" t="s">
        <v>806</v>
      </c>
      <c r="T34" s="654" t="s">
        <v>806</v>
      </c>
      <c r="U34" s="654" t="s">
        <v>806</v>
      </c>
      <c r="V34" s="654" t="s">
        <v>806</v>
      </c>
      <c r="W34" s="654" t="s">
        <v>806</v>
      </c>
      <c r="X34" s="648"/>
    </row>
    <row r="35" spans="1:24" ht="32.1" customHeight="1" thickBot="1" x14ac:dyDescent="0.25">
      <c r="A35" s="1607"/>
      <c r="B35" s="1605"/>
      <c r="C35" s="1615"/>
      <c r="D35" s="1638"/>
      <c r="E35" s="670"/>
      <c r="F35" s="671">
        <f>(8%)*$D$34</f>
        <v>314395.76228517061</v>
      </c>
      <c r="G35" s="671">
        <f>(8%)*$D$34</f>
        <v>314395.76228517061</v>
      </c>
      <c r="H35" s="671">
        <f>(8%)*$D$34</f>
        <v>314395.76228517061</v>
      </c>
      <c r="I35" s="671">
        <f>(8%)*$D$34</f>
        <v>314395.76228517061</v>
      </c>
      <c r="J35" s="671">
        <f>(8%)*$D$34</f>
        <v>314395.76228517061</v>
      </c>
      <c r="K35" s="671">
        <f>(10%)*$D$34</f>
        <v>392994.70285646326</v>
      </c>
      <c r="L35" s="671"/>
      <c r="M35" s="671"/>
      <c r="N35" s="671"/>
      <c r="O35" s="672"/>
      <c r="P35" s="671"/>
      <c r="Q35" s="671"/>
      <c r="R35" s="673">
        <f>(8%)*$D$34</f>
        <v>314395.76228517061</v>
      </c>
      <c r="S35" s="673">
        <f>(8%)*$D$34</f>
        <v>314395.76228517061</v>
      </c>
      <c r="T35" s="673">
        <f>(8%)*$D$34</f>
        <v>314395.76228517061</v>
      </c>
      <c r="U35" s="673">
        <f>(8%)*$D$34</f>
        <v>314395.76228517061</v>
      </c>
      <c r="V35" s="673">
        <f>(8%)*$D$34</f>
        <v>314395.76228517061</v>
      </c>
      <c r="W35" s="673">
        <f>(10%)*$D$34</f>
        <v>392994.70285646326</v>
      </c>
      <c r="X35" s="673"/>
    </row>
    <row r="36" spans="1:24" ht="9.9499999999999993" customHeight="1" thickBot="1" x14ac:dyDescent="0.25">
      <c r="A36" s="1603"/>
      <c r="B36" s="1603"/>
      <c r="C36" s="1603"/>
      <c r="D36" s="1603"/>
      <c r="E36" s="1603"/>
      <c r="F36" s="1603"/>
      <c r="G36" s="1603"/>
      <c r="H36" s="1603"/>
      <c r="I36" s="1603"/>
      <c r="J36" s="1603"/>
      <c r="K36" s="1603"/>
      <c r="L36" s="1603"/>
      <c r="M36" s="1603"/>
      <c r="N36" s="1603"/>
      <c r="O36" s="1603"/>
      <c r="P36" s="1603"/>
      <c r="Q36" s="1603"/>
      <c r="R36" s="1603"/>
      <c r="S36" s="1603"/>
      <c r="T36" s="1603"/>
      <c r="U36" s="1603"/>
      <c r="V36" s="1603"/>
      <c r="W36" s="1603"/>
      <c r="X36" s="1603"/>
    </row>
    <row r="37" spans="1:24" ht="32.1" customHeight="1" x14ac:dyDescent="0.2">
      <c r="A37" s="1635" t="s">
        <v>418</v>
      </c>
      <c r="B37" s="1604" t="s">
        <v>814</v>
      </c>
      <c r="C37" s="1614">
        <v>18</v>
      </c>
      <c r="D37" s="1637">
        <f>'(Resumo - Calculo)'!G30</f>
        <v>10378004.45862698</v>
      </c>
      <c r="E37" s="664"/>
      <c r="F37" s="654" t="s">
        <v>806</v>
      </c>
      <c r="G37" s="654" t="s">
        <v>806</v>
      </c>
      <c r="H37" s="654" t="s">
        <v>806</v>
      </c>
      <c r="I37" s="654" t="s">
        <v>806</v>
      </c>
      <c r="J37" s="654" t="s">
        <v>806</v>
      </c>
      <c r="K37" s="654" t="s">
        <v>806</v>
      </c>
      <c r="L37" s="654" t="s">
        <v>806</v>
      </c>
      <c r="M37" s="654" t="s">
        <v>806</v>
      </c>
      <c r="N37" s="654" t="s">
        <v>806</v>
      </c>
      <c r="O37" s="654" t="s">
        <v>806</v>
      </c>
      <c r="P37" s="654" t="s">
        <v>806</v>
      </c>
      <c r="Q37" s="654" t="s">
        <v>806</v>
      </c>
      <c r="R37" s="654" t="s">
        <v>806</v>
      </c>
      <c r="S37" s="654" t="s">
        <v>806</v>
      </c>
      <c r="T37" s="654" t="s">
        <v>806</v>
      </c>
      <c r="U37" s="654" t="s">
        <v>806</v>
      </c>
      <c r="V37" s="654" t="s">
        <v>806</v>
      </c>
      <c r="W37" s="654" t="s">
        <v>806</v>
      </c>
      <c r="X37" s="666"/>
    </row>
    <row r="38" spans="1:24" ht="32.1" customHeight="1" thickBot="1" x14ac:dyDescent="0.25">
      <c r="A38" s="1636"/>
      <c r="B38" s="1605"/>
      <c r="C38" s="1615"/>
      <c r="D38" s="1638"/>
      <c r="E38" s="649"/>
      <c r="F38" s="650">
        <f t="shared" ref="F38:V38" si="0">(5.5%)*$D$37</f>
        <v>570790.24522448389</v>
      </c>
      <c r="G38" s="650">
        <f t="shared" si="0"/>
        <v>570790.24522448389</v>
      </c>
      <c r="H38" s="650">
        <f t="shared" si="0"/>
        <v>570790.24522448389</v>
      </c>
      <c r="I38" s="650">
        <f t="shared" si="0"/>
        <v>570790.24522448389</v>
      </c>
      <c r="J38" s="650">
        <f t="shared" si="0"/>
        <v>570790.24522448389</v>
      </c>
      <c r="K38" s="650">
        <f t="shared" si="0"/>
        <v>570790.24522448389</v>
      </c>
      <c r="L38" s="650">
        <f t="shared" si="0"/>
        <v>570790.24522448389</v>
      </c>
      <c r="M38" s="650">
        <f t="shared" si="0"/>
        <v>570790.24522448389</v>
      </c>
      <c r="N38" s="650">
        <f t="shared" si="0"/>
        <v>570790.24522448389</v>
      </c>
      <c r="O38" s="650">
        <f t="shared" si="0"/>
        <v>570790.24522448389</v>
      </c>
      <c r="P38" s="650">
        <f t="shared" si="0"/>
        <v>570790.24522448389</v>
      </c>
      <c r="Q38" s="650">
        <f t="shared" si="0"/>
        <v>570790.24522448389</v>
      </c>
      <c r="R38" s="650">
        <f t="shared" si="0"/>
        <v>570790.24522448389</v>
      </c>
      <c r="S38" s="650">
        <f t="shared" si="0"/>
        <v>570790.24522448389</v>
      </c>
      <c r="T38" s="650">
        <f t="shared" si="0"/>
        <v>570790.24522448389</v>
      </c>
      <c r="U38" s="650">
        <f t="shared" si="0"/>
        <v>570790.24522448389</v>
      </c>
      <c r="V38" s="650">
        <f t="shared" si="0"/>
        <v>570790.24522448389</v>
      </c>
      <c r="W38" s="650">
        <f>(6.5%)*$D$37</f>
        <v>674570.28981075378</v>
      </c>
      <c r="X38" s="652"/>
    </row>
    <row r="39" spans="1:24" ht="9.9499999999999993" customHeight="1" thickBot="1" x14ac:dyDescent="0.25">
      <c r="A39" s="1603"/>
      <c r="B39" s="1603"/>
      <c r="C39" s="1603"/>
      <c r="D39" s="1603"/>
      <c r="E39" s="1603"/>
      <c r="F39" s="1603"/>
      <c r="G39" s="1603"/>
      <c r="H39" s="1603"/>
      <c r="I39" s="1603"/>
      <c r="J39" s="1603"/>
      <c r="K39" s="1603"/>
      <c r="L39" s="1603"/>
      <c r="M39" s="1603"/>
      <c r="N39" s="1603"/>
      <c r="O39" s="1603"/>
      <c r="P39" s="1603"/>
      <c r="Q39" s="1603"/>
      <c r="R39" s="1603"/>
      <c r="S39" s="1603"/>
      <c r="T39" s="1603"/>
      <c r="U39" s="1603"/>
      <c r="V39" s="1603"/>
      <c r="W39" s="1603"/>
      <c r="X39" s="1603"/>
    </row>
    <row r="40" spans="1:24" ht="32.1" customHeight="1" x14ac:dyDescent="0.2">
      <c r="A40" s="1606"/>
      <c r="B40" s="1604" t="s">
        <v>903</v>
      </c>
      <c r="C40" s="1614">
        <v>18</v>
      </c>
      <c r="D40" s="1637">
        <f>'(Resumo - Calculo)'!C42</f>
        <v>3768137.8280000002</v>
      </c>
      <c r="E40" s="658"/>
      <c r="F40" s="654" t="s">
        <v>806</v>
      </c>
      <c r="G40" s="654" t="s">
        <v>806</v>
      </c>
      <c r="H40" s="654" t="s">
        <v>806</v>
      </c>
      <c r="I40" s="654" t="s">
        <v>806</v>
      </c>
      <c r="J40" s="654" t="s">
        <v>806</v>
      </c>
      <c r="K40" s="654" t="s">
        <v>806</v>
      </c>
      <c r="L40" s="654" t="s">
        <v>806</v>
      </c>
      <c r="M40" s="654" t="s">
        <v>806</v>
      </c>
      <c r="N40" s="654" t="s">
        <v>806</v>
      </c>
      <c r="O40" s="654" t="s">
        <v>806</v>
      </c>
      <c r="P40" s="654" t="s">
        <v>806</v>
      </c>
      <c r="Q40" s="654" t="s">
        <v>806</v>
      </c>
      <c r="R40" s="654" t="s">
        <v>806</v>
      </c>
      <c r="S40" s="654" t="s">
        <v>806</v>
      </c>
      <c r="T40" s="654" t="s">
        <v>806</v>
      </c>
      <c r="U40" s="654" t="s">
        <v>806</v>
      </c>
      <c r="V40" s="654" t="s">
        <v>806</v>
      </c>
      <c r="W40" s="654" t="s">
        <v>806</v>
      </c>
      <c r="X40" s="666"/>
    </row>
    <row r="41" spans="1:24" ht="32.1" customHeight="1" thickBot="1" x14ac:dyDescent="0.25">
      <c r="A41" s="1607"/>
      <c r="B41" s="1605"/>
      <c r="C41" s="1615"/>
      <c r="D41" s="1638"/>
      <c r="E41" s="649"/>
      <c r="F41" s="650">
        <f>(5.65%)*$D$40</f>
        <v>212899.787282</v>
      </c>
      <c r="G41" s="650">
        <f>(5.55%)*$D$40</f>
        <v>209131.64945400003</v>
      </c>
      <c r="H41" s="650">
        <f t="shared" ref="H41:W41" si="1">(5.55%)*$D$40</f>
        <v>209131.64945400003</v>
      </c>
      <c r="I41" s="650">
        <f t="shared" si="1"/>
        <v>209131.64945400003</v>
      </c>
      <c r="J41" s="650">
        <f t="shared" si="1"/>
        <v>209131.64945400003</v>
      </c>
      <c r="K41" s="650">
        <f t="shared" si="1"/>
        <v>209131.64945400003</v>
      </c>
      <c r="L41" s="650">
        <f t="shared" si="1"/>
        <v>209131.64945400003</v>
      </c>
      <c r="M41" s="650">
        <f t="shared" si="1"/>
        <v>209131.64945400003</v>
      </c>
      <c r="N41" s="650">
        <f t="shared" si="1"/>
        <v>209131.64945400003</v>
      </c>
      <c r="O41" s="650">
        <f t="shared" si="1"/>
        <v>209131.64945400003</v>
      </c>
      <c r="P41" s="650">
        <f t="shared" si="1"/>
        <v>209131.64945400003</v>
      </c>
      <c r="Q41" s="650">
        <f t="shared" si="1"/>
        <v>209131.64945400003</v>
      </c>
      <c r="R41" s="650">
        <f t="shared" si="1"/>
        <v>209131.64945400003</v>
      </c>
      <c r="S41" s="650">
        <f t="shared" si="1"/>
        <v>209131.64945400003</v>
      </c>
      <c r="T41" s="650">
        <f t="shared" si="1"/>
        <v>209131.64945400003</v>
      </c>
      <c r="U41" s="650">
        <f t="shared" si="1"/>
        <v>209131.64945400003</v>
      </c>
      <c r="V41" s="650">
        <f t="shared" si="1"/>
        <v>209131.64945400003</v>
      </c>
      <c r="W41" s="650">
        <f t="shared" si="1"/>
        <v>209131.64945400003</v>
      </c>
      <c r="X41" s="652"/>
    </row>
    <row r="42" spans="1:24" ht="13.5" thickBot="1" x14ac:dyDescent="0.25">
      <c r="A42" s="1603"/>
      <c r="B42" s="1603"/>
      <c r="C42" s="1603"/>
      <c r="D42" s="1603"/>
      <c r="E42" s="1603"/>
      <c r="F42" s="1603"/>
      <c r="G42" s="1603"/>
      <c r="H42" s="1603"/>
      <c r="I42" s="1603"/>
      <c r="J42" s="1603"/>
      <c r="K42" s="1603"/>
      <c r="L42" s="1603"/>
      <c r="M42" s="1603"/>
      <c r="N42" s="1603"/>
      <c r="O42" s="1603"/>
      <c r="P42" s="1603"/>
      <c r="Q42" s="1603"/>
      <c r="R42" s="1603"/>
      <c r="S42" s="1603"/>
      <c r="T42" s="1603"/>
      <c r="U42" s="1603"/>
      <c r="V42" s="1603"/>
      <c r="W42" s="1603"/>
      <c r="X42" s="1603"/>
    </row>
    <row r="43" spans="1:24" ht="32.1" customHeight="1" x14ac:dyDescent="0.2">
      <c r="A43" s="1606"/>
      <c r="B43" s="1604" t="s">
        <v>624</v>
      </c>
      <c r="C43" s="1614">
        <v>1</v>
      </c>
      <c r="D43" s="1637">
        <f>Mobilizacao_Desmobilizacao!F37</f>
        <v>45077.212222222224</v>
      </c>
      <c r="E43" s="658"/>
      <c r="F43" s="647"/>
      <c r="G43" s="647"/>
      <c r="H43" s="647"/>
      <c r="I43" s="647"/>
      <c r="J43" s="647"/>
      <c r="K43" s="647"/>
      <c r="L43" s="647"/>
      <c r="M43" s="647"/>
      <c r="N43" s="647"/>
      <c r="O43" s="647"/>
      <c r="P43" s="647"/>
      <c r="Q43" s="647"/>
      <c r="R43" s="647"/>
      <c r="S43" s="647"/>
      <c r="T43" s="647"/>
      <c r="U43" s="647"/>
      <c r="V43" s="647"/>
      <c r="W43" s="647"/>
      <c r="X43" s="654" t="s">
        <v>806</v>
      </c>
    </row>
    <row r="44" spans="1:24" ht="32.1" customHeight="1" thickBot="1" x14ac:dyDescent="0.25">
      <c r="A44" s="1607"/>
      <c r="B44" s="1605"/>
      <c r="C44" s="1615"/>
      <c r="D44" s="1638"/>
      <c r="E44" s="649"/>
      <c r="F44" s="650"/>
      <c r="G44" s="650"/>
      <c r="H44" s="651"/>
      <c r="I44" s="650"/>
      <c r="J44" s="650"/>
      <c r="K44" s="650"/>
      <c r="L44" s="650"/>
      <c r="M44" s="650"/>
      <c r="N44" s="650"/>
      <c r="O44" s="651"/>
      <c r="P44" s="650"/>
      <c r="Q44" s="650"/>
      <c r="R44" s="650"/>
      <c r="S44" s="651"/>
      <c r="T44" s="650"/>
      <c r="U44" s="650"/>
      <c r="V44" s="650"/>
      <c r="W44" s="651"/>
      <c r="X44" s="652">
        <f>100%*D43</f>
        <v>45077.212222222224</v>
      </c>
    </row>
    <row r="45" spans="1:24" ht="13.5" thickBot="1" x14ac:dyDescent="0.25">
      <c r="A45" s="674"/>
      <c r="B45" s="674"/>
      <c r="C45" s="674"/>
      <c r="D45" s="674"/>
      <c r="E45" s="674"/>
      <c r="F45" s="674"/>
      <c r="G45" s="674"/>
      <c r="H45" s="674"/>
      <c r="I45" s="674"/>
      <c r="J45" s="674"/>
      <c r="K45" s="674"/>
      <c r="L45" s="674"/>
      <c r="M45" s="674"/>
      <c r="N45" s="674"/>
      <c r="O45" s="674"/>
      <c r="P45" s="674"/>
      <c r="Q45" s="674"/>
      <c r="R45" s="674"/>
      <c r="S45" s="674"/>
      <c r="T45" s="674"/>
      <c r="U45" s="674"/>
      <c r="V45" s="674"/>
      <c r="W45" s="674"/>
      <c r="X45" s="674"/>
    </row>
    <row r="46" spans="1:24" ht="32.1" customHeight="1" x14ac:dyDescent="0.2">
      <c r="A46" s="1651" t="s">
        <v>898</v>
      </c>
      <c r="B46" s="1652"/>
      <c r="C46" s="1614">
        <v>18</v>
      </c>
      <c r="D46" s="1616">
        <f>SUM(D19:D44)</f>
        <v>56703696.779998243</v>
      </c>
      <c r="E46" s="646" t="s">
        <v>806</v>
      </c>
      <c r="F46" s="654" t="s">
        <v>806</v>
      </c>
      <c r="G46" s="654" t="s">
        <v>806</v>
      </c>
      <c r="H46" s="654" t="s">
        <v>806</v>
      </c>
      <c r="I46" s="654" t="s">
        <v>806</v>
      </c>
      <c r="J46" s="654" t="s">
        <v>806</v>
      </c>
      <c r="K46" s="654" t="s">
        <v>806</v>
      </c>
      <c r="L46" s="654" t="s">
        <v>806</v>
      </c>
      <c r="M46" s="654" t="s">
        <v>806</v>
      </c>
      <c r="N46" s="654" t="s">
        <v>806</v>
      </c>
      <c r="O46" s="654" t="s">
        <v>806</v>
      </c>
      <c r="P46" s="654" t="s">
        <v>806</v>
      </c>
      <c r="Q46" s="654" t="s">
        <v>806</v>
      </c>
      <c r="R46" s="654" t="s">
        <v>806</v>
      </c>
      <c r="S46" s="654" t="s">
        <v>806</v>
      </c>
      <c r="T46" s="654" t="s">
        <v>806</v>
      </c>
      <c r="U46" s="654" t="s">
        <v>806</v>
      </c>
      <c r="V46" s="654" t="s">
        <v>806</v>
      </c>
      <c r="W46" s="654" t="s">
        <v>806</v>
      </c>
      <c r="X46" s="675" t="s">
        <v>806</v>
      </c>
    </row>
    <row r="47" spans="1:24" ht="32.1" customHeight="1" thickBot="1" x14ac:dyDescent="0.25">
      <c r="A47" s="1653"/>
      <c r="B47" s="1654"/>
      <c r="C47" s="1615"/>
      <c r="D47" s="1617"/>
      <c r="E47" s="649">
        <f>SUM(E19:E44)</f>
        <v>35847.012222222227</v>
      </c>
      <c r="F47" s="650">
        <f t="shared" ref="F47:X47" si="2">SUM(F19:F44)</f>
        <v>3957380.9321685759</v>
      </c>
      <c r="G47" s="650">
        <f t="shared" si="2"/>
        <v>3879298.3188775503</v>
      </c>
      <c r="H47" s="650">
        <f t="shared" si="2"/>
        <v>4227137.2724860124</v>
      </c>
      <c r="I47" s="650">
        <f t="shared" si="2"/>
        <v>3557759.3834455297</v>
      </c>
      <c r="J47" s="650">
        <f t="shared" si="2"/>
        <v>4132483.9305578689</v>
      </c>
      <c r="K47" s="650">
        <f t="shared" si="2"/>
        <v>3693977.4483426791</v>
      </c>
      <c r="L47" s="650">
        <f t="shared" si="2"/>
        <v>3008008.5794383595</v>
      </c>
      <c r="M47" s="650">
        <f t="shared" si="2"/>
        <v>3017765.6682755058</v>
      </c>
      <c r="N47" s="650">
        <f t="shared" si="2"/>
        <v>3430162.0085098469</v>
      </c>
      <c r="O47" s="650">
        <f t="shared" si="2"/>
        <v>5033767.7831918523</v>
      </c>
      <c r="P47" s="650">
        <f t="shared" si="2"/>
        <v>1963449.4803791698</v>
      </c>
      <c r="Q47" s="650">
        <f t="shared" si="2"/>
        <v>1968328.0247977427</v>
      </c>
      <c r="R47" s="650">
        <f t="shared" si="2"/>
        <v>2524080.8288224023</v>
      </c>
      <c r="S47" s="650">
        <f t="shared" si="2"/>
        <v>2896689.6429155204</v>
      </c>
      <c r="T47" s="650">
        <f t="shared" si="2"/>
        <v>2102470.4339216528</v>
      </c>
      <c r="U47" s="650">
        <f t="shared" si="2"/>
        <v>2097591.8895030799</v>
      </c>
      <c r="V47" s="650">
        <f t="shared" si="2"/>
        <v>2097591.8895030799</v>
      </c>
      <c r="W47" s="650">
        <f t="shared" si="2"/>
        <v>3034829.0404173657</v>
      </c>
      <c r="X47" s="652">
        <f t="shared" si="2"/>
        <v>45077.212222222224</v>
      </c>
    </row>
    <row r="48" spans="1:24" x14ac:dyDescent="0.2">
      <c r="A48" s="219"/>
      <c r="B48" s="219"/>
      <c r="C48" s="219"/>
      <c r="D48" s="676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</row>
    <row r="49" spans="1:24" x14ac:dyDescent="0.2">
      <c r="A49" s="219"/>
      <c r="B49" s="219"/>
      <c r="C49" s="219"/>
      <c r="D49" s="676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</row>
    <row r="50" spans="1:24" ht="13.5" thickBot="1" x14ac:dyDescent="0.25">
      <c r="A50" s="219"/>
      <c r="B50" s="219"/>
      <c r="C50" s="219"/>
      <c r="D50" s="676"/>
      <c r="E50" s="219"/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</row>
    <row r="51" spans="1:24" ht="12.75" customHeight="1" x14ac:dyDescent="0.2">
      <c r="A51" s="1588" t="s">
        <v>902</v>
      </c>
      <c r="B51" s="1589"/>
      <c r="C51" s="1590"/>
      <c r="D51" s="713"/>
      <c r="E51" s="713"/>
      <c r="F51" s="713"/>
      <c r="G51" s="713"/>
      <c r="H51" s="713"/>
      <c r="I51" s="713"/>
      <c r="J51" s="713"/>
      <c r="K51" s="713"/>
      <c r="L51" s="713"/>
      <c r="M51" s="713"/>
      <c r="N51" s="713"/>
      <c r="O51" s="713"/>
      <c r="P51" s="713"/>
      <c r="Q51" s="713"/>
      <c r="R51" s="713"/>
      <c r="S51" s="713"/>
      <c r="T51" s="713"/>
      <c r="U51" s="713"/>
      <c r="V51" s="713"/>
      <c r="W51" s="713"/>
      <c r="X51" s="713"/>
    </row>
    <row r="52" spans="1:24" ht="13.5" customHeight="1" thickBot="1" x14ac:dyDescent="0.25">
      <c r="A52" s="1591"/>
      <c r="B52" s="1592"/>
      <c r="C52" s="1593"/>
      <c r="D52" s="713"/>
      <c r="E52" s="713"/>
      <c r="F52" s="713"/>
      <c r="G52" s="713"/>
      <c r="H52" s="713"/>
      <c r="I52" s="713"/>
      <c r="J52" s="713"/>
      <c r="K52" s="713"/>
      <c r="L52" s="713"/>
      <c r="M52" s="713"/>
      <c r="N52" s="713"/>
      <c r="O52" s="713"/>
      <c r="P52" s="713"/>
      <c r="Q52" s="713"/>
      <c r="R52" s="713"/>
      <c r="S52" s="713"/>
      <c r="T52" s="713"/>
      <c r="U52" s="713"/>
      <c r="V52" s="713"/>
      <c r="W52" s="713"/>
      <c r="X52" s="713"/>
    </row>
    <row r="53" spans="1:24" x14ac:dyDescent="0.2">
      <c r="A53" s="219"/>
      <c r="B53" s="219"/>
      <c r="C53" s="219"/>
      <c r="D53" s="676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</row>
    <row r="54" spans="1:24" x14ac:dyDescent="0.2">
      <c r="A54" s="219"/>
      <c r="B54" s="219"/>
      <c r="C54" s="219"/>
      <c r="D54" s="715"/>
      <c r="E54" s="715"/>
      <c r="F54" s="715"/>
      <c r="G54" s="715"/>
      <c r="H54" s="715"/>
      <c r="I54" s="715"/>
      <c r="J54" s="715"/>
      <c r="K54" s="715"/>
      <c r="L54" s="715"/>
      <c r="M54" s="715"/>
      <c r="N54" s="715"/>
      <c r="O54" s="715"/>
      <c r="P54" s="715"/>
      <c r="Q54" s="715"/>
      <c r="R54" s="715"/>
      <c r="S54" s="715"/>
      <c r="T54" s="715"/>
      <c r="U54" s="715"/>
      <c r="V54" s="715"/>
      <c r="W54" s="715"/>
      <c r="X54" s="715"/>
    </row>
    <row r="55" spans="1:24" ht="13.5" thickBot="1" x14ac:dyDescent="0.25">
      <c r="A55" s="714"/>
      <c r="B55" s="714"/>
      <c r="C55" s="714"/>
      <c r="D55" s="715"/>
      <c r="E55" s="715"/>
      <c r="F55" s="715"/>
      <c r="G55" s="715"/>
      <c r="H55" s="715"/>
      <c r="I55" s="715"/>
      <c r="J55" s="715"/>
      <c r="K55" s="715"/>
      <c r="L55" s="715"/>
      <c r="M55" s="715"/>
      <c r="N55" s="715"/>
      <c r="O55" s="715"/>
      <c r="P55" s="715"/>
      <c r="Q55" s="715"/>
      <c r="R55" s="715"/>
      <c r="S55" s="715"/>
      <c r="T55" s="715"/>
      <c r="U55" s="715"/>
      <c r="V55" s="715"/>
      <c r="W55" s="715"/>
      <c r="X55" s="715"/>
    </row>
    <row r="56" spans="1:24" ht="16.5" thickBot="1" x14ac:dyDescent="0.25">
      <c r="A56" s="1594" t="s">
        <v>904</v>
      </c>
      <c r="B56" s="1595"/>
      <c r="C56" s="1596"/>
      <c r="D56" s="717"/>
      <c r="E56" s="715"/>
      <c r="F56" s="715"/>
      <c r="G56" s="715"/>
      <c r="H56" s="715"/>
      <c r="I56" s="715"/>
      <c r="J56" s="715"/>
      <c r="K56" s="715"/>
      <c r="L56" s="715"/>
      <c r="M56" s="715"/>
      <c r="N56" s="715"/>
      <c r="O56" s="715"/>
      <c r="P56" s="715"/>
      <c r="Q56" s="715"/>
      <c r="R56" s="715"/>
      <c r="S56" s="715"/>
      <c r="T56" s="715"/>
      <c r="U56" s="715"/>
      <c r="V56" s="715"/>
      <c r="W56" s="715"/>
      <c r="X56" s="715"/>
    </row>
    <row r="57" spans="1:24" ht="15.75" customHeight="1" x14ac:dyDescent="0.2">
      <c r="A57" s="1597" t="s">
        <v>44</v>
      </c>
      <c r="B57" s="1598"/>
      <c r="C57" s="687">
        <f>'Preco por Produto'!D64</f>
        <v>1827371.8595822712</v>
      </c>
      <c r="D57" s="718"/>
      <c r="E57" s="715"/>
      <c r="F57" s="715"/>
      <c r="G57" s="715"/>
      <c r="H57" s="715"/>
      <c r="I57" s="715"/>
      <c r="J57" s="715"/>
      <c r="K57" s="715"/>
      <c r="L57" s="715"/>
      <c r="M57" s="715"/>
      <c r="N57" s="715"/>
      <c r="O57" s="715"/>
      <c r="P57" s="715"/>
      <c r="Q57" s="715"/>
      <c r="R57" s="715"/>
      <c r="S57" s="715"/>
      <c r="T57" s="715"/>
      <c r="U57" s="715"/>
      <c r="V57" s="715"/>
      <c r="W57" s="715"/>
      <c r="X57" s="715"/>
    </row>
    <row r="58" spans="1:24" ht="16.5" customHeight="1" thickBot="1" x14ac:dyDescent="0.25">
      <c r="A58" s="1599" t="s">
        <v>691</v>
      </c>
      <c r="B58" s="1600"/>
      <c r="C58" s="688">
        <f>'Preco por Produto'!C154</f>
        <v>486936.54534084001</v>
      </c>
      <c r="D58" s="717"/>
      <c r="E58" s="715"/>
      <c r="F58" s="715"/>
      <c r="G58" s="715"/>
      <c r="H58" s="715"/>
      <c r="I58" s="715"/>
      <c r="J58" s="715"/>
      <c r="K58" s="715"/>
      <c r="L58" s="715"/>
      <c r="M58" s="715"/>
      <c r="N58" s="715"/>
      <c r="O58" s="715"/>
      <c r="P58" s="715"/>
      <c r="Q58" s="715"/>
      <c r="R58" s="715"/>
      <c r="S58" s="715"/>
      <c r="T58" s="715"/>
      <c r="U58" s="715"/>
      <c r="V58" s="715"/>
      <c r="W58" s="715"/>
      <c r="X58" s="715"/>
    </row>
    <row r="59" spans="1:24" ht="16.5" thickBot="1" x14ac:dyDescent="0.25">
      <c r="A59" s="1594" t="s">
        <v>767</v>
      </c>
      <c r="B59" s="1595"/>
      <c r="C59" s="1596"/>
      <c r="D59" s="717"/>
      <c r="E59" s="715"/>
      <c r="F59" s="715"/>
      <c r="G59" s="715"/>
      <c r="H59" s="715"/>
      <c r="I59" s="715"/>
      <c r="J59" s="715"/>
      <c r="K59" s="715"/>
      <c r="L59" s="715"/>
      <c r="M59" s="715"/>
      <c r="N59" s="715"/>
      <c r="O59" s="715"/>
      <c r="P59" s="715"/>
      <c r="Q59" s="715"/>
      <c r="R59" s="715"/>
      <c r="S59" s="715"/>
      <c r="T59" s="715"/>
      <c r="U59" s="715"/>
      <c r="V59" s="715"/>
      <c r="W59" s="715"/>
      <c r="X59" s="715"/>
    </row>
    <row r="60" spans="1:24" ht="15" customHeight="1" x14ac:dyDescent="0.2">
      <c r="A60" s="1601" t="s">
        <v>768</v>
      </c>
      <c r="B60" s="1602"/>
      <c r="C60" s="582">
        <f>'Viagens e Diárias (Por Demanda)'!I14</f>
        <v>415359</v>
      </c>
      <c r="D60" s="717"/>
      <c r="E60" s="715"/>
      <c r="F60" s="715"/>
      <c r="G60" s="715"/>
      <c r="H60" s="715"/>
      <c r="I60" s="715"/>
      <c r="J60" s="715"/>
      <c r="K60" s="715"/>
      <c r="L60" s="715"/>
      <c r="M60" s="715"/>
      <c r="N60" s="715"/>
      <c r="O60" s="715"/>
      <c r="P60" s="715"/>
      <c r="Q60" s="715"/>
      <c r="R60" s="715"/>
      <c r="S60" s="715"/>
      <c r="T60" s="715"/>
      <c r="U60" s="715"/>
      <c r="V60" s="715"/>
      <c r="W60" s="715"/>
      <c r="X60" s="715"/>
    </row>
    <row r="61" spans="1:24" ht="15.75" thickBot="1" x14ac:dyDescent="0.25">
      <c r="A61" s="1608" t="s">
        <v>769</v>
      </c>
      <c r="B61" s="1609"/>
      <c r="C61" s="588">
        <f>'Viagens e Diárias (Por Demanda)'!I22</f>
        <v>2177856</v>
      </c>
      <c r="D61" s="718"/>
      <c r="E61" s="715"/>
      <c r="F61" s="715"/>
      <c r="G61" s="715"/>
      <c r="H61" s="715"/>
      <c r="I61" s="715"/>
      <c r="J61" s="715"/>
      <c r="K61" s="715"/>
      <c r="L61" s="715"/>
      <c r="M61" s="715"/>
      <c r="N61" s="715"/>
      <c r="O61" s="715"/>
      <c r="P61" s="715"/>
      <c r="Q61" s="715"/>
      <c r="R61" s="715"/>
      <c r="S61" s="715"/>
      <c r="T61" s="715"/>
      <c r="U61" s="715"/>
      <c r="V61" s="715"/>
      <c r="W61" s="715"/>
      <c r="X61" s="715"/>
    </row>
    <row r="62" spans="1:24" ht="15.75" customHeight="1" thickBot="1" x14ac:dyDescent="0.25">
      <c r="A62" s="1649" t="s">
        <v>905</v>
      </c>
      <c r="B62" s="1650"/>
      <c r="C62" s="689">
        <f>C57+C58+C60+C61</f>
        <v>4907523.4049231112</v>
      </c>
      <c r="D62" s="718"/>
      <c r="E62" s="715"/>
      <c r="F62" s="715"/>
      <c r="G62" s="715"/>
      <c r="H62" s="715"/>
      <c r="I62" s="715"/>
      <c r="J62" s="715"/>
      <c r="K62" s="715"/>
      <c r="L62" s="715"/>
      <c r="M62" s="715"/>
      <c r="N62" s="715"/>
      <c r="O62" s="715"/>
      <c r="P62" s="715"/>
      <c r="Q62" s="715"/>
      <c r="R62" s="715"/>
      <c r="S62" s="715"/>
      <c r="T62" s="715"/>
      <c r="U62" s="715"/>
      <c r="V62" s="715"/>
      <c r="W62" s="715"/>
      <c r="X62" s="715"/>
    </row>
    <row r="63" spans="1:24" x14ac:dyDescent="0.2">
      <c r="A63" s="209"/>
      <c r="B63" s="209"/>
      <c r="C63" s="209"/>
      <c r="D63" s="715"/>
      <c r="E63" s="715"/>
      <c r="F63" s="715"/>
      <c r="G63" s="715"/>
      <c r="H63" s="715"/>
      <c r="I63" s="715"/>
      <c r="J63" s="715"/>
      <c r="K63" s="715"/>
      <c r="L63" s="715"/>
      <c r="M63" s="715"/>
      <c r="N63" s="715"/>
      <c r="O63" s="715"/>
      <c r="P63" s="715"/>
      <c r="Q63" s="715"/>
      <c r="R63" s="715"/>
      <c r="S63" s="715"/>
      <c r="T63" s="715"/>
      <c r="U63" s="715"/>
      <c r="V63" s="715"/>
      <c r="W63" s="715"/>
      <c r="X63" s="715"/>
    </row>
    <row r="64" spans="1:24" x14ac:dyDescent="0.2">
      <c r="D64" s="716"/>
      <c r="E64" s="716"/>
      <c r="F64" s="716"/>
      <c r="G64" s="716"/>
      <c r="H64" s="716"/>
      <c r="I64" s="716"/>
      <c r="J64" s="716"/>
      <c r="K64" s="716"/>
      <c r="L64" s="716"/>
      <c r="M64" s="716"/>
      <c r="N64" s="716"/>
      <c r="O64" s="716"/>
      <c r="P64" s="716"/>
      <c r="Q64" s="716"/>
      <c r="R64" s="716"/>
      <c r="S64" s="716"/>
      <c r="T64" s="716"/>
      <c r="U64" s="716"/>
      <c r="V64" s="716"/>
      <c r="W64" s="716"/>
      <c r="X64" s="716"/>
    </row>
    <row r="65" spans="1:24" ht="13.5" thickBot="1" x14ac:dyDescent="0.25">
      <c r="D65" s="716"/>
      <c r="E65" s="716"/>
      <c r="F65" s="716"/>
      <c r="G65" s="716"/>
      <c r="H65" s="716"/>
      <c r="I65" s="716"/>
      <c r="J65" s="716"/>
      <c r="K65" s="716"/>
      <c r="L65" s="716"/>
      <c r="M65" s="716"/>
      <c r="N65" s="716"/>
      <c r="O65" s="716"/>
      <c r="P65" s="716"/>
      <c r="Q65" s="716"/>
      <c r="R65" s="716"/>
      <c r="S65" s="716"/>
      <c r="T65" s="716"/>
      <c r="U65" s="716"/>
      <c r="V65" s="716"/>
      <c r="W65" s="716"/>
      <c r="X65" s="716"/>
    </row>
    <row r="66" spans="1:24" ht="12.75" customHeight="1" x14ac:dyDescent="0.2">
      <c r="A66" s="1588" t="s">
        <v>946</v>
      </c>
      <c r="B66" s="1589"/>
      <c r="C66" s="1590"/>
      <c r="D66" s="713"/>
      <c r="E66" s="713"/>
      <c r="F66" s="713"/>
      <c r="G66" s="713"/>
      <c r="H66" s="713"/>
      <c r="I66" s="713"/>
      <c r="J66" s="713"/>
      <c r="K66" s="713"/>
      <c r="L66" s="713"/>
      <c r="M66" s="713"/>
      <c r="N66" s="713"/>
      <c r="O66" s="713"/>
      <c r="P66" s="713"/>
      <c r="Q66" s="713"/>
      <c r="R66" s="713"/>
      <c r="S66" s="713"/>
      <c r="T66" s="713"/>
      <c r="U66" s="713"/>
      <c r="V66" s="713"/>
      <c r="W66" s="713"/>
      <c r="X66" s="713"/>
    </row>
    <row r="67" spans="1:24" ht="13.5" customHeight="1" thickBot="1" x14ac:dyDescent="0.25">
      <c r="A67" s="1591"/>
      <c r="B67" s="1592"/>
      <c r="C67" s="1593"/>
      <c r="D67" s="713"/>
      <c r="E67" s="713"/>
      <c r="F67" s="713"/>
      <c r="G67" s="713"/>
      <c r="H67" s="713"/>
      <c r="I67" s="713"/>
      <c r="J67" s="713"/>
      <c r="K67" s="713"/>
      <c r="L67" s="713"/>
      <c r="M67" s="713"/>
      <c r="N67" s="713"/>
      <c r="O67" s="713"/>
      <c r="P67" s="713"/>
      <c r="Q67" s="713"/>
      <c r="R67" s="713"/>
      <c r="S67" s="713"/>
      <c r="T67" s="713"/>
      <c r="U67" s="713"/>
      <c r="V67" s="713"/>
      <c r="W67" s="713"/>
      <c r="X67" s="713"/>
    </row>
    <row r="68" spans="1:24" x14ac:dyDescent="0.2">
      <c r="D68" s="716"/>
      <c r="E68" s="716"/>
      <c r="F68" s="716"/>
      <c r="G68" s="716"/>
      <c r="H68" s="716"/>
      <c r="I68" s="716"/>
      <c r="J68" s="716"/>
      <c r="K68" s="716"/>
      <c r="L68" s="716"/>
      <c r="M68" s="716"/>
      <c r="N68" s="716"/>
      <c r="O68" s="716"/>
      <c r="P68" s="716"/>
      <c r="Q68" s="716"/>
      <c r="R68" s="716"/>
      <c r="S68" s="716"/>
      <c r="T68" s="716"/>
      <c r="U68" s="716"/>
      <c r="V68" s="716"/>
      <c r="W68" s="716"/>
      <c r="X68" s="716"/>
    </row>
    <row r="69" spans="1:24" ht="13.5" thickBot="1" x14ac:dyDescent="0.25">
      <c r="D69" s="716"/>
      <c r="E69" s="716"/>
      <c r="F69" s="716"/>
      <c r="G69" s="716"/>
      <c r="H69" s="716"/>
      <c r="I69" s="716"/>
      <c r="J69" s="716"/>
      <c r="K69" s="716"/>
      <c r="L69" s="716"/>
      <c r="M69" s="716"/>
      <c r="N69" s="716"/>
      <c r="O69" s="716"/>
      <c r="P69" s="716"/>
      <c r="Q69" s="716"/>
      <c r="R69" s="716"/>
      <c r="S69" s="716"/>
      <c r="T69" s="716"/>
      <c r="U69" s="716"/>
      <c r="V69" s="716"/>
      <c r="W69" s="716"/>
      <c r="X69" s="716"/>
    </row>
    <row r="70" spans="1:24" ht="16.5" thickBot="1" x14ac:dyDescent="0.25">
      <c r="A70" s="1646" t="s">
        <v>947</v>
      </c>
      <c r="B70" s="1647"/>
      <c r="C70" s="1648"/>
      <c r="D70" s="716"/>
      <c r="E70" s="716"/>
      <c r="F70" s="716"/>
      <c r="G70" s="716"/>
      <c r="H70" s="716"/>
      <c r="I70" s="716"/>
      <c r="J70" s="716"/>
      <c r="K70" s="716"/>
      <c r="L70" s="716"/>
      <c r="M70" s="716"/>
      <c r="N70" s="716"/>
      <c r="O70" s="716"/>
      <c r="P70" s="716"/>
      <c r="Q70" s="716"/>
      <c r="R70" s="716"/>
      <c r="S70" s="716"/>
      <c r="T70" s="716"/>
      <c r="U70" s="716"/>
      <c r="V70" s="716"/>
      <c r="W70" s="716"/>
      <c r="X70" s="716"/>
    </row>
    <row r="71" spans="1:24" ht="15" x14ac:dyDescent="0.2">
      <c r="A71" s="678" t="s">
        <v>504</v>
      </c>
      <c r="B71" s="679" t="s">
        <v>906</v>
      </c>
      <c r="C71" s="680">
        <f>D46</f>
        <v>56703696.779998243</v>
      </c>
      <c r="D71" s="716"/>
      <c r="E71" s="716"/>
      <c r="F71" s="716"/>
      <c r="G71" s="716"/>
      <c r="H71" s="716"/>
      <c r="I71" s="716"/>
      <c r="J71" s="716"/>
      <c r="K71" s="716"/>
      <c r="L71" s="716"/>
      <c r="M71" s="716"/>
      <c r="N71" s="716"/>
      <c r="O71" s="716"/>
      <c r="P71" s="716"/>
      <c r="Q71" s="716"/>
      <c r="R71" s="716"/>
      <c r="S71" s="716"/>
      <c r="T71" s="716"/>
      <c r="U71" s="716"/>
      <c r="V71" s="716"/>
      <c r="W71" s="716"/>
      <c r="X71" s="716"/>
    </row>
    <row r="72" spans="1:24" ht="15.75" thickBot="1" x14ac:dyDescent="0.25">
      <c r="A72" s="681" t="s">
        <v>505</v>
      </c>
      <c r="B72" s="682" t="s">
        <v>921</v>
      </c>
      <c r="C72" s="683">
        <f>C62</f>
        <v>4907523.4049231112</v>
      </c>
      <c r="D72" s="716"/>
      <c r="E72" s="716"/>
      <c r="F72" s="716"/>
      <c r="G72" s="716"/>
      <c r="H72" s="716"/>
      <c r="I72" s="716"/>
      <c r="J72" s="716"/>
      <c r="K72" s="716"/>
      <c r="L72" s="716"/>
      <c r="M72" s="716"/>
      <c r="N72" s="716"/>
      <c r="O72" s="716"/>
      <c r="P72" s="716"/>
      <c r="Q72" s="716"/>
      <c r="R72" s="716"/>
      <c r="S72" s="716"/>
      <c r="T72" s="716"/>
      <c r="U72" s="716"/>
      <c r="V72" s="716"/>
      <c r="W72" s="716"/>
      <c r="X72" s="716"/>
    </row>
    <row r="73" spans="1:24" ht="16.5" thickBot="1" x14ac:dyDescent="0.3">
      <c r="A73" s="1644" t="s">
        <v>907</v>
      </c>
      <c r="B73" s="1645"/>
      <c r="C73" s="677">
        <f>SUM(C71:C72)</f>
        <v>61611220.184921354</v>
      </c>
      <c r="D73" s="716"/>
      <c r="E73" s="716"/>
      <c r="F73" s="716"/>
      <c r="G73" s="716"/>
      <c r="H73" s="716"/>
      <c r="I73" s="716"/>
      <c r="J73" s="716"/>
      <c r="K73" s="716"/>
      <c r="L73" s="716"/>
      <c r="M73" s="716"/>
      <c r="N73" s="716"/>
      <c r="O73" s="716"/>
      <c r="P73" s="716"/>
      <c r="Q73" s="716"/>
      <c r="R73" s="716"/>
      <c r="S73" s="716"/>
      <c r="T73" s="716"/>
      <c r="U73" s="716"/>
      <c r="V73" s="716"/>
      <c r="W73" s="716"/>
      <c r="X73" s="716"/>
    </row>
    <row r="75" spans="1:24" x14ac:dyDescent="0.2">
      <c r="C75" s="684"/>
    </row>
    <row r="78" spans="1:24" x14ac:dyDescent="0.2">
      <c r="B78" s="684"/>
    </row>
  </sheetData>
  <mergeCells count="72">
    <mergeCell ref="A36:X36"/>
    <mergeCell ref="A39:X39"/>
    <mergeCell ref="D28:D29"/>
    <mergeCell ref="A73:B73"/>
    <mergeCell ref="A70:C70"/>
    <mergeCell ref="C43:C44"/>
    <mergeCell ref="D43:D44"/>
    <mergeCell ref="A62:B62"/>
    <mergeCell ref="A43:A44"/>
    <mergeCell ref="B43:B44"/>
    <mergeCell ref="C46:C47"/>
    <mergeCell ref="D46:D47"/>
    <mergeCell ref="A46:B47"/>
    <mergeCell ref="A34:A35"/>
    <mergeCell ref="L34:Q34"/>
    <mergeCell ref="C34:C35"/>
    <mergeCell ref="D34:D35"/>
    <mergeCell ref="D25:D26"/>
    <mergeCell ref="D31:D32"/>
    <mergeCell ref="A27:X27"/>
    <mergeCell ref="B28:B29"/>
    <mergeCell ref="C25:C26"/>
    <mergeCell ref="B25:B26"/>
    <mergeCell ref="A30:X30"/>
    <mergeCell ref="L31:Q31"/>
    <mergeCell ref="A33:X33"/>
    <mergeCell ref="C28:C29"/>
    <mergeCell ref="C31:C32"/>
    <mergeCell ref="A16:A17"/>
    <mergeCell ref="B16:B17"/>
    <mergeCell ref="D16:D17"/>
    <mergeCell ref="E16:X16"/>
    <mergeCell ref="A42:X42"/>
    <mergeCell ref="C37:C38"/>
    <mergeCell ref="C40:C41"/>
    <mergeCell ref="A37:A38"/>
    <mergeCell ref="A40:A41"/>
    <mergeCell ref="B40:B41"/>
    <mergeCell ref="B37:B38"/>
    <mergeCell ref="D40:D41"/>
    <mergeCell ref="D37:D38"/>
    <mergeCell ref="B31:B32"/>
    <mergeCell ref="B34:B35"/>
    <mergeCell ref="C16:C17"/>
    <mergeCell ref="A13:X14"/>
    <mergeCell ref="A1:X1"/>
    <mergeCell ref="A2:X2"/>
    <mergeCell ref="A4:X4"/>
    <mergeCell ref="A5:X6"/>
    <mergeCell ref="A8:X9"/>
    <mergeCell ref="A18:X18"/>
    <mergeCell ref="B22:B23"/>
    <mergeCell ref="A22:A23"/>
    <mergeCell ref="A61:B61"/>
    <mergeCell ref="A51:C52"/>
    <mergeCell ref="D22:D23"/>
    <mergeCell ref="A19:A20"/>
    <mergeCell ref="A25:A26"/>
    <mergeCell ref="A28:A29"/>
    <mergeCell ref="A31:A32"/>
    <mergeCell ref="A24:X24"/>
    <mergeCell ref="A21:X21"/>
    <mergeCell ref="B19:B20"/>
    <mergeCell ref="C19:C20"/>
    <mergeCell ref="D19:D20"/>
    <mergeCell ref="C22:C23"/>
    <mergeCell ref="A66:C67"/>
    <mergeCell ref="A56:C56"/>
    <mergeCell ref="A59:C59"/>
    <mergeCell ref="A57:B57"/>
    <mergeCell ref="A58:B58"/>
    <mergeCell ref="A60:B60"/>
  </mergeCells>
  <printOptions horizontalCentered="1" verticalCentered="1"/>
  <pageMargins left="0.59055118110236227" right="0.59055118110236227" top="0.98425196850393704" bottom="0.39370078740157483" header="0.31496062992125984" footer="0.31496062992125984"/>
  <pageSetup paperSize="9" scale="35" orientation="landscape" horizontalDpi="4294967294" verticalDpi="4294967294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4"/>
  <sheetViews>
    <sheetView topLeftCell="A4" zoomScale="70" zoomScaleNormal="70" workbookViewId="0">
      <selection activeCell="AA23" sqref="AA23"/>
    </sheetView>
  </sheetViews>
  <sheetFormatPr defaultRowHeight="12.75" x14ac:dyDescent="0.2"/>
  <cols>
    <col min="1" max="1" width="11.140625" style="489" bestFit="1" customWidth="1"/>
    <col min="2" max="2" width="101.7109375" style="489" customWidth="1"/>
    <col min="3" max="3" width="12.85546875" style="489" customWidth="1"/>
    <col min="4" max="4" width="3.140625" style="489" bestFit="1" customWidth="1"/>
    <col min="5" max="23" width="6.7109375" style="489" customWidth="1"/>
    <col min="24" max="24" width="15.85546875" style="503" customWidth="1"/>
    <col min="25" max="16384" width="9.140625" style="489"/>
  </cols>
  <sheetData>
    <row r="1" spans="1:26" x14ac:dyDescent="0.2">
      <c r="A1" s="1101" t="s">
        <v>294</v>
      </c>
      <c r="B1" s="1102"/>
      <c r="C1" s="1102"/>
      <c r="D1" s="1102"/>
      <c r="E1" s="1102"/>
      <c r="F1" s="1102"/>
      <c r="G1" s="1102"/>
      <c r="H1" s="1102"/>
      <c r="I1" s="1102"/>
      <c r="J1" s="1102"/>
      <c r="K1" s="1102"/>
      <c r="L1" s="1102"/>
      <c r="M1" s="1102"/>
      <c r="N1" s="1102"/>
      <c r="O1" s="1102"/>
      <c r="P1" s="1102"/>
      <c r="Q1" s="1102"/>
      <c r="R1" s="1102"/>
      <c r="S1" s="1102"/>
      <c r="T1" s="1102"/>
      <c r="U1" s="1102"/>
      <c r="V1" s="1102"/>
      <c r="W1" s="1102"/>
      <c r="X1" s="1103"/>
    </row>
    <row r="2" spans="1:26" ht="13.5" thickBot="1" x14ac:dyDescent="0.25">
      <c r="A2" s="1237" t="s">
        <v>295</v>
      </c>
      <c r="B2" s="1238"/>
      <c r="C2" s="1238"/>
      <c r="D2" s="1238"/>
      <c r="E2" s="1238"/>
      <c r="F2" s="1238"/>
      <c r="G2" s="1238"/>
      <c r="H2" s="1238"/>
      <c r="I2" s="1238"/>
      <c r="J2" s="1238"/>
      <c r="K2" s="1238"/>
      <c r="L2" s="1238"/>
      <c r="M2" s="1238"/>
      <c r="N2" s="1238"/>
      <c r="O2" s="1238"/>
      <c r="P2" s="1238"/>
      <c r="Q2" s="1238"/>
      <c r="R2" s="1238"/>
      <c r="S2" s="1238"/>
      <c r="T2" s="1238"/>
      <c r="U2" s="1238"/>
      <c r="V2" s="1238"/>
      <c r="W2" s="1238"/>
      <c r="X2" s="1239"/>
    </row>
    <row r="3" spans="1:26" ht="13.5" thickBot="1" x14ac:dyDescent="0.25">
      <c r="A3" s="1240"/>
      <c r="B3" s="1241"/>
      <c r="C3" s="1241"/>
      <c r="D3" s="1241"/>
      <c r="E3" s="1241"/>
      <c r="F3" s="1241"/>
      <c r="G3" s="1241"/>
      <c r="H3" s="1241"/>
      <c r="I3" s="1241"/>
      <c r="J3" s="1241"/>
      <c r="K3" s="1241"/>
      <c r="L3" s="1241"/>
      <c r="M3" s="1241"/>
      <c r="N3" s="1241"/>
      <c r="O3" s="1241"/>
      <c r="P3" s="1241"/>
      <c r="Q3" s="1241"/>
      <c r="R3" s="1241"/>
      <c r="S3" s="1241"/>
      <c r="T3" s="1241"/>
      <c r="U3" s="1241"/>
      <c r="V3" s="1241"/>
      <c r="W3" s="1241"/>
      <c r="X3" s="493"/>
    </row>
    <row r="4" spans="1:26" x14ac:dyDescent="0.2">
      <c r="A4" s="1104" t="s">
        <v>292</v>
      </c>
      <c r="B4" s="1105"/>
      <c r="C4" s="1105"/>
      <c r="D4" s="1105"/>
      <c r="E4" s="1105"/>
      <c r="F4" s="1105"/>
      <c r="G4" s="1105"/>
      <c r="H4" s="1105"/>
      <c r="I4" s="1105"/>
      <c r="J4" s="1105"/>
      <c r="K4" s="1105"/>
      <c r="L4" s="1105"/>
      <c r="M4" s="1105"/>
      <c r="N4" s="1105"/>
      <c r="O4" s="1105"/>
      <c r="P4" s="1105"/>
      <c r="Q4" s="1105"/>
      <c r="R4" s="1105"/>
      <c r="S4" s="1105"/>
      <c r="T4" s="1105"/>
      <c r="U4" s="1105"/>
      <c r="V4" s="1105"/>
      <c r="W4" s="1105"/>
      <c r="X4" s="1106"/>
    </row>
    <row r="5" spans="1:26" ht="13.5" thickBot="1" x14ac:dyDescent="0.25">
      <c r="A5" s="1107"/>
      <c r="B5" s="1108"/>
      <c r="C5" s="1108"/>
      <c r="D5" s="1108"/>
      <c r="E5" s="1108"/>
      <c r="F5" s="1108"/>
      <c r="G5" s="1108"/>
      <c r="H5" s="1108"/>
      <c r="I5" s="1108"/>
      <c r="J5" s="1108"/>
      <c r="K5" s="1108"/>
      <c r="L5" s="1108"/>
      <c r="M5" s="1108"/>
      <c r="N5" s="1108"/>
      <c r="O5" s="1108"/>
      <c r="P5" s="1108"/>
      <c r="Q5" s="1108"/>
      <c r="R5" s="1108"/>
      <c r="S5" s="1108"/>
      <c r="T5" s="1108"/>
      <c r="U5" s="1108"/>
      <c r="V5" s="1108"/>
      <c r="W5" s="1108"/>
      <c r="X5" s="1109"/>
    </row>
    <row r="6" spans="1:26" ht="13.5" thickBot="1" x14ac:dyDescent="0.25">
      <c r="A6" s="418"/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96"/>
    </row>
    <row r="7" spans="1:26" x14ac:dyDescent="0.2">
      <c r="A7" s="1666" t="s">
        <v>593</v>
      </c>
      <c r="B7" s="1667"/>
      <c r="C7" s="1667"/>
      <c r="D7" s="1667"/>
      <c r="E7" s="1667"/>
      <c r="F7" s="1667"/>
      <c r="G7" s="1667"/>
      <c r="H7" s="1667"/>
      <c r="I7" s="1667"/>
      <c r="J7" s="1667"/>
      <c r="K7" s="1667"/>
      <c r="L7" s="1667"/>
      <c r="M7" s="1667"/>
      <c r="N7" s="1667"/>
      <c r="O7" s="1667"/>
      <c r="P7" s="1667"/>
      <c r="Q7" s="1667"/>
      <c r="R7" s="1667"/>
      <c r="S7" s="1667"/>
      <c r="T7" s="1667"/>
      <c r="U7" s="1667"/>
      <c r="V7" s="1667"/>
      <c r="W7" s="1667"/>
      <c r="X7" s="1668"/>
    </row>
    <row r="8" spans="1:26" ht="13.5" thickBot="1" x14ac:dyDescent="0.25">
      <c r="A8" s="1669"/>
      <c r="B8" s="1670"/>
      <c r="C8" s="1670"/>
      <c r="D8" s="1670"/>
      <c r="E8" s="1670"/>
      <c r="F8" s="1670"/>
      <c r="G8" s="1670"/>
      <c r="H8" s="1670"/>
      <c r="I8" s="1670"/>
      <c r="J8" s="1670"/>
      <c r="K8" s="1670"/>
      <c r="L8" s="1670"/>
      <c r="M8" s="1670"/>
      <c r="N8" s="1670"/>
      <c r="O8" s="1670"/>
      <c r="P8" s="1670"/>
      <c r="Q8" s="1670"/>
      <c r="R8" s="1670"/>
      <c r="S8" s="1670"/>
      <c r="T8" s="1670"/>
      <c r="U8" s="1670"/>
      <c r="V8" s="1670"/>
      <c r="W8" s="1670"/>
      <c r="X8" s="1671"/>
    </row>
    <row r="9" spans="1:26" ht="13.5" thickBot="1" x14ac:dyDescent="0.25">
      <c r="A9" s="474"/>
      <c r="B9" s="490"/>
      <c r="C9" s="475"/>
      <c r="D9" s="474"/>
      <c r="E9" s="474"/>
      <c r="F9" s="474"/>
      <c r="G9" s="474"/>
      <c r="H9" s="474"/>
      <c r="I9" s="474"/>
      <c r="J9" s="474"/>
      <c r="K9" s="474"/>
      <c r="L9" s="474"/>
      <c r="M9" s="474"/>
      <c r="N9" s="474"/>
      <c r="O9" s="474"/>
      <c r="P9" s="474"/>
      <c r="Q9" s="474"/>
      <c r="R9" s="474"/>
      <c r="S9" s="474"/>
      <c r="T9" s="474"/>
      <c r="U9" s="474"/>
      <c r="V9" s="474"/>
      <c r="W9" s="474"/>
      <c r="X9" s="497"/>
    </row>
    <row r="10" spans="1:26" ht="14.25" thickTop="1" thickBot="1" x14ac:dyDescent="0.25">
      <c r="A10" s="1655" t="s">
        <v>0</v>
      </c>
      <c r="B10" s="1657" t="s">
        <v>804</v>
      </c>
      <c r="C10" s="1659" t="s">
        <v>594</v>
      </c>
      <c r="D10" s="1661" t="s">
        <v>63</v>
      </c>
      <c r="E10" s="1662"/>
      <c r="F10" s="1662"/>
      <c r="G10" s="1662"/>
      <c r="H10" s="1662"/>
      <c r="I10" s="1662"/>
      <c r="J10" s="1662"/>
      <c r="K10" s="1662"/>
      <c r="L10" s="1662"/>
      <c r="M10" s="1662"/>
      <c r="N10" s="1662"/>
      <c r="O10" s="1662"/>
      <c r="P10" s="1662"/>
      <c r="Q10" s="1662"/>
      <c r="R10" s="1662"/>
      <c r="S10" s="1662"/>
      <c r="T10" s="1662"/>
      <c r="U10" s="1662"/>
      <c r="V10" s="1662"/>
      <c r="W10" s="1663"/>
      <c r="X10" s="1664" t="s">
        <v>817</v>
      </c>
    </row>
    <row r="11" spans="1:26" ht="13.5" thickBot="1" x14ac:dyDescent="0.25">
      <c r="A11" s="1656"/>
      <c r="B11" s="1658"/>
      <c r="C11" s="1660"/>
      <c r="D11" s="476" t="s">
        <v>595</v>
      </c>
      <c r="E11" s="477" t="s">
        <v>596</v>
      </c>
      <c r="F11" s="477" t="s">
        <v>597</v>
      </c>
      <c r="G11" s="477" t="s">
        <v>598</v>
      </c>
      <c r="H11" s="477" t="s">
        <v>599</v>
      </c>
      <c r="I11" s="477" t="s">
        <v>600</v>
      </c>
      <c r="J11" s="477" t="s">
        <v>601</v>
      </c>
      <c r="K11" s="477" t="s">
        <v>602</v>
      </c>
      <c r="L11" s="477" t="s">
        <v>603</v>
      </c>
      <c r="M11" s="477" t="s">
        <v>604</v>
      </c>
      <c r="N11" s="477" t="s">
        <v>605</v>
      </c>
      <c r="O11" s="477" t="s">
        <v>606</v>
      </c>
      <c r="P11" s="477" t="s">
        <v>607</v>
      </c>
      <c r="Q11" s="477" t="s">
        <v>608</v>
      </c>
      <c r="R11" s="477" t="s">
        <v>609</v>
      </c>
      <c r="S11" s="477" t="s">
        <v>610</v>
      </c>
      <c r="T11" s="477" t="s">
        <v>611</v>
      </c>
      <c r="U11" s="477" t="s">
        <v>612</v>
      </c>
      <c r="V11" s="477" t="s">
        <v>613</v>
      </c>
      <c r="W11" s="478" t="s">
        <v>805</v>
      </c>
      <c r="X11" s="1665"/>
    </row>
    <row r="12" spans="1:26" ht="14.25" thickTop="1" thickBot="1" x14ac:dyDescent="0.25">
      <c r="A12" s="1549"/>
      <c r="B12" s="1549"/>
      <c r="C12" s="1549"/>
      <c r="D12" s="1549"/>
      <c r="E12" s="1549"/>
      <c r="F12" s="1549"/>
      <c r="G12" s="1549"/>
      <c r="H12" s="1549"/>
      <c r="I12" s="1549"/>
      <c r="J12" s="1549"/>
      <c r="K12" s="1549"/>
      <c r="L12" s="1549"/>
      <c r="M12" s="1549"/>
      <c r="N12" s="1549"/>
      <c r="O12" s="1549"/>
      <c r="P12" s="1549"/>
      <c r="Q12" s="1549"/>
      <c r="R12" s="1549"/>
      <c r="S12" s="1549"/>
      <c r="T12" s="1549"/>
      <c r="U12" s="1549"/>
      <c r="V12" s="1549"/>
      <c r="W12" s="1549"/>
      <c r="X12" s="493"/>
    </row>
    <row r="13" spans="1:26" ht="27" customHeight="1" thickBot="1" x14ac:dyDescent="0.25">
      <c r="A13" s="479" t="s">
        <v>260</v>
      </c>
      <c r="B13" s="491" t="s">
        <v>592</v>
      </c>
      <c r="C13" s="424">
        <v>1</v>
      </c>
      <c r="D13" s="480"/>
      <c r="E13" s="426"/>
      <c r="F13" s="426"/>
      <c r="G13" s="426"/>
      <c r="H13" s="426"/>
      <c r="I13" s="426"/>
      <c r="J13" s="426"/>
      <c r="K13" s="426"/>
      <c r="L13" s="426"/>
      <c r="M13" s="426"/>
      <c r="N13" s="426"/>
      <c r="O13" s="426"/>
      <c r="P13" s="426"/>
      <c r="Q13" s="426"/>
      <c r="R13" s="426"/>
      <c r="S13" s="426"/>
      <c r="T13" s="426"/>
      <c r="U13" s="426"/>
      <c r="V13" s="426"/>
      <c r="W13" s="427"/>
      <c r="X13" s="492" t="s">
        <v>818</v>
      </c>
    </row>
    <row r="14" spans="1:26" ht="13.5" thickBot="1" x14ac:dyDescent="0.25">
      <c r="A14" s="1549"/>
      <c r="B14" s="1549"/>
      <c r="C14" s="1549"/>
      <c r="D14" s="1549"/>
      <c r="E14" s="1549"/>
      <c r="F14" s="1549"/>
      <c r="G14" s="1549"/>
      <c r="H14" s="1549"/>
      <c r="I14" s="1549"/>
      <c r="J14" s="1549"/>
      <c r="K14" s="1549"/>
      <c r="L14" s="1549"/>
      <c r="M14" s="1549"/>
      <c r="N14" s="1549"/>
      <c r="O14" s="1549"/>
      <c r="P14" s="1549"/>
      <c r="Q14" s="1549"/>
      <c r="R14" s="1549"/>
      <c r="S14" s="1549"/>
      <c r="T14" s="1549"/>
      <c r="U14" s="1549"/>
      <c r="V14" s="1549"/>
      <c r="W14" s="1549"/>
      <c r="X14" s="493"/>
    </row>
    <row r="15" spans="1:26" ht="39" thickBot="1" x14ac:dyDescent="0.25">
      <c r="A15" s="446" t="s">
        <v>266</v>
      </c>
      <c r="B15" s="464" t="s">
        <v>819</v>
      </c>
      <c r="C15" s="447">
        <v>18</v>
      </c>
      <c r="D15" s="430"/>
      <c r="E15" s="571" t="s">
        <v>887</v>
      </c>
      <c r="F15" s="571" t="s">
        <v>887</v>
      </c>
      <c r="G15" s="572" t="s">
        <v>889</v>
      </c>
      <c r="H15" s="571" t="s">
        <v>887</v>
      </c>
      <c r="I15" s="571" t="s">
        <v>887</v>
      </c>
      <c r="J15" s="571" t="s">
        <v>893</v>
      </c>
      <c r="K15" s="571" t="s">
        <v>887</v>
      </c>
      <c r="L15" s="571" t="s">
        <v>887</v>
      </c>
      <c r="M15" s="571" t="s">
        <v>893</v>
      </c>
      <c r="N15" s="571" t="s">
        <v>887</v>
      </c>
      <c r="O15" s="571" t="s">
        <v>887</v>
      </c>
      <c r="P15" s="571" t="s">
        <v>893</v>
      </c>
      <c r="Q15" s="571" t="s">
        <v>887</v>
      </c>
      <c r="R15" s="572" t="s">
        <v>949</v>
      </c>
      <c r="S15" s="571" t="s">
        <v>893</v>
      </c>
      <c r="T15" s="571" t="s">
        <v>887</v>
      </c>
      <c r="U15" s="571" t="s">
        <v>887</v>
      </c>
      <c r="V15" s="572" t="s">
        <v>950</v>
      </c>
      <c r="W15" s="573"/>
      <c r="X15" s="492" t="s">
        <v>970</v>
      </c>
      <c r="Z15" s="686"/>
    </row>
    <row r="16" spans="1:26" ht="13.5" thickBot="1" x14ac:dyDescent="0.25">
      <c r="A16" s="1549"/>
      <c r="B16" s="1549"/>
      <c r="C16" s="1549"/>
      <c r="D16" s="1549"/>
      <c r="E16" s="1549"/>
      <c r="F16" s="1549"/>
      <c r="G16" s="1549"/>
      <c r="H16" s="1549"/>
      <c r="I16" s="1549"/>
      <c r="J16" s="1549"/>
      <c r="K16" s="1549"/>
      <c r="L16" s="1549"/>
      <c r="M16" s="1549"/>
      <c r="N16" s="1549"/>
      <c r="O16" s="1549"/>
      <c r="P16" s="1549"/>
      <c r="Q16" s="1549"/>
      <c r="R16" s="1549"/>
      <c r="S16" s="1549"/>
      <c r="T16" s="1549"/>
      <c r="U16" s="1549"/>
      <c r="V16" s="1549"/>
      <c r="W16" s="1549"/>
      <c r="X16" s="493"/>
    </row>
    <row r="17" spans="1:24" ht="15.95" customHeight="1" thickBot="1" x14ac:dyDescent="0.25">
      <c r="A17" s="443" t="s">
        <v>583</v>
      </c>
      <c r="B17" s="635" t="s">
        <v>614</v>
      </c>
      <c r="C17" s="429">
        <v>3</v>
      </c>
      <c r="D17" s="430"/>
      <c r="E17" s="574"/>
      <c r="F17" s="574"/>
      <c r="G17" s="574" t="s">
        <v>820</v>
      </c>
      <c r="H17" s="426"/>
      <c r="I17" s="426"/>
      <c r="J17" s="426"/>
      <c r="K17" s="426"/>
      <c r="L17" s="426"/>
      <c r="M17" s="426"/>
      <c r="N17" s="426"/>
      <c r="O17" s="426"/>
      <c r="P17" s="426"/>
      <c r="Q17" s="426"/>
      <c r="R17" s="426"/>
      <c r="S17" s="426"/>
      <c r="T17" s="426"/>
      <c r="U17" s="426"/>
      <c r="V17" s="426"/>
      <c r="W17" s="427"/>
      <c r="X17" s="492" t="s">
        <v>821</v>
      </c>
    </row>
    <row r="18" spans="1:24" ht="24.95" customHeight="1" thickBot="1" x14ac:dyDescent="0.25">
      <c r="A18" s="708" t="s">
        <v>584</v>
      </c>
      <c r="B18" s="707" t="s">
        <v>585</v>
      </c>
      <c r="C18" s="429">
        <v>18</v>
      </c>
      <c r="D18" s="430"/>
      <c r="E18" s="574"/>
      <c r="F18" s="574"/>
      <c r="G18" s="574" t="s">
        <v>822</v>
      </c>
      <c r="H18" s="574"/>
      <c r="I18" s="574"/>
      <c r="J18" s="574" t="s">
        <v>822</v>
      </c>
      <c r="K18" s="574"/>
      <c r="L18" s="574"/>
      <c r="M18" s="574" t="s">
        <v>822</v>
      </c>
      <c r="N18" s="574"/>
      <c r="O18" s="574"/>
      <c r="P18" s="574" t="s">
        <v>822</v>
      </c>
      <c r="Q18" s="574"/>
      <c r="R18" s="574"/>
      <c r="S18" s="574" t="s">
        <v>822</v>
      </c>
      <c r="T18" s="574"/>
      <c r="U18" s="574"/>
      <c r="V18" s="577" t="s">
        <v>890</v>
      </c>
      <c r="W18" s="422"/>
      <c r="X18" s="500" t="s">
        <v>948</v>
      </c>
    </row>
    <row r="19" spans="1:24" ht="24.95" customHeight="1" thickBot="1" x14ac:dyDescent="0.25">
      <c r="A19" s="443" t="s">
        <v>586</v>
      </c>
      <c r="B19" s="462" t="s">
        <v>587</v>
      </c>
      <c r="C19" s="429">
        <v>18</v>
      </c>
      <c r="D19" s="430"/>
      <c r="E19" s="574" t="s">
        <v>822</v>
      </c>
      <c r="F19" s="574" t="s">
        <v>822</v>
      </c>
      <c r="G19" s="574" t="s">
        <v>822</v>
      </c>
      <c r="H19" s="574" t="s">
        <v>822</v>
      </c>
      <c r="I19" s="574" t="s">
        <v>822</v>
      </c>
      <c r="J19" s="574" t="s">
        <v>822</v>
      </c>
      <c r="K19" s="574" t="s">
        <v>822</v>
      </c>
      <c r="L19" s="574" t="s">
        <v>822</v>
      </c>
      <c r="M19" s="574" t="s">
        <v>822</v>
      </c>
      <c r="N19" s="574" t="s">
        <v>822</v>
      </c>
      <c r="O19" s="574" t="s">
        <v>822</v>
      </c>
      <c r="P19" s="574" t="s">
        <v>822</v>
      </c>
      <c r="Q19" s="574" t="s">
        <v>822</v>
      </c>
      <c r="R19" s="574" t="s">
        <v>822</v>
      </c>
      <c r="S19" s="574" t="s">
        <v>822</v>
      </c>
      <c r="T19" s="574" t="s">
        <v>822</v>
      </c>
      <c r="U19" s="574" t="s">
        <v>822</v>
      </c>
      <c r="V19" s="577" t="s">
        <v>890</v>
      </c>
      <c r="W19" s="422"/>
      <c r="X19" s="500" t="s">
        <v>824</v>
      </c>
    </row>
    <row r="20" spans="1:24" ht="24.95" customHeight="1" thickBot="1" x14ac:dyDescent="0.25">
      <c r="A20" s="444" t="s">
        <v>588</v>
      </c>
      <c r="B20" s="463" t="s">
        <v>589</v>
      </c>
      <c r="C20" s="445">
        <v>4</v>
      </c>
      <c r="D20" s="482"/>
      <c r="E20" s="578"/>
      <c r="F20" s="578"/>
      <c r="G20" s="578"/>
      <c r="H20" s="578"/>
      <c r="I20" s="578"/>
      <c r="J20" s="578"/>
      <c r="K20" s="578"/>
      <c r="L20" s="578"/>
      <c r="M20" s="578"/>
      <c r="N20" s="578"/>
      <c r="O20" s="579"/>
      <c r="P20" s="579"/>
      <c r="Q20" s="579"/>
      <c r="R20" s="579" t="s">
        <v>820</v>
      </c>
      <c r="S20" s="578"/>
      <c r="T20" s="578"/>
      <c r="U20" s="578"/>
      <c r="V20" s="578"/>
      <c r="W20" s="494"/>
      <c r="X20" s="501" t="s">
        <v>821</v>
      </c>
    </row>
    <row r="21" spans="1:24" ht="24.95" customHeight="1" thickBot="1" x14ac:dyDescent="0.25">
      <c r="A21" s="444" t="s">
        <v>588</v>
      </c>
      <c r="B21" s="463" t="s">
        <v>968</v>
      </c>
      <c r="C21" s="445">
        <v>4</v>
      </c>
      <c r="D21" s="482"/>
      <c r="E21" s="578"/>
      <c r="F21" s="578"/>
      <c r="G21" s="578"/>
      <c r="H21" s="579"/>
      <c r="I21" s="579"/>
      <c r="J21" s="579"/>
      <c r="K21" s="579"/>
      <c r="L21" s="579"/>
      <c r="M21" s="579" t="s">
        <v>820</v>
      </c>
      <c r="N21" s="578"/>
      <c r="O21" s="578"/>
      <c r="P21" s="578"/>
      <c r="Q21" s="578"/>
      <c r="R21" s="578"/>
      <c r="S21" s="578"/>
      <c r="T21" s="578"/>
      <c r="U21" s="578"/>
      <c r="V21" s="578"/>
      <c r="W21" s="494"/>
      <c r="X21" s="501" t="s">
        <v>821</v>
      </c>
    </row>
    <row r="22" spans="1:24" ht="13.5" thickBot="1" x14ac:dyDescent="0.25">
      <c r="A22" s="806"/>
      <c r="B22" s="806"/>
      <c r="C22" s="806"/>
      <c r="D22" s="806"/>
      <c r="E22" s="806"/>
      <c r="F22" s="806"/>
      <c r="G22" s="806"/>
      <c r="H22" s="806"/>
      <c r="I22" s="806"/>
      <c r="J22" s="806"/>
      <c r="K22" s="806"/>
      <c r="L22" s="806"/>
      <c r="M22" s="806"/>
      <c r="N22" s="806"/>
      <c r="O22" s="806"/>
      <c r="P22" s="806"/>
      <c r="Q22" s="806"/>
      <c r="R22" s="806"/>
      <c r="S22" s="806"/>
      <c r="T22" s="806"/>
      <c r="U22" s="806"/>
      <c r="V22" s="806"/>
      <c r="W22" s="806"/>
      <c r="X22" s="493"/>
    </row>
    <row r="23" spans="1:24" ht="39" thickBot="1" x14ac:dyDescent="0.25">
      <c r="A23" s="446" t="s">
        <v>267</v>
      </c>
      <c r="B23" s="464" t="s">
        <v>590</v>
      </c>
      <c r="C23" s="447">
        <v>18</v>
      </c>
      <c r="D23" s="581"/>
      <c r="E23" s="572" t="s">
        <v>892</v>
      </c>
      <c r="F23" s="572" t="s">
        <v>892</v>
      </c>
      <c r="G23" s="572" t="s">
        <v>888</v>
      </c>
      <c r="H23" s="572" t="s">
        <v>892</v>
      </c>
      <c r="I23" s="572"/>
      <c r="J23" s="572" t="s">
        <v>893</v>
      </c>
      <c r="K23" s="572"/>
      <c r="L23" s="572" t="s">
        <v>892</v>
      </c>
      <c r="M23" s="572" t="s">
        <v>887</v>
      </c>
      <c r="N23" s="572" t="s">
        <v>892</v>
      </c>
      <c r="O23" s="572"/>
      <c r="P23" s="572" t="s">
        <v>887</v>
      </c>
      <c r="Q23" s="572" t="s">
        <v>887</v>
      </c>
      <c r="R23" s="572"/>
      <c r="S23" s="572" t="s">
        <v>887</v>
      </c>
      <c r="T23" s="572"/>
      <c r="U23" s="572" t="s">
        <v>892</v>
      </c>
      <c r="V23" s="572" t="s">
        <v>892</v>
      </c>
      <c r="W23" s="573"/>
      <c r="X23" s="492" t="s">
        <v>894</v>
      </c>
    </row>
    <row r="24" spans="1:24" ht="13.5" thickBot="1" x14ac:dyDescent="0.25">
      <c r="A24" s="1549"/>
      <c r="B24" s="1549"/>
      <c r="C24" s="1549"/>
      <c r="D24" s="1549"/>
      <c r="E24" s="1549"/>
      <c r="F24" s="1549"/>
      <c r="G24" s="1549"/>
      <c r="H24" s="1549"/>
      <c r="I24" s="1549"/>
      <c r="J24" s="1549"/>
      <c r="K24" s="1549"/>
      <c r="L24" s="1549"/>
      <c r="M24" s="1549"/>
      <c r="N24" s="1549"/>
      <c r="O24" s="1549"/>
      <c r="P24" s="1549"/>
      <c r="Q24" s="1549"/>
      <c r="R24" s="1549"/>
      <c r="S24" s="1549"/>
      <c r="T24" s="1549"/>
      <c r="U24" s="1549"/>
      <c r="V24" s="1549"/>
      <c r="W24" s="1549"/>
      <c r="X24" s="493"/>
    </row>
    <row r="25" spans="1:24" x14ac:dyDescent="0.2">
      <c r="A25" s="449" t="s">
        <v>615</v>
      </c>
      <c r="B25" s="466" t="s">
        <v>807</v>
      </c>
      <c r="C25" s="432">
        <v>1</v>
      </c>
      <c r="D25" s="431"/>
      <c r="E25" s="575" t="s">
        <v>820</v>
      </c>
      <c r="F25" s="433"/>
      <c r="G25" s="433"/>
      <c r="H25" s="433"/>
      <c r="I25" s="433"/>
      <c r="J25" s="433"/>
      <c r="K25" s="433"/>
      <c r="L25" s="433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434"/>
      <c r="X25" s="498" t="s">
        <v>821</v>
      </c>
    </row>
    <row r="26" spans="1:24" x14ac:dyDescent="0.2">
      <c r="A26" s="450" t="s">
        <v>616</v>
      </c>
      <c r="B26" s="467" t="s">
        <v>808</v>
      </c>
      <c r="C26" s="436" t="s">
        <v>622</v>
      </c>
      <c r="D26" s="435"/>
      <c r="E26" s="451"/>
      <c r="F26" s="576" t="s">
        <v>820</v>
      </c>
      <c r="G26" s="437"/>
      <c r="H26" s="437"/>
      <c r="I26" s="437"/>
      <c r="J26" s="437"/>
      <c r="K26" s="437"/>
      <c r="L26" s="437"/>
      <c r="M26" s="437"/>
      <c r="N26" s="437"/>
      <c r="O26" s="437"/>
      <c r="P26" s="437"/>
      <c r="Q26" s="437"/>
      <c r="R26" s="437"/>
      <c r="S26" s="437"/>
      <c r="T26" s="437"/>
      <c r="U26" s="437"/>
      <c r="V26" s="437"/>
      <c r="W26" s="438"/>
      <c r="X26" s="499" t="s">
        <v>821</v>
      </c>
    </row>
    <row r="27" spans="1:24" x14ac:dyDescent="0.2">
      <c r="A27" s="450" t="s">
        <v>617</v>
      </c>
      <c r="B27" s="467" t="s">
        <v>809</v>
      </c>
      <c r="C27" s="436" t="s">
        <v>623</v>
      </c>
      <c r="D27" s="435"/>
      <c r="E27" s="437"/>
      <c r="F27" s="437"/>
      <c r="G27" s="576" t="s">
        <v>820</v>
      </c>
      <c r="H27" s="437"/>
      <c r="I27" s="437"/>
      <c r="J27" s="437"/>
      <c r="K27" s="437"/>
      <c r="L27" s="437"/>
      <c r="M27" s="437"/>
      <c r="N27" s="437"/>
      <c r="O27" s="437"/>
      <c r="P27" s="437"/>
      <c r="Q27" s="437"/>
      <c r="R27" s="437"/>
      <c r="S27" s="437"/>
      <c r="T27" s="437"/>
      <c r="U27" s="437"/>
      <c r="V27" s="437"/>
      <c r="W27" s="438"/>
      <c r="X27" s="499" t="s">
        <v>821</v>
      </c>
    </row>
    <row r="28" spans="1:24" x14ac:dyDescent="0.2">
      <c r="A28" s="450" t="s">
        <v>618</v>
      </c>
      <c r="B28" s="467" t="s">
        <v>810</v>
      </c>
      <c r="C28" s="436">
        <v>7</v>
      </c>
      <c r="D28" s="435"/>
      <c r="E28" s="437"/>
      <c r="F28" s="437"/>
      <c r="G28" s="451"/>
      <c r="H28" s="483"/>
      <c r="I28" s="483"/>
      <c r="J28" s="576" t="s">
        <v>822</v>
      </c>
      <c r="K28" s="483"/>
      <c r="L28" s="483"/>
      <c r="M28" s="483"/>
      <c r="N28" s="576" t="s">
        <v>820</v>
      </c>
      <c r="O28" s="437"/>
      <c r="P28" s="437"/>
      <c r="Q28" s="437"/>
      <c r="R28" s="437"/>
      <c r="S28" s="437"/>
      <c r="T28" s="437"/>
      <c r="U28" s="437"/>
      <c r="V28" s="437"/>
      <c r="W28" s="438"/>
      <c r="X28" s="499" t="s">
        <v>823</v>
      </c>
    </row>
    <row r="29" spans="1:24" ht="25.5" x14ac:dyDescent="0.2">
      <c r="A29" s="450" t="s">
        <v>619</v>
      </c>
      <c r="B29" s="467" t="s">
        <v>811</v>
      </c>
      <c r="C29" s="436">
        <v>10</v>
      </c>
      <c r="D29" s="435"/>
      <c r="E29" s="437"/>
      <c r="F29" s="437"/>
      <c r="G29" s="437"/>
      <c r="H29" s="437"/>
      <c r="I29" s="437"/>
      <c r="J29" s="437"/>
      <c r="K29" s="437"/>
      <c r="L29" s="437"/>
      <c r="M29" s="437"/>
      <c r="N29" s="451"/>
      <c r="O29" s="483"/>
      <c r="P29" s="483"/>
      <c r="Q29" s="576" t="s">
        <v>822</v>
      </c>
      <c r="R29" s="483"/>
      <c r="S29" s="483"/>
      <c r="T29" s="483"/>
      <c r="U29" s="576" t="s">
        <v>820</v>
      </c>
      <c r="V29" s="437"/>
      <c r="W29" s="438"/>
      <c r="X29" s="499" t="s">
        <v>823</v>
      </c>
    </row>
    <row r="30" spans="1:24" x14ac:dyDescent="0.2">
      <c r="A30" s="450" t="s">
        <v>621</v>
      </c>
      <c r="B30" s="467" t="s">
        <v>812</v>
      </c>
      <c r="C30" s="436">
        <v>18</v>
      </c>
      <c r="D30" s="435"/>
      <c r="E30" s="483"/>
      <c r="F30" s="483"/>
      <c r="G30" s="576" t="s">
        <v>822</v>
      </c>
      <c r="H30" s="483"/>
      <c r="I30" s="483"/>
      <c r="J30" s="576" t="s">
        <v>822</v>
      </c>
      <c r="K30" s="483"/>
      <c r="L30" s="483"/>
      <c r="M30" s="576" t="s">
        <v>822</v>
      </c>
      <c r="N30" s="483"/>
      <c r="O30" s="483"/>
      <c r="P30" s="576" t="s">
        <v>822</v>
      </c>
      <c r="Q30" s="483"/>
      <c r="R30" s="483"/>
      <c r="S30" s="576" t="s">
        <v>822</v>
      </c>
      <c r="T30" s="483"/>
      <c r="U30" s="483"/>
      <c r="V30" s="576" t="s">
        <v>820</v>
      </c>
      <c r="W30" s="438"/>
      <c r="X30" s="499" t="s">
        <v>841</v>
      </c>
    </row>
    <row r="31" spans="1:24" ht="13.5" thickBot="1" x14ac:dyDescent="0.25">
      <c r="A31" s="452" t="s">
        <v>620</v>
      </c>
      <c r="B31" s="468" t="s">
        <v>813</v>
      </c>
      <c r="C31" s="440">
        <v>7</v>
      </c>
      <c r="D31" s="439"/>
      <c r="E31" s="441"/>
      <c r="F31" s="484"/>
      <c r="G31" s="484"/>
      <c r="H31" s="580" t="s">
        <v>822</v>
      </c>
      <c r="I31" s="484"/>
      <c r="J31" s="484"/>
      <c r="K31" s="484"/>
      <c r="L31" s="580" t="s">
        <v>820</v>
      </c>
      <c r="M31" s="441"/>
      <c r="N31" s="441"/>
      <c r="O31" s="441"/>
      <c r="P31" s="441"/>
      <c r="Q31" s="441"/>
      <c r="R31" s="441"/>
      <c r="S31" s="441"/>
      <c r="T31" s="441"/>
      <c r="U31" s="441"/>
      <c r="V31" s="441"/>
      <c r="W31" s="442"/>
      <c r="X31" s="508" t="s">
        <v>823</v>
      </c>
    </row>
    <row r="32" spans="1:24" ht="13.5" thickBot="1" x14ac:dyDescent="0.25">
      <c r="A32" s="1549"/>
      <c r="B32" s="1549"/>
      <c r="C32" s="1549"/>
      <c r="D32" s="1549"/>
      <c r="E32" s="1549"/>
      <c r="F32" s="1549"/>
      <c r="G32" s="1549"/>
      <c r="H32" s="1549"/>
      <c r="I32" s="1549"/>
      <c r="J32" s="1549"/>
      <c r="K32" s="1549"/>
      <c r="L32" s="1549"/>
      <c r="M32" s="1549"/>
      <c r="N32" s="1549"/>
      <c r="O32" s="1549"/>
      <c r="P32" s="1549"/>
      <c r="Q32" s="1549"/>
      <c r="R32" s="1549"/>
      <c r="S32" s="1549"/>
      <c r="T32" s="1549"/>
      <c r="U32" s="1549"/>
      <c r="V32" s="1549"/>
      <c r="W32" s="1549"/>
      <c r="X32" s="493"/>
    </row>
    <row r="33" spans="1:24" ht="13.5" thickBot="1" x14ac:dyDescent="0.25">
      <c r="A33" s="446" t="s">
        <v>414</v>
      </c>
      <c r="B33" s="464" t="s">
        <v>236</v>
      </c>
      <c r="C33" s="429">
        <v>3</v>
      </c>
      <c r="D33" s="430"/>
      <c r="E33" s="426"/>
      <c r="F33" s="426"/>
      <c r="G33" s="426"/>
      <c r="H33" s="426"/>
      <c r="I33" s="426"/>
      <c r="J33" s="426"/>
      <c r="K33" s="426"/>
      <c r="L33" s="426"/>
      <c r="M33" s="426"/>
      <c r="N33" s="426"/>
      <c r="O33" s="481"/>
      <c r="P33" s="481"/>
      <c r="Q33" s="465" t="s">
        <v>895</v>
      </c>
      <c r="R33" s="426"/>
      <c r="S33" s="426"/>
      <c r="T33" s="426"/>
      <c r="U33" s="426"/>
      <c r="V33" s="426"/>
      <c r="W33" s="427"/>
      <c r="X33" s="492" t="s">
        <v>852</v>
      </c>
    </row>
    <row r="34" spans="1:24" ht="13.5" thickBot="1" x14ac:dyDescent="0.25">
      <c r="A34" s="1549"/>
      <c r="B34" s="1549"/>
      <c r="C34" s="1549"/>
      <c r="D34" s="1549"/>
      <c r="E34" s="1549"/>
      <c r="F34" s="1549"/>
      <c r="G34" s="1549"/>
      <c r="H34" s="1549"/>
      <c r="I34" s="1549"/>
      <c r="J34" s="1549"/>
      <c r="K34" s="1549"/>
      <c r="L34" s="1549"/>
      <c r="M34" s="1549"/>
      <c r="N34" s="1549"/>
      <c r="O34" s="1549"/>
      <c r="P34" s="1549"/>
      <c r="Q34" s="1549"/>
      <c r="R34" s="1549"/>
      <c r="S34" s="1549"/>
      <c r="T34" s="1549"/>
      <c r="U34" s="1549"/>
      <c r="V34" s="1549"/>
      <c r="W34" s="1549"/>
      <c r="X34" s="493"/>
    </row>
    <row r="35" spans="1:24" ht="13.5" thickBot="1" x14ac:dyDescent="0.25">
      <c r="A35" s="446" t="s">
        <v>415</v>
      </c>
      <c r="B35" s="464" t="s">
        <v>591</v>
      </c>
      <c r="C35" s="429">
        <v>12</v>
      </c>
      <c r="D35" s="470"/>
      <c r="E35" s="481"/>
      <c r="F35" s="481"/>
      <c r="G35" s="481"/>
      <c r="H35" s="481"/>
      <c r="I35" s="481"/>
      <c r="J35" s="465" t="s">
        <v>820</v>
      </c>
      <c r="K35" s="1581" t="s">
        <v>877</v>
      </c>
      <c r="L35" s="1581"/>
      <c r="M35" s="1581"/>
      <c r="N35" s="1581"/>
      <c r="O35" s="1581"/>
      <c r="P35" s="1581"/>
      <c r="Q35" s="481"/>
      <c r="R35" s="481"/>
      <c r="S35" s="481"/>
      <c r="T35" s="481"/>
      <c r="U35" s="481"/>
      <c r="V35" s="465" t="s">
        <v>820</v>
      </c>
      <c r="W35" s="471"/>
      <c r="X35" s="492" t="s">
        <v>826</v>
      </c>
    </row>
    <row r="36" spans="1:24" ht="13.5" thickBot="1" x14ac:dyDescent="0.25">
      <c r="A36" s="1549"/>
      <c r="B36" s="1549"/>
      <c r="C36" s="1549"/>
      <c r="D36" s="1549"/>
      <c r="E36" s="1549"/>
      <c r="F36" s="1549"/>
      <c r="G36" s="1549"/>
      <c r="H36" s="1549"/>
      <c r="I36" s="1549"/>
      <c r="J36" s="1549"/>
      <c r="K36" s="1549"/>
      <c r="L36" s="1549"/>
      <c r="M36" s="1549"/>
      <c r="N36" s="1549"/>
      <c r="O36" s="1549"/>
      <c r="P36" s="1549"/>
      <c r="Q36" s="1549"/>
      <c r="R36" s="1549"/>
      <c r="S36" s="1549"/>
      <c r="T36" s="1549"/>
      <c r="U36" s="1549"/>
      <c r="V36" s="1549"/>
      <c r="W36" s="1549"/>
      <c r="X36" s="493"/>
    </row>
    <row r="37" spans="1:24" ht="13.5" thickBot="1" x14ac:dyDescent="0.25">
      <c r="A37" s="446" t="s">
        <v>416</v>
      </c>
      <c r="B37" s="464" t="s">
        <v>825</v>
      </c>
      <c r="C37" s="429">
        <v>18</v>
      </c>
      <c r="D37" s="448"/>
      <c r="E37" s="481"/>
      <c r="F37" s="481"/>
      <c r="G37" s="481"/>
      <c r="H37" s="481"/>
      <c r="I37" s="481"/>
      <c r="J37" s="481"/>
      <c r="K37" s="481"/>
      <c r="L37" s="481"/>
      <c r="M37" s="481"/>
      <c r="N37" s="481"/>
      <c r="O37" s="481"/>
      <c r="P37" s="481"/>
      <c r="Q37" s="481"/>
      <c r="R37" s="481"/>
      <c r="S37" s="481"/>
      <c r="T37" s="481"/>
      <c r="U37" s="481"/>
      <c r="V37" s="465" t="s">
        <v>820</v>
      </c>
      <c r="W37" s="427"/>
      <c r="X37" s="492" t="s">
        <v>855</v>
      </c>
    </row>
    <row r="38" spans="1:24" ht="13.5" thickBot="1" x14ac:dyDescent="0.25">
      <c r="A38" s="1549"/>
      <c r="B38" s="1549"/>
      <c r="C38" s="1549"/>
      <c r="D38" s="1549"/>
      <c r="E38" s="1549"/>
      <c r="F38" s="1549"/>
      <c r="G38" s="1549"/>
      <c r="H38" s="1549"/>
      <c r="I38" s="1549"/>
      <c r="J38" s="1549"/>
      <c r="K38" s="1549"/>
      <c r="L38" s="1549"/>
      <c r="M38" s="1549"/>
      <c r="N38" s="1549"/>
      <c r="O38" s="1549"/>
      <c r="P38" s="1549"/>
      <c r="Q38" s="1549"/>
      <c r="R38" s="1549"/>
      <c r="S38" s="1549"/>
      <c r="T38" s="1549"/>
      <c r="U38" s="1549"/>
      <c r="V38" s="1549"/>
      <c r="W38" s="1549"/>
      <c r="X38" s="493"/>
    </row>
    <row r="39" spans="1:24" ht="13.5" thickBot="1" x14ac:dyDescent="0.25">
      <c r="A39" s="446" t="s">
        <v>417</v>
      </c>
      <c r="B39" s="464" t="s">
        <v>237</v>
      </c>
      <c r="C39" s="429">
        <v>12</v>
      </c>
      <c r="D39" s="430"/>
      <c r="E39" s="481"/>
      <c r="F39" s="481"/>
      <c r="G39" s="481"/>
      <c r="H39" s="481"/>
      <c r="I39" s="481"/>
      <c r="J39" s="465" t="s">
        <v>820</v>
      </c>
      <c r="K39" s="1581" t="s">
        <v>877</v>
      </c>
      <c r="L39" s="1581"/>
      <c r="M39" s="1581"/>
      <c r="N39" s="1581"/>
      <c r="O39" s="1581"/>
      <c r="P39" s="1581"/>
      <c r="Q39" s="481"/>
      <c r="R39" s="481"/>
      <c r="S39" s="481"/>
      <c r="T39" s="481"/>
      <c r="U39" s="481"/>
      <c r="V39" s="465" t="s">
        <v>820</v>
      </c>
      <c r="W39" s="427"/>
      <c r="X39" s="492" t="s">
        <v>826</v>
      </c>
    </row>
    <row r="40" spans="1:24" ht="13.5" thickBot="1" x14ac:dyDescent="0.25">
      <c r="A40" s="1549"/>
      <c r="B40" s="1549"/>
      <c r="C40" s="1549"/>
      <c r="D40" s="1549"/>
      <c r="E40" s="1549"/>
      <c r="F40" s="1549"/>
      <c r="G40" s="1549"/>
      <c r="H40" s="1549"/>
      <c r="I40" s="1549"/>
      <c r="J40" s="1549"/>
      <c r="K40" s="1549"/>
      <c r="L40" s="1549"/>
      <c r="M40" s="1549"/>
      <c r="N40" s="1549"/>
      <c r="O40" s="1549"/>
      <c r="P40" s="1549"/>
      <c r="Q40" s="1549"/>
      <c r="R40" s="1549"/>
      <c r="S40" s="1549"/>
      <c r="T40" s="1549"/>
      <c r="U40" s="1549"/>
      <c r="V40" s="1549"/>
      <c r="W40" s="1549"/>
      <c r="X40" s="493"/>
    </row>
    <row r="41" spans="1:24" ht="26.25" thickBot="1" x14ac:dyDescent="0.25">
      <c r="A41" s="485" t="s">
        <v>418</v>
      </c>
      <c r="B41" s="464" t="s">
        <v>814</v>
      </c>
      <c r="C41" s="429">
        <v>18</v>
      </c>
      <c r="D41" s="470"/>
      <c r="E41" s="495" t="s">
        <v>827</v>
      </c>
      <c r="F41" s="495" t="s">
        <v>827</v>
      </c>
      <c r="G41" s="495" t="s">
        <v>827</v>
      </c>
      <c r="H41" s="495" t="s">
        <v>827</v>
      </c>
      <c r="I41" s="495" t="s">
        <v>827</v>
      </c>
      <c r="J41" s="495" t="s">
        <v>827</v>
      </c>
      <c r="K41" s="495" t="s">
        <v>827</v>
      </c>
      <c r="L41" s="495" t="s">
        <v>827</v>
      </c>
      <c r="M41" s="495" t="s">
        <v>827</v>
      </c>
      <c r="N41" s="495" t="s">
        <v>827</v>
      </c>
      <c r="O41" s="495" t="s">
        <v>827</v>
      </c>
      <c r="P41" s="495" t="s">
        <v>827</v>
      </c>
      <c r="Q41" s="495" t="s">
        <v>827</v>
      </c>
      <c r="R41" s="495" t="s">
        <v>827</v>
      </c>
      <c r="S41" s="495" t="s">
        <v>827</v>
      </c>
      <c r="T41" s="495" t="s">
        <v>827</v>
      </c>
      <c r="U41" s="495" t="s">
        <v>827</v>
      </c>
      <c r="V41" s="495" t="s">
        <v>828</v>
      </c>
      <c r="W41" s="471"/>
      <c r="X41" s="492" t="s">
        <v>829</v>
      </c>
    </row>
    <row r="42" spans="1:24" ht="13.5" thickBot="1" x14ac:dyDescent="0.25">
      <c r="A42" s="1549"/>
      <c r="B42" s="1549"/>
      <c r="C42" s="1549"/>
      <c r="D42" s="1549"/>
      <c r="E42" s="1549"/>
      <c r="F42" s="1549"/>
      <c r="G42" s="1549"/>
      <c r="H42" s="1549"/>
      <c r="I42" s="1549"/>
      <c r="J42" s="1549"/>
      <c r="K42" s="1549"/>
      <c r="L42" s="1549"/>
      <c r="M42" s="1549"/>
      <c r="N42" s="1549"/>
      <c r="O42" s="1549"/>
      <c r="P42" s="1549"/>
      <c r="Q42" s="1549"/>
      <c r="R42" s="1549"/>
      <c r="S42" s="1549"/>
      <c r="T42" s="1549"/>
      <c r="U42" s="1549"/>
      <c r="V42" s="1549"/>
      <c r="W42" s="1549"/>
      <c r="X42" s="493"/>
    </row>
    <row r="43" spans="1:24" ht="26.25" thickBot="1" x14ac:dyDescent="0.25">
      <c r="A43" s="446" t="s">
        <v>260</v>
      </c>
      <c r="B43" s="464" t="s">
        <v>624</v>
      </c>
      <c r="C43" s="429">
        <v>1</v>
      </c>
      <c r="D43" s="448"/>
      <c r="E43" s="426"/>
      <c r="F43" s="426"/>
      <c r="G43" s="426"/>
      <c r="H43" s="426"/>
      <c r="I43" s="426"/>
      <c r="J43" s="426"/>
      <c r="K43" s="426"/>
      <c r="L43" s="426"/>
      <c r="M43" s="426"/>
      <c r="N43" s="426"/>
      <c r="O43" s="426"/>
      <c r="P43" s="426"/>
      <c r="Q43" s="426"/>
      <c r="R43" s="426"/>
      <c r="S43" s="426"/>
      <c r="T43" s="426"/>
      <c r="U43" s="426"/>
      <c r="V43" s="426"/>
      <c r="W43" s="486"/>
      <c r="X43" s="492" t="s">
        <v>818</v>
      </c>
    </row>
    <row r="44" spans="1:24" x14ac:dyDescent="0.2">
      <c r="A44" s="1582"/>
      <c r="B44" s="1582"/>
      <c r="C44" s="1582"/>
      <c r="D44" s="1582"/>
      <c r="E44" s="1582"/>
      <c r="F44" s="1582"/>
      <c r="G44" s="1582"/>
      <c r="H44" s="1582"/>
      <c r="I44" s="1582"/>
      <c r="J44" s="1582"/>
      <c r="K44" s="1582"/>
      <c r="L44" s="1582"/>
      <c r="M44" s="1582"/>
      <c r="N44" s="1582"/>
      <c r="O44" s="1582"/>
      <c r="P44" s="1582"/>
      <c r="Q44" s="1582"/>
      <c r="R44" s="1582"/>
      <c r="S44" s="1582"/>
      <c r="T44" s="1582"/>
      <c r="U44" s="1582"/>
      <c r="V44" s="1582"/>
      <c r="W44" s="1582"/>
      <c r="X44" s="493"/>
    </row>
    <row r="45" spans="1:24" ht="13.5" thickBot="1" x14ac:dyDescent="0.25">
      <c r="A45" s="207"/>
      <c r="B45" s="207"/>
      <c r="C45" s="454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502"/>
    </row>
    <row r="46" spans="1:24" x14ac:dyDescent="0.2">
      <c r="A46" s="1674" t="s">
        <v>830</v>
      </c>
      <c r="B46" s="1675"/>
      <c r="C46" s="1675"/>
      <c r="D46" s="1675"/>
      <c r="E46" s="1675"/>
      <c r="F46" s="1675"/>
      <c r="G46" s="1675"/>
      <c r="H46" s="1675"/>
      <c r="I46" s="1675"/>
      <c r="J46" s="1675"/>
      <c r="K46" s="1675"/>
      <c r="L46" s="1675"/>
      <c r="M46" s="1675"/>
      <c r="N46" s="1675"/>
      <c r="O46" s="1675"/>
      <c r="P46" s="1675"/>
      <c r="Q46" s="1675"/>
      <c r="R46" s="1675"/>
      <c r="S46" s="1675"/>
      <c r="T46" s="1675"/>
      <c r="U46" s="1675"/>
      <c r="V46" s="1675"/>
      <c r="W46" s="1675"/>
      <c r="X46" s="1676"/>
    </row>
    <row r="47" spans="1:24" ht="13.5" thickBot="1" x14ac:dyDescent="0.25">
      <c r="A47" s="456" t="s">
        <v>99</v>
      </c>
      <c r="B47" s="1677" t="s">
        <v>816</v>
      </c>
      <c r="C47" s="1677"/>
      <c r="D47" s="1677"/>
      <c r="E47" s="1677"/>
      <c r="F47" s="1677"/>
      <c r="G47" s="1677"/>
      <c r="H47" s="1677"/>
      <c r="I47" s="1677"/>
      <c r="J47" s="1677"/>
      <c r="K47" s="1677"/>
      <c r="L47" s="1677"/>
      <c r="M47" s="1677"/>
      <c r="N47" s="1677"/>
      <c r="O47" s="1677"/>
      <c r="P47" s="1677"/>
      <c r="Q47" s="1677"/>
      <c r="R47" s="1677"/>
      <c r="S47" s="1677"/>
      <c r="T47" s="1677"/>
      <c r="U47" s="1677"/>
      <c r="V47" s="1677"/>
      <c r="W47" s="1677"/>
      <c r="X47" s="1678"/>
    </row>
    <row r="48" spans="1:24" ht="13.5" thickBot="1" x14ac:dyDescent="0.25">
      <c r="A48" s="1679"/>
      <c r="B48" s="1679"/>
      <c r="C48" s="1679"/>
      <c r="D48" s="1679"/>
      <c r="E48" s="1679"/>
      <c r="F48" s="1679"/>
      <c r="G48" s="1679"/>
      <c r="H48" s="1679"/>
      <c r="I48" s="1679"/>
      <c r="J48" s="1679"/>
      <c r="K48" s="1679"/>
      <c r="L48" s="1679"/>
      <c r="M48" s="1679"/>
      <c r="N48" s="1679"/>
      <c r="O48" s="1679"/>
      <c r="P48" s="1679"/>
      <c r="Q48" s="1679"/>
      <c r="R48" s="1679"/>
      <c r="S48" s="1679"/>
      <c r="T48" s="1679"/>
      <c r="U48" s="1679"/>
      <c r="V48" s="1679"/>
      <c r="W48" s="1679"/>
      <c r="X48" s="1679"/>
    </row>
    <row r="49" spans="1:24" x14ac:dyDescent="0.2">
      <c r="A49" s="1674" t="s">
        <v>815</v>
      </c>
      <c r="B49" s="1675"/>
      <c r="C49" s="1675"/>
      <c r="D49" s="1675"/>
      <c r="E49" s="1675"/>
      <c r="F49" s="1675"/>
      <c r="G49" s="1675"/>
      <c r="H49" s="1675"/>
      <c r="I49" s="1675"/>
      <c r="J49" s="1675"/>
      <c r="K49" s="1675"/>
      <c r="L49" s="1675"/>
      <c r="M49" s="1675"/>
      <c r="N49" s="1675"/>
      <c r="O49" s="1675"/>
      <c r="P49" s="1675"/>
      <c r="Q49" s="1675"/>
      <c r="R49" s="1675"/>
      <c r="S49" s="1675"/>
      <c r="T49" s="1675"/>
      <c r="U49" s="1675"/>
      <c r="V49" s="1675"/>
      <c r="W49" s="1675"/>
      <c r="X49" s="1676"/>
    </row>
    <row r="50" spans="1:24" x14ac:dyDescent="0.2">
      <c r="A50" s="487" t="s">
        <v>831</v>
      </c>
      <c r="B50" s="1680" t="s">
        <v>832</v>
      </c>
      <c r="C50" s="1680"/>
      <c r="D50" s="1680"/>
      <c r="E50" s="1680"/>
      <c r="F50" s="1680"/>
      <c r="G50" s="1680"/>
      <c r="H50" s="1680"/>
      <c r="I50" s="1680"/>
      <c r="J50" s="1680"/>
      <c r="K50" s="1680"/>
      <c r="L50" s="1680"/>
      <c r="M50" s="1680"/>
      <c r="N50" s="1680"/>
      <c r="O50" s="1680"/>
      <c r="P50" s="1680"/>
      <c r="Q50" s="1680"/>
      <c r="R50" s="1680"/>
      <c r="S50" s="1680"/>
      <c r="T50" s="1680"/>
      <c r="U50" s="1680"/>
      <c r="V50" s="1680"/>
      <c r="W50" s="1680"/>
      <c r="X50" s="1681"/>
    </row>
    <row r="51" spans="1:24" x14ac:dyDescent="0.2">
      <c r="A51" s="487" t="s">
        <v>833</v>
      </c>
      <c r="B51" s="1680" t="s">
        <v>834</v>
      </c>
      <c r="C51" s="1680"/>
      <c r="D51" s="1680"/>
      <c r="E51" s="1680"/>
      <c r="F51" s="1680"/>
      <c r="G51" s="1680"/>
      <c r="H51" s="1680"/>
      <c r="I51" s="1680"/>
      <c r="J51" s="1680"/>
      <c r="K51" s="1680"/>
      <c r="L51" s="1680"/>
      <c r="M51" s="1680"/>
      <c r="N51" s="1680"/>
      <c r="O51" s="1680"/>
      <c r="P51" s="1680"/>
      <c r="Q51" s="1680"/>
      <c r="R51" s="1680"/>
      <c r="S51" s="1680"/>
      <c r="T51" s="1680"/>
      <c r="U51" s="1680"/>
      <c r="V51" s="1680"/>
      <c r="W51" s="1680"/>
      <c r="X51" s="1681"/>
    </row>
    <row r="52" spans="1:24" x14ac:dyDescent="0.2">
      <c r="A52" s="487" t="s">
        <v>835</v>
      </c>
      <c r="B52" s="1680" t="s">
        <v>836</v>
      </c>
      <c r="C52" s="1680"/>
      <c r="D52" s="1680"/>
      <c r="E52" s="1680"/>
      <c r="F52" s="1680"/>
      <c r="G52" s="1680"/>
      <c r="H52" s="1680"/>
      <c r="I52" s="1680"/>
      <c r="J52" s="1680"/>
      <c r="K52" s="1680"/>
      <c r="L52" s="1680"/>
      <c r="M52" s="1680"/>
      <c r="N52" s="1680"/>
      <c r="O52" s="1680"/>
      <c r="P52" s="1680"/>
      <c r="Q52" s="1680"/>
      <c r="R52" s="1680"/>
      <c r="S52" s="1680"/>
      <c r="T52" s="1680"/>
      <c r="U52" s="1680"/>
      <c r="V52" s="1680"/>
      <c r="W52" s="1680"/>
      <c r="X52" s="1681"/>
    </row>
    <row r="53" spans="1:24" x14ac:dyDescent="0.2">
      <c r="A53" s="487" t="s">
        <v>837</v>
      </c>
      <c r="B53" s="1680" t="s">
        <v>838</v>
      </c>
      <c r="C53" s="1680"/>
      <c r="D53" s="1680"/>
      <c r="E53" s="1680"/>
      <c r="F53" s="1680"/>
      <c r="G53" s="1680"/>
      <c r="H53" s="1680"/>
      <c r="I53" s="1680"/>
      <c r="J53" s="1680"/>
      <c r="K53" s="1680"/>
      <c r="L53" s="1680"/>
      <c r="M53" s="1680"/>
      <c r="N53" s="1680"/>
      <c r="O53" s="1680"/>
      <c r="P53" s="1680"/>
      <c r="Q53" s="1680"/>
      <c r="R53" s="1680"/>
      <c r="S53" s="1680"/>
      <c r="T53" s="1680"/>
      <c r="U53" s="1680"/>
      <c r="V53" s="1680"/>
      <c r="W53" s="1680"/>
      <c r="X53" s="1681"/>
    </row>
    <row r="54" spans="1:24" ht="13.5" thickBot="1" x14ac:dyDescent="0.25">
      <c r="A54" s="488" t="s">
        <v>839</v>
      </c>
      <c r="B54" s="1672" t="s">
        <v>840</v>
      </c>
      <c r="C54" s="1672"/>
      <c r="D54" s="1672"/>
      <c r="E54" s="1672"/>
      <c r="F54" s="1672"/>
      <c r="G54" s="1672"/>
      <c r="H54" s="1672"/>
      <c r="I54" s="1672"/>
      <c r="J54" s="1672"/>
      <c r="K54" s="1672"/>
      <c r="L54" s="1672"/>
      <c r="M54" s="1672"/>
      <c r="N54" s="1672"/>
      <c r="O54" s="1672"/>
      <c r="P54" s="1672"/>
      <c r="Q54" s="1672"/>
      <c r="R54" s="1672"/>
      <c r="S54" s="1672"/>
      <c r="T54" s="1672"/>
      <c r="U54" s="1672"/>
      <c r="V54" s="1672"/>
      <c r="W54" s="1672"/>
      <c r="X54" s="1673"/>
    </row>
  </sheetData>
  <mergeCells count="32">
    <mergeCell ref="B54:X54"/>
    <mergeCell ref="A40:W40"/>
    <mergeCell ref="A42:W42"/>
    <mergeCell ref="A44:W44"/>
    <mergeCell ref="A46:X46"/>
    <mergeCell ref="B47:X47"/>
    <mergeCell ref="A48:X48"/>
    <mergeCell ref="A49:X49"/>
    <mergeCell ref="B50:X50"/>
    <mergeCell ref="B51:X51"/>
    <mergeCell ref="B52:X52"/>
    <mergeCell ref="B53:X53"/>
    <mergeCell ref="K39:P39"/>
    <mergeCell ref="A12:W12"/>
    <mergeCell ref="A14:W14"/>
    <mergeCell ref="A16:W16"/>
    <mergeCell ref="A24:W24"/>
    <mergeCell ref="A32:W32"/>
    <mergeCell ref="A34:W34"/>
    <mergeCell ref="K35:P35"/>
    <mergeCell ref="A36:W36"/>
    <mergeCell ref="A38:W38"/>
    <mergeCell ref="A1:X1"/>
    <mergeCell ref="A2:X2"/>
    <mergeCell ref="A3:W3"/>
    <mergeCell ref="A4:X5"/>
    <mergeCell ref="A7:X8"/>
    <mergeCell ref="A10:A11"/>
    <mergeCell ref="B10:B11"/>
    <mergeCell ref="C10:C11"/>
    <mergeCell ref="D10:W10"/>
    <mergeCell ref="X10:X11"/>
  </mergeCells>
  <printOptions horizontalCentered="1" verticalCentered="1"/>
  <pageMargins left="0.59055118110236227" right="0.98425196850393704" top="0.98425196850393704" bottom="0.59055118110236227" header="0.31496062992125984" footer="0.31496062992125984"/>
  <pageSetup paperSize="9" scale="47" orientation="landscape" horizontalDpi="4294967294" verticalDpi="4294967294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0"/>
  <sheetViews>
    <sheetView view="pageBreakPreview" zoomScale="60" zoomScaleNormal="110" workbookViewId="0">
      <selection activeCell="B28" sqref="B28:B29"/>
    </sheetView>
  </sheetViews>
  <sheetFormatPr defaultRowHeight="12" x14ac:dyDescent="0.2"/>
  <cols>
    <col min="1" max="1" width="9.140625" style="6"/>
    <col min="2" max="2" width="20.85546875" style="6" bestFit="1" customWidth="1"/>
    <col min="3" max="3" width="27.140625" style="6" bestFit="1" customWidth="1"/>
    <col min="4" max="4" width="15.5703125" style="6" bestFit="1" customWidth="1"/>
    <col min="5" max="5" width="12.85546875" style="6" bestFit="1" customWidth="1"/>
    <col min="6" max="6" width="14.5703125" style="6" bestFit="1" customWidth="1"/>
    <col min="7" max="7" width="10.7109375" style="6" bestFit="1" customWidth="1"/>
    <col min="8" max="8" width="8.42578125" style="6" bestFit="1" customWidth="1"/>
    <col min="9" max="9" width="7.42578125" style="6" bestFit="1" customWidth="1"/>
    <col min="10" max="10" width="15.5703125" style="6" bestFit="1" customWidth="1"/>
    <col min="11" max="16384" width="9.140625" style="6"/>
  </cols>
  <sheetData>
    <row r="1" spans="2:10" x14ac:dyDescent="0.2">
      <c r="B1" s="1062" t="s">
        <v>294</v>
      </c>
      <c r="C1" s="1063"/>
      <c r="D1" s="1063"/>
      <c r="E1" s="1063"/>
      <c r="F1" s="1063"/>
      <c r="G1" s="1063"/>
      <c r="H1" s="1063"/>
      <c r="I1" s="1063"/>
      <c r="J1" s="1064"/>
    </row>
    <row r="2" spans="2:10" x14ac:dyDescent="0.2">
      <c r="B2" s="1065" t="s">
        <v>295</v>
      </c>
      <c r="C2" s="1066"/>
      <c r="D2" s="1066"/>
      <c r="E2" s="1066"/>
      <c r="F2" s="1066"/>
      <c r="G2" s="1066"/>
      <c r="H2" s="1066"/>
      <c r="I2" s="1066"/>
      <c r="J2" s="1067"/>
    </row>
    <row r="3" spans="2:10" ht="12.75" thickBot="1" x14ac:dyDescent="0.25">
      <c r="B3" s="1068"/>
      <c r="C3" s="1069"/>
      <c r="D3" s="1069"/>
      <c r="E3" s="1069"/>
      <c r="F3" s="1069"/>
      <c r="G3" s="1069"/>
      <c r="H3" s="1069"/>
      <c r="I3" s="1069"/>
      <c r="J3" s="1070"/>
    </row>
    <row r="4" spans="2:10" ht="12.75" thickBot="1" x14ac:dyDescent="0.25">
      <c r="B4" s="38"/>
      <c r="C4" s="82"/>
      <c r="D4" s="38"/>
      <c r="E4" s="83"/>
      <c r="F4" s="83"/>
      <c r="G4" s="83"/>
      <c r="H4" s="83"/>
      <c r="I4" s="83"/>
    </row>
    <row r="5" spans="2:10" x14ac:dyDescent="0.2">
      <c r="B5" s="1074" t="s">
        <v>292</v>
      </c>
      <c r="C5" s="1075"/>
      <c r="D5" s="1075"/>
      <c r="E5" s="1075"/>
      <c r="F5" s="1075"/>
      <c r="G5" s="1075"/>
      <c r="H5" s="1075"/>
      <c r="I5" s="1075"/>
      <c r="J5" s="1076"/>
    </row>
    <row r="6" spans="2:10" ht="12.75" thickBot="1" x14ac:dyDescent="0.25">
      <c r="B6" s="1080"/>
      <c r="C6" s="1081"/>
      <c r="D6" s="1081"/>
      <c r="E6" s="1081"/>
      <c r="F6" s="1081"/>
      <c r="G6" s="1081"/>
      <c r="H6" s="1081"/>
      <c r="I6" s="1081"/>
      <c r="J6" s="1082"/>
    </row>
    <row r="7" spans="2:10" ht="12.75" thickBot="1" x14ac:dyDescent="0.25">
      <c r="B7" s="38"/>
      <c r="C7" s="82"/>
      <c r="D7" s="83"/>
      <c r="E7" s="83"/>
      <c r="F7" s="83"/>
      <c r="G7" s="83"/>
      <c r="H7" s="83"/>
      <c r="I7" s="83"/>
    </row>
    <row r="8" spans="2:10" ht="12.75" thickBot="1" x14ac:dyDescent="0.25">
      <c r="B8" s="1071" t="s">
        <v>429</v>
      </c>
      <c r="C8" s="1072"/>
      <c r="D8" s="1072"/>
      <c r="E8" s="1072"/>
      <c r="F8" s="1072"/>
      <c r="G8" s="1072"/>
      <c r="H8" s="1072"/>
      <c r="I8" s="1072"/>
      <c r="J8" s="1073"/>
    </row>
    <row r="9" spans="2:10" ht="12.75" thickBot="1" x14ac:dyDescent="0.25"/>
    <row r="10" spans="2:10" ht="12.75" thickBot="1" x14ac:dyDescent="0.25">
      <c r="B10" s="1693" t="s">
        <v>224</v>
      </c>
      <c r="C10" s="1694"/>
      <c r="D10" s="1694"/>
      <c r="E10" s="1694"/>
      <c r="F10" s="1694"/>
      <c r="G10" s="1694"/>
      <c r="H10" s="1694"/>
      <c r="I10" s="1694"/>
      <c r="J10" s="1695"/>
    </row>
    <row r="11" spans="2:10" x14ac:dyDescent="0.2">
      <c r="B11" s="27" t="s">
        <v>163</v>
      </c>
      <c r="C11" s="1696" t="s">
        <v>223</v>
      </c>
      <c r="D11" s="1696"/>
      <c r="E11" s="1696"/>
      <c r="F11" s="1696"/>
      <c r="G11" s="1696"/>
      <c r="H11" s="1696"/>
      <c r="I11" s="1696"/>
      <c r="J11" s="1697"/>
    </row>
    <row r="12" spans="2:10" x14ac:dyDescent="0.2">
      <c r="B12" s="28" t="s">
        <v>164</v>
      </c>
      <c r="C12" s="29" t="s">
        <v>982</v>
      </c>
      <c r="D12" s="30"/>
      <c r="E12" s="30"/>
      <c r="F12" s="30"/>
      <c r="G12" s="30"/>
      <c r="H12" s="30"/>
      <c r="I12" s="30"/>
      <c r="J12" s="31"/>
    </row>
    <row r="13" spans="2:10" ht="12.75" thickBot="1" x14ac:dyDescent="0.25">
      <c r="B13" s="32" t="s">
        <v>165</v>
      </c>
      <c r="C13" s="1698" t="s">
        <v>222</v>
      </c>
      <c r="D13" s="1698"/>
      <c r="E13" s="1698"/>
      <c r="F13" s="1698"/>
      <c r="G13" s="33"/>
      <c r="H13" s="33"/>
      <c r="I13" s="33"/>
      <c r="J13" s="34"/>
    </row>
    <row r="14" spans="2:10" ht="12.75" thickBot="1" x14ac:dyDescent="0.25">
      <c r="B14" s="35"/>
      <c r="C14" s="36"/>
      <c r="D14" s="36"/>
      <c r="E14" s="36"/>
      <c r="F14" s="36"/>
      <c r="G14" s="36"/>
      <c r="H14" s="36"/>
      <c r="I14" s="36"/>
      <c r="J14" s="37"/>
    </row>
    <row r="15" spans="2:10" ht="12.75" thickBot="1" x14ac:dyDescent="0.25">
      <c r="B15" s="1701" t="s">
        <v>170</v>
      </c>
      <c r="C15" s="1702"/>
      <c r="D15" s="1703"/>
      <c r="E15" s="36"/>
      <c r="F15" s="36"/>
      <c r="G15" s="36"/>
      <c r="H15" s="36"/>
      <c r="I15" s="36"/>
      <c r="J15" s="37"/>
    </row>
    <row r="16" spans="2:10" ht="12.75" thickBot="1" x14ac:dyDescent="0.25">
      <c r="B16" s="39" t="s">
        <v>181</v>
      </c>
      <c r="C16" s="1704" t="s">
        <v>171</v>
      </c>
      <c r="D16" s="1705"/>
      <c r="E16" s="26"/>
      <c r="F16" s="36"/>
      <c r="G16" s="36"/>
      <c r="H16" s="36"/>
      <c r="I16" s="36"/>
      <c r="J16" s="37"/>
    </row>
    <row r="17" spans="2:10" x14ac:dyDescent="0.2">
      <c r="B17" s="40" t="s">
        <v>173</v>
      </c>
      <c r="C17" s="1706">
        <v>28.03</v>
      </c>
      <c r="D17" s="1707"/>
      <c r="E17" s="26"/>
      <c r="F17" s="36"/>
      <c r="G17" s="36"/>
      <c r="H17" s="36"/>
      <c r="I17" s="36"/>
      <c r="J17" s="37"/>
    </row>
    <row r="18" spans="2:10" ht="12.75" thickBot="1" x14ac:dyDescent="0.25">
      <c r="B18" s="41" t="s">
        <v>174</v>
      </c>
      <c r="C18" s="1699">
        <v>29.53</v>
      </c>
      <c r="D18" s="1700"/>
      <c r="E18" s="26"/>
      <c r="F18" s="36"/>
      <c r="G18" s="36"/>
      <c r="H18" s="36"/>
      <c r="I18" s="36"/>
      <c r="J18" s="37"/>
    </row>
    <row r="19" spans="2:10" ht="15.75" customHeight="1" x14ac:dyDescent="0.2">
      <c r="B19" s="41" t="s">
        <v>175</v>
      </c>
      <c r="C19" s="1682">
        <v>29.41</v>
      </c>
      <c r="D19" s="1683"/>
      <c r="E19" s="26"/>
      <c r="F19" s="1708" t="s">
        <v>720</v>
      </c>
      <c r="G19" s="1709"/>
      <c r="H19" s="1709"/>
      <c r="I19" s="1709"/>
      <c r="J19" s="270">
        <f>E70</f>
        <v>461.51</v>
      </c>
    </row>
    <row r="20" spans="2:10" ht="12.75" thickBot="1" x14ac:dyDescent="0.25">
      <c r="B20" s="41" t="s">
        <v>176</v>
      </c>
      <c r="C20" s="1699">
        <v>29.9</v>
      </c>
      <c r="D20" s="1700"/>
      <c r="E20" s="26"/>
      <c r="F20" s="1710"/>
      <c r="G20" s="1711"/>
      <c r="H20" s="1711"/>
      <c r="I20" s="1711"/>
      <c r="J20" s="271"/>
    </row>
    <row r="21" spans="2:10" x14ac:dyDescent="0.2">
      <c r="B21" s="41" t="s">
        <v>177</v>
      </c>
      <c r="C21" s="1712">
        <v>29.9</v>
      </c>
      <c r="D21" s="1713"/>
      <c r="E21" s="26"/>
      <c r="F21" s="36"/>
      <c r="G21" s="36"/>
      <c r="H21" s="36"/>
      <c r="I21" s="36"/>
      <c r="J21" s="37"/>
    </row>
    <row r="22" spans="2:10" x14ac:dyDescent="0.2">
      <c r="B22" s="41" t="s">
        <v>178</v>
      </c>
      <c r="C22" s="1682">
        <v>29.9</v>
      </c>
      <c r="D22" s="1683"/>
      <c r="E22" s="26"/>
      <c r="F22" s="36"/>
      <c r="G22" s="36"/>
      <c r="H22" s="36"/>
      <c r="I22" s="36"/>
      <c r="J22" s="37"/>
    </row>
    <row r="23" spans="2:10" x14ac:dyDescent="0.2">
      <c r="B23" s="22" t="s">
        <v>179</v>
      </c>
      <c r="C23" s="1699">
        <v>29.9</v>
      </c>
      <c r="D23" s="1700"/>
      <c r="E23" s="26"/>
      <c r="F23" s="36"/>
      <c r="G23" s="36"/>
      <c r="H23" s="36"/>
      <c r="I23" s="36"/>
      <c r="J23" s="37"/>
    </row>
    <row r="24" spans="2:10" x14ac:dyDescent="0.2">
      <c r="B24" s="41" t="s">
        <v>180</v>
      </c>
      <c r="C24" s="1682">
        <v>23.49</v>
      </c>
      <c r="D24" s="1683"/>
      <c r="E24" s="26"/>
      <c r="F24" s="36"/>
      <c r="G24" s="36"/>
      <c r="H24" s="36"/>
      <c r="I24" s="36"/>
      <c r="J24" s="37"/>
    </row>
    <row r="25" spans="2:10" ht="12.75" thickBot="1" x14ac:dyDescent="0.25">
      <c r="B25" s="133" t="s">
        <v>172</v>
      </c>
      <c r="C25" s="1684">
        <v>23.49</v>
      </c>
      <c r="D25" s="1685"/>
      <c r="E25" s="26"/>
      <c r="F25" s="36"/>
      <c r="G25" s="36"/>
      <c r="H25" s="36"/>
      <c r="I25" s="36"/>
      <c r="J25" s="37"/>
    </row>
    <row r="26" spans="2:10" ht="12.75" thickBot="1" x14ac:dyDescent="0.25">
      <c r="B26" s="26"/>
      <c r="C26" s="26"/>
      <c r="D26" s="26"/>
      <c r="E26" s="46"/>
      <c r="F26" s="46"/>
      <c r="G26" s="46"/>
      <c r="H26" s="47"/>
      <c r="I26" s="46"/>
      <c r="J26" s="47"/>
    </row>
    <row r="27" spans="2:10" ht="15.75" customHeight="1" thickBot="1" x14ac:dyDescent="0.25">
      <c r="B27" s="1690" t="s">
        <v>984</v>
      </c>
      <c r="C27" s="1691"/>
      <c r="D27" s="1691"/>
      <c r="E27" s="1692"/>
      <c r="F27" s="870"/>
      <c r="G27" s="871"/>
      <c r="H27" s="871"/>
      <c r="I27" s="871"/>
      <c r="J27" s="871"/>
    </row>
    <row r="28" spans="2:10" x14ac:dyDescent="0.2">
      <c r="B28" s="1686" t="s">
        <v>166</v>
      </c>
      <c r="C28" s="865" t="s">
        <v>980</v>
      </c>
      <c r="D28" s="1688" t="s">
        <v>167</v>
      </c>
      <c r="E28" s="1688" t="s">
        <v>168</v>
      </c>
    </row>
    <row r="29" spans="2:10" ht="12.75" thickBot="1" x14ac:dyDescent="0.25">
      <c r="B29" s="1687"/>
      <c r="C29" s="866" t="s">
        <v>981</v>
      </c>
      <c r="D29" s="1689"/>
      <c r="E29" s="1689"/>
    </row>
    <row r="30" spans="2:10" ht="12.75" thickTop="1" x14ac:dyDescent="0.2">
      <c r="B30" s="45" t="s">
        <v>188</v>
      </c>
      <c r="C30" s="983">
        <v>178.9</v>
      </c>
      <c r="D30" s="983">
        <f>$C$17</f>
        <v>28.03</v>
      </c>
      <c r="E30" s="984">
        <f>C30+D30</f>
        <v>206.93</v>
      </c>
    </row>
    <row r="31" spans="2:10" x14ac:dyDescent="0.2">
      <c r="B31" s="43" t="s">
        <v>215</v>
      </c>
      <c r="C31" s="985">
        <v>479</v>
      </c>
      <c r="D31" s="985">
        <f>$C$17</f>
        <v>28.03</v>
      </c>
      <c r="E31" s="986">
        <f>C31+D31</f>
        <v>507.03</v>
      </c>
    </row>
    <row r="32" spans="2:10" x14ac:dyDescent="0.2">
      <c r="B32" s="43" t="s">
        <v>194</v>
      </c>
      <c r="C32" s="985">
        <v>329</v>
      </c>
      <c r="D32" s="985">
        <f>$C$17</f>
        <v>28.03</v>
      </c>
      <c r="E32" s="986">
        <f t="shared" ref="E32:E37" si="0">C32+D32</f>
        <v>357.03</v>
      </c>
    </row>
    <row r="33" spans="2:5" x14ac:dyDescent="0.2">
      <c r="B33" s="43" t="s">
        <v>218</v>
      </c>
      <c r="C33" s="985">
        <v>487.7</v>
      </c>
      <c r="D33" s="985">
        <f>$C$20</f>
        <v>29.9</v>
      </c>
      <c r="E33" s="986">
        <f t="shared" si="0"/>
        <v>517.6</v>
      </c>
    </row>
    <row r="34" spans="2:5" x14ac:dyDescent="0.2">
      <c r="B34" s="43" t="s">
        <v>197</v>
      </c>
      <c r="C34" s="985">
        <v>450.7</v>
      </c>
      <c r="D34" s="985">
        <f>$C$20</f>
        <v>29.9</v>
      </c>
      <c r="E34" s="986">
        <f t="shared" si="0"/>
        <v>480.59999999999997</v>
      </c>
    </row>
    <row r="35" spans="2:5" x14ac:dyDescent="0.2">
      <c r="B35" s="43" t="s">
        <v>191</v>
      </c>
      <c r="C35" s="985">
        <v>407.7</v>
      </c>
      <c r="D35" s="985">
        <f>$C$20</f>
        <v>29.9</v>
      </c>
      <c r="E35" s="986">
        <f t="shared" si="0"/>
        <v>437.59999999999997</v>
      </c>
    </row>
    <row r="36" spans="2:5" x14ac:dyDescent="0.2">
      <c r="B36" s="43" t="s">
        <v>217</v>
      </c>
      <c r="C36" s="985">
        <v>479.21</v>
      </c>
      <c r="D36" s="985">
        <f>$C$19</f>
        <v>29.41</v>
      </c>
      <c r="E36" s="986">
        <f t="shared" si="0"/>
        <v>508.62</v>
      </c>
    </row>
    <row r="37" spans="2:5" x14ac:dyDescent="0.2">
      <c r="B37" s="43" t="s">
        <v>196</v>
      </c>
      <c r="C37" s="985">
        <v>329</v>
      </c>
      <c r="D37" s="985">
        <f>$C$19</f>
        <v>29.41</v>
      </c>
      <c r="E37" s="986">
        <f t="shared" si="0"/>
        <v>358.41</v>
      </c>
    </row>
    <row r="38" spans="2:5" x14ac:dyDescent="0.2">
      <c r="B38" s="43" t="s">
        <v>190</v>
      </c>
      <c r="C38" s="985">
        <v>309</v>
      </c>
      <c r="D38" s="985">
        <f>$C$19</f>
        <v>29.41</v>
      </c>
      <c r="E38" s="986">
        <f>C38+D38</f>
        <v>338.41</v>
      </c>
    </row>
    <row r="39" spans="2:5" x14ac:dyDescent="0.2">
      <c r="B39" s="43" t="s">
        <v>216</v>
      </c>
      <c r="C39" s="985">
        <v>339</v>
      </c>
      <c r="D39" s="985">
        <f>$C$18</f>
        <v>29.53</v>
      </c>
      <c r="E39" s="986">
        <f t="shared" ref="E39:E69" si="1">C39+D39</f>
        <v>368.53</v>
      </c>
    </row>
    <row r="40" spans="2:5" x14ac:dyDescent="0.2">
      <c r="B40" s="43" t="s">
        <v>195</v>
      </c>
      <c r="C40" s="985">
        <v>219.9</v>
      </c>
      <c r="D40" s="985">
        <f>$C$18</f>
        <v>29.53</v>
      </c>
      <c r="E40" s="986">
        <f t="shared" si="1"/>
        <v>249.43</v>
      </c>
    </row>
    <row r="41" spans="2:5" x14ac:dyDescent="0.2">
      <c r="B41" s="43" t="s">
        <v>189</v>
      </c>
      <c r="C41" s="985">
        <v>259</v>
      </c>
      <c r="D41" s="985">
        <f>$C$18</f>
        <v>29.53</v>
      </c>
      <c r="E41" s="986">
        <f t="shared" si="1"/>
        <v>288.52999999999997</v>
      </c>
    </row>
    <row r="42" spans="2:5" x14ac:dyDescent="0.2">
      <c r="B42" s="43" t="s">
        <v>208</v>
      </c>
      <c r="C42" s="985">
        <v>669</v>
      </c>
      <c r="D42" s="985">
        <f t="shared" ref="D42:D48" si="2">$C$25</f>
        <v>23.49</v>
      </c>
      <c r="E42" s="986">
        <f t="shared" si="1"/>
        <v>692.49</v>
      </c>
    </row>
    <row r="43" spans="2:5" x14ac:dyDescent="0.2">
      <c r="B43" s="43" t="s">
        <v>211</v>
      </c>
      <c r="C43" s="985">
        <v>763.39</v>
      </c>
      <c r="D43" s="985">
        <f t="shared" si="2"/>
        <v>23.49</v>
      </c>
      <c r="E43" s="986">
        <f t="shared" si="1"/>
        <v>786.88</v>
      </c>
    </row>
    <row r="44" spans="2:5" x14ac:dyDescent="0.2">
      <c r="B44" s="43" t="s">
        <v>210</v>
      </c>
      <c r="C44" s="985">
        <v>473.29</v>
      </c>
      <c r="D44" s="985">
        <f t="shared" si="2"/>
        <v>23.49</v>
      </c>
      <c r="E44" s="986">
        <f t="shared" si="1"/>
        <v>496.78000000000003</v>
      </c>
    </row>
    <row r="45" spans="2:5" x14ac:dyDescent="0.2">
      <c r="B45" s="43" t="s">
        <v>209</v>
      </c>
      <c r="C45" s="985">
        <v>498.9</v>
      </c>
      <c r="D45" s="985">
        <f t="shared" si="2"/>
        <v>23.49</v>
      </c>
      <c r="E45" s="986">
        <f t="shared" si="1"/>
        <v>522.39</v>
      </c>
    </row>
    <row r="46" spans="2:5" x14ac:dyDescent="0.2">
      <c r="B46" s="43" t="s">
        <v>213</v>
      </c>
      <c r="C46" s="985">
        <v>773.39</v>
      </c>
      <c r="D46" s="985">
        <f t="shared" si="2"/>
        <v>23.49</v>
      </c>
      <c r="E46" s="986">
        <f t="shared" si="1"/>
        <v>796.88</v>
      </c>
    </row>
    <row r="47" spans="2:5" x14ac:dyDescent="0.2">
      <c r="B47" s="43" t="s">
        <v>214</v>
      </c>
      <c r="C47" s="985">
        <v>463.29</v>
      </c>
      <c r="D47" s="985">
        <f t="shared" si="2"/>
        <v>23.49</v>
      </c>
      <c r="E47" s="986">
        <f t="shared" si="1"/>
        <v>486.78000000000003</v>
      </c>
    </row>
    <row r="48" spans="2:5" x14ac:dyDescent="0.2">
      <c r="B48" s="43" t="s">
        <v>212</v>
      </c>
      <c r="C48" s="985">
        <v>593.29</v>
      </c>
      <c r="D48" s="985">
        <f t="shared" si="2"/>
        <v>23.49</v>
      </c>
      <c r="E48" s="986">
        <f t="shared" si="1"/>
        <v>616.78</v>
      </c>
    </row>
    <row r="49" spans="2:5" x14ac:dyDescent="0.2">
      <c r="B49" s="43" t="s">
        <v>201</v>
      </c>
      <c r="C49" s="985">
        <v>680.29</v>
      </c>
      <c r="D49" s="985">
        <f t="shared" ref="D49:D55" si="3">$C$24</f>
        <v>23.49</v>
      </c>
      <c r="E49" s="986">
        <f t="shared" si="1"/>
        <v>703.78</v>
      </c>
    </row>
    <row r="50" spans="2:5" x14ac:dyDescent="0.2">
      <c r="B50" s="43" t="s">
        <v>204</v>
      </c>
      <c r="C50" s="985">
        <v>611.29</v>
      </c>
      <c r="D50" s="985">
        <f t="shared" si="3"/>
        <v>23.49</v>
      </c>
      <c r="E50" s="986">
        <f t="shared" si="1"/>
        <v>634.78</v>
      </c>
    </row>
    <row r="51" spans="2:5" x14ac:dyDescent="0.2">
      <c r="B51" s="43" t="s">
        <v>203</v>
      </c>
      <c r="C51" s="985">
        <v>600.29</v>
      </c>
      <c r="D51" s="985">
        <f t="shared" si="3"/>
        <v>23.49</v>
      </c>
      <c r="E51" s="986">
        <f t="shared" si="1"/>
        <v>623.78</v>
      </c>
    </row>
    <row r="52" spans="2:5" x14ac:dyDescent="0.2">
      <c r="B52" s="43" t="s">
        <v>202</v>
      </c>
      <c r="C52" s="985">
        <v>588.9</v>
      </c>
      <c r="D52" s="985">
        <f t="shared" si="3"/>
        <v>23.49</v>
      </c>
      <c r="E52" s="986">
        <f t="shared" si="1"/>
        <v>612.39</v>
      </c>
    </row>
    <row r="53" spans="2:5" x14ac:dyDescent="0.2">
      <c r="B53" s="43" t="s">
        <v>206</v>
      </c>
      <c r="C53" s="985">
        <v>623.29</v>
      </c>
      <c r="D53" s="985">
        <f t="shared" si="3"/>
        <v>23.49</v>
      </c>
      <c r="E53" s="986">
        <f t="shared" si="1"/>
        <v>646.78</v>
      </c>
    </row>
    <row r="54" spans="2:5" x14ac:dyDescent="0.2">
      <c r="B54" s="43" t="s">
        <v>207</v>
      </c>
      <c r="C54" s="985">
        <v>139</v>
      </c>
      <c r="D54" s="985">
        <f t="shared" si="3"/>
        <v>23.49</v>
      </c>
      <c r="E54" s="986">
        <f t="shared" si="1"/>
        <v>162.49</v>
      </c>
    </row>
    <row r="55" spans="2:5" x14ac:dyDescent="0.2">
      <c r="B55" s="43" t="s">
        <v>205</v>
      </c>
      <c r="C55" s="985">
        <v>179</v>
      </c>
      <c r="D55" s="985">
        <f t="shared" si="3"/>
        <v>23.49</v>
      </c>
      <c r="E55" s="986">
        <f t="shared" si="1"/>
        <v>202.49</v>
      </c>
    </row>
    <row r="56" spans="2:5" x14ac:dyDescent="0.2">
      <c r="B56" s="43" t="s">
        <v>220</v>
      </c>
      <c r="C56" s="985">
        <v>515</v>
      </c>
      <c r="D56" s="985">
        <f>$C$22</f>
        <v>29.9</v>
      </c>
      <c r="E56" s="986">
        <f t="shared" si="1"/>
        <v>544.9</v>
      </c>
    </row>
    <row r="57" spans="2:5" x14ac:dyDescent="0.2">
      <c r="B57" s="43" t="s">
        <v>199</v>
      </c>
      <c r="C57" s="985">
        <v>518.70000000000005</v>
      </c>
      <c r="D57" s="985">
        <f>$C$22</f>
        <v>29.9</v>
      </c>
      <c r="E57" s="986">
        <f t="shared" si="1"/>
        <v>548.6</v>
      </c>
    </row>
    <row r="58" spans="2:5" x14ac:dyDescent="0.2">
      <c r="B58" s="43" t="s">
        <v>193</v>
      </c>
      <c r="C58" s="985">
        <v>485.7</v>
      </c>
      <c r="D58" s="985">
        <f>$C$22</f>
        <v>29.9</v>
      </c>
      <c r="E58" s="986">
        <f t="shared" si="1"/>
        <v>515.6</v>
      </c>
    </row>
    <row r="59" spans="2:5" x14ac:dyDescent="0.2">
      <c r="B59" s="43" t="s">
        <v>182</v>
      </c>
      <c r="C59" s="985">
        <v>474.9</v>
      </c>
      <c r="D59" s="985">
        <f>$C$23</f>
        <v>29.9</v>
      </c>
      <c r="E59" s="986">
        <f t="shared" si="1"/>
        <v>504.79999999999995</v>
      </c>
    </row>
    <row r="60" spans="2:5" x14ac:dyDescent="0.2">
      <c r="B60" s="43" t="s">
        <v>185</v>
      </c>
      <c r="C60" s="985">
        <v>508</v>
      </c>
      <c r="D60" s="985">
        <f t="shared" ref="D60:D66" si="4">$C$23</f>
        <v>29.9</v>
      </c>
      <c r="E60" s="986">
        <f t="shared" si="1"/>
        <v>537.9</v>
      </c>
    </row>
    <row r="61" spans="2:5" x14ac:dyDescent="0.2">
      <c r="B61" s="43" t="s">
        <v>184</v>
      </c>
      <c r="C61" s="985">
        <v>515.70000000000005</v>
      </c>
      <c r="D61" s="985">
        <f t="shared" si="4"/>
        <v>29.9</v>
      </c>
      <c r="E61" s="986">
        <f t="shared" si="1"/>
        <v>545.6</v>
      </c>
    </row>
    <row r="62" spans="2:5" x14ac:dyDescent="0.2">
      <c r="B62" s="43" t="s">
        <v>183</v>
      </c>
      <c r="C62" s="985">
        <v>465</v>
      </c>
      <c r="D62" s="985">
        <f t="shared" si="4"/>
        <v>29.9</v>
      </c>
      <c r="E62" s="986">
        <f t="shared" si="1"/>
        <v>494.9</v>
      </c>
    </row>
    <row r="63" spans="2:5" x14ac:dyDescent="0.2">
      <c r="B63" s="43" t="s">
        <v>221</v>
      </c>
      <c r="C63" s="985">
        <v>209.7</v>
      </c>
      <c r="D63" s="985">
        <f t="shared" si="4"/>
        <v>29.9</v>
      </c>
      <c r="E63" s="986">
        <f t="shared" si="1"/>
        <v>239.6</v>
      </c>
    </row>
    <row r="64" spans="2:5" x14ac:dyDescent="0.2">
      <c r="B64" s="43" t="s">
        <v>200</v>
      </c>
      <c r="C64" s="985">
        <v>201.7</v>
      </c>
      <c r="D64" s="985">
        <f t="shared" si="4"/>
        <v>29.9</v>
      </c>
      <c r="E64" s="986">
        <f t="shared" si="1"/>
        <v>231.6</v>
      </c>
    </row>
    <row r="65" spans="2:5" x14ac:dyDescent="0.2">
      <c r="B65" s="43" t="s">
        <v>187</v>
      </c>
      <c r="C65" s="985">
        <v>566</v>
      </c>
      <c r="D65" s="985">
        <f t="shared" si="4"/>
        <v>29.9</v>
      </c>
      <c r="E65" s="986">
        <f t="shared" si="1"/>
        <v>595.9</v>
      </c>
    </row>
    <row r="66" spans="2:5" x14ac:dyDescent="0.2">
      <c r="B66" s="43" t="s">
        <v>186</v>
      </c>
      <c r="C66" s="985">
        <v>223.7</v>
      </c>
      <c r="D66" s="985">
        <f t="shared" si="4"/>
        <v>29.9</v>
      </c>
      <c r="E66" s="986">
        <f t="shared" si="1"/>
        <v>253.6</v>
      </c>
    </row>
    <row r="67" spans="2:5" x14ac:dyDescent="0.2">
      <c r="B67" s="43" t="s">
        <v>219</v>
      </c>
      <c r="C67" s="985">
        <v>350.7</v>
      </c>
      <c r="D67" s="985">
        <f>$C$21</f>
        <v>29.9</v>
      </c>
      <c r="E67" s="986">
        <f t="shared" si="1"/>
        <v>380.59999999999997</v>
      </c>
    </row>
    <row r="68" spans="2:5" x14ac:dyDescent="0.2">
      <c r="B68" s="43" t="s">
        <v>198</v>
      </c>
      <c r="C68" s="985">
        <v>179</v>
      </c>
      <c r="D68" s="985">
        <f>$C$21</f>
        <v>29.9</v>
      </c>
      <c r="E68" s="986">
        <f t="shared" si="1"/>
        <v>208.9</v>
      </c>
    </row>
    <row r="69" spans="2:5" ht="12.75" thickBot="1" x14ac:dyDescent="0.25">
      <c r="B69" s="44" t="s">
        <v>192</v>
      </c>
      <c r="C69" s="987">
        <v>223.7</v>
      </c>
      <c r="D69" s="987">
        <f>$C$21</f>
        <v>29.9</v>
      </c>
      <c r="E69" s="988">
        <f t="shared" si="1"/>
        <v>253.6</v>
      </c>
    </row>
    <row r="70" spans="2:5" ht="12.75" thickBot="1" x14ac:dyDescent="0.25">
      <c r="B70" s="867" t="s">
        <v>300</v>
      </c>
      <c r="C70" s="868"/>
      <c r="D70" s="869"/>
      <c r="E70" s="42">
        <f>(ROUND(AVERAGE(E30:E69),2))</f>
        <v>461.51</v>
      </c>
    </row>
  </sheetData>
  <mergeCells count="24">
    <mergeCell ref="B8:J8"/>
    <mergeCell ref="B5:J6"/>
    <mergeCell ref="B1:J1"/>
    <mergeCell ref="B2:J2"/>
    <mergeCell ref="B3:J3"/>
    <mergeCell ref="B10:J10"/>
    <mergeCell ref="C11:J11"/>
    <mergeCell ref="C13:F13"/>
    <mergeCell ref="C23:D23"/>
    <mergeCell ref="B15:D15"/>
    <mergeCell ref="C16:D16"/>
    <mergeCell ref="C20:D20"/>
    <mergeCell ref="C18:D18"/>
    <mergeCell ref="C17:D17"/>
    <mergeCell ref="F19:I20"/>
    <mergeCell ref="C19:D19"/>
    <mergeCell ref="C21:D21"/>
    <mergeCell ref="C22:D22"/>
    <mergeCell ref="C24:D24"/>
    <mergeCell ref="C25:D25"/>
    <mergeCell ref="B28:B29"/>
    <mergeCell ref="D28:D29"/>
    <mergeCell ref="E28:E29"/>
    <mergeCell ref="B27:E27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64" orientation="portrait" horizontalDpi="4294967294" verticalDpi="4294967294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253"/>
  <sheetViews>
    <sheetView view="pageBreakPreview" topLeftCell="A22" zoomScaleNormal="100" zoomScaleSheetLayoutView="100" workbookViewId="0">
      <selection activeCell="F153" sqref="F153"/>
    </sheetView>
  </sheetViews>
  <sheetFormatPr defaultRowHeight="12" x14ac:dyDescent="0.25"/>
  <cols>
    <col min="1" max="1" width="6.85546875" style="8" bestFit="1" customWidth="1"/>
    <col min="2" max="2" width="50.85546875" style="8" customWidth="1"/>
    <col min="3" max="3" width="10.7109375" style="8" customWidth="1"/>
    <col min="4" max="4" width="12.7109375" style="8" customWidth="1"/>
    <col min="5" max="5" width="13.140625" style="8" customWidth="1"/>
    <col min="6" max="6" width="12.42578125" style="8" bestFit="1" customWidth="1"/>
    <col min="7" max="7" width="10.7109375" style="8" bestFit="1" customWidth="1"/>
    <col min="8" max="8" width="17" style="8" customWidth="1"/>
    <col min="9" max="9" width="14.140625" style="8" bestFit="1" customWidth="1"/>
    <col min="10" max="10" width="52.5703125" style="8" customWidth="1"/>
    <col min="11" max="11" width="12.140625" style="8" bestFit="1" customWidth="1"/>
    <col min="12" max="12" width="5" style="54" bestFit="1" customWidth="1"/>
    <col min="13" max="13" width="12.140625" style="8" bestFit="1" customWidth="1"/>
    <col min="14" max="14" width="4.42578125" style="8" bestFit="1" customWidth="1"/>
    <col min="15" max="15" width="3" style="8" bestFit="1" customWidth="1"/>
    <col min="16" max="16" width="4.42578125" style="8" bestFit="1" customWidth="1"/>
    <col min="17" max="17" width="8.28515625" style="8" bestFit="1" customWidth="1"/>
    <col min="18" max="18" width="11.140625" style="8" bestFit="1" customWidth="1"/>
    <col min="19" max="16384" width="9.140625" style="8"/>
  </cols>
  <sheetData>
    <row r="1" spans="1:13" x14ac:dyDescent="0.25">
      <c r="A1" s="1062" t="s">
        <v>294</v>
      </c>
      <c r="B1" s="1063"/>
      <c r="C1" s="1063"/>
      <c r="D1" s="1063"/>
      <c r="E1" s="1063"/>
      <c r="F1" s="1064"/>
    </row>
    <row r="2" spans="1:13" ht="12.75" thickBot="1" x14ac:dyDescent="0.3">
      <c r="A2" s="1718" t="s">
        <v>295</v>
      </c>
      <c r="B2" s="1719"/>
      <c r="C2" s="1719"/>
      <c r="D2" s="1719"/>
      <c r="E2" s="1719"/>
      <c r="F2" s="1720"/>
    </row>
    <row r="3" spans="1:13" ht="12.75" thickBot="1" x14ac:dyDescent="0.3">
      <c r="A3" s="273"/>
      <c r="B3" s="82"/>
      <c r="C3" s="273"/>
      <c r="D3" s="83"/>
      <c r="E3" s="83"/>
      <c r="F3" s="83"/>
    </row>
    <row r="4" spans="1:13" x14ac:dyDescent="0.25">
      <c r="A4" s="1074" t="s">
        <v>292</v>
      </c>
      <c r="B4" s="1075"/>
      <c r="C4" s="1075"/>
      <c r="D4" s="1075"/>
      <c r="E4" s="1075"/>
      <c r="F4" s="1076"/>
    </row>
    <row r="5" spans="1:13" ht="12.75" thickBot="1" x14ac:dyDescent="0.3">
      <c r="A5" s="1080"/>
      <c r="B5" s="1081"/>
      <c r="C5" s="1081"/>
      <c r="D5" s="1081"/>
      <c r="E5" s="1081"/>
      <c r="F5" s="1082"/>
    </row>
    <row r="6" spans="1:13" ht="12.75" thickBot="1" x14ac:dyDescent="0.3">
      <c r="A6" s="273"/>
      <c r="B6" s="82"/>
      <c r="C6" s="83"/>
      <c r="D6" s="83"/>
      <c r="E6" s="83"/>
      <c r="F6" s="83"/>
    </row>
    <row r="7" spans="1:13" ht="12.75" thickBot="1" x14ac:dyDescent="0.3">
      <c r="A7" s="1071" t="s">
        <v>430</v>
      </c>
      <c r="B7" s="1072"/>
      <c r="C7" s="1072"/>
      <c r="D7" s="1072"/>
      <c r="E7" s="1072"/>
      <c r="F7" s="1073"/>
    </row>
    <row r="8" spans="1:13" ht="12.75" thickBot="1" x14ac:dyDescent="0.3">
      <c r="A8" s="1715" t="s">
        <v>54</v>
      </c>
      <c r="B8" s="1716"/>
      <c r="C8" s="1716"/>
      <c r="D8" s="1717"/>
      <c r="E8" s="126" t="s">
        <v>64</v>
      </c>
      <c r="F8" s="108">
        <v>18</v>
      </c>
    </row>
    <row r="9" spans="1:13" ht="12.75" thickBot="1" x14ac:dyDescent="0.3">
      <c r="A9" s="1715" t="s">
        <v>976</v>
      </c>
      <c r="B9" s="1716"/>
      <c r="C9" s="1716"/>
      <c r="D9" s="1716"/>
      <c r="E9" s="1716"/>
      <c r="F9" s="1717"/>
    </row>
    <row r="10" spans="1:13" x14ac:dyDescent="0.25">
      <c r="A10" s="853"/>
      <c r="B10" s="853"/>
      <c r="C10" s="853"/>
      <c r="D10" s="853"/>
      <c r="E10" s="853"/>
      <c r="F10" s="853"/>
    </row>
    <row r="11" spans="1:13" x14ac:dyDescent="0.25">
      <c r="A11" s="1714"/>
      <c r="B11" s="1714"/>
      <c r="C11" s="1714"/>
      <c r="D11" s="1714"/>
      <c r="E11" s="1714"/>
      <c r="F11" s="1714"/>
    </row>
    <row r="12" spans="1:13" ht="12.75" thickBot="1" x14ac:dyDescent="0.3">
      <c r="A12" s="1714"/>
      <c r="B12" s="1714"/>
      <c r="C12" s="1714"/>
      <c r="D12" s="1714"/>
      <c r="E12" s="1714"/>
      <c r="F12" s="1714"/>
    </row>
    <row r="13" spans="1:13" ht="12.75" thickBot="1" x14ac:dyDescent="0.3">
      <c r="A13" s="838" t="s">
        <v>0</v>
      </c>
      <c r="B13" s="101" t="s">
        <v>1</v>
      </c>
      <c r="C13" s="839" t="s">
        <v>55</v>
      </c>
      <c r="D13" s="840" t="s">
        <v>56</v>
      </c>
      <c r="E13" s="840" t="s">
        <v>325</v>
      </c>
      <c r="F13" s="841" t="s">
        <v>333</v>
      </c>
    </row>
    <row r="14" spans="1:13" ht="12.75" thickBot="1" x14ac:dyDescent="0.3">
      <c r="A14" s="112" t="s">
        <v>99</v>
      </c>
      <c r="B14" s="1748" t="s">
        <v>360</v>
      </c>
      <c r="C14" s="1735"/>
      <c r="D14" s="1735"/>
      <c r="E14" s="1735"/>
      <c r="F14" s="1736"/>
      <c r="H14" s="885"/>
      <c r="I14" s="885"/>
      <c r="J14" s="885"/>
      <c r="K14" s="885"/>
      <c r="L14" s="367"/>
      <c r="M14" s="885"/>
    </row>
    <row r="15" spans="1:13" x14ac:dyDescent="0.25">
      <c r="A15" s="599" t="s">
        <v>29</v>
      </c>
      <c r="B15" s="600" t="s">
        <v>109</v>
      </c>
      <c r="C15" s="12" t="s">
        <v>61</v>
      </c>
      <c r="D15" s="91">
        <f>30*0.5</f>
        <v>15</v>
      </c>
      <c r="E15" s="18">
        <v>0.6</v>
      </c>
      <c r="F15" s="878">
        <f t="shared" ref="F15:F55" si="0">D15*E15</f>
        <v>9</v>
      </c>
      <c r="H15" s="719"/>
      <c r="I15" s="902"/>
      <c r="J15" s="99"/>
      <c r="K15" s="903"/>
      <c r="L15" s="901"/>
      <c r="M15" s="885"/>
    </row>
    <row r="16" spans="1:13" x14ac:dyDescent="0.25">
      <c r="A16" s="177" t="s">
        <v>30</v>
      </c>
      <c r="B16" s="116" t="s">
        <v>110</v>
      </c>
      <c r="C16" s="10" t="s">
        <v>61</v>
      </c>
      <c r="D16" s="92">
        <v>50</v>
      </c>
      <c r="E16" s="49">
        <v>0.21899999999999997</v>
      </c>
      <c r="F16" s="879">
        <f t="shared" si="0"/>
        <v>10.95</v>
      </c>
      <c r="H16" s="719"/>
      <c r="I16" s="902"/>
      <c r="J16" s="99"/>
      <c r="K16" s="903"/>
      <c r="L16" s="901"/>
      <c r="M16" s="885"/>
    </row>
    <row r="17" spans="1:13" x14ac:dyDescent="0.25">
      <c r="A17" s="177" t="s">
        <v>31</v>
      </c>
      <c r="B17" s="116" t="s">
        <v>111</v>
      </c>
      <c r="C17" s="10" t="s">
        <v>61</v>
      </c>
      <c r="D17" s="92">
        <v>50</v>
      </c>
      <c r="E17" s="49">
        <v>0.21899999999999997</v>
      </c>
      <c r="F17" s="879">
        <f t="shared" si="0"/>
        <v>10.95</v>
      </c>
      <c r="H17" s="719"/>
      <c r="I17" s="902"/>
      <c r="J17" s="99"/>
      <c r="K17" s="903"/>
      <c r="L17" s="901"/>
      <c r="M17" s="885"/>
    </row>
    <row r="18" spans="1:13" x14ac:dyDescent="0.25">
      <c r="A18" s="177" t="s">
        <v>32</v>
      </c>
      <c r="B18" s="116" t="s">
        <v>112</v>
      </c>
      <c r="C18" s="10" t="s">
        <v>61</v>
      </c>
      <c r="D18" s="92">
        <f>4*2</f>
        <v>8</v>
      </c>
      <c r="E18" s="49">
        <v>36.9</v>
      </c>
      <c r="F18" s="879">
        <f t="shared" si="0"/>
        <v>295.2</v>
      </c>
      <c r="H18" s="719"/>
      <c r="I18" s="902"/>
      <c r="J18" s="99"/>
      <c r="K18" s="903"/>
      <c r="L18" s="901"/>
      <c r="M18" s="885"/>
    </row>
    <row r="19" spans="1:13" x14ac:dyDescent="0.25">
      <c r="A19" s="177" t="s">
        <v>33</v>
      </c>
      <c r="B19" s="116" t="s">
        <v>113</v>
      </c>
      <c r="C19" s="10" t="s">
        <v>61</v>
      </c>
      <c r="D19" s="92">
        <f>4*2</f>
        <v>8</v>
      </c>
      <c r="E19" s="49">
        <v>32.200000000000003</v>
      </c>
      <c r="F19" s="879">
        <f t="shared" si="0"/>
        <v>257.60000000000002</v>
      </c>
      <c r="H19" s="719"/>
      <c r="I19" s="902"/>
      <c r="J19" s="99"/>
      <c r="K19" s="903"/>
      <c r="L19" s="901"/>
      <c r="M19" s="885"/>
    </row>
    <row r="20" spans="1:13" x14ac:dyDescent="0.25">
      <c r="A20" s="177" t="s">
        <v>90</v>
      </c>
      <c r="B20" s="116" t="s">
        <v>114</v>
      </c>
      <c r="C20" s="10" t="s">
        <v>61</v>
      </c>
      <c r="D20" s="92">
        <v>100</v>
      </c>
      <c r="E20" s="49">
        <v>1.8</v>
      </c>
      <c r="F20" s="879">
        <f t="shared" si="0"/>
        <v>180</v>
      </c>
      <c r="H20" s="719"/>
      <c r="I20" s="902"/>
      <c r="J20" s="99"/>
      <c r="K20" s="903"/>
      <c r="L20" s="901"/>
      <c r="M20" s="885"/>
    </row>
    <row r="21" spans="1:13" x14ac:dyDescent="0.25">
      <c r="A21" s="177" t="s">
        <v>91</v>
      </c>
      <c r="B21" s="116" t="s">
        <v>116</v>
      </c>
      <c r="C21" s="10" t="s">
        <v>61</v>
      </c>
      <c r="D21" s="92">
        <v>100</v>
      </c>
      <c r="E21" s="49">
        <v>2.2999999999999998</v>
      </c>
      <c r="F21" s="879">
        <f t="shared" si="0"/>
        <v>229.99999999999997</v>
      </c>
      <c r="H21" s="719"/>
      <c r="I21" s="902"/>
      <c r="J21" s="99"/>
      <c r="K21" s="903"/>
      <c r="L21" s="901"/>
      <c r="M21" s="885"/>
    </row>
    <row r="22" spans="1:13" x14ac:dyDescent="0.25">
      <c r="A22" s="177" t="s">
        <v>231</v>
      </c>
      <c r="B22" s="116" t="s">
        <v>332</v>
      </c>
      <c r="C22" s="93" t="s">
        <v>61</v>
      </c>
      <c r="D22" s="92">
        <v>15</v>
      </c>
      <c r="E22" s="49">
        <v>1.89</v>
      </c>
      <c r="F22" s="879">
        <f t="shared" si="0"/>
        <v>28.349999999999998</v>
      </c>
      <c r="H22" s="719"/>
      <c r="I22" s="902"/>
      <c r="J22" s="99"/>
      <c r="K22" s="903"/>
      <c r="L22" s="901"/>
      <c r="M22" s="885"/>
    </row>
    <row r="23" spans="1:13" x14ac:dyDescent="0.25">
      <c r="A23" s="177" t="s">
        <v>232</v>
      </c>
      <c r="B23" s="116" t="s">
        <v>330</v>
      </c>
      <c r="C23" s="93" t="s">
        <v>61</v>
      </c>
      <c r="D23" s="92">
        <v>15</v>
      </c>
      <c r="E23" s="49">
        <v>1.89</v>
      </c>
      <c r="F23" s="879">
        <f t="shared" si="0"/>
        <v>28.349999999999998</v>
      </c>
      <c r="H23" s="719"/>
      <c r="I23" s="902"/>
      <c r="J23" s="99"/>
      <c r="K23" s="903"/>
      <c r="L23" s="901"/>
      <c r="M23" s="885"/>
    </row>
    <row r="24" spans="1:13" x14ac:dyDescent="0.25">
      <c r="A24" s="177" t="s">
        <v>233</v>
      </c>
      <c r="B24" s="116" t="s">
        <v>331</v>
      </c>
      <c r="C24" s="93" t="s">
        <v>61</v>
      </c>
      <c r="D24" s="92">
        <v>15</v>
      </c>
      <c r="E24" s="49">
        <v>1.89</v>
      </c>
      <c r="F24" s="879">
        <f t="shared" si="0"/>
        <v>28.349999999999998</v>
      </c>
      <c r="H24" s="719"/>
      <c r="I24" s="902"/>
      <c r="J24" s="99"/>
      <c r="K24" s="903"/>
      <c r="L24" s="901"/>
      <c r="M24" s="885"/>
    </row>
    <row r="25" spans="1:13" x14ac:dyDescent="0.25">
      <c r="A25" s="177" t="s">
        <v>246</v>
      </c>
      <c r="B25" s="116" t="s">
        <v>329</v>
      </c>
      <c r="C25" s="93" t="s">
        <v>61</v>
      </c>
      <c r="D25" s="92">
        <v>15</v>
      </c>
      <c r="E25" s="49">
        <v>2.99</v>
      </c>
      <c r="F25" s="879">
        <f t="shared" si="0"/>
        <v>44.85</v>
      </c>
      <c r="H25" s="719"/>
      <c r="I25" s="902"/>
      <c r="J25" s="99"/>
      <c r="K25" s="903"/>
      <c r="L25" s="901"/>
      <c r="M25" s="885"/>
    </row>
    <row r="26" spans="1:13" x14ac:dyDescent="0.25">
      <c r="A26" s="177" t="s">
        <v>247</v>
      </c>
      <c r="B26" s="116" t="s">
        <v>328</v>
      </c>
      <c r="C26" s="93" t="s">
        <v>61</v>
      </c>
      <c r="D26" s="92">
        <v>15</v>
      </c>
      <c r="E26" s="49">
        <v>1.59</v>
      </c>
      <c r="F26" s="879">
        <f t="shared" si="0"/>
        <v>23.85</v>
      </c>
      <c r="H26" s="719"/>
      <c r="I26" s="902"/>
      <c r="J26" s="99"/>
      <c r="K26" s="903"/>
      <c r="L26" s="901"/>
      <c r="M26" s="885"/>
    </row>
    <row r="27" spans="1:13" x14ac:dyDescent="0.25">
      <c r="A27" s="177" t="s">
        <v>248</v>
      </c>
      <c r="B27" s="116" t="s">
        <v>117</v>
      </c>
      <c r="C27" s="93" t="s">
        <v>61</v>
      </c>
      <c r="D27" s="92">
        <v>5</v>
      </c>
      <c r="E27" s="49">
        <v>1.93</v>
      </c>
      <c r="F27" s="879">
        <f t="shared" si="0"/>
        <v>9.65</v>
      </c>
      <c r="H27" s="719"/>
      <c r="I27" s="902"/>
      <c r="J27" s="99"/>
      <c r="K27" s="903"/>
      <c r="L27" s="901"/>
      <c r="M27" s="885"/>
    </row>
    <row r="28" spans="1:13" x14ac:dyDescent="0.25">
      <c r="A28" s="177" t="s">
        <v>249</v>
      </c>
      <c r="B28" s="116" t="s">
        <v>118</v>
      </c>
      <c r="C28" s="93" t="s">
        <v>61</v>
      </c>
      <c r="D28" s="92">
        <v>10</v>
      </c>
      <c r="E28" s="49">
        <v>1.06</v>
      </c>
      <c r="F28" s="879">
        <f t="shared" si="0"/>
        <v>10.600000000000001</v>
      </c>
      <c r="H28" s="719"/>
      <c r="I28" s="902"/>
      <c r="J28" s="99"/>
      <c r="K28" s="903"/>
      <c r="L28" s="901"/>
      <c r="M28" s="885"/>
    </row>
    <row r="29" spans="1:13" x14ac:dyDescent="0.25">
      <c r="A29" s="177" t="s">
        <v>250</v>
      </c>
      <c r="B29" s="116" t="s">
        <v>122</v>
      </c>
      <c r="C29" s="93" t="s">
        <v>61</v>
      </c>
      <c r="D29" s="92">
        <v>100</v>
      </c>
      <c r="E29" s="49">
        <v>0.3</v>
      </c>
      <c r="F29" s="879">
        <f t="shared" si="0"/>
        <v>30</v>
      </c>
      <c r="H29" s="719"/>
      <c r="I29" s="902"/>
      <c r="J29" s="99"/>
      <c r="K29" s="903"/>
      <c r="L29" s="901"/>
      <c r="M29" s="885"/>
    </row>
    <row r="30" spans="1:13" x14ac:dyDescent="0.25">
      <c r="A30" s="177" t="s">
        <v>251</v>
      </c>
      <c r="B30" s="116" t="s">
        <v>123</v>
      </c>
      <c r="C30" s="93" t="s">
        <v>61</v>
      </c>
      <c r="D30" s="92">
        <v>100</v>
      </c>
      <c r="E30" s="49">
        <v>0.25</v>
      </c>
      <c r="F30" s="879">
        <f t="shared" si="0"/>
        <v>25</v>
      </c>
      <c r="H30" s="719"/>
      <c r="I30" s="902"/>
      <c r="J30" s="99"/>
      <c r="K30" s="903"/>
      <c r="L30" s="901"/>
      <c r="M30" s="885"/>
    </row>
    <row r="31" spans="1:13" x14ac:dyDescent="0.25">
      <c r="A31" s="177" t="s">
        <v>252</v>
      </c>
      <c r="B31" s="116" t="s">
        <v>124</v>
      </c>
      <c r="C31" s="93" t="s">
        <v>61</v>
      </c>
      <c r="D31" s="92">
        <v>20</v>
      </c>
      <c r="E31" s="49">
        <v>0.06</v>
      </c>
      <c r="F31" s="879">
        <f t="shared" si="0"/>
        <v>1.2</v>
      </c>
      <c r="H31" s="719"/>
      <c r="I31" s="902"/>
      <c r="J31" s="99"/>
      <c r="K31" s="903"/>
      <c r="L31" s="901"/>
      <c r="M31" s="885"/>
    </row>
    <row r="32" spans="1:13" x14ac:dyDescent="0.25">
      <c r="A32" s="177" t="s">
        <v>253</v>
      </c>
      <c r="B32" s="116" t="s">
        <v>125</v>
      </c>
      <c r="C32" s="93" t="s">
        <v>61</v>
      </c>
      <c r="D32" s="92">
        <v>30</v>
      </c>
      <c r="E32" s="49">
        <v>6.9000000000000006E-2</v>
      </c>
      <c r="F32" s="879">
        <f t="shared" si="0"/>
        <v>2.0700000000000003</v>
      </c>
      <c r="H32" s="719"/>
      <c r="I32" s="902"/>
      <c r="J32" s="99"/>
      <c r="K32" s="903"/>
      <c r="L32" s="901"/>
      <c r="M32" s="885"/>
    </row>
    <row r="33" spans="1:13" x14ac:dyDescent="0.25">
      <c r="A33" s="177" t="s">
        <v>254</v>
      </c>
      <c r="B33" s="116" t="s">
        <v>127</v>
      </c>
      <c r="C33" s="93" t="s">
        <v>61</v>
      </c>
      <c r="D33" s="92">
        <v>4</v>
      </c>
      <c r="E33" s="49">
        <v>1.43</v>
      </c>
      <c r="F33" s="879">
        <f t="shared" si="0"/>
        <v>5.72</v>
      </c>
      <c r="H33" s="719"/>
      <c r="I33" s="902"/>
      <c r="J33" s="99"/>
      <c r="K33" s="903"/>
      <c r="L33" s="901"/>
      <c r="M33" s="885"/>
    </row>
    <row r="34" spans="1:13" x14ac:dyDescent="0.25">
      <c r="A34" s="177" t="s">
        <v>255</v>
      </c>
      <c r="B34" s="116" t="s">
        <v>128</v>
      </c>
      <c r="C34" s="93" t="s">
        <v>61</v>
      </c>
      <c r="D34" s="92">
        <f>1*4</f>
        <v>4</v>
      </c>
      <c r="E34" s="49">
        <v>1.2</v>
      </c>
      <c r="F34" s="879">
        <f t="shared" si="0"/>
        <v>4.8</v>
      </c>
      <c r="H34" s="719"/>
      <c r="I34" s="902"/>
      <c r="J34" s="99"/>
      <c r="K34" s="903"/>
      <c r="L34" s="901"/>
      <c r="M34" s="885"/>
    </row>
    <row r="35" spans="1:13" x14ac:dyDescent="0.25">
      <c r="A35" s="177" t="s">
        <v>335</v>
      </c>
      <c r="B35" s="116" t="s">
        <v>129</v>
      </c>
      <c r="C35" s="93" t="s">
        <v>61</v>
      </c>
      <c r="D35" s="92">
        <f>1*4</f>
        <v>4</v>
      </c>
      <c r="E35" s="49">
        <v>2.8</v>
      </c>
      <c r="F35" s="879">
        <f t="shared" si="0"/>
        <v>11.2</v>
      </c>
      <c r="H35" s="719"/>
      <c r="I35" s="902"/>
      <c r="J35" s="99"/>
      <c r="K35" s="903"/>
      <c r="L35" s="901"/>
      <c r="M35" s="885"/>
    </row>
    <row r="36" spans="1:13" x14ac:dyDescent="0.25">
      <c r="A36" s="177" t="s">
        <v>336</v>
      </c>
      <c r="B36" s="116" t="s">
        <v>130</v>
      </c>
      <c r="C36" s="93" t="s">
        <v>61</v>
      </c>
      <c r="D36" s="92">
        <f>1*4</f>
        <v>4</v>
      </c>
      <c r="E36" s="49">
        <v>6.6</v>
      </c>
      <c r="F36" s="879">
        <f t="shared" si="0"/>
        <v>26.4</v>
      </c>
      <c r="H36" s="719"/>
      <c r="I36" s="902"/>
      <c r="J36" s="99"/>
      <c r="K36" s="903"/>
      <c r="L36" s="901"/>
      <c r="M36" s="885"/>
    </row>
    <row r="37" spans="1:13" x14ac:dyDescent="0.25">
      <c r="A37" s="177" t="s">
        <v>337</v>
      </c>
      <c r="B37" s="116" t="s">
        <v>357</v>
      </c>
      <c r="C37" s="93" t="s">
        <v>61</v>
      </c>
      <c r="D37" s="90">
        <f>8/$F$8</f>
        <v>0.44444444444444442</v>
      </c>
      <c r="E37" s="49">
        <v>7.5</v>
      </c>
      <c r="F37" s="879">
        <f t="shared" si="0"/>
        <v>3.333333333333333</v>
      </c>
      <c r="H37" s="719"/>
      <c r="I37" s="902"/>
      <c r="J37" s="99"/>
      <c r="K37" s="903"/>
      <c r="L37" s="901"/>
      <c r="M37" s="885"/>
    </row>
    <row r="38" spans="1:13" x14ac:dyDescent="0.25">
      <c r="A38" s="177" t="s">
        <v>338</v>
      </c>
      <c r="B38" s="922" t="s">
        <v>359</v>
      </c>
      <c r="C38" s="93" t="s">
        <v>61</v>
      </c>
      <c r="D38" s="90">
        <f>2/$F$8</f>
        <v>0.1111111111111111</v>
      </c>
      <c r="E38" s="49">
        <v>45.43</v>
      </c>
      <c r="F38" s="879">
        <f t="shared" si="0"/>
        <v>5.0477777777777773</v>
      </c>
      <c r="H38" s="719"/>
      <c r="I38" s="902"/>
      <c r="J38" s="99"/>
      <c r="K38" s="903"/>
      <c r="L38" s="901"/>
      <c r="M38" s="885"/>
    </row>
    <row r="39" spans="1:13" x14ac:dyDescent="0.25">
      <c r="A39" s="177" t="s">
        <v>339</v>
      </c>
      <c r="B39" s="922" t="s">
        <v>327</v>
      </c>
      <c r="C39" s="93" t="s">
        <v>61</v>
      </c>
      <c r="D39" s="92">
        <v>1</v>
      </c>
      <c r="E39" s="49">
        <v>1.4</v>
      </c>
      <c r="F39" s="879">
        <f t="shared" si="0"/>
        <v>1.4</v>
      </c>
      <c r="H39" s="719"/>
      <c r="I39" s="902"/>
      <c r="J39" s="99"/>
      <c r="K39" s="903"/>
      <c r="L39" s="901"/>
      <c r="M39" s="885"/>
    </row>
    <row r="40" spans="1:13" x14ac:dyDescent="0.25">
      <c r="A40" s="177" t="s">
        <v>340</v>
      </c>
      <c r="B40" s="922" t="s">
        <v>983</v>
      </c>
      <c r="C40" s="93" t="s">
        <v>61</v>
      </c>
      <c r="D40" s="92">
        <f>1/2</f>
        <v>0.5</v>
      </c>
      <c r="E40" s="49">
        <v>2.99</v>
      </c>
      <c r="F40" s="879">
        <f t="shared" si="0"/>
        <v>1.4950000000000001</v>
      </c>
      <c r="H40" s="719"/>
      <c r="I40" s="902"/>
      <c r="J40" s="99"/>
      <c r="K40" s="903"/>
      <c r="L40" s="901"/>
      <c r="M40" s="885"/>
    </row>
    <row r="41" spans="1:13" x14ac:dyDescent="0.25">
      <c r="A41" s="177" t="s">
        <v>341</v>
      </c>
      <c r="B41" s="116" t="s">
        <v>326</v>
      </c>
      <c r="C41" s="93" t="s">
        <v>61</v>
      </c>
      <c r="D41" s="92">
        <v>20</v>
      </c>
      <c r="E41" s="49">
        <v>5.6</v>
      </c>
      <c r="F41" s="879">
        <f t="shared" si="0"/>
        <v>112</v>
      </c>
      <c r="H41" s="719"/>
      <c r="I41" s="902"/>
      <c r="J41" s="99"/>
      <c r="K41" s="903"/>
      <c r="L41" s="901"/>
      <c r="M41" s="885"/>
    </row>
    <row r="42" spans="1:13" x14ac:dyDescent="0.25">
      <c r="A42" s="177" t="s">
        <v>342</v>
      </c>
      <c r="B42" s="116" t="s">
        <v>132</v>
      </c>
      <c r="C42" s="93" t="s">
        <v>61</v>
      </c>
      <c r="D42" s="92">
        <v>40</v>
      </c>
      <c r="E42" s="49">
        <v>0.34</v>
      </c>
      <c r="F42" s="879">
        <f t="shared" si="0"/>
        <v>13.600000000000001</v>
      </c>
      <c r="H42" s="719"/>
      <c r="I42" s="902"/>
      <c r="J42" s="99"/>
      <c r="K42" s="903"/>
      <c r="L42" s="901"/>
      <c r="M42" s="885"/>
    </row>
    <row r="43" spans="1:13" x14ac:dyDescent="0.25">
      <c r="A43" s="177" t="s">
        <v>343</v>
      </c>
      <c r="B43" s="116" t="s">
        <v>323</v>
      </c>
      <c r="C43" s="93" t="s">
        <v>61</v>
      </c>
      <c r="D43" s="92">
        <v>15</v>
      </c>
      <c r="E43" s="49">
        <v>2.1</v>
      </c>
      <c r="F43" s="879">
        <f t="shared" si="0"/>
        <v>31.5</v>
      </c>
      <c r="H43" s="719"/>
      <c r="I43" s="902"/>
      <c r="J43" s="99"/>
      <c r="K43" s="903"/>
      <c r="L43" s="901"/>
      <c r="M43" s="885"/>
    </row>
    <row r="44" spans="1:13" x14ac:dyDescent="0.25">
      <c r="A44" s="177" t="s">
        <v>344</v>
      </c>
      <c r="B44" s="116" t="s">
        <v>324</v>
      </c>
      <c r="C44" s="93" t="s">
        <v>61</v>
      </c>
      <c r="D44" s="92">
        <v>15</v>
      </c>
      <c r="E44" s="49">
        <v>2.1</v>
      </c>
      <c r="F44" s="879">
        <f t="shared" si="0"/>
        <v>31.5</v>
      </c>
      <c r="H44" s="719"/>
      <c r="I44" s="902"/>
      <c r="J44" s="99"/>
      <c r="K44" s="903"/>
      <c r="L44" s="901"/>
      <c r="M44" s="885"/>
    </row>
    <row r="45" spans="1:13" x14ac:dyDescent="0.25">
      <c r="A45" s="177" t="s">
        <v>345</v>
      </c>
      <c r="B45" s="116" t="s">
        <v>133</v>
      </c>
      <c r="C45" s="93" t="s">
        <v>61</v>
      </c>
      <c r="D45" s="92">
        <v>2</v>
      </c>
      <c r="E45" s="49">
        <v>8.4</v>
      </c>
      <c r="F45" s="879">
        <f t="shared" si="0"/>
        <v>16.8</v>
      </c>
      <c r="H45" s="719"/>
      <c r="I45" s="902"/>
      <c r="J45" s="99"/>
      <c r="K45" s="903"/>
      <c r="L45" s="901"/>
      <c r="M45" s="885"/>
    </row>
    <row r="46" spans="1:13" x14ac:dyDescent="0.25">
      <c r="A46" s="177" t="s">
        <v>346</v>
      </c>
      <c r="B46" s="116" t="s">
        <v>134</v>
      </c>
      <c r="C46" s="93" t="s">
        <v>61</v>
      </c>
      <c r="D46" s="92">
        <v>2</v>
      </c>
      <c r="E46" s="49">
        <v>25</v>
      </c>
      <c r="F46" s="879">
        <f t="shared" si="0"/>
        <v>50</v>
      </c>
      <c r="H46" s="719"/>
      <c r="I46" s="902"/>
      <c r="J46" s="99"/>
      <c r="K46" s="903"/>
      <c r="L46" s="901"/>
      <c r="M46" s="885"/>
    </row>
    <row r="47" spans="1:13" x14ac:dyDescent="0.25">
      <c r="A47" s="177" t="s">
        <v>347</v>
      </c>
      <c r="B47" s="116" t="s">
        <v>135</v>
      </c>
      <c r="C47" s="93" t="s">
        <v>61</v>
      </c>
      <c r="D47" s="92">
        <v>20</v>
      </c>
      <c r="E47" s="49">
        <v>1</v>
      </c>
      <c r="F47" s="879">
        <f t="shared" si="0"/>
        <v>20</v>
      </c>
      <c r="H47" s="719"/>
      <c r="I47" s="902"/>
      <c r="J47" s="99"/>
      <c r="K47" s="903"/>
      <c r="L47" s="901"/>
      <c r="M47" s="885"/>
    </row>
    <row r="48" spans="1:13" x14ac:dyDescent="0.25">
      <c r="A48" s="177" t="s">
        <v>348</v>
      </c>
      <c r="B48" s="116" t="s">
        <v>136</v>
      </c>
      <c r="C48" s="93" t="s">
        <v>61</v>
      </c>
      <c r="D48" s="92">
        <v>15</v>
      </c>
      <c r="E48" s="49">
        <v>0.75</v>
      </c>
      <c r="F48" s="879">
        <f t="shared" si="0"/>
        <v>11.25</v>
      </c>
      <c r="H48" s="719"/>
      <c r="I48" s="902"/>
      <c r="J48" s="99"/>
      <c r="K48" s="903"/>
      <c r="L48" s="901"/>
      <c r="M48" s="885"/>
    </row>
    <row r="49" spans="1:13" x14ac:dyDescent="0.25">
      <c r="A49" s="177" t="s">
        <v>349</v>
      </c>
      <c r="B49" s="116" t="s">
        <v>137</v>
      </c>
      <c r="C49" s="93" t="s">
        <v>61</v>
      </c>
      <c r="D49" s="92">
        <v>15</v>
      </c>
      <c r="E49" s="49">
        <v>2.1800000000000002</v>
      </c>
      <c r="F49" s="879">
        <f t="shared" si="0"/>
        <v>32.700000000000003</v>
      </c>
      <c r="H49" s="719"/>
      <c r="I49" s="902"/>
      <c r="J49" s="99"/>
      <c r="K49" s="903"/>
      <c r="L49" s="901"/>
      <c r="M49" s="885"/>
    </row>
    <row r="50" spans="1:13" x14ac:dyDescent="0.25">
      <c r="A50" s="177" t="s">
        <v>350</v>
      </c>
      <c r="B50" s="116" t="s">
        <v>143</v>
      </c>
      <c r="C50" s="93" t="s">
        <v>61</v>
      </c>
      <c r="D50" s="92">
        <v>17</v>
      </c>
      <c r="E50" s="49">
        <v>0.65</v>
      </c>
      <c r="F50" s="879">
        <f t="shared" si="0"/>
        <v>11.05</v>
      </c>
      <c r="H50" s="719"/>
      <c r="I50" s="902"/>
      <c r="J50" s="99"/>
      <c r="K50" s="903"/>
      <c r="L50" s="901"/>
      <c r="M50" s="885"/>
    </row>
    <row r="51" spans="1:13" x14ac:dyDescent="0.25">
      <c r="A51" s="177" t="s">
        <v>358</v>
      </c>
      <c r="B51" s="116" t="s">
        <v>144</v>
      </c>
      <c r="C51" s="93" t="s">
        <v>61</v>
      </c>
      <c r="D51" s="92">
        <v>17</v>
      </c>
      <c r="E51" s="49">
        <v>1.1599999999999999</v>
      </c>
      <c r="F51" s="879">
        <f t="shared" si="0"/>
        <v>19.72</v>
      </c>
      <c r="H51" s="719"/>
      <c r="I51" s="902"/>
      <c r="J51" s="99"/>
      <c r="K51" s="903"/>
      <c r="L51" s="901"/>
      <c r="M51" s="885"/>
    </row>
    <row r="52" spans="1:13" x14ac:dyDescent="0.25">
      <c r="A52" s="177" t="s">
        <v>361</v>
      </c>
      <c r="B52" s="116" t="s">
        <v>145</v>
      </c>
      <c r="C52" s="93" t="s">
        <v>61</v>
      </c>
      <c r="D52" s="92">
        <f>60/24</f>
        <v>2.5</v>
      </c>
      <c r="E52" s="49">
        <v>0.5</v>
      </c>
      <c r="F52" s="879">
        <f t="shared" si="0"/>
        <v>1.25</v>
      </c>
      <c r="H52" s="719"/>
      <c r="I52" s="902"/>
      <c r="J52" s="99"/>
      <c r="K52" s="903"/>
      <c r="L52" s="901"/>
      <c r="M52" s="885"/>
    </row>
    <row r="53" spans="1:13" x14ac:dyDescent="0.25">
      <c r="A53" s="177" t="s">
        <v>706</v>
      </c>
      <c r="B53" s="116" t="s">
        <v>146</v>
      </c>
      <c r="C53" s="93" t="s">
        <v>61</v>
      </c>
      <c r="D53" s="92">
        <v>40</v>
      </c>
      <c r="E53" s="49">
        <v>14.6</v>
      </c>
      <c r="F53" s="879">
        <f t="shared" si="0"/>
        <v>584</v>
      </c>
      <c r="H53" s="719"/>
      <c r="I53" s="902"/>
      <c r="J53" s="99"/>
      <c r="K53" s="903"/>
      <c r="L53" s="901"/>
      <c r="M53" s="885"/>
    </row>
    <row r="54" spans="1:13" x14ac:dyDescent="0.25">
      <c r="A54" s="177" t="s">
        <v>709</v>
      </c>
      <c r="B54" s="116" t="s">
        <v>147</v>
      </c>
      <c r="C54" s="93" t="s">
        <v>61</v>
      </c>
      <c r="D54" s="92">
        <f>192/24</f>
        <v>8</v>
      </c>
      <c r="E54" s="49">
        <v>26.8</v>
      </c>
      <c r="F54" s="879">
        <f t="shared" si="0"/>
        <v>214.4</v>
      </c>
      <c r="H54" s="719"/>
      <c r="I54" s="902"/>
      <c r="J54" s="99"/>
      <c r="K54" s="903"/>
      <c r="L54" s="901"/>
      <c r="M54" s="885"/>
    </row>
    <row r="55" spans="1:13" ht="12.75" thickBot="1" x14ac:dyDescent="0.3">
      <c r="A55" s="187" t="s">
        <v>710</v>
      </c>
      <c r="B55" s="261" t="s">
        <v>153</v>
      </c>
      <c r="C55" s="106" t="s">
        <v>61</v>
      </c>
      <c r="D55" s="110">
        <v>1</v>
      </c>
      <c r="E55" s="63">
        <v>1.49</v>
      </c>
      <c r="F55" s="880">
        <f t="shared" si="0"/>
        <v>1.49</v>
      </c>
      <c r="H55" s="719"/>
      <c r="I55" s="902"/>
      <c r="J55" s="99"/>
      <c r="K55" s="903"/>
      <c r="L55" s="901"/>
      <c r="M55" s="885"/>
    </row>
    <row r="56" spans="1:13" ht="12.75" thickBot="1" x14ac:dyDescent="0.3">
      <c r="A56" s="1749" t="s">
        <v>334</v>
      </c>
      <c r="B56" s="1738"/>
      <c r="C56" s="1738"/>
      <c r="D56" s="1738"/>
      <c r="E56" s="1738"/>
      <c r="F56" s="111">
        <f>SUM(F15:F55)</f>
        <v>2436.6261111111107</v>
      </c>
      <c r="H56" s="95"/>
      <c r="I56" s="95"/>
      <c r="J56" s="95"/>
      <c r="K56" s="95"/>
      <c r="L56" s="901"/>
      <c r="M56" s="885"/>
    </row>
    <row r="57" spans="1:13" ht="12.75" thickBot="1" x14ac:dyDescent="0.3">
      <c r="D57" s="9"/>
      <c r="E57" s="9"/>
      <c r="F57" s="9"/>
      <c r="H57" s="95"/>
      <c r="I57" s="95"/>
      <c r="J57" s="95"/>
      <c r="K57" s="95"/>
      <c r="L57" s="901"/>
      <c r="M57" s="885"/>
    </row>
    <row r="58" spans="1:13" ht="12.75" thickBot="1" x14ac:dyDescent="0.3">
      <c r="A58" s="112" t="s">
        <v>100</v>
      </c>
      <c r="B58" s="1748" t="s">
        <v>962</v>
      </c>
      <c r="C58" s="1735"/>
      <c r="D58" s="1735"/>
      <c r="E58" s="1735"/>
      <c r="F58" s="1736"/>
      <c r="H58" s="95"/>
      <c r="I58" s="95"/>
      <c r="J58" s="95"/>
      <c r="K58" s="95"/>
      <c r="L58" s="901"/>
      <c r="M58" s="885"/>
    </row>
    <row r="59" spans="1:13" x14ac:dyDescent="0.25">
      <c r="A59" s="886" t="s">
        <v>81</v>
      </c>
      <c r="B59" s="1781" t="s">
        <v>58</v>
      </c>
      <c r="C59" s="12" t="s">
        <v>61</v>
      </c>
      <c r="D59" s="13">
        <f>1/$F$8</f>
        <v>5.5555555555555552E-2</v>
      </c>
      <c r="E59" s="1782">
        <v>1117.79</v>
      </c>
      <c r="F59" s="1783">
        <f t="shared" ref="F59:F80" si="1">D59*E59</f>
        <v>62.099444444444437</v>
      </c>
      <c r="H59" s="719"/>
      <c r="I59" s="902"/>
      <c r="J59" s="96"/>
      <c r="K59" s="903"/>
      <c r="L59" s="901"/>
      <c r="M59" s="885"/>
    </row>
    <row r="60" spans="1:13" x14ac:dyDescent="0.25">
      <c r="A60" s="886" t="s">
        <v>82</v>
      </c>
      <c r="B60" s="100" t="s">
        <v>69</v>
      </c>
      <c r="C60" s="10" t="s">
        <v>61</v>
      </c>
      <c r="D60" s="11">
        <f>1/$F$8</f>
        <v>5.5555555555555552E-2</v>
      </c>
      <c r="E60" s="11">
        <v>215.99</v>
      </c>
      <c r="F60" s="899">
        <f t="shared" si="1"/>
        <v>11.999444444444444</v>
      </c>
      <c r="H60" s="719"/>
      <c r="I60" s="902"/>
      <c r="J60" s="96"/>
      <c r="K60" s="903"/>
      <c r="L60" s="901"/>
      <c r="M60" s="885"/>
    </row>
    <row r="61" spans="1:13" x14ac:dyDescent="0.25">
      <c r="A61" s="886" t="s">
        <v>286</v>
      </c>
      <c r="B61" s="887" t="s">
        <v>109</v>
      </c>
      <c r="C61" s="10" t="s">
        <v>61</v>
      </c>
      <c r="D61" s="750">
        <v>10</v>
      </c>
      <c r="E61" s="750">
        <f>E15</f>
        <v>0.6</v>
      </c>
      <c r="F61" s="899">
        <f t="shared" si="1"/>
        <v>6</v>
      </c>
      <c r="H61" s="719"/>
      <c r="I61" s="902"/>
      <c r="J61" s="99"/>
      <c r="K61" s="903"/>
      <c r="L61" s="901"/>
      <c r="M61" s="885"/>
    </row>
    <row r="62" spans="1:13" x14ac:dyDescent="0.25">
      <c r="A62" s="113" t="s">
        <v>287</v>
      </c>
      <c r="B62" s="302" t="s">
        <v>112</v>
      </c>
      <c r="C62" s="10" t="s">
        <v>61</v>
      </c>
      <c r="D62" s="84">
        <v>2</v>
      </c>
      <c r="E62" s="84">
        <f>E18</f>
        <v>36.9</v>
      </c>
      <c r="F62" s="899">
        <f t="shared" si="1"/>
        <v>73.8</v>
      </c>
      <c r="H62" s="719"/>
      <c r="I62" s="902"/>
      <c r="J62" s="99"/>
      <c r="K62" s="903"/>
      <c r="L62" s="901"/>
      <c r="M62" s="885"/>
    </row>
    <row r="63" spans="1:13" x14ac:dyDescent="0.25">
      <c r="A63" s="113" t="s">
        <v>288</v>
      </c>
      <c r="B63" s="302" t="s">
        <v>113</v>
      </c>
      <c r="C63" s="10" t="s">
        <v>61</v>
      </c>
      <c r="D63" s="84">
        <v>2</v>
      </c>
      <c r="E63" s="84">
        <f>E19</f>
        <v>32.200000000000003</v>
      </c>
      <c r="F63" s="899">
        <f t="shared" si="1"/>
        <v>64.400000000000006</v>
      </c>
      <c r="H63" s="719"/>
      <c r="I63" s="902"/>
      <c r="J63" s="99"/>
      <c r="K63" s="903"/>
      <c r="L63" s="901"/>
      <c r="M63" s="885"/>
    </row>
    <row r="64" spans="1:13" x14ac:dyDescent="0.25">
      <c r="A64" s="113" t="s">
        <v>289</v>
      </c>
      <c r="B64" s="302" t="s">
        <v>114</v>
      </c>
      <c r="C64" s="10" t="s">
        <v>61</v>
      </c>
      <c r="D64" s="84">
        <v>30</v>
      </c>
      <c r="E64" s="84">
        <f>E20</f>
        <v>1.8</v>
      </c>
      <c r="F64" s="899">
        <f t="shared" si="1"/>
        <v>54</v>
      </c>
      <c r="H64" s="719"/>
      <c r="I64" s="902"/>
      <c r="J64" s="99"/>
      <c r="K64" s="903"/>
      <c r="L64" s="901"/>
      <c r="M64" s="885"/>
    </row>
    <row r="65" spans="1:13" x14ac:dyDescent="0.25">
      <c r="A65" s="113" t="s">
        <v>290</v>
      </c>
      <c r="B65" s="302" t="s">
        <v>332</v>
      </c>
      <c r="C65" s="93" t="s">
        <v>61</v>
      </c>
      <c r="D65" s="84">
        <v>2</v>
      </c>
      <c r="E65" s="84">
        <f>E22</f>
        <v>1.89</v>
      </c>
      <c r="F65" s="899">
        <f t="shared" si="1"/>
        <v>3.78</v>
      </c>
      <c r="H65" s="719"/>
      <c r="I65" s="902"/>
      <c r="J65" s="99"/>
      <c r="K65" s="903"/>
      <c r="L65" s="901"/>
      <c r="M65" s="885"/>
    </row>
    <row r="66" spans="1:13" x14ac:dyDescent="0.25">
      <c r="A66" s="113" t="s">
        <v>291</v>
      </c>
      <c r="B66" s="302" t="s">
        <v>330</v>
      </c>
      <c r="C66" s="93" t="s">
        <v>61</v>
      </c>
      <c r="D66" s="84">
        <v>2</v>
      </c>
      <c r="E66" s="84">
        <f>E23</f>
        <v>1.89</v>
      </c>
      <c r="F66" s="899">
        <f t="shared" si="1"/>
        <v>3.78</v>
      </c>
      <c r="H66" s="719"/>
      <c r="I66" s="902"/>
      <c r="J66" s="99"/>
      <c r="K66" s="903"/>
      <c r="L66" s="901"/>
      <c r="M66" s="885"/>
    </row>
    <row r="67" spans="1:13" x14ac:dyDescent="0.25">
      <c r="A67" s="113" t="s">
        <v>362</v>
      </c>
      <c r="B67" s="302" t="s">
        <v>328</v>
      </c>
      <c r="C67" s="93" t="s">
        <v>61</v>
      </c>
      <c r="D67" s="84">
        <v>1</v>
      </c>
      <c r="E67" s="84">
        <f>E26</f>
        <v>1.59</v>
      </c>
      <c r="F67" s="899">
        <f t="shared" si="1"/>
        <v>1.59</v>
      </c>
      <c r="H67" s="719"/>
      <c r="I67" s="902"/>
      <c r="J67" s="99"/>
      <c r="K67" s="903"/>
      <c r="L67" s="901"/>
      <c r="M67" s="885"/>
    </row>
    <row r="68" spans="1:13" x14ac:dyDescent="0.25">
      <c r="A68" s="886" t="s">
        <v>363</v>
      </c>
      <c r="B68" s="887" t="s">
        <v>117</v>
      </c>
      <c r="C68" s="882" t="s">
        <v>61</v>
      </c>
      <c r="D68" s="750">
        <v>5</v>
      </c>
      <c r="E68" s="750">
        <f>E27</f>
        <v>1.93</v>
      </c>
      <c r="F68" s="899">
        <f t="shared" si="1"/>
        <v>9.65</v>
      </c>
      <c r="H68" s="719"/>
      <c r="I68" s="902"/>
      <c r="J68" s="99"/>
      <c r="K68" s="903"/>
      <c r="L68" s="901"/>
      <c r="M68" s="885"/>
    </row>
    <row r="69" spans="1:13" x14ac:dyDescent="0.25">
      <c r="A69" s="886" t="s">
        <v>364</v>
      </c>
      <c r="B69" s="887" t="s">
        <v>118</v>
      </c>
      <c r="C69" s="882" t="s">
        <v>61</v>
      </c>
      <c r="D69" s="750">
        <v>1</v>
      </c>
      <c r="E69" s="750">
        <f>E28</f>
        <v>1.06</v>
      </c>
      <c r="F69" s="899">
        <f t="shared" si="1"/>
        <v>1.06</v>
      </c>
      <c r="H69" s="719"/>
      <c r="I69" s="902"/>
      <c r="J69" s="99"/>
      <c r="K69" s="903"/>
      <c r="L69" s="901"/>
      <c r="M69" s="885"/>
    </row>
    <row r="70" spans="1:13" x14ac:dyDescent="0.25">
      <c r="A70" s="886" t="s">
        <v>365</v>
      </c>
      <c r="B70" s="887" t="s">
        <v>122</v>
      </c>
      <c r="C70" s="882" t="s">
        <v>61</v>
      </c>
      <c r="D70" s="750">
        <v>20</v>
      </c>
      <c r="E70" s="750">
        <f>E29</f>
        <v>0.3</v>
      </c>
      <c r="F70" s="899">
        <f t="shared" si="1"/>
        <v>6</v>
      </c>
      <c r="H70" s="719"/>
      <c r="I70" s="902"/>
      <c r="J70" s="99"/>
      <c r="K70" s="903"/>
      <c r="L70" s="901"/>
      <c r="M70" s="885"/>
    </row>
    <row r="71" spans="1:13" x14ac:dyDescent="0.25">
      <c r="A71" s="113" t="s">
        <v>366</v>
      </c>
      <c r="B71" s="302" t="s">
        <v>123</v>
      </c>
      <c r="C71" s="93" t="s">
        <v>61</v>
      </c>
      <c r="D71" s="84">
        <v>30</v>
      </c>
      <c r="E71" s="84">
        <f>E30</f>
        <v>0.25</v>
      </c>
      <c r="F71" s="899">
        <f t="shared" si="1"/>
        <v>7.5</v>
      </c>
      <c r="H71" s="719"/>
      <c r="I71" s="902"/>
      <c r="J71" s="99"/>
      <c r="K71" s="903"/>
      <c r="L71" s="901"/>
      <c r="M71" s="885"/>
    </row>
    <row r="72" spans="1:13" x14ac:dyDescent="0.25">
      <c r="A72" s="113" t="s">
        <v>367</v>
      </c>
      <c r="B72" s="302" t="s">
        <v>128</v>
      </c>
      <c r="C72" s="93" t="s">
        <v>61</v>
      </c>
      <c r="D72" s="84">
        <v>1</v>
      </c>
      <c r="E72" s="84">
        <f>E34</f>
        <v>1.2</v>
      </c>
      <c r="F72" s="899">
        <f t="shared" si="1"/>
        <v>1.2</v>
      </c>
      <c r="H72" s="719"/>
      <c r="I72" s="902"/>
      <c r="J72" s="99"/>
      <c r="K72" s="903"/>
      <c r="L72" s="901"/>
      <c r="M72" s="885"/>
    </row>
    <row r="73" spans="1:13" x14ac:dyDescent="0.25">
      <c r="A73" s="113" t="s">
        <v>368</v>
      </c>
      <c r="B73" s="302" t="s">
        <v>357</v>
      </c>
      <c r="C73" s="93" t="s">
        <v>61</v>
      </c>
      <c r="D73" s="11">
        <f>8/$F$8</f>
        <v>0.44444444444444442</v>
      </c>
      <c r="E73" s="84">
        <f>E37</f>
        <v>7.5</v>
      </c>
      <c r="F73" s="899">
        <f t="shared" si="1"/>
        <v>3.333333333333333</v>
      </c>
      <c r="H73" s="719"/>
      <c r="I73" s="902"/>
      <c r="J73" s="99"/>
      <c r="K73" s="903"/>
      <c r="L73" s="901"/>
      <c r="M73" s="885"/>
    </row>
    <row r="74" spans="1:13" x14ac:dyDescent="0.25">
      <c r="A74" s="113" t="s">
        <v>369</v>
      </c>
      <c r="B74" s="887" t="s">
        <v>359</v>
      </c>
      <c r="C74" s="93" t="s">
        <v>61</v>
      </c>
      <c r="D74" s="11">
        <f>2/$F$8</f>
        <v>0.1111111111111111</v>
      </c>
      <c r="E74" s="84">
        <f>E38</f>
        <v>45.43</v>
      </c>
      <c r="F74" s="899">
        <f t="shared" si="1"/>
        <v>5.0477777777777773</v>
      </c>
      <c r="H74" s="719"/>
      <c r="I74" s="902"/>
      <c r="J74" s="99"/>
      <c r="K74" s="903"/>
      <c r="L74" s="901"/>
      <c r="M74" s="885"/>
    </row>
    <row r="75" spans="1:13" x14ac:dyDescent="0.25">
      <c r="A75" s="113" t="s">
        <v>370</v>
      </c>
      <c r="B75" s="887" t="s">
        <v>327</v>
      </c>
      <c r="C75" s="882" t="s">
        <v>61</v>
      </c>
      <c r="D75" s="750">
        <v>1</v>
      </c>
      <c r="E75" s="750">
        <f>E39</f>
        <v>1.4</v>
      </c>
      <c r="F75" s="899">
        <f t="shared" si="1"/>
        <v>1.4</v>
      </c>
      <c r="H75" s="719"/>
      <c r="I75" s="902"/>
      <c r="J75" s="99"/>
      <c r="K75" s="903"/>
      <c r="L75" s="901"/>
      <c r="M75" s="885"/>
    </row>
    <row r="76" spans="1:13" x14ac:dyDescent="0.25">
      <c r="A76" s="113" t="s">
        <v>371</v>
      </c>
      <c r="B76" s="887" t="s">
        <v>983</v>
      </c>
      <c r="C76" s="882" t="s">
        <v>61</v>
      </c>
      <c r="D76" s="750">
        <f>1/4</f>
        <v>0.25</v>
      </c>
      <c r="E76" s="750">
        <f>E40</f>
        <v>2.99</v>
      </c>
      <c r="F76" s="899">
        <f t="shared" si="1"/>
        <v>0.74750000000000005</v>
      </c>
      <c r="H76" s="719"/>
      <c r="I76" s="902"/>
      <c r="J76" s="99"/>
      <c r="K76" s="903"/>
      <c r="L76" s="901"/>
      <c r="M76" s="885"/>
    </row>
    <row r="77" spans="1:13" x14ac:dyDescent="0.25">
      <c r="A77" s="113" t="s">
        <v>372</v>
      </c>
      <c r="B77" s="302" t="s">
        <v>132</v>
      </c>
      <c r="C77" s="882" t="s">
        <v>61</v>
      </c>
      <c r="D77" s="750">
        <v>10</v>
      </c>
      <c r="E77" s="750">
        <f>E42</f>
        <v>0.34</v>
      </c>
      <c r="F77" s="899">
        <f t="shared" si="1"/>
        <v>3.4000000000000004</v>
      </c>
      <c r="H77" s="719"/>
      <c r="I77" s="902"/>
      <c r="J77" s="99"/>
      <c r="K77" s="903"/>
      <c r="L77" s="901"/>
      <c r="M77" s="885"/>
    </row>
    <row r="78" spans="1:13" x14ac:dyDescent="0.25">
      <c r="A78" s="113" t="s">
        <v>373</v>
      </c>
      <c r="B78" s="302" t="s">
        <v>135</v>
      </c>
      <c r="C78" s="93" t="s">
        <v>61</v>
      </c>
      <c r="D78" s="84">
        <v>3</v>
      </c>
      <c r="E78" s="84">
        <f>E47</f>
        <v>1</v>
      </c>
      <c r="F78" s="899">
        <f t="shared" si="1"/>
        <v>3</v>
      </c>
      <c r="H78" s="719"/>
      <c r="I78" s="902"/>
      <c r="J78" s="99"/>
      <c r="K78" s="903"/>
      <c r="L78" s="901"/>
      <c r="M78" s="885"/>
    </row>
    <row r="79" spans="1:13" x14ac:dyDescent="0.25">
      <c r="A79" s="113" t="s">
        <v>374</v>
      </c>
      <c r="B79" s="302" t="s">
        <v>145</v>
      </c>
      <c r="C79" s="93" t="s">
        <v>61</v>
      </c>
      <c r="D79" s="84">
        <v>1</v>
      </c>
      <c r="E79" s="84">
        <f>E52</f>
        <v>0.5</v>
      </c>
      <c r="F79" s="899">
        <f t="shared" si="1"/>
        <v>0.5</v>
      </c>
      <c r="H79" s="719"/>
      <c r="I79" s="902"/>
      <c r="J79" s="99"/>
      <c r="K79" s="903"/>
      <c r="L79" s="901"/>
      <c r="M79" s="885"/>
    </row>
    <row r="80" spans="1:13" ht="12.75" thickBot="1" x14ac:dyDescent="0.3">
      <c r="A80" s="113" t="s">
        <v>375</v>
      </c>
      <c r="B80" s="302" t="s">
        <v>146</v>
      </c>
      <c r="C80" s="93" t="s">
        <v>61</v>
      </c>
      <c r="D80" s="84">
        <v>8</v>
      </c>
      <c r="E80" s="756">
        <f>E53</f>
        <v>14.6</v>
      </c>
      <c r="F80" s="900">
        <f t="shared" si="1"/>
        <v>116.8</v>
      </c>
      <c r="H80" s="719"/>
      <c r="I80" s="902"/>
      <c r="J80" s="99"/>
      <c r="K80" s="903"/>
      <c r="L80" s="901"/>
      <c r="M80" s="885"/>
    </row>
    <row r="81" spans="1:13" ht="12.75" customHeight="1" thickBot="1" x14ac:dyDescent="0.3">
      <c r="A81" s="1737" t="s">
        <v>334</v>
      </c>
      <c r="B81" s="1738"/>
      <c r="C81" s="1738"/>
      <c r="D81" s="1738"/>
      <c r="E81" s="1738"/>
      <c r="F81" s="109">
        <f>SUM(F59:F80)</f>
        <v>441.08749999999981</v>
      </c>
      <c r="H81" s="95"/>
      <c r="I81" s="95"/>
      <c r="J81" s="95"/>
      <c r="K81" s="95"/>
      <c r="L81" s="901"/>
      <c r="M81" s="885"/>
    </row>
    <row r="82" spans="1:13" ht="12.75" thickBot="1" x14ac:dyDescent="0.3">
      <c r="D82" s="9"/>
      <c r="E82" s="9"/>
      <c r="F82" s="9"/>
      <c r="H82" s="95"/>
      <c r="I82" s="95"/>
      <c r="J82" s="95"/>
      <c r="K82" s="95"/>
      <c r="L82" s="901"/>
      <c r="M82" s="885"/>
    </row>
    <row r="83" spans="1:13" ht="12.75" thickBot="1" x14ac:dyDescent="0.3">
      <c r="A83" s="112" t="s">
        <v>101</v>
      </c>
      <c r="B83" s="1748" t="s">
        <v>378</v>
      </c>
      <c r="C83" s="1735"/>
      <c r="D83" s="1735"/>
      <c r="E83" s="1735"/>
      <c r="F83" s="1736"/>
      <c r="H83" s="95"/>
      <c r="I83" s="95"/>
      <c r="J83" s="95"/>
      <c r="K83" s="95"/>
      <c r="L83" s="901"/>
      <c r="M83" s="885"/>
    </row>
    <row r="84" spans="1:13" x14ac:dyDescent="0.25">
      <c r="A84" s="117" t="s">
        <v>83</v>
      </c>
      <c r="B84" s="115" t="s">
        <v>103</v>
      </c>
      <c r="C84" s="107" t="s">
        <v>104</v>
      </c>
      <c r="D84" s="127">
        <f>5*4</f>
        <v>20</v>
      </c>
      <c r="E84" s="893">
        <v>3.14</v>
      </c>
      <c r="F84" s="894">
        <f t="shared" ref="F84:F104" si="2">D84*E84</f>
        <v>62.800000000000004</v>
      </c>
      <c r="H84" s="95"/>
      <c r="I84" s="904"/>
      <c r="J84" s="99"/>
      <c r="K84" s="903"/>
      <c r="L84" s="901"/>
      <c r="M84" s="885"/>
    </row>
    <row r="85" spans="1:13" x14ac:dyDescent="0.25">
      <c r="A85" s="118" t="s">
        <v>84</v>
      </c>
      <c r="B85" s="116" t="s">
        <v>105</v>
      </c>
      <c r="C85" s="93" t="s">
        <v>106</v>
      </c>
      <c r="D85" s="84">
        <f>((70*2*22)/20)</f>
        <v>154</v>
      </c>
      <c r="E85" s="895">
        <v>8.5</v>
      </c>
      <c r="F85" s="896">
        <f t="shared" si="2"/>
        <v>1309</v>
      </c>
      <c r="H85" s="95"/>
      <c r="I85" s="904"/>
      <c r="J85" s="99"/>
      <c r="K85" s="903"/>
      <c r="L85" s="901"/>
      <c r="M85" s="885"/>
    </row>
    <row r="86" spans="1:13" x14ac:dyDescent="0.25">
      <c r="A86" s="118" t="s">
        <v>257</v>
      </c>
      <c r="B86" s="116" t="s">
        <v>107</v>
      </c>
      <c r="C86" s="93" t="s">
        <v>102</v>
      </c>
      <c r="D86" s="84">
        <f>4*4</f>
        <v>16</v>
      </c>
      <c r="E86" s="895">
        <v>2.5299999999999998</v>
      </c>
      <c r="F86" s="896">
        <f t="shared" si="2"/>
        <v>40.479999999999997</v>
      </c>
      <c r="H86" s="95"/>
      <c r="I86" s="904"/>
      <c r="J86" s="99"/>
      <c r="K86" s="903"/>
      <c r="L86" s="901"/>
      <c r="M86" s="885"/>
    </row>
    <row r="87" spans="1:13" x14ac:dyDescent="0.25">
      <c r="A87" s="118" t="s">
        <v>258</v>
      </c>
      <c r="B87" s="116" t="s">
        <v>108</v>
      </c>
      <c r="C87" s="93" t="s">
        <v>104</v>
      </c>
      <c r="D87" s="84">
        <f>4*4</f>
        <v>16</v>
      </c>
      <c r="E87" s="895">
        <v>17.899999999999999</v>
      </c>
      <c r="F87" s="896">
        <f t="shared" si="2"/>
        <v>286.39999999999998</v>
      </c>
      <c r="H87" s="95"/>
      <c r="I87" s="904"/>
      <c r="J87" s="99"/>
      <c r="K87" s="903"/>
      <c r="L87" s="901"/>
      <c r="M87" s="885"/>
    </row>
    <row r="88" spans="1:13" x14ac:dyDescent="0.25">
      <c r="A88" s="118" t="s">
        <v>316</v>
      </c>
      <c r="B88" s="116" t="s">
        <v>115</v>
      </c>
      <c r="C88" s="93" t="s">
        <v>102</v>
      </c>
      <c r="D88" s="84">
        <f>1*4</f>
        <v>4</v>
      </c>
      <c r="E88" s="895">
        <v>3.84</v>
      </c>
      <c r="F88" s="896">
        <f t="shared" si="2"/>
        <v>15.36</v>
      </c>
      <c r="H88" s="95"/>
      <c r="I88" s="904"/>
      <c r="J88" s="99"/>
      <c r="K88" s="903"/>
      <c r="L88" s="901"/>
      <c r="M88" s="885"/>
    </row>
    <row r="89" spans="1:13" x14ac:dyDescent="0.25">
      <c r="A89" s="118" t="s">
        <v>376</v>
      </c>
      <c r="B89" s="116" t="s">
        <v>351</v>
      </c>
      <c r="C89" s="10" t="s">
        <v>61</v>
      </c>
      <c r="D89" s="84">
        <v>40</v>
      </c>
      <c r="E89" s="895">
        <v>2.85</v>
      </c>
      <c r="F89" s="896">
        <f t="shared" si="2"/>
        <v>114</v>
      </c>
      <c r="H89" s="95"/>
      <c r="I89" s="904"/>
      <c r="J89" s="99"/>
      <c r="K89" s="903"/>
      <c r="L89" s="901"/>
      <c r="M89" s="885"/>
    </row>
    <row r="90" spans="1:13" x14ac:dyDescent="0.25">
      <c r="A90" s="118" t="s">
        <v>377</v>
      </c>
      <c r="B90" s="116" t="s">
        <v>352</v>
      </c>
      <c r="C90" s="10" t="s">
        <v>61</v>
      </c>
      <c r="D90" s="84">
        <v>40</v>
      </c>
      <c r="E90" s="895">
        <v>1.42</v>
      </c>
      <c r="F90" s="896">
        <f t="shared" si="2"/>
        <v>56.8</v>
      </c>
      <c r="H90" s="95"/>
      <c r="I90" s="904"/>
      <c r="J90" s="99"/>
      <c r="K90" s="903"/>
      <c r="L90" s="901"/>
      <c r="M90" s="885"/>
    </row>
    <row r="91" spans="1:13" x14ac:dyDescent="0.25">
      <c r="A91" s="118" t="s">
        <v>379</v>
      </c>
      <c r="B91" s="116" t="s">
        <v>119</v>
      </c>
      <c r="C91" s="93" t="s">
        <v>102</v>
      </c>
      <c r="D91" s="84">
        <f>2*4</f>
        <v>8</v>
      </c>
      <c r="E91" s="895">
        <v>1.73</v>
      </c>
      <c r="F91" s="896">
        <f t="shared" si="2"/>
        <v>13.84</v>
      </c>
      <c r="H91" s="95"/>
      <c r="I91" s="904"/>
      <c r="J91" s="99"/>
      <c r="K91" s="903"/>
      <c r="L91" s="901"/>
      <c r="M91" s="885"/>
    </row>
    <row r="92" spans="1:13" x14ac:dyDescent="0.25">
      <c r="A92" s="118" t="s">
        <v>380</v>
      </c>
      <c r="B92" s="116" t="s">
        <v>120</v>
      </c>
      <c r="C92" s="93" t="s">
        <v>102</v>
      </c>
      <c r="D92" s="84">
        <f>2*4</f>
        <v>8</v>
      </c>
      <c r="E92" s="895">
        <v>4.7300000000000004</v>
      </c>
      <c r="F92" s="896">
        <f t="shared" si="2"/>
        <v>37.840000000000003</v>
      </c>
      <c r="H92" s="95"/>
      <c r="I92" s="904"/>
      <c r="J92" s="99"/>
      <c r="K92" s="903"/>
      <c r="L92" s="901"/>
      <c r="M92" s="885"/>
    </row>
    <row r="93" spans="1:13" x14ac:dyDescent="0.25">
      <c r="A93" s="118" t="s">
        <v>381</v>
      </c>
      <c r="B93" s="116" t="s">
        <v>121</v>
      </c>
      <c r="C93" s="93" t="s">
        <v>102</v>
      </c>
      <c r="D93" s="84">
        <f>2*4</f>
        <v>8</v>
      </c>
      <c r="E93" s="895">
        <v>1.54</v>
      </c>
      <c r="F93" s="896">
        <f t="shared" si="2"/>
        <v>12.32</v>
      </c>
      <c r="H93" s="95"/>
      <c r="I93" s="904"/>
      <c r="J93" s="99"/>
      <c r="K93" s="903"/>
      <c r="L93" s="901"/>
      <c r="M93" s="885"/>
    </row>
    <row r="94" spans="1:13" x14ac:dyDescent="0.25">
      <c r="A94" s="118" t="s">
        <v>382</v>
      </c>
      <c r="B94" s="116" t="s">
        <v>126</v>
      </c>
      <c r="C94" s="93" t="s">
        <v>102</v>
      </c>
      <c r="D94" s="84">
        <f>2*4</f>
        <v>8</v>
      </c>
      <c r="E94" s="895">
        <v>0.9</v>
      </c>
      <c r="F94" s="896">
        <f t="shared" si="2"/>
        <v>7.2</v>
      </c>
      <c r="H94" s="95"/>
      <c r="I94" s="904"/>
      <c r="J94" s="99"/>
      <c r="K94" s="903"/>
      <c r="L94" s="901"/>
      <c r="M94" s="885"/>
    </row>
    <row r="95" spans="1:13" x14ac:dyDescent="0.25">
      <c r="A95" s="118" t="s">
        <v>383</v>
      </c>
      <c r="B95" s="116" t="s">
        <v>131</v>
      </c>
      <c r="C95" s="93" t="s">
        <v>102</v>
      </c>
      <c r="D95" s="84">
        <v>10</v>
      </c>
      <c r="E95" s="895">
        <v>0.74</v>
      </c>
      <c r="F95" s="896">
        <f t="shared" si="2"/>
        <v>7.4</v>
      </c>
      <c r="H95" s="95"/>
      <c r="I95" s="904"/>
      <c r="J95" s="99"/>
      <c r="K95" s="903"/>
      <c r="L95" s="901"/>
      <c r="M95" s="885"/>
    </row>
    <row r="96" spans="1:13" x14ac:dyDescent="0.25">
      <c r="A96" s="118" t="s">
        <v>384</v>
      </c>
      <c r="B96" s="116" t="s">
        <v>138</v>
      </c>
      <c r="C96" s="93" t="s">
        <v>102</v>
      </c>
      <c r="D96" s="84">
        <v>2</v>
      </c>
      <c r="E96" s="895">
        <v>1.99</v>
      </c>
      <c r="F96" s="896">
        <f t="shared" si="2"/>
        <v>3.98</v>
      </c>
      <c r="H96" s="95"/>
      <c r="I96" s="904"/>
      <c r="J96" s="99"/>
      <c r="K96" s="903"/>
      <c r="L96" s="901"/>
      <c r="M96" s="885"/>
    </row>
    <row r="97" spans="1:13" x14ac:dyDescent="0.25">
      <c r="A97" s="118" t="s">
        <v>385</v>
      </c>
      <c r="B97" s="116" t="s">
        <v>139</v>
      </c>
      <c r="C97" s="93" t="s">
        <v>102</v>
      </c>
      <c r="D97" s="84">
        <v>8</v>
      </c>
      <c r="E97" s="895">
        <v>1.99</v>
      </c>
      <c r="F97" s="896">
        <f t="shared" si="2"/>
        <v>15.92</v>
      </c>
      <c r="H97" s="95"/>
      <c r="I97" s="904"/>
      <c r="J97" s="99"/>
      <c r="K97" s="903"/>
      <c r="L97" s="901"/>
      <c r="M97" s="885"/>
    </row>
    <row r="98" spans="1:13" x14ac:dyDescent="0.25">
      <c r="A98" s="118" t="s">
        <v>386</v>
      </c>
      <c r="B98" s="116" t="s">
        <v>140</v>
      </c>
      <c r="C98" s="93" t="s">
        <v>141</v>
      </c>
      <c r="D98" s="84">
        <v>6</v>
      </c>
      <c r="E98" s="895">
        <v>2.89</v>
      </c>
      <c r="F98" s="896">
        <f t="shared" si="2"/>
        <v>17.34</v>
      </c>
      <c r="H98" s="95"/>
      <c r="I98" s="904"/>
      <c r="J98" s="99"/>
      <c r="K98" s="903"/>
      <c r="L98" s="901"/>
      <c r="M98" s="885"/>
    </row>
    <row r="99" spans="1:13" x14ac:dyDescent="0.25">
      <c r="A99" s="118" t="s">
        <v>387</v>
      </c>
      <c r="B99" s="116" t="s">
        <v>142</v>
      </c>
      <c r="C99" s="93" t="s">
        <v>102</v>
      </c>
      <c r="D99" s="84">
        <v>5</v>
      </c>
      <c r="E99" s="895">
        <v>1.29</v>
      </c>
      <c r="F99" s="896">
        <f t="shared" si="2"/>
        <v>6.45</v>
      </c>
      <c r="H99" s="95"/>
      <c r="I99" s="904"/>
      <c r="J99" s="99"/>
      <c r="K99" s="903"/>
      <c r="L99" s="901"/>
      <c r="M99" s="885"/>
    </row>
    <row r="100" spans="1:13" x14ac:dyDescent="0.25">
      <c r="A100" s="118" t="s">
        <v>388</v>
      </c>
      <c r="B100" s="116" t="s">
        <v>148</v>
      </c>
      <c r="C100" s="93" t="s">
        <v>141</v>
      </c>
      <c r="D100" s="84">
        <f>30*4</f>
        <v>120</v>
      </c>
      <c r="E100" s="895">
        <v>2.99</v>
      </c>
      <c r="F100" s="896">
        <f t="shared" si="2"/>
        <v>358.8</v>
      </c>
      <c r="H100" s="95"/>
      <c r="I100" s="904"/>
      <c r="J100" s="99"/>
      <c r="K100" s="903"/>
      <c r="L100" s="901"/>
      <c r="M100" s="885"/>
    </row>
    <row r="101" spans="1:13" x14ac:dyDescent="0.25">
      <c r="A101" s="118" t="s">
        <v>389</v>
      </c>
      <c r="B101" s="116" t="s">
        <v>149</v>
      </c>
      <c r="C101" s="93" t="s">
        <v>102</v>
      </c>
      <c r="D101" s="84">
        <f>2*4</f>
        <v>8</v>
      </c>
      <c r="E101" s="895">
        <v>4.9800000000000004</v>
      </c>
      <c r="F101" s="896">
        <f t="shared" si="2"/>
        <v>39.840000000000003</v>
      </c>
      <c r="H101" s="95"/>
      <c r="I101" s="904"/>
      <c r="J101" s="99"/>
      <c r="K101" s="903"/>
      <c r="L101" s="901"/>
      <c r="M101" s="885"/>
    </row>
    <row r="102" spans="1:13" x14ac:dyDescent="0.25">
      <c r="A102" s="118" t="s">
        <v>390</v>
      </c>
      <c r="B102" s="116" t="s">
        <v>150</v>
      </c>
      <c r="C102" s="93" t="s">
        <v>102</v>
      </c>
      <c r="D102" s="84">
        <v>5</v>
      </c>
      <c r="E102" s="895">
        <v>3.45</v>
      </c>
      <c r="F102" s="896">
        <f t="shared" si="2"/>
        <v>17.25</v>
      </c>
      <c r="H102" s="95"/>
      <c r="I102" s="904"/>
      <c r="J102" s="99"/>
      <c r="K102" s="903"/>
      <c r="L102" s="901"/>
      <c r="M102" s="885"/>
    </row>
    <row r="103" spans="1:13" x14ac:dyDescent="0.25">
      <c r="A103" s="118" t="s">
        <v>391</v>
      </c>
      <c r="B103" s="116" t="s">
        <v>151</v>
      </c>
      <c r="C103" s="93" t="s">
        <v>102</v>
      </c>
      <c r="D103" s="84">
        <v>3</v>
      </c>
      <c r="E103" s="895">
        <v>3.99</v>
      </c>
      <c r="F103" s="896">
        <f t="shared" si="2"/>
        <v>11.97</v>
      </c>
      <c r="H103" s="95"/>
      <c r="I103" s="904"/>
      <c r="J103" s="99"/>
      <c r="K103" s="903"/>
      <c r="L103" s="901"/>
      <c r="M103" s="885"/>
    </row>
    <row r="104" spans="1:13" ht="12.75" thickBot="1" x14ac:dyDescent="0.3">
      <c r="A104" s="119" t="s">
        <v>392</v>
      </c>
      <c r="B104" s="116" t="s">
        <v>152</v>
      </c>
      <c r="C104" s="93" t="s">
        <v>102</v>
      </c>
      <c r="D104" s="84">
        <v>10</v>
      </c>
      <c r="E104" s="897">
        <v>0.94</v>
      </c>
      <c r="F104" s="898">
        <f t="shared" si="2"/>
        <v>9.3999999999999986</v>
      </c>
      <c r="H104" s="95"/>
      <c r="I104" s="904"/>
      <c r="J104" s="99"/>
      <c r="K104" s="903"/>
      <c r="L104" s="901"/>
      <c r="M104" s="885"/>
    </row>
    <row r="105" spans="1:13" ht="12.75" thickBot="1" x14ac:dyDescent="0.3">
      <c r="A105" s="1737" t="s">
        <v>334</v>
      </c>
      <c r="B105" s="1738"/>
      <c r="C105" s="1738"/>
      <c r="D105" s="1738"/>
      <c r="E105" s="1738"/>
      <c r="F105" s="111">
        <f>SUM(F84:F104)</f>
        <v>2444.39</v>
      </c>
      <c r="H105" s="95"/>
      <c r="I105" s="95"/>
      <c r="J105" s="95"/>
      <c r="K105" s="95"/>
      <c r="L105" s="901"/>
      <c r="M105" s="885"/>
    </row>
    <row r="106" spans="1:13" ht="12.75" thickBot="1" x14ac:dyDescent="0.3">
      <c r="A106" s="120"/>
      <c r="B106" s="120"/>
      <c r="C106" s="120"/>
      <c r="D106" s="272"/>
      <c r="E106" s="272"/>
      <c r="F106" s="121"/>
      <c r="H106" s="95"/>
      <c r="I106" s="95"/>
      <c r="J106" s="95"/>
      <c r="K106" s="95"/>
      <c r="L106" s="901"/>
      <c r="M106" s="885"/>
    </row>
    <row r="107" spans="1:13" ht="12.75" thickBot="1" x14ac:dyDescent="0.3">
      <c r="A107" s="114" t="s">
        <v>260</v>
      </c>
      <c r="B107" s="1755" t="s">
        <v>872</v>
      </c>
      <c r="C107" s="1756"/>
      <c r="D107" s="1756"/>
      <c r="E107" s="1756"/>
      <c r="F107" s="1757"/>
      <c r="H107" s="95"/>
      <c r="I107" s="95"/>
      <c r="J107" s="95"/>
      <c r="K107" s="95"/>
      <c r="L107" s="901"/>
      <c r="M107" s="885"/>
    </row>
    <row r="108" spans="1:13" x14ac:dyDescent="0.25">
      <c r="A108" s="117" t="s">
        <v>85</v>
      </c>
      <c r="B108" s="115" t="s">
        <v>103</v>
      </c>
      <c r="C108" s="107" t="s">
        <v>104</v>
      </c>
      <c r="D108" s="127">
        <v>5</v>
      </c>
      <c r="E108" s="127">
        <f>E84</f>
        <v>3.14</v>
      </c>
      <c r="F108" s="894">
        <f t="shared" ref="F108:F128" si="3">D108*E108</f>
        <v>15.700000000000001</v>
      </c>
      <c r="H108" s="95"/>
      <c r="I108" s="904"/>
      <c r="J108" s="99"/>
      <c r="K108" s="903"/>
      <c r="L108" s="901"/>
      <c r="M108" s="885"/>
    </row>
    <row r="109" spans="1:13" x14ac:dyDescent="0.25">
      <c r="A109" s="118" t="s">
        <v>86</v>
      </c>
      <c r="B109" s="116" t="s">
        <v>105</v>
      </c>
      <c r="C109" s="93" t="s">
        <v>106</v>
      </c>
      <c r="D109" s="84">
        <v>5</v>
      </c>
      <c r="E109" s="84">
        <f t="shared" ref="E109:E128" si="4">E85</f>
        <v>8.5</v>
      </c>
      <c r="F109" s="896">
        <f t="shared" si="3"/>
        <v>42.5</v>
      </c>
      <c r="H109" s="95"/>
      <c r="I109" s="904"/>
      <c r="J109" s="99"/>
      <c r="K109" s="903"/>
      <c r="L109" s="901"/>
      <c r="M109" s="885"/>
    </row>
    <row r="110" spans="1:13" x14ac:dyDescent="0.25">
      <c r="A110" s="118" t="s">
        <v>261</v>
      </c>
      <c r="B110" s="116" t="s">
        <v>107</v>
      </c>
      <c r="C110" s="93" t="s">
        <v>102</v>
      </c>
      <c r="D110" s="84">
        <v>1</v>
      </c>
      <c r="E110" s="84">
        <f t="shared" si="4"/>
        <v>2.5299999999999998</v>
      </c>
      <c r="F110" s="896">
        <f t="shared" si="3"/>
        <v>2.5299999999999998</v>
      </c>
      <c r="H110" s="95"/>
      <c r="I110" s="904"/>
      <c r="J110" s="99"/>
      <c r="K110" s="903"/>
      <c r="L110" s="901"/>
      <c r="M110" s="885"/>
    </row>
    <row r="111" spans="1:13" x14ac:dyDescent="0.25">
      <c r="A111" s="118" t="s">
        <v>262</v>
      </c>
      <c r="B111" s="116" t="s">
        <v>108</v>
      </c>
      <c r="C111" s="93" t="s">
        <v>104</v>
      </c>
      <c r="D111" s="84">
        <v>4</v>
      </c>
      <c r="E111" s="84">
        <f t="shared" si="4"/>
        <v>17.899999999999999</v>
      </c>
      <c r="F111" s="896">
        <f t="shared" si="3"/>
        <v>71.599999999999994</v>
      </c>
      <c r="H111" s="95"/>
      <c r="I111" s="904"/>
      <c r="J111" s="99"/>
      <c r="K111" s="903"/>
      <c r="L111" s="901"/>
      <c r="M111" s="885"/>
    </row>
    <row r="112" spans="1:13" x14ac:dyDescent="0.25">
      <c r="A112" s="118" t="s">
        <v>263</v>
      </c>
      <c r="B112" s="116" t="s">
        <v>115</v>
      </c>
      <c r="C112" s="93" t="s">
        <v>102</v>
      </c>
      <c r="D112" s="84">
        <v>1</v>
      </c>
      <c r="E112" s="84">
        <f t="shared" si="4"/>
        <v>3.84</v>
      </c>
      <c r="F112" s="896">
        <f t="shared" si="3"/>
        <v>3.84</v>
      </c>
      <c r="H112" s="95"/>
      <c r="I112" s="904"/>
      <c r="J112" s="99"/>
      <c r="K112" s="903"/>
      <c r="L112" s="901"/>
      <c r="M112" s="885"/>
    </row>
    <row r="113" spans="1:13" x14ac:dyDescent="0.25">
      <c r="A113" s="118" t="s">
        <v>393</v>
      </c>
      <c r="B113" s="116" t="s">
        <v>351</v>
      </c>
      <c r="C113" s="10" t="s">
        <v>61</v>
      </c>
      <c r="D113" s="84">
        <v>2</v>
      </c>
      <c r="E113" s="84">
        <f t="shared" si="4"/>
        <v>2.85</v>
      </c>
      <c r="F113" s="896">
        <f t="shared" si="3"/>
        <v>5.7</v>
      </c>
      <c r="H113" s="95"/>
      <c r="I113" s="904"/>
      <c r="J113" s="99"/>
      <c r="K113" s="903"/>
      <c r="L113" s="901"/>
      <c r="M113" s="885"/>
    </row>
    <row r="114" spans="1:13" x14ac:dyDescent="0.25">
      <c r="A114" s="118" t="s">
        <v>394</v>
      </c>
      <c r="B114" s="116" t="s">
        <v>352</v>
      </c>
      <c r="C114" s="10" t="s">
        <v>61</v>
      </c>
      <c r="D114" s="84">
        <v>2</v>
      </c>
      <c r="E114" s="84">
        <f t="shared" si="4"/>
        <v>1.42</v>
      </c>
      <c r="F114" s="896">
        <f t="shared" si="3"/>
        <v>2.84</v>
      </c>
      <c r="H114" s="95"/>
      <c r="I114" s="904"/>
      <c r="J114" s="99"/>
      <c r="K114" s="903"/>
      <c r="L114" s="901"/>
      <c r="M114" s="885"/>
    </row>
    <row r="115" spans="1:13" x14ac:dyDescent="0.25">
      <c r="A115" s="118" t="s">
        <v>395</v>
      </c>
      <c r="B115" s="116" t="s">
        <v>409</v>
      </c>
      <c r="C115" s="93" t="s">
        <v>102</v>
      </c>
      <c r="D115" s="84">
        <v>2</v>
      </c>
      <c r="E115" s="84">
        <f t="shared" si="4"/>
        <v>1.73</v>
      </c>
      <c r="F115" s="896">
        <f t="shared" si="3"/>
        <v>3.46</v>
      </c>
      <c r="H115" s="95"/>
      <c r="I115" s="904"/>
      <c r="J115" s="99"/>
      <c r="K115" s="903"/>
      <c r="L115" s="901"/>
      <c r="M115" s="885"/>
    </row>
    <row r="116" spans="1:13" x14ac:dyDescent="0.25">
      <c r="A116" s="118" t="s">
        <v>396</v>
      </c>
      <c r="B116" s="116" t="s">
        <v>120</v>
      </c>
      <c r="C116" s="93" t="s">
        <v>102</v>
      </c>
      <c r="D116" s="84">
        <v>2</v>
      </c>
      <c r="E116" s="84">
        <f t="shared" si="4"/>
        <v>4.7300000000000004</v>
      </c>
      <c r="F116" s="896">
        <f t="shared" si="3"/>
        <v>9.4600000000000009</v>
      </c>
      <c r="H116" s="95"/>
      <c r="I116" s="904"/>
      <c r="J116" s="99"/>
      <c r="K116" s="903"/>
      <c r="L116" s="901"/>
      <c r="M116" s="885"/>
    </row>
    <row r="117" spans="1:13" x14ac:dyDescent="0.25">
      <c r="A117" s="118" t="s">
        <v>397</v>
      </c>
      <c r="B117" s="116" t="s">
        <v>121</v>
      </c>
      <c r="C117" s="93" t="s">
        <v>102</v>
      </c>
      <c r="D117" s="84">
        <v>2</v>
      </c>
      <c r="E117" s="84">
        <f t="shared" si="4"/>
        <v>1.54</v>
      </c>
      <c r="F117" s="896">
        <f t="shared" si="3"/>
        <v>3.08</v>
      </c>
      <c r="H117" s="95"/>
      <c r="I117" s="904"/>
      <c r="J117" s="99"/>
      <c r="K117" s="903"/>
      <c r="L117" s="901"/>
      <c r="M117" s="885"/>
    </row>
    <row r="118" spans="1:13" x14ac:dyDescent="0.25">
      <c r="A118" s="118" t="s">
        <v>398</v>
      </c>
      <c r="B118" s="116" t="s">
        <v>126</v>
      </c>
      <c r="C118" s="93" t="s">
        <v>102</v>
      </c>
      <c r="D118" s="84">
        <v>1</v>
      </c>
      <c r="E118" s="84">
        <f t="shared" si="4"/>
        <v>0.9</v>
      </c>
      <c r="F118" s="896">
        <f t="shared" si="3"/>
        <v>0.9</v>
      </c>
      <c r="H118" s="95"/>
      <c r="I118" s="904"/>
      <c r="J118" s="99"/>
      <c r="K118" s="903"/>
      <c r="L118" s="901"/>
      <c r="M118" s="885"/>
    </row>
    <row r="119" spans="1:13" x14ac:dyDescent="0.25">
      <c r="A119" s="118" t="s">
        <v>399</v>
      </c>
      <c r="B119" s="116" t="s">
        <v>131</v>
      </c>
      <c r="C119" s="93" t="s">
        <v>102</v>
      </c>
      <c r="D119" s="84">
        <v>2</v>
      </c>
      <c r="E119" s="84">
        <f t="shared" si="4"/>
        <v>0.74</v>
      </c>
      <c r="F119" s="896">
        <f t="shared" si="3"/>
        <v>1.48</v>
      </c>
      <c r="H119" s="95"/>
      <c r="I119" s="904"/>
      <c r="J119" s="99"/>
      <c r="K119" s="903"/>
      <c r="L119" s="901"/>
      <c r="M119" s="885"/>
    </row>
    <row r="120" spans="1:13" x14ac:dyDescent="0.25">
      <c r="A120" s="118" t="s">
        <v>400</v>
      </c>
      <c r="B120" s="116" t="s">
        <v>138</v>
      </c>
      <c r="C120" s="93" t="s">
        <v>102</v>
      </c>
      <c r="D120" s="84">
        <f>1*4</f>
        <v>4</v>
      </c>
      <c r="E120" s="84">
        <f t="shared" si="4"/>
        <v>1.99</v>
      </c>
      <c r="F120" s="896">
        <f t="shared" si="3"/>
        <v>7.96</v>
      </c>
      <c r="H120" s="95"/>
      <c r="I120" s="904"/>
      <c r="J120" s="99"/>
      <c r="K120" s="903"/>
      <c r="L120" s="901"/>
      <c r="M120" s="885"/>
    </row>
    <row r="121" spans="1:13" x14ac:dyDescent="0.25">
      <c r="A121" s="118" t="s">
        <v>401</v>
      </c>
      <c r="B121" s="116" t="s">
        <v>139</v>
      </c>
      <c r="C121" s="93" t="s">
        <v>102</v>
      </c>
      <c r="D121" s="84">
        <f>1*4</f>
        <v>4</v>
      </c>
      <c r="E121" s="84">
        <f t="shared" si="4"/>
        <v>1.99</v>
      </c>
      <c r="F121" s="896">
        <f t="shared" si="3"/>
        <v>7.96</v>
      </c>
      <c r="H121" s="95"/>
      <c r="I121" s="904"/>
      <c r="J121" s="99"/>
      <c r="K121" s="903"/>
      <c r="L121" s="901"/>
      <c r="M121" s="885"/>
    </row>
    <row r="122" spans="1:13" x14ac:dyDescent="0.25">
      <c r="A122" s="118" t="s">
        <v>402</v>
      </c>
      <c r="B122" s="116" t="s">
        <v>140</v>
      </c>
      <c r="C122" s="93" t="s">
        <v>141</v>
      </c>
      <c r="D122" s="84">
        <v>1</v>
      </c>
      <c r="E122" s="84">
        <f t="shared" si="4"/>
        <v>2.89</v>
      </c>
      <c r="F122" s="896">
        <f t="shared" si="3"/>
        <v>2.89</v>
      </c>
      <c r="H122" s="95"/>
      <c r="I122" s="904"/>
      <c r="J122" s="99"/>
      <c r="K122" s="903"/>
      <c r="L122" s="901"/>
      <c r="M122" s="885"/>
    </row>
    <row r="123" spans="1:13" x14ac:dyDescent="0.25">
      <c r="A123" s="118" t="s">
        <v>403</v>
      </c>
      <c r="B123" s="116" t="s">
        <v>142</v>
      </c>
      <c r="C123" s="93" t="s">
        <v>102</v>
      </c>
      <c r="D123" s="84">
        <v>1</v>
      </c>
      <c r="E123" s="84">
        <f t="shared" si="4"/>
        <v>1.29</v>
      </c>
      <c r="F123" s="896">
        <f t="shared" si="3"/>
        <v>1.29</v>
      </c>
      <c r="H123" s="95"/>
      <c r="I123" s="904"/>
      <c r="J123" s="99"/>
      <c r="K123" s="903"/>
      <c r="L123" s="901"/>
      <c r="M123" s="885"/>
    </row>
    <row r="124" spans="1:13" x14ac:dyDescent="0.25">
      <c r="A124" s="118" t="s">
        <v>404</v>
      </c>
      <c r="B124" s="116" t="s">
        <v>148</v>
      </c>
      <c r="C124" s="93" t="s">
        <v>141</v>
      </c>
      <c r="D124" s="84">
        <v>8</v>
      </c>
      <c r="E124" s="84">
        <f t="shared" si="4"/>
        <v>2.99</v>
      </c>
      <c r="F124" s="896">
        <f t="shared" si="3"/>
        <v>23.92</v>
      </c>
      <c r="H124" s="95"/>
      <c r="I124" s="904"/>
      <c r="J124" s="99"/>
      <c r="K124" s="903"/>
      <c r="L124" s="901"/>
      <c r="M124" s="885"/>
    </row>
    <row r="125" spans="1:13" x14ac:dyDescent="0.25">
      <c r="A125" s="118" t="s">
        <v>405</v>
      </c>
      <c r="B125" s="116" t="s">
        <v>149</v>
      </c>
      <c r="C125" s="93" t="s">
        <v>102</v>
      </c>
      <c r="D125" s="84">
        <v>1</v>
      </c>
      <c r="E125" s="84">
        <f t="shared" si="4"/>
        <v>4.9800000000000004</v>
      </c>
      <c r="F125" s="896">
        <f t="shared" si="3"/>
        <v>4.9800000000000004</v>
      </c>
      <c r="H125" s="95"/>
      <c r="I125" s="904"/>
      <c r="J125" s="99"/>
      <c r="K125" s="903"/>
      <c r="L125" s="901"/>
      <c r="M125" s="885"/>
    </row>
    <row r="126" spans="1:13" x14ac:dyDescent="0.25">
      <c r="A126" s="118" t="s">
        <v>406</v>
      </c>
      <c r="B126" s="116" t="s">
        <v>150</v>
      </c>
      <c r="C126" s="93" t="s">
        <v>102</v>
      </c>
      <c r="D126" s="84">
        <v>1</v>
      </c>
      <c r="E126" s="84">
        <f t="shared" si="4"/>
        <v>3.45</v>
      </c>
      <c r="F126" s="896">
        <f t="shared" si="3"/>
        <v>3.45</v>
      </c>
      <c r="H126" s="95"/>
      <c r="I126" s="904"/>
      <c r="J126" s="99"/>
      <c r="K126" s="903"/>
      <c r="L126" s="901"/>
      <c r="M126" s="885"/>
    </row>
    <row r="127" spans="1:13" x14ac:dyDescent="0.25">
      <c r="A127" s="118" t="s">
        <v>407</v>
      </c>
      <c r="B127" s="116" t="s">
        <v>151</v>
      </c>
      <c r="C127" s="93" t="s">
        <v>102</v>
      </c>
      <c r="D127" s="84">
        <v>1</v>
      </c>
      <c r="E127" s="84">
        <f t="shared" si="4"/>
        <v>3.99</v>
      </c>
      <c r="F127" s="896">
        <f t="shared" si="3"/>
        <v>3.99</v>
      </c>
      <c r="H127" s="95"/>
      <c r="I127" s="904"/>
      <c r="J127" s="99"/>
      <c r="K127" s="903"/>
      <c r="L127" s="901"/>
      <c r="M127" s="885"/>
    </row>
    <row r="128" spans="1:13" ht="12.75" thickBot="1" x14ac:dyDescent="0.3">
      <c r="A128" s="119" t="s">
        <v>408</v>
      </c>
      <c r="B128" s="116" t="s">
        <v>152</v>
      </c>
      <c r="C128" s="93" t="s">
        <v>102</v>
      </c>
      <c r="D128" s="84">
        <v>2</v>
      </c>
      <c r="E128" s="756">
        <f t="shared" si="4"/>
        <v>0.94</v>
      </c>
      <c r="F128" s="898">
        <f t="shared" si="3"/>
        <v>1.88</v>
      </c>
      <c r="H128" s="95"/>
      <c r="I128" s="904"/>
      <c r="J128" s="99"/>
      <c r="K128" s="903"/>
      <c r="L128" s="901"/>
      <c r="M128" s="885"/>
    </row>
    <row r="129" spans="1:13" ht="12.75" customHeight="1" thickBot="1" x14ac:dyDescent="0.3">
      <c r="A129" s="1737" t="s">
        <v>334</v>
      </c>
      <c r="B129" s="1738"/>
      <c r="C129" s="1738"/>
      <c r="D129" s="1738"/>
      <c r="E129" s="1738"/>
      <c r="F129" s="111">
        <f>SUM(F108:F128)</f>
        <v>221.41</v>
      </c>
      <c r="H129" s="95"/>
      <c r="I129" s="95"/>
      <c r="J129" s="95"/>
      <c r="K129" s="95"/>
      <c r="L129" s="901"/>
      <c r="M129" s="885"/>
    </row>
    <row r="130" spans="1:13" ht="12.75" thickBot="1" x14ac:dyDescent="0.3">
      <c r="A130" s="120"/>
      <c r="B130" s="120"/>
      <c r="C130" s="120"/>
      <c r="D130" s="272"/>
      <c r="E130" s="272"/>
      <c r="F130" s="121"/>
      <c r="H130" s="95"/>
      <c r="I130" s="95"/>
      <c r="J130" s="95"/>
      <c r="K130" s="95"/>
      <c r="L130" s="901"/>
      <c r="M130" s="885"/>
    </row>
    <row r="131" spans="1:13" ht="12.75" thickBot="1" x14ac:dyDescent="0.3">
      <c r="A131" s="114" t="s">
        <v>265</v>
      </c>
      <c r="B131" s="1748" t="s">
        <v>961</v>
      </c>
      <c r="C131" s="1735"/>
      <c r="D131" s="1735"/>
      <c r="E131" s="1735"/>
      <c r="F131" s="1736"/>
      <c r="H131" s="95"/>
      <c r="I131" s="95"/>
      <c r="J131" s="95"/>
      <c r="K131" s="95"/>
      <c r="L131" s="901"/>
      <c r="M131" s="885"/>
    </row>
    <row r="132" spans="1:13" x14ac:dyDescent="0.25">
      <c r="A132" s="262" t="s">
        <v>266</v>
      </c>
      <c r="B132" s="888" t="s">
        <v>70</v>
      </c>
      <c r="C132" s="12" t="s">
        <v>61</v>
      </c>
      <c r="D132" s="13">
        <f>16/$F$8</f>
        <v>0.88888888888888884</v>
      </c>
      <c r="E132" s="893">
        <v>179.9</v>
      </c>
      <c r="F132" s="894">
        <f t="shared" ref="F132:F143" si="5">D132*E132</f>
        <v>159.9111111111111</v>
      </c>
      <c r="H132" s="95"/>
      <c r="I132" s="904"/>
      <c r="J132" s="96"/>
      <c r="K132" s="903"/>
      <c r="L132" s="901"/>
      <c r="M132" s="885"/>
    </row>
    <row r="133" spans="1:13" x14ac:dyDescent="0.25">
      <c r="A133" s="263" t="s">
        <v>267</v>
      </c>
      <c r="B133" s="265" t="s">
        <v>72</v>
      </c>
      <c r="C133" s="10" t="s">
        <v>61</v>
      </c>
      <c r="D133" s="11">
        <f>16/$F$8</f>
        <v>0.88888888888888884</v>
      </c>
      <c r="E133" s="895">
        <v>142.49</v>
      </c>
      <c r="F133" s="896">
        <f t="shared" si="5"/>
        <v>126.65777777777778</v>
      </c>
      <c r="H133" s="95"/>
      <c r="I133" s="904"/>
      <c r="J133" s="96"/>
      <c r="K133" s="903"/>
      <c r="L133" s="901"/>
      <c r="M133" s="885"/>
    </row>
    <row r="134" spans="1:13" x14ac:dyDescent="0.25">
      <c r="A134" s="263" t="s">
        <v>414</v>
      </c>
      <c r="B134" s="265" t="s">
        <v>73</v>
      </c>
      <c r="C134" s="10" t="s">
        <v>61</v>
      </c>
      <c r="D134" s="11">
        <f>8/$F$8</f>
        <v>0.44444444444444442</v>
      </c>
      <c r="E134" s="895">
        <v>126.97</v>
      </c>
      <c r="F134" s="896">
        <f t="shared" si="5"/>
        <v>56.431111111111107</v>
      </c>
      <c r="H134" s="95"/>
      <c r="I134" s="904"/>
      <c r="J134" s="96"/>
      <c r="K134" s="903"/>
      <c r="L134" s="901"/>
      <c r="M134" s="885"/>
    </row>
    <row r="135" spans="1:13" x14ac:dyDescent="0.25">
      <c r="A135" s="263" t="s">
        <v>415</v>
      </c>
      <c r="B135" s="265" t="s">
        <v>74</v>
      </c>
      <c r="C135" s="10" t="s">
        <v>61</v>
      </c>
      <c r="D135" s="11">
        <f>4/$F$8</f>
        <v>0.22222222222222221</v>
      </c>
      <c r="E135" s="895">
        <v>211.83</v>
      </c>
      <c r="F135" s="896">
        <f t="shared" si="5"/>
        <v>47.073333333333331</v>
      </c>
      <c r="H135" s="95"/>
      <c r="I135" s="904"/>
      <c r="J135" s="96"/>
      <c r="K135" s="903"/>
      <c r="L135" s="901"/>
      <c r="M135" s="885"/>
    </row>
    <row r="136" spans="1:13" x14ac:dyDescent="0.25">
      <c r="A136" s="263" t="s">
        <v>416</v>
      </c>
      <c r="B136" s="265" t="s">
        <v>71</v>
      </c>
      <c r="C136" s="10" t="s">
        <v>61</v>
      </c>
      <c r="D136" s="11">
        <f>1/$F$8</f>
        <v>5.5555555555555552E-2</v>
      </c>
      <c r="E136" s="895">
        <v>432.34</v>
      </c>
      <c r="F136" s="896">
        <f t="shared" si="5"/>
        <v>24.018888888888885</v>
      </c>
      <c r="H136" s="95"/>
      <c r="I136" s="904"/>
      <c r="J136" s="96"/>
      <c r="K136" s="903"/>
      <c r="L136" s="901"/>
      <c r="M136" s="885"/>
    </row>
    <row r="137" spans="1:13" x14ac:dyDescent="0.25">
      <c r="A137" s="263" t="s">
        <v>417</v>
      </c>
      <c r="B137" s="265" t="s">
        <v>75</v>
      </c>
      <c r="C137" s="10" t="s">
        <v>61</v>
      </c>
      <c r="D137" s="11">
        <f>16/$F$8</f>
        <v>0.88888888888888884</v>
      </c>
      <c r="E137" s="895">
        <v>139.91999999999999</v>
      </c>
      <c r="F137" s="896">
        <f t="shared" si="5"/>
        <v>124.37333333333332</v>
      </c>
      <c r="H137" s="95"/>
      <c r="I137" s="904"/>
      <c r="J137" s="96"/>
      <c r="K137" s="903"/>
      <c r="L137" s="901"/>
      <c r="M137" s="885"/>
    </row>
    <row r="138" spans="1:13" ht="24" x14ac:dyDescent="0.25">
      <c r="A138" s="263" t="s">
        <v>418</v>
      </c>
      <c r="B138" s="265" t="s">
        <v>78</v>
      </c>
      <c r="C138" s="10" t="s">
        <v>61</v>
      </c>
      <c r="D138" s="11">
        <f>8/$F$8</f>
        <v>0.44444444444444442</v>
      </c>
      <c r="E138" s="895">
        <v>189.99</v>
      </c>
      <c r="F138" s="896">
        <f t="shared" si="5"/>
        <v>84.44</v>
      </c>
      <c r="H138" s="95"/>
      <c r="I138" s="904"/>
      <c r="J138" s="96"/>
      <c r="K138" s="903"/>
      <c r="L138" s="901"/>
      <c r="M138" s="885"/>
    </row>
    <row r="139" spans="1:13" x14ac:dyDescent="0.25">
      <c r="A139" s="924" t="s">
        <v>419</v>
      </c>
      <c r="B139" s="265" t="s">
        <v>718</v>
      </c>
      <c r="C139" s="10" t="s">
        <v>61</v>
      </c>
      <c r="D139" s="11">
        <f>1/$F$8</f>
        <v>5.5555555555555552E-2</v>
      </c>
      <c r="E139" s="923">
        <v>3040.17</v>
      </c>
      <c r="F139" s="1780">
        <f t="shared" si="5"/>
        <v>168.89833333333334</v>
      </c>
      <c r="H139" s="95"/>
      <c r="I139" s="904"/>
      <c r="J139" s="96"/>
      <c r="K139" s="903"/>
      <c r="L139" s="901"/>
      <c r="M139" s="885"/>
    </row>
    <row r="140" spans="1:13" x14ac:dyDescent="0.25">
      <c r="A140" s="924" t="s">
        <v>420</v>
      </c>
      <c r="B140" s="265" t="s">
        <v>76</v>
      </c>
      <c r="C140" s="10" t="s">
        <v>61</v>
      </c>
      <c r="D140" s="11">
        <f>1/$F$8</f>
        <v>5.5555555555555552E-2</v>
      </c>
      <c r="E140" s="923">
        <v>1090.5999999999999</v>
      </c>
      <c r="F140" s="1780">
        <f t="shared" si="5"/>
        <v>60.588888888888881</v>
      </c>
      <c r="H140" s="95"/>
      <c r="I140" s="904"/>
      <c r="J140" s="96"/>
      <c r="K140" s="903"/>
      <c r="L140" s="901"/>
      <c r="M140" s="885"/>
    </row>
    <row r="141" spans="1:13" x14ac:dyDescent="0.25">
      <c r="A141" s="924" t="s">
        <v>421</v>
      </c>
      <c r="B141" s="265" t="s">
        <v>77</v>
      </c>
      <c r="C141" s="10" t="s">
        <v>61</v>
      </c>
      <c r="D141" s="11">
        <f>1/$F$8</f>
        <v>5.5555555555555552E-2</v>
      </c>
      <c r="E141" s="923">
        <v>86.3</v>
      </c>
      <c r="F141" s="1780">
        <f t="shared" si="5"/>
        <v>4.7944444444444443</v>
      </c>
      <c r="H141" s="95"/>
      <c r="I141" s="904"/>
      <c r="J141" s="96"/>
      <c r="K141" s="903"/>
      <c r="L141" s="901"/>
      <c r="M141" s="885"/>
    </row>
    <row r="142" spans="1:13" x14ac:dyDescent="0.25">
      <c r="A142" s="924" t="s">
        <v>422</v>
      </c>
      <c r="B142" s="265" t="s">
        <v>79</v>
      </c>
      <c r="C142" s="10" t="s">
        <v>61</v>
      </c>
      <c r="D142" s="11">
        <f>1/$F$8</f>
        <v>5.5555555555555552E-2</v>
      </c>
      <c r="E142" s="923">
        <v>43.9</v>
      </c>
      <c r="F142" s="1780">
        <f t="shared" si="5"/>
        <v>2.4388888888888887</v>
      </c>
      <c r="H142" s="95"/>
      <c r="I142" s="904"/>
      <c r="J142" s="96"/>
      <c r="K142" s="903"/>
      <c r="L142" s="901"/>
      <c r="M142" s="885"/>
    </row>
    <row r="143" spans="1:13" x14ac:dyDescent="0.25">
      <c r="A143" s="924" t="s">
        <v>423</v>
      </c>
      <c r="B143" s="265" t="s">
        <v>98</v>
      </c>
      <c r="C143" s="10" t="s">
        <v>61</v>
      </c>
      <c r="D143" s="11">
        <f>1/$F$8</f>
        <v>5.5555555555555552E-2</v>
      </c>
      <c r="E143" s="923">
        <v>869</v>
      </c>
      <c r="F143" s="1780">
        <f t="shared" si="5"/>
        <v>48.277777777777779</v>
      </c>
      <c r="H143" s="95"/>
      <c r="I143" s="904"/>
      <c r="J143" s="96"/>
      <c r="K143" s="903"/>
      <c r="L143" s="901"/>
      <c r="M143" s="885"/>
    </row>
    <row r="144" spans="1:13" x14ac:dyDescent="0.25">
      <c r="A144" s="924" t="s">
        <v>425</v>
      </c>
      <c r="B144" s="265" t="s">
        <v>58</v>
      </c>
      <c r="C144" s="10" t="s">
        <v>61</v>
      </c>
      <c r="D144" s="11">
        <f>18/$F$8</f>
        <v>1</v>
      </c>
      <c r="E144" s="11">
        <f>E59</f>
        <v>1117.79</v>
      </c>
      <c r="F144" s="899">
        <f>D144*E144</f>
        <v>1117.79</v>
      </c>
      <c r="H144" s="95"/>
      <c r="I144" s="904"/>
      <c r="J144" s="96"/>
      <c r="K144" s="903"/>
      <c r="L144" s="901"/>
      <c r="M144" s="885"/>
    </row>
    <row r="145" spans="1:13" x14ac:dyDescent="0.25">
      <c r="A145" s="924" t="s">
        <v>426</v>
      </c>
      <c r="B145" s="265" t="s">
        <v>705</v>
      </c>
      <c r="C145" s="10" t="s">
        <v>61</v>
      </c>
      <c r="D145" s="11">
        <f>1/$F$8</f>
        <v>5.5555555555555552E-2</v>
      </c>
      <c r="E145" s="923">
        <v>148.26</v>
      </c>
      <c r="F145" s="899">
        <f>D145*E145</f>
        <v>8.2366666666666664</v>
      </c>
      <c r="H145" s="95"/>
      <c r="I145" s="904"/>
      <c r="J145" s="96"/>
      <c r="K145" s="903"/>
      <c r="L145" s="901"/>
      <c r="M145" s="885"/>
    </row>
    <row r="146" spans="1:13" x14ac:dyDescent="0.25">
      <c r="A146" s="924" t="s">
        <v>427</v>
      </c>
      <c r="B146" s="265" t="s">
        <v>62</v>
      </c>
      <c r="C146" s="10" t="s">
        <v>61</v>
      </c>
      <c r="D146" s="11">
        <f>10/$F$8</f>
        <v>0.55555555555555558</v>
      </c>
      <c r="E146" s="923">
        <v>1439.99</v>
      </c>
      <c r="F146" s="899">
        <f t="shared" ref="F146:F152" si="6">D146*E146</f>
        <v>799.99444444444453</v>
      </c>
      <c r="H146" s="95"/>
      <c r="I146" s="904"/>
      <c r="J146" s="96"/>
      <c r="K146" s="903"/>
      <c r="L146" s="901"/>
      <c r="M146" s="885"/>
    </row>
    <row r="147" spans="1:13" x14ac:dyDescent="0.25">
      <c r="A147" s="924" t="s">
        <v>428</v>
      </c>
      <c r="B147" s="265" t="s">
        <v>69</v>
      </c>
      <c r="C147" s="10" t="s">
        <v>61</v>
      </c>
      <c r="D147" s="11">
        <f>8/$F$8</f>
        <v>0.44444444444444442</v>
      </c>
      <c r="E147" s="11">
        <f>E60</f>
        <v>215.99</v>
      </c>
      <c r="F147" s="899">
        <f t="shared" si="6"/>
        <v>95.995555555555555</v>
      </c>
      <c r="H147" s="95"/>
      <c r="I147" s="904"/>
      <c r="J147" s="96"/>
      <c r="K147" s="903"/>
      <c r="L147" s="901"/>
      <c r="M147" s="885"/>
    </row>
    <row r="148" spans="1:13" x14ac:dyDescent="0.25">
      <c r="A148" s="924" t="s">
        <v>713</v>
      </c>
      <c r="B148" s="265" t="s">
        <v>59</v>
      </c>
      <c r="C148" s="10" t="s">
        <v>61</v>
      </c>
      <c r="D148" s="11">
        <f>1/$F$8</f>
        <v>5.5555555555555552E-2</v>
      </c>
      <c r="E148" s="923">
        <v>1198</v>
      </c>
      <c r="F148" s="899">
        <f t="shared" si="6"/>
        <v>66.555555555555557</v>
      </c>
      <c r="H148" s="96"/>
      <c r="I148" s="904"/>
      <c r="J148" s="96"/>
      <c r="K148" s="903"/>
      <c r="L148" s="901"/>
      <c r="M148" s="885"/>
    </row>
    <row r="149" spans="1:13" x14ac:dyDescent="0.25">
      <c r="A149" s="924" t="s">
        <v>714</v>
      </c>
      <c r="B149" s="265" t="s">
        <v>60</v>
      </c>
      <c r="C149" s="10" t="s">
        <v>61</v>
      </c>
      <c r="D149" s="11">
        <f>1/$F$8</f>
        <v>5.5555555555555552E-2</v>
      </c>
      <c r="E149" s="923">
        <v>2833.24</v>
      </c>
      <c r="F149" s="899">
        <f t="shared" si="6"/>
        <v>157.40222222222221</v>
      </c>
      <c r="H149" s="96"/>
      <c r="I149" s="904"/>
      <c r="J149" s="96"/>
      <c r="K149" s="903"/>
      <c r="L149" s="901"/>
      <c r="M149" s="885"/>
    </row>
    <row r="150" spans="1:13" ht="48" x14ac:dyDescent="0.25">
      <c r="A150" s="924" t="s">
        <v>715</v>
      </c>
      <c r="B150" s="265" t="s">
        <v>971</v>
      </c>
      <c r="C150" s="10" t="s">
        <v>61</v>
      </c>
      <c r="D150" s="11">
        <f>1/$F$8</f>
        <v>5.5555555555555552E-2</v>
      </c>
      <c r="E150" s="923">
        <v>18023.46</v>
      </c>
      <c r="F150" s="899">
        <f t="shared" si="6"/>
        <v>1001.3033333333333</v>
      </c>
      <c r="H150" s="96"/>
      <c r="I150" s="904"/>
      <c r="J150" s="96"/>
      <c r="K150" s="903"/>
      <c r="L150" s="901"/>
      <c r="M150" s="885"/>
    </row>
    <row r="151" spans="1:13" x14ac:dyDescent="0.25">
      <c r="A151" s="263" t="s">
        <v>716</v>
      </c>
      <c r="B151" s="266" t="s">
        <v>707</v>
      </c>
      <c r="C151" s="10" t="s">
        <v>61</v>
      </c>
      <c r="D151" s="11">
        <f>10/$F$8</f>
        <v>0.55555555555555558</v>
      </c>
      <c r="E151" s="895">
        <v>382.71</v>
      </c>
      <c r="F151" s="899">
        <f t="shared" si="6"/>
        <v>212.61666666666667</v>
      </c>
      <c r="H151" s="96"/>
      <c r="I151" s="904"/>
      <c r="J151" s="889"/>
      <c r="K151" s="903"/>
      <c r="L151" s="901"/>
      <c r="M151" s="885"/>
    </row>
    <row r="152" spans="1:13" ht="12.75" thickBot="1" x14ac:dyDescent="0.3">
      <c r="A152" s="264" t="s">
        <v>717</v>
      </c>
      <c r="B152" s="267" t="s">
        <v>708</v>
      </c>
      <c r="C152" s="14" t="s">
        <v>61</v>
      </c>
      <c r="D152" s="268">
        <f>8/$F$8</f>
        <v>0.44444444444444442</v>
      </c>
      <c r="E152" s="897">
        <v>465.52</v>
      </c>
      <c r="F152" s="900">
        <f t="shared" si="6"/>
        <v>206.89777777777775</v>
      </c>
      <c r="H152" s="96"/>
      <c r="I152" s="904"/>
      <c r="J152" s="96"/>
      <c r="K152" s="903"/>
      <c r="L152" s="901"/>
      <c r="M152" s="885"/>
    </row>
    <row r="153" spans="1:13" ht="12.75" customHeight="1" thickBot="1" x14ac:dyDescent="0.3">
      <c r="A153" s="1749" t="s">
        <v>424</v>
      </c>
      <c r="B153" s="1758"/>
      <c r="C153" s="1758"/>
      <c r="D153" s="1758"/>
      <c r="E153" s="1758"/>
      <c r="F153" s="111">
        <f>SUM(F132:F152)</f>
        <v>4574.6961111111123</v>
      </c>
      <c r="H153" s="95"/>
      <c r="I153" s="95"/>
      <c r="J153" s="95"/>
      <c r="K153" s="95"/>
      <c r="L153" s="130"/>
      <c r="M153" s="885"/>
    </row>
    <row r="154" spans="1:13" ht="12.75" thickBot="1" x14ac:dyDescent="0.3">
      <c r="H154" s="95"/>
      <c r="I154" s="95"/>
      <c r="J154" s="95"/>
      <c r="K154" s="95"/>
      <c r="L154" s="130"/>
    </row>
    <row r="155" spans="1:13" x14ac:dyDescent="0.25">
      <c r="A155" s="1750" t="s">
        <v>712</v>
      </c>
      <c r="B155" s="1751"/>
      <c r="C155" s="1751"/>
      <c r="D155" s="1751"/>
      <c r="E155" s="1751"/>
      <c r="F155" s="1752"/>
      <c r="H155" s="95"/>
      <c r="I155" s="95"/>
      <c r="J155" s="95"/>
      <c r="K155" s="95"/>
      <c r="L155" s="130"/>
    </row>
    <row r="156" spans="1:13" ht="12.75" thickBot="1" x14ac:dyDescent="0.3">
      <c r="A156" s="343">
        <v>1</v>
      </c>
      <c r="B156" s="1753" t="s">
        <v>711</v>
      </c>
      <c r="C156" s="1753"/>
      <c r="D156" s="1753"/>
      <c r="E156" s="1753"/>
      <c r="F156" s="1754"/>
      <c r="H156" s="95"/>
      <c r="I156" s="95"/>
      <c r="J156" s="95"/>
      <c r="K156" s="95"/>
      <c r="L156" s="130"/>
    </row>
    <row r="157" spans="1:13" x14ac:dyDescent="0.25">
      <c r="H157" s="95"/>
      <c r="I157" s="95"/>
      <c r="J157" s="95"/>
      <c r="K157" s="95"/>
      <c r="L157" s="130"/>
    </row>
    <row r="158" spans="1:13" ht="12.75" thickBot="1" x14ac:dyDescent="0.3">
      <c r="H158" s="95"/>
      <c r="I158" s="95"/>
      <c r="J158" s="95"/>
      <c r="K158" s="95"/>
      <c r="L158" s="130"/>
    </row>
    <row r="159" spans="1:13" ht="12.75" thickBot="1" x14ac:dyDescent="0.3">
      <c r="A159" s="269" t="s">
        <v>269</v>
      </c>
      <c r="B159" s="1734" t="s">
        <v>413</v>
      </c>
      <c r="C159" s="1735"/>
      <c r="D159" s="1735"/>
      <c r="E159" s="1735"/>
      <c r="F159" s="1736"/>
      <c r="H159" s="95"/>
      <c r="I159" s="95"/>
      <c r="J159" s="95"/>
      <c r="K159" s="95"/>
      <c r="L159" s="130"/>
    </row>
    <row r="160" spans="1:13" x14ac:dyDescent="0.25">
      <c r="A160" s="1725" t="s">
        <v>87</v>
      </c>
      <c r="B160" s="1739" t="s">
        <v>281</v>
      </c>
      <c r="C160" s="1740"/>
      <c r="D160" s="1740"/>
      <c r="E160" s="1741"/>
      <c r="F160" s="1728">
        <f>SUM(F163:F164)</f>
        <v>1929.5</v>
      </c>
      <c r="H160" s="95"/>
      <c r="I160" s="95"/>
      <c r="J160" s="95"/>
      <c r="K160" s="95"/>
      <c r="L160" s="130"/>
    </row>
    <row r="161" spans="1:12" x14ac:dyDescent="0.25">
      <c r="A161" s="1726"/>
      <c r="B161" s="1742"/>
      <c r="C161" s="1743"/>
      <c r="D161" s="1743"/>
      <c r="E161" s="1744"/>
      <c r="F161" s="1729"/>
      <c r="H161" s="95"/>
      <c r="I161" s="95"/>
      <c r="J161" s="95"/>
      <c r="K161" s="95"/>
      <c r="L161" s="130"/>
    </row>
    <row r="162" spans="1:12" x14ac:dyDescent="0.25">
      <c r="A162" s="1727"/>
      <c r="B162" s="1745"/>
      <c r="C162" s="1746"/>
      <c r="D162" s="1746"/>
      <c r="E162" s="1747"/>
      <c r="F162" s="1730"/>
      <c r="H162" s="95"/>
      <c r="I162" s="95"/>
      <c r="J162" s="95"/>
      <c r="K162" s="95"/>
      <c r="L162" s="130"/>
    </row>
    <row r="163" spans="1:12" x14ac:dyDescent="0.25">
      <c r="A163" s="509" t="s">
        <v>842</v>
      </c>
      <c r="B163" s="100" t="s">
        <v>788</v>
      </c>
      <c r="C163" s="10" t="s">
        <v>80</v>
      </c>
      <c r="D163" s="11">
        <v>24</v>
      </c>
      <c r="E163" s="84">
        <f>C228</f>
        <v>56.75</v>
      </c>
      <c r="F163" s="84">
        <f>D163*E163</f>
        <v>1362</v>
      </c>
      <c r="H163" s="95"/>
      <c r="I163" s="95"/>
      <c r="J163" s="95"/>
      <c r="K163" s="95"/>
      <c r="L163" s="130"/>
    </row>
    <row r="164" spans="1:12" x14ac:dyDescent="0.25">
      <c r="A164" s="509" t="s">
        <v>843</v>
      </c>
      <c r="B164" s="100" t="s">
        <v>500</v>
      </c>
      <c r="C164" s="10" t="s">
        <v>80</v>
      </c>
      <c r="D164" s="11">
        <v>5</v>
      </c>
      <c r="E164" s="84">
        <f>C229</f>
        <v>113.5</v>
      </c>
      <c r="F164" s="84">
        <f>D164*E164</f>
        <v>567.5</v>
      </c>
      <c r="H164" s="95"/>
      <c r="I164" s="95"/>
      <c r="J164" s="95"/>
      <c r="K164" s="95"/>
      <c r="L164" s="130"/>
    </row>
    <row r="165" spans="1:12" x14ac:dyDescent="0.25">
      <c r="A165" s="366" t="s">
        <v>88</v>
      </c>
      <c r="B165" s="1722" t="s">
        <v>44</v>
      </c>
      <c r="C165" s="1723"/>
      <c r="D165" s="1723"/>
      <c r="E165" s="1724"/>
      <c r="F165" s="522">
        <f>SUM(F166:F167)</f>
        <v>1248.5</v>
      </c>
      <c r="H165" s="95"/>
      <c r="I165" s="95"/>
      <c r="J165" s="95"/>
      <c r="K165" s="95"/>
      <c r="L165" s="130"/>
    </row>
    <row r="166" spans="1:12" x14ac:dyDescent="0.25">
      <c r="A166" s="510" t="s">
        <v>844</v>
      </c>
      <c r="B166" s="100" t="s">
        <v>788</v>
      </c>
      <c r="C166" s="10" t="s">
        <v>80</v>
      </c>
      <c r="D166" s="11">
        <v>8</v>
      </c>
      <c r="E166" s="84">
        <f>C228</f>
        <v>56.75</v>
      </c>
      <c r="F166" s="84">
        <f>D166*E166</f>
        <v>454</v>
      </c>
      <c r="H166" s="95"/>
      <c r="I166" s="95"/>
      <c r="J166" s="95"/>
      <c r="K166" s="95"/>
      <c r="L166" s="130"/>
    </row>
    <row r="167" spans="1:12" x14ac:dyDescent="0.25">
      <c r="A167" s="510" t="s">
        <v>845</v>
      </c>
      <c r="B167" s="100" t="s">
        <v>500</v>
      </c>
      <c r="C167" s="10" t="s">
        <v>80</v>
      </c>
      <c r="D167" s="11">
        <v>7</v>
      </c>
      <c r="E167" s="84">
        <f>C229</f>
        <v>113.5</v>
      </c>
      <c r="F167" s="84">
        <f>D167*E167</f>
        <v>794.5</v>
      </c>
      <c r="H167" s="95"/>
      <c r="I167" s="95"/>
      <c r="J167" s="95"/>
      <c r="K167" s="95"/>
      <c r="L167" s="130"/>
    </row>
    <row r="168" spans="1:12" x14ac:dyDescent="0.25">
      <c r="A168" s="366" t="s">
        <v>270</v>
      </c>
      <c r="B168" s="1722" t="s">
        <v>225</v>
      </c>
      <c r="C168" s="1723"/>
      <c r="D168" s="1723"/>
      <c r="E168" s="1724"/>
      <c r="F168" s="522">
        <f>SUM(F169)</f>
        <v>5796</v>
      </c>
      <c r="H168" s="95"/>
      <c r="I168" s="95"/>
      <c r="J168" s="95"/>
      <c r="K168" s="95"/>
      <c r="L168" s="130"/>
    </row>
    <row r="169" spans="1:12" x14ac:dyDescent="0.25">
      <c r="A169" s="510" t="s">
        <v>850</v>
      </c>
      <c r="B169" s="100" t="s">
        <v>853</v>
      </c>
      <c r="C169" s="10" t="s">
        <v>80</v>
      </c>
      <c r="D169" s="11">
        <v>4</v>
      </c>
      <c r="E169" s="84">
        <f>C232</f>
        <v>1449</v>
      </c>
      <c r="F169" s="84">
        <f>D169*E169</f>
        <v>5796</v>
      </c>
      <c r="H169" s="95"/>
      <c r="I169" s="95"/>
      <c r="J169" s="95"/>
      <c r="K169" s="95"/>
      <c r="L169" s="130"/>
    </row>
    <row r="170" spans="1:12" x14ac:dyDescent="0.25">
      <c r="A170" s="366" t="s">
        <v>846</v>
      </c>
      <c r="B170" s="1722" t="s">
        <v>690</v>
      </c>
      <c r="C170" s="1723"/>
      <c r="D170" s="1723"/>
      <c r="E170" s="1724"/>
      <c r="F170" s="522">
        <f>SUM(F171)</f>
        <v>227</v>
      </c>
      <c r="H170" s="95"/>
      <c r="I170" s="95"/>
      <c r="J170" s="95"/>
      <c r="K170" s="95"/>
      <c r="L170" s="130"/>
    </row>
    <row r="171" spans="1:12" x14ac:dyDescent="0.25">
      <c r="A171" s="510" t="s">
        <v>851</v>
      </c>
      <c r="B171" s="100" t="s">
        <v>500</v>
      </c>
      <c r="C171" s="10" t="s">
        <v>80</v>
      </c>
      <c r="D171" s="11">
        <v>2</v>
      </c>
      <c r="E171" s="84">
        <f>C229</f>
        <v>113.5</v>
      </c>
      <c r="F171" s="84">
        <f>D171*E171</f>
        <v>227</v>
      </c>
      <c r="H171" s="95"/>
      <c r="I171" s="95"/>
      <c r="J171" s="95"/>
      <c r="K171" s="95"/>
      <c r="L171" s="130"/>
    </row>
    <row r="172" spans="1:12" x14ac:dyDescent="0.25">
      <c r="A172" s="366" t="s">
        <v>847</v>
      </c>
      <c r="B172" s="1722" t="s">
        <v>45</v>
      </c>
      <c r="C172" s="1723"/>
      <c r="D172" s="1723"/>
      <c r="E172" s="1724"/>
      <c r="F172" s="522">
        <f>SUM(F173:F174)</f>
        <v>3683.5</v>
      </c>
      <c r="H172" s="95"/>
      <c r="I172" s="95"/>
      <c r="J172" s="95"/>
      <c r="K172" s="95"/>
      <c r="L172" s="130"/>
    </row>
    <row r="173" spans="1:12" x14ac:dyDescent="0.25">
      <c r="A173" s="510" t="s">
        <v>854</v>
      </c>
      <c r="B173" s="365" t="s">
        <v>789</v>
      </c>
      <c r="C173" s="10" t="s">
        <v>80</v>
      </c>
      <c r="D173" s="11">
        <v>5</v>
      </c>
      <c r="E173" s="84">
        <f>C231</f>
        <v>714</v>
      </c>
      <c r="F173" s="84">
        <f>D173*E173</f>
        <v>3570</v>
      </c>
      <c r="H173" s="95"/>
      <c r="I173" s="95"/>
      <c r="J173" s="95"/>
      <c r="K173" s="95"/>
      <c r="L173" s="130"/>
    </row>
    <row r="174" spans="1:12" x14ac:dyDescent="0.25">
      <c r="A174" s="510" t="s">
        <v>856</v>
      </c>
      <c r="B174" s="100" t="s">
        <v>500</v>
      </c>
      <c r="C174" s="10" t="s">
        <v>80</v>
      </c>
      <c r="D174" s="11">
        <v>1</v>
      </c>
      <c r="E174" s="84">
        <f>C229</f>
        <v>113.5</v>
      </c>
      <c r="F174" s="84">
        <f>D174*E174</f>
        <v>113.5</v>
      </c>
      <c r="H174" s="95"/>
      <c r="I174" s="95"/>
      <c r="J174" s="95"/>
      <c r="K174" s="95"/>
      <c r="L174" s="130"/>
    </row>
    <row r="175" spans="1:12" x14ac:dyDescent="0.25">
      <c r="A175" s="366" t="s">
        <v>858</v>
      </c>
      <c r="B175" s="1722" t="s">
        <v>283</v>
      </c>
      <c r="C175" s="1723"/>
      <c r="D175" s="1723"/>
      <c r="E175" s="1724"/>
      <c r="F175" s="522">
        <f>SUM(F176)</f>
        <v>227</v>
      </c>
      <c r="H175" s="95"/>
      <c r="I175" s="95"/>
      <c r="J175" s="95"/>
      <c r="K175" s="95"/>
      <c r="L175" s="130"/>
    </row>
    <row r="176" spans="1:12" x14ac:dyDescent="0.25">
      <c r="A176" s="510" t="s">
        <v>859</v>
      </c>
      <c r="B176" s="100" t="s">
        <v>500</v>
      </c>
      <c r="C176" s="10" t="s">
        <v>80</v>
      </c>
      <c r="D176" s="11">
        <v>2</v>
      </c>
      <c r="E176" s="84">
        <f>C229</f>
        <v>113.5</v>
      </c>
      <c r="F176" s="84">
        <f>D176*E176</f>
        <v>227</v>
      </c>
      <c r="H176" s="95"/>
      <c r="I176" s="95"/>
      <c r="J176" s="95"/>
      <c r="K176" s="95"/>
      <c r="L176" s="130"/>
    </row>
    <row r="177" spans="1:22" x14ac:dyDescent="0.25">
      <c r="A177" s="366" t="s">
        <v>848</v>
      </c>
      <c r="B177" s="1722" t="s">
        <v>849</v>
      </c>
      <c r="C177" s="1723"/>
      <c r="D177" s="1723"/>
      <c r="E177" s="1724"/>
      <c r="F177" s="522">
        <f>SUM(F178:F179)</f>
        <v>6336</v>
      </c>
      <c r="H177" s="95"/>
      <c r="I177" s="95"/>
      <c r="J177" s="95"/>
      <c r="K177" s="95"/>
      <c r="L177" s="130"/>
    </row>
    <row r="178" spans="1:22" x14ac:dyDescent="0.25">
      <c r="A178" s="510" t="s">
        <v>857</v>
      </c>
      <c r="B178" s="100" t="s">
        <v>861</v>
      </c>
      <c r="C178" s="10" t="s">
        <v>80</v>
      </c>
      <c r="D178" s="11">
        <v>18</v>
      </c>
      <c r="E178" s="84">
        <f>C230</f>
        <v>30</v>
      </c>
      <c r="F178" s="84">
        <f>D178*E178</f>
        <v>540</v>
      </c>
      <c r="H178" s="95"/>
      <c r="I178" s="95"/>
      <c r="J178" s="95"/>
      <c r="K178" s="95"/>
      <c r="L178" s="130"/>
    </row>
    <row r="179" spans="1:22" ht="12.75" thickBot="1" x14ac:dyDescent="0.3">
      <c r="A179" s="514" t="s">
        <v>860</v>
      </c>
      <c r="B179" s="515" t="s">
        <v>862</v>
      </c>
      <c r="C179" s="340" t="s">
        <v>80</v>
      </c>
      <c r="D179" s="516">
        <v>4</v>
      </c>
      <c r="E179" s="86">
        <f>C232</f>
        <v>1449</v>
      </c>
      <c r="F179" s="86">
        <f>D179*E179</f>
        <v>5796</v>
      </c>
      <c r="H179" s="95"/>
      <c r="I179" s="95"/>
      <c r="J179" s="95"/>
      <c r="K179" s="95"/>
      <c r="L179" s="130"/>
    </row>
    <row r="180" spans="1:22" ht="12.75" thickBot="1" x14ac:dyDescent="0.3">
      <c r="A180" s="1737" t="s">
        <v>424</v>
      </c>
      <c r="B180" s="1738"/>
      <c r="C180" s="1738"/>
      <c r="D180" s="1738"/>
      <c r="E180" s="1738"/>
      <c r="F180" s="111">
        <f>F160+F165+F168+F170+F172+F175+F177</f>
        <v>19447.5</v>
      </c>
      <c r="G180" s="892"/>
      <c r="H180" s="95"/>
      <c r="I180" s="95"/>
      <c r="J180" s="95"/>
      <c r="K180" s="95"/>
      <c r="L180" s="130"/>
    </row>
    <row r="181" spans="1:22" ht="13.5" thickBot="1" x14ac:dyDescent="0.25">
      <c r="D181" s="511"/>
      <c r="E181" s="511"/>
      <c r="F181" s="511"/>
      <c r="G181" s="890"/>
      <c r="H181" s="890"/>
      <c r="I181" s="890"/>
      <c r="J181" s="890"/>
      <c r="K181" s="890"/>
      <c r="L181" s="891"/>
      <c r="M181" s="511"/>
      <c r="N181" s="511"/>
      <c r="O181" s="511"/>
      <c r="P181" s="511"/>
      <c r="Q181" s="511"/>
      <c r="R181" s="511"/>
      <c r="S181" s="511"/>
      <c r="T181" s="511"/>
      <c r="U181" s="511"/>
      <c r="V181" s="512"/>
    </row>
    <row r="182" spans="1:22" ht="12.75" thickBot="1" x14ac:dyDescent="0.3">
      <c r="A182" s="269" t="s">
        <v>692</v>
      </c>
      <c r="B182" s="1734" t="s">
        <v>732</v>
      </c>
      <c r="C182" s="1735"/>
      <c r="D182" s="1735"/>
      <c r="E182" s="1735"/>
      <c r="F182" s="1736"/>
      <c r="G182" s="892"/>
      <c r="H182" s="95"/>
      <c r="I182" s="95"/>
      <c r="J182" s="95"/>
      <c r="K182" s="95"/>
      <c r="L182" s="130"/>
    </row>
    <row r="183" spans="1:22" ht="36.75" thickBot="1" x14ac:dyDescent="0.3">
      <c r="A183" s="847" t="s">
        <v>979</v>
      </c>
      <c r="B183" s="357" t="s">
        <v>978</v>
      </c>
      <c r="C183" s="358" t="s">
        <v>726</v>
      </c>
      <c r="D183" s="359" t="s">
        <v>727</v>
      </c>
      <c r="E183" s="359" t="s">
        <v>733</v>
      </c>
      <c r="F183" s="360" t="s">
        <v>977</v>
      </c>
      <c r="H183" s="95"/>
      <c r="I183" s="95"/>
      <c r="J183" s="95"/>
      <c r="K183" s="95"/>
      <c r="L183" s="130"/>
    </row>
    <row r="184" spans="1:22" ht="12.75" thickBot="1" x14ac:dyDescent="0.3">
      <c r="A184" s="845" t="s">
        <v>751</v>
      </c>
      <c r="B184" s="845"/>
      <c r="C184" s="844"/>
      <c r="D184" s="844"/>
      <c r="E184" s="844"/>
      <c r="F184" s="846">
        <f>SUM(F185:F197)</f>
        <v>41.233166666666669</v>
      </c>
      <c r="H184" s="95"/>
      <c r="I184" s="95"/>
      <c r="J184" s="95"/>
      <c r="K184" s="95"/>
      <c r="L184" s="130"/>
    </row>
    <row r="185" spans="1:22" x14ac:dyDescent="0.2">
      <c r="A185" s="848">
        <v>3</v>
      </c>
      <c r="B185" s="361" t="s">
        <v>737</v>
      </c>
      <c r="C185" s="352" t="s">
        <v>80</v>
      </c>
      <c r="D185" s="18">
        <v>5</v>
      </c>
      <c r="E185" s="883">
        <v>38</v>
      </c>
      <c r="F185" s="353">
        <f t="shared" ref="F185:F197" si="7">(E185*A185)/D185</f>
        <v>22.8</v>
      </c>
      <c r="H185" s="95"/>
      <c r="I185" s="95"/>
      <c r="J185" s="95"/>
      <c r="K185" s="95"/>
      <c r="L185" s="130"/>
    </row>
    <row r="186" spans="1:22" x14ac:dyDescent="0.2">
      <c r="A186" s="849">
        <v>1</v>
      </c>
      <c r="B186" s="19" t="s">
        <v>158</v>
      </c>
      <c r="C186" s="20" t="s">
        <v>80</v>
      </c>
      <c r="D186" s="49">
        <v>10</v>
      </c>
      <c r="E186" s="883">
        <v>9.89</v>
      </c>
      <c r="F186" s="354">
        <f t="shared" si="7"/>
        <v>0.9890000000000001</v>
      </c>
      <c r="H186" s="95"/>
      <c r="I186" s="95"/>
      <c r="J186" s="95"/>
      <c r="K186" s="95"/>
      <c r="L186" s="130"/>
    </row>
    <row r="187" spans="1:22" x14ac:dyDescent="0.2">
      <c r="A187" s="849">
        <v>1</v>
      </c>
      <c r="B187" s="19" t="s">
        <v>746</v>
      </c>
      <c r="C187" s="20" t="s">
        <v>740</v>
      </c>
      <c r="D187" s="49">
        <v>5</v>
      </c>
      <c r="E187" s="883">
        <v>19</v>
      </c>
      <c r="F187" s="354">
        <f t="shared" si="7"/>
        <v>3.8</v>
      </c>
      <c r="H187" s="95"/>
      <c r="I187" s="95"/>
      <c r="J187" s="95"/>
      <c r="K187" s="95"/>
      <c r="L187" s="130"/>
    </row>
    <row r="188" spans="1:22" x14ac:dyDescent="0.2">
      <c r="A188" s="849">
        <v>1</v>
      </c>
      <c r="B188" s="19" t="s">
        <v>750</v>
      </c>
      <c r="C188" s="20" t="s">
        <v>80</v>
      </c>
      <c r="D188" s="49">
        <v>10</v>
      </c>
      <c r="E188" s="883">
        <v>8.9</v>
      </c>
      <c r="F188" s="354">
        <f t="shared" si="7"/>
        <v>0.89</v>
      </c>
      <c r="H188" s="95"/>
      <c r="I188" s="95"/>
      <c r="J188" s="95"/>
      <c r="K188" s="95"/>
      <c r="L188" s="130"/>
    </row>
    <row r="189" spans="1:22" x14ac:dyDescent="0.2">
      <c r="A189" s="849">
        <v>1</v>
      </c>
      <c r="B189" s="19" t="s">
        <v>738</v>
      </c>
      <c r="C189" s="20" t="s">
        <v>80</v>
      </c>
      <c r="D189" s="49">
        <f>1/2</f>
        <v>0.5</v>
      </c>
      <c r="E189" s="883">
        <v>0.48</v>
      </c>
      <c r="F189" s="354">
        <f t="shared" si="7"/>
        <v>0.96</v>
      </c>
      <c r="H189" s="95"/>
      <c r="I189" s="95"/>
      <c r="J189" s="95"/>
      <c r="K189" s="95"/>
      <c r="L189" s="130"/>
    </row>
    <row r="190" spans="1:22" x14ac:dyDescent="0.2">
      <c r="A190" s="849">
        <v>1</v>
      </c>
      <c r="B190" s="19" t="s">
        <v>739</v>
      </c>
      <c r="C190" s="20" t="s">
        <v>80</v>
      </c>
      <c r="D190" s="49">
        <v>6</v>
      </c>
      <c r="E190" s="883">
        <v>4.9000000000000004</v>
      </c>
      <c r="F190" s="354">
        <f t="shared" si="7"/>
        <v>0.81666666666666676</v>
      </c>
      <c r="H190" s="95"/>
      <c r="I190" s="95"/>
      <c r="J190" s="95"/>
      <c r="K190" s="95"/>
      <c r="L190" s="130"/>
    </row>
    <row r="191" spans="1:22" x14ac:dyDescent="0.2">
      <c r="A191" s="849">
        <v>1</v>
      </c>
      <c r="B191" s="19" t="s">
        <v>747</v>
      </c>
      <c r="C191" s="20" t="s">
        <v>80</v>
      </c>
      <c r="D191" s="49">
        <v>4</v>
      </c>
      <c r="E191" s="883">
        <v>5.95</v>
      </c>
      <c r="F191" s="354">
        <f t="shared" si="7"/>
        <v>1.4875</v>
      </c>
      <c r="H191" s="95"/>
      <c r="I191" s="95"/>
      <c r="J191" s="95"/>
      <c r="K191" s="95"/>
      <c r="L191" s="130"/>
    </row>
    <row r="192" spans="1:22" x14ac:dyDescent="0.2">
      <c r="A192" s="849">
        <v>1</v>
      </c>
      <c r="B192" s="19" t="s">
        <v>748</v>
      </c>
      <c r="C192" s="20" t="s">
        <v>80</v>
      </c>
      <c r="D192" s="49">
        <v>4</v>
      </c>
      <c r="E192" s="883">
        <v>14.74</v>
      </c>
      <c r="F192" s="354">
        <f t="shared" si="7"/>
        <v>3.6850000000000001</v>
      </c>
      <c r="H192" s="95"/>
      <c r="I192" s="95"/>
      <c r="J192" s="95"/>
      <c r="K192" s="95"/>
      <c r="L192" s="130"/>
    </row>
    <row r="193" spans="1:12" x14ac:dyDescent="0.2">
      <c r="A193" s="849">
        <v>1</v>
      </c>
      <c r="B193" s="302" t="s">
        <v>155</v>
      </c>
      <c r="C193" s="20" t="s">
        <v>80</v>
      </c>
      <c r="D193" s="49">
        <v>6</v>
      </c>
      <c r="E193" s="883">
        <v>14.55</v>
      </c>
      <c r="F193" s="354">
        <f t="shared" si="7"/>
        <v>2.4250000000000003</v>
      </c>
      <c r="H193" s="95"/>
      <c r="I193" s="95"/>
      <c r="J193" s="95"/>
      <c r="K193" s="95"/>
      <c r="L193" s="130"/>
    </row>
    <row r="194" spans="1:12" x14ac:dyDescent="0.2">
      <c r="A194" s="849">
        <v>1</v>
      </c>
      <c r="B194" s="302" t="s">
        <v>156</v>
      </c>
      <c r="C194" s="20" t="s">
        <v>80</v>
      </c>
      <c r="D194" s="49">
        <v>6</v>
      </c>
      <c r="E194" s="883">
        <v>5.75</v>
      </c>
      <c r="F194" s="354">
        <f t="shared" si="7"/>
        <v>0.95833333333333337</v>
      </c>
      <c r="H194" s="95"/>
      <c r="I194" s="95"/>
      <c r="J194" s="95"/>
      <c r="K194" s="95"/>
      <c r="L194" s="130"/>
    </row>
    <row r="195" spans="1:12" x14ac:dyDescent="0.2">
      <c r="A195" s="849">
        <v>1</v>
      </c>
      <c r="B195" s="19" t="s">
        <v>749</v>
      </c>
      <c r="C195" s="20" t="s">
        <v>80</v>
      </c>
      <c r="D195" s="49">
        <v>6</v>
      </c>
      <c r="E195" s="883">
        <v>1.9</v>
      </c>
      <c r="F195" s="354">
        <f t="shared" si="7"/>
        <v>0.31666666666666665</v>
      </c>
      <c r="H195" s="95"/>
      <c r="I195" s="95"/>
      <c r="J195" s="95"/>
      <c r="K195" s="95"/>
      <c r="L195" s="130"/>
    </row>
    <row r="196" spans="1:12" x14ac:dyDescent="0.2">
      <c r="A196" s="849">
        <v>1</v>
      </c>
      <c r="B196" s="19" t="s">
        <v>755</v>
      </c>
      <c r="C196" s="20" t="s">
        <v>80</v>
      </c>
      <c r="D196" s="49">
        <v>10</v>
      </c>
      <c r="E196" s="883">
        <v>7.05</v>
      </c>
      <c r="F196" s="354">
        <f t="shared" si="7"/>
        <v>0.70499999999999996</v>
      </c>
      <c r="H196" s="95"/>
      <c r="I196" s="95"/>
      <c r="J196" s="95"/>
      <c r="K196" s="95"/>
      <c r="L196" s="130"/>
    </row>
    <row r="197" spans="1:12" ht="12.75" thickBot="1" x14ac:dyDescent="0.25">
      <c r="A197" s="850">
        <v>1</v>
      </c>
      <c r="B197" s="362" t="s">
        <v>756</v>
      </c>
      <c r="C197" s="355" t="s">
        <v>80</v>
      </c>
      <c r="D197" s="63">
        <f>1/4</f>
        <v>0.25</v>
      </c>
      <c r="E197" s="883">
        <v>0.35</v>
      </c>
      <c r="F197" s="356">
        <f t="shared" si="7"/>
        <v>1.4</v>
      </c>
      <c r="H197" s="95"/>
      <c r="I197" s="95"/>
      <c r="J197" s="95"/>
      <c r="K197" s="95"/>
      <c r="L197" s="130"/>
    </row>
    <row r="198" spans="1:12" ht="12.75" thickBot="1" x14ac:dyDescent="0.3">
      <c r="A198" s="845" t="s">
        <v>741</v>
      </c>
      <c r="B198" s="844"/>
      <c r="C198" s="844"/>
      <c r="D198" s="844"/>
      <c r="E198" s="844"/>
      <c r="F198" s="846">
        <f>SUM(F199:F202)</f>
        <v>13.541666666666666</v>
      </c>
      <c r="H198" s="95"/>
      <c r="I198" s="95"/>
      <c r="J198" s="95"/>
      <c r="K198" s="95"/>
      <c r="L198" s="130"/>
    </row>
    <row r="199" spans="1:12" x14ac:dyDescent="0.2">
      <c r="A199" s="851">
        <v>1</v>
      </c>
      <c r="B199" s="351" t="s">
        <v>742</v>
      </c>
      <c r="C199" s="25" t="s">
        <v>740</v>
      </c>
      <c r="D199" s="50">
        <v>12</v>
      </c>
      <c r="E199" s="883">
        <v>13.9</v>
      </c>
      <c r="F199" s="852">
        <f>(E199*A199)/D199</f>
        <v>1.1583333333333334</v>
      </c>
      <c r="H199" s="95"/>
      <c r="I199" s="95"/>
      <c r="J199" s="95"/>
      <c r="K199" s="95"/>
      <c r="L199" s="130"/>
    </row>
    <row r="200" spans="1:12" x14ac:dyDescent="0.2">
      <c r="A200" s="849">
        <v>1</v>
      </c>
      <c r="B200" s="19" t="s">
        <v>744</v>
      </c>
      <c r="C200" s="20" t="s">
        <v>740</v>
      </c>
      <c r="D200" s="49">
        <v>6</v>
      </c>
      <c r="E200" s="883">
        <v>24.5</v>
      </c>
      <c r="F200" s="354">
        <f>(E200*A200)/D200</f>
        <v>4.083333333333333</v>
      </c>
      <c r="H200" s="95"/>
      <c r="I200" s="95"/>
      <c r="J200" s="95"/>
      <c r="K200" s="95"/>
      <c r="L200" s="130"/>
    </row>
    <row r="201" spans="1:12" x14ac:dyDescent="0.2">
      <c r="A201" s="849">
        <v>1</v>
      </c>
      <c r="B201" s="19" t="s">
        <v>743</v>
      </c>
      <c r="C201" s="20" t="s">
        <v>740</v>
      </c>
      <c r="D201" s="49">
        <f>1/4</f>
        <v>0.25</v>
      </c>
      <c r="E201" s="883">
        <v>1.8</v>
      </c>
      <c r="F201" s="354">
        <f>(E201*A201)/D201</f>
        <v>7.2</v>
      </c>
      <c r="H201" s="95"/>
      <c r="I201" s="95"/>
      <c r="J201" s="95"/>
      <c r="K201" s="95"/>
      <c r="L201" s="130"/>
    </row>
    <row r="202" spans="1:12" ht="12.75" thickBot="1" x14ac:dyDescent="0.25">
      <c r="A202" s="849">
        <v>1</v>
      </c>
      <c r="B202" s="19" t="s">
        <v>745</v>
      </c>
      <c r="C202" s="20" t="s">
        <v>80</v>
      </c>
      <c r="D202" s="49">
        <f>1/2</f>
        <v>0.5</v>
      </c>
      <c r="E202" s="883">
        <v>0.55000000000000004</v>
      </c>
      <c r="F202" s="354">
        <f>(E202*A202)/D202</f>
        <v>1.1000000000000001</v>
      </c>
      <c r="H202" s="95"/>
      <c r="I202" s="95"/>
      <c r="J202" s="95"/>
      <c r="K202" s="95"/>
      <c r="L202" s="130"/>
    </row>
    <row r="203" spans="1:12" ht="12.75" thickBot="1" x14ac:dyDescent="0.3">
      <c r="A203" s="845" t="s">
        <v>734</v>
      </c>
      <c r="B203" s="844"/>
      <c r="C203" s="844"/>
      <c r="D203" s="844"/>
      <c r="E203" s="844"/>
      <c r="F203" s="846">
        <f>SUM(F204:F214)</f>
        <v>203.00166666666667</v>
      </c>
      <c r="H203" s="95"/>
      <c r="I203" s="95"/>
      <c r="J203" s="95"/>
      <c r="K203" s="95"/>
      <c r="L203" s="130"/>
    </row>
    <row r="204" spans="1:12" x14ac:dyDescent="0.2">
      <c r="A204" s="848">
        <v>2</v>
      </c>
      <c r="B204" s="301" t="s">
        <v>160</v>
      </c>
      <c r="C204" s="352" t="s">
        <v>80</v>
      </c>
      <c r="D204" s="18">
        <v>4.5</v>
      </c>
      <c r="E204" s="883">
        <v>241.5</v>
      </c>
      <c r="F204" s="353">
        <f t="shared" ref="F204:F214" si="8">(E204*A204)/D204</f>
        <v>107.33333333333333</v>
      </c>
      <c r="H204" s="95"/>
      <c r="I204" s="95"/>
      <c r="J204" s="95"/>
      <c r="K204" s="95"/>
      <c r="L204" s="130"/>
    </row>
    <row r="205" spans="1:12" x14ac:dyDescent="0.2">
      <c r="A205" s="849">
        <v>1</v>
      </c>
      <c r="B205" s="19" t="s">
        <v>752</v>
      </c>
      <c r="C205" s="20" t="s">
        <v>740</v>
      </c>
      <c r="D205" s="49">
        <v>6</v>
      </c>
      <c r="E205" s="884">
        <v>228.3</v>
      </c>
      <c r="F205" s="354">
        <f t="shared" si="8"/>
        <v>38.050000000000004</v>
      </c>
      <c r="H205" s="95"/>
      <c r="I205" s="95"/>
      <c r="J205" s="95"/>
      <c r="K205" s="95"/>
      <c r="L205" s="130"/>
    </row>
    <row r="206" spans="1:12" x14ac:dyDescent="0.2">
      <c r="A206" s="146">
        <v>1</v>
      </c>
      <c r="B206" s="302" t="s">
        <v>154</v>
      </c>
      <c r="C206" s="344" t="s">
        <v>740</v>
      </c>
      <c r="D206" s="346">
        <v>6</v>
      </c>
      <c r="E206" s="884">
        <v>77.27</v>
      </c>
      <c r="F206" s="354">
        <f t="shared" si="8"/>
        <v>12.878333333333332</v>
      </c>
      <c r="H206" s="95"/>
      <c r="I206" s="95"/>
      <c r="J206" s="95"/>
      <c r="K206" s="95"/>
      <c r="L206" s="130"/>
    </row>
    <row r="207" spans="1:12" x14ac:dyDescent="0.2">
      <c r="A207" s="146">
        <v>1</v>
      </c>
      <c r="B207" s="302" t="s">
        <v>157</v>
      </c>
      <c r="C207" s="345" t="s">
        <v>740</v>
      </c>
      <c r="D207" s="347">
        <v>6</v>
      </c>
      <c r="E207" s="884">
        <v>44</v>
      </c>
      <c r="F207" s="354">
        <f t="shared" si="8"/>
        <v>7.333333333333333</v>
      </c>
      <c r="H207" s="95"/>
      <c r="I207" s="95"/>
      <c r="J207" s="95"/>
      <c r="K207" s="95"/>
      <c r="L207" s="130"/>
    </row>
    <row r="208" spans="1:12" x14ac:dyDescent="0.2">
      <c r="A208" s="849">
        <v>1</v>
      </c>
      <c r="B208" s="19" t="s">
        <v>754</v>
      </c>
      <c r="C208" s="20" t="s">
        <v>80</v>
      </c>
      <c r="D208" s="49">
        <v>3</v>
      </c>
      <c r="E208" s="884">
        <v>18.399999999999999</v>
      </c>
      <c r="F208" s="354">
        <f t="shared" si="8"/>
        <v>6.1333333333333329</v>
      </c>
      <c r="H208" s="95"/>
      <c r="I208" s="95"/>
      <c r="J208" s="95"/>
      <c r="K208" s="95"/>
      <c r="L208" s="130"/>
    </row>
    <row r="209" spans="1:12" x14ac:dyDescent="0.2">
      <c r="A209" s="849">
        <v>1</v>
      </c>
      <c r="B209" s="19" t="s">
        <v>750</v>
      </c>
      <c r="C209" s="20" t="s">
        <v>80</v>
      </c>
      <c r="D209" s="49">
        <v>10</v>
      </c>
      <c r="E209" s="884">
        <f>E188</f>
        <v>8.9</v>
      </c>
      <c r="F209" s="354">
        <f t="shared" si="8"/>
        <v>0.89</v>
      </c>
      <c r="H209" s="95"/>
      <c r="I209" s="95"/>
      <c r="J209" s="95"/>
      <c r="K209" s="95"/>
      <c r="L209" s="130"/>
    </row>
    <row r="210" spans="1:12" x14ac:dyDescent="0.2">
      <c r="A210" s="849">
        <v>1</v>
      </c>
      <c r="B210" s="302" t="s">
        <v>159</v>
      </c>
      <c r="C210" s="20" t="s">
        <v>80</v>
      </c>
      <c r="D210" s="49">
        <v>6</v>
      </c>
      <c r="E210" s="884">
        <v>69.900000000000006</v>
      </c>
      <c r="F210" s="354">
        <f t="shared" si="8"/>
        <v>11.65</v>
      </c>
      <c r="H210" s="95"/>
      <c r="I210" s="95"/>
      <c r="J210" s="95"/>
      <c r="K210" s="95"/>
      <c r="L210" s="130"/>
    </row>
    <row r="211" spans="1:12" x14ac:dyDescent="0.2">
      <c r="A211" s="849">
        <v>1</v>
      </c>
      <c r="B211" s="19" t="s">
        <v>753</v>
      </c>
      <c r="C211" s="20" t="s">
        <v>80</v>
      </c>
      <c r="D211" s="49">
        <v>10</v>
      </c>
      <c r="E211" s="884">
        <v>145</v>
      </c>
      <c r="F211" s="354">
        <f t="shared" si="8"/>
        <v>14.5</v>
      </c>
      <c r="H211" s="95"/>
      <c r="I211" s="95"/>
      <c r="J211" s="95"/>
      <c r="K211" s="95"/>
      <c r="L211" s="130"/>
    </row>
    <row r="212" spans="1:12" x14ac:dyDescent="0.2">
      <c r="A212" s="849">
        <v>1</v>
      </c>
      <c r="B212" s="19" t="s">
        <v>738</v>
      </c>
      <c r="C212" s="20" t="s">
        <v>80</v>
      </c>
      <c r="D212" s="49">
        <f>1/2</f>
        <v>0.5</v>
      </c>
      <c r="E212" s="884">
        <f>E189</f>
        <v>0.48</v>
      </c>
      <c r="F212" s="354">
        <f t="shared" si="8"/>
        <v>0.96</v>
      </c>
      <c r="H212" s="95"/>
      <c r="I212" s="95"/>
      <c r="J212" s="95"/>
      <c r="K212" s="95"/>
      <c r="L212" s="130"/>
    </row>
    <row r="213" spans="1:12" x14ac:dyDescent="0.2">
      <c r="A213" s="849">
        <v>1</v>
      </c>
      <c r="B213" s="19" t="s">
        <v>739</v>
      </c>
      <c r="C213" s="20" t="s">
        <v>80</v>
      </c>
      <c r="D213" s="49">
        <v>6</v>
      </c>
      <c r="E213" s="884">
        <f>E190</f>
        <v>4.9000000000000004</v>
      </c>
      <c r="F213" s="354">
        <f t="shared" si="8"/>
        <v>0.81666666666666676</v>
      </c>
      <c r="H213" s="95"/>
      <c r="I213" s="95"/>
      <c r="J213" s="95"/>
      <c r="K213" s="95"/>
      <c r="L213" s="130"/>
    </row>
    <row r="214" spans="1:12" ht="12.75" thickBot="1" x14ac:dyDescent="0.3">
      <c r="A214" s="850">
        <v>1</v>
      </c>
      <c r="B214" s="362" t="s">
        <v>748</v>
      </c>
      <c r="C214" s="355" t="s">
        <v>80</v>
      </c>
      <c r="D214" s="63">
        <v>6</v>
      </c>
      <c r="E214" s="881">
        <f>E192</f>
        <v>14.74</v>
      </c>
      <c r="F214" s="356">
        <f t="shared" si="8"/>
        <v>2.4566666666666666</v>
      </c>
    </row>
    <row r="216" spans="1:12" ht="12.75" thickBot="1" x14ac:dyDescent="0.3">
      <c r="A216" s="836"/>
      <c r="B216" s="836"/>
      <c r="C216" s="836"/>
      <c r="D216" s="836"/>
      <c r="E216" s="836"/>
      <c r="F216" s="836"/>
    </row>
    <row r="217" spans="1:12" ht="13.5" thickTop="1" thickBot="1" x14ac:dyDescent="0.3">
      <c r="A217" s="854"/>
      <c r="B217" s="854"/>
      <c r="C217" s="854"/>
      <c r="D217" s="854"/>
      <c r="E217" s="854"/>
      <c r="F217" s="854"/>
    </row>
    <row r="218" spans="1:12" ht="12.75" thickTop="1" x14ac:dyDescent="0.25"/>
    <row r="226" spans="1:6" ht="12.75" thickBot="1" x14ac:dyDescent="0.3"/>
    <row r="227" spans="1:6" ht="12.75" thickBot="1" x14ac:dyDescent="0.3">
      <c r="A227" s="1731" t="s">
        <v>871</v>
      </c>
      <c r="B227" s="1732"/>
      <c r="C227" s="1733"/>
    </row>
    <row r="228" spans="1:6" x14ac:dyDescent="0.2">
      <c r="A228" s="709" t="s">
        <v>831</v>
      </c>
      <c r="B228" s="525" t="s">
        <v>832</v>
      </c>
      <c r="C228" s="980">
        <v>56.75</v>
      </c>
    </row>
    <row r="229" spans="1:6" x14ac:dyDescent="0.2">
      <c r="A229" s="710" t="s">
        <v>833</v>
      </c>
      <c r="B229" s="513" t="s">
        <v>834</v>
      </c>
      <c r="C229" s="981">
        <f>C228*2</f>
        <v>113.5</v>
      </c>
    </row>
    <row r="230" spans="1:6" x14ac:dyDescent="0.2">
      <c r="A230" s="710" t="s">
        <v>835</v>
      </c>
      <c r="B230" s="513" t="s">
        <v>836</v>
      </c>
      <c r="C230" s="981">
        <v>30</v>
      </c>
    </row>
    <row r="231" spans="1:6" x14ac:dyDescent="0.2">
      <c r="A231" s="710" t="s">
        <v>837</v>
      </c>
      <c r="B231" s="513" t="s">
        <v>838</v>
      </c>
      <c r="C231" s="981">
        <v>714</v>
      </c>
    </row>
    <row r="232" spans="1:6" ht="12.75" thickBot="1" x14ac:dyDescent="0.25">
      <c r="A232" s="711" t="s">
        <v>839</v>
      </c>
      <c r="B232" s="712" t="s">
        <v>840</v>
      </c>
      <c r="C232" s="982">
        <v>1449</v>
      </c>
    </row>
    <row r="235" spans="1:6" ht="12.75" thickBot="1" x14ac:dyDescent="0.3"/>
    <row r="236" spans="1:6" ht="12.75" thickBot="1" x14ac:dyDescent="0.3">
      <c r="A236" s="363" t="s">
        <v>412</v>
      </c>
      <c r="B236" s="842" t="s">
        <v>413</v>
      </c>
      <c r="C236" s="843"/>
      <c r="D236" s="843"/>
      <c r="E236" s="843"/>
      <c r="F236" s="417">
        <f>SUM(F237:F243)</f>
        <v>19447.5</v>
      </c>
    </row>
    <row r="237" spans="1:6" ht="48" x14ac:dyDescent="0.25">
      <c r="A237" s="517" t="s">
        <v>266</v>
      </c>
      <c r="B237" s="519" t="s">
        <v>281</v>
      </c>
      <c r="C237" s="131">
        <v>1</v>
      </c>
      <c r="D237" s="132">
        <v>1</v>
      </c>
      <c r="E237" s="128">
        <f>'MemCalculo (AdmManutEscritorio)'!F160</f>
        <v>1929.5</v>
      </c>
      <c r="F237" s="147">
        <f t="shared" ref="F237:F243" si="9">(C237*D237)*E237</f>
        <v>1929.5</v>
      </c>
    </row>
    <row r="238" spans="1:6" x14ac:dyDescent="0.25">
      <c r="A238" s="23" t="s">
        <v>267</v>
      </c>
      <c r="B238" s="520" t="s">
        <v>44</v>
      </c>
      <c r="C238" s="16">
        <v>1</v>
      </c>
      <c r="D238" s="85">
        <v>1</v>
      </c>
      <c r="E238" s="92">
        <f>'MemCalculo (AdmManutEscritorio)'!F165</f>
        <v>1248.5</v>
      </c>
      <c r="F238" s="148">
        <f t="shared" si="9"/>
        <v>1248.5</v>
      </c>
    </row>
    <row r="239" spans="1:6" x14ac:dyDescent="0.25">
      <c r="A239" s="23" t="s">
        <v>414</v>
      </c>
      <c r="B239" s="520" t="s">
        <v>225</v>
      </c>
      <c r="C239" s="16">
        <v>1</v>
      </c>
      <c r="D239" s="85">
        <v>1</v>
      </c>
      <c r="E239" s="92">
        <f>'MemCalculo (AdmManutEscritorio)'!F168</f>
        <v>5796</v>
      </c>
      <c r="F239" s="148">
        <f t="shared" si="9"/>
        <v>5796</v>
      </c>
    </row>
    <row r="240" spans="1:6" x14ac:dyDescent="0.25">
      <c r="A240" s="23" t="s">
        <v>415</v>
      </c>
      <c r="B240" s="520" t="s">
        <v>690</v>
      </c>
      <c r="C240" s="16">
        <v>1</v>
      </c>
      <c r="D240" s="85">
        <v>1</v>
      </c>
      <c r="E240" s="92">
        <f>'MemCalculo (AdmManutEscritorio)'!F170</f>
        <v>227</v>
      </c>
      <c r="F240" s="148">
        <f t="shared" si="9"/>
        <v>227</v>
      </c>
    </row>
    <row r="241" spans="1:6" ht="24" x14ac:dyDescent="0.25">
      <c r="A241" s="23" t="s">
        <v>416</v>
      </c>
      <c r="B241" s="520" t="s">
        <v>45</v>
      </c>
      <c r="C241" s="16">
        <v>1</v>
      </c>
      <c r="D241" s="590">
        <v>1</v>
      </c>
      <c r="E241" s="92">
        <f>'MemCalculo (AdmManutEscritorio)'!F172</f>
        <v>3683.5</v>
      </c>
      <c r="F241" s="148">
        <f t="shared" si="9"/>
        <v>3683.5</v>
      </c>
    </row>
    <row r="242" spans="1:6" x14ac:dyDescent="0.25">
      <c r="A242" s="23" t="s">
        <v>417</v>
      </c>
      <c r="B242" s="520" t="s">
        <v>283</v>
      </c>
      <c r="C242" s="16">
        <v>1</v>
      </c>
      <c r="D242" s="85">
        <v>1</v>
      </c>
      <c r="E242" s="92">
        <f>'MemCalculo (AdmManutEscritorio)'!F175</f>
        <v>227</v>
      </c>
      <c r="F242" s="148">
        <f t="shared" si="9"/>
        <v>227</v>
      </c>
    </row>
    <row r="243" spans="1:6" ht="12.75" thickBot="1" x14ac:dyDescent="0.3">
      <c r="A243" s="518" t="s">
        <v>418</v>
      </c>
      <c r="B243" s="521" t="s">
        <v>849</v>
      </c>
      <c r="C243" s="17">
        <v>1</v>
      </c>
      <c r="D243" s="88">
        <v>1</v>
      </c>
      <c r="E243" s="94">
        <f>'MemCalculo (AdmManutEscritorio)'!F177</f>
        <v>6336</v>
      </c>
      <c r="F243" s="149">
        <f t="shared" si="9"/>
        <v>6336</v>
      </c>
    </row>
    <row r="246" spans="1:6" x14ac:dyDescent="0.25">
      <c r="B246" s="1721" t="s">
        <v>728</v>
      </c>
      <c r="C246" s="1721"/>
      <c r="D246" s="1721"/>
      <c r="E246" s="1721"/>
      <c r="F246" s="1721"/>
    </row>
    <row r="247" spans="1:6" x14ac:dyDescent="0.25">
      <c r="B247" s="19" t="s">
        <v>640</v>
      </c>
      <c r="C247" s="20" t="s">
        <v>637</v>
      </c>
      <c r="D247" s="20" t="s">
        <v>638</v>
      </c>
      <c r="E247" s="837" t="s">
        <v>639</v>
      </c>
      <c r="F247" s="20" t="s">
        <v>644</v>
      </c>
    </row>
    <row r="248" spans="1:6" x14ac:dyDescent="0.25">
      <c r="B248" s="19" t="s">
        <v>633</v>
      </c>
      <c r="C248" s="20">
        <v>96</v>
      </c>
      <c r="D248" s="20">
        <v>58</v>
      </c>
      <c r="E248" s="837">
        <v>38</v>
      </c>
      <c r="F248" s="20">
        <v>0</v>
      </c>
    </row>
    <row r="249" spans="1:6" x14ac:dyDescent="0.25">
      <c r="B249" s="19" t="s">
        <v>636</v>
      </c>
      <c r="C249" s="20">
        <v>59</v>
      </c>
      <c r="D249" s="20">
        <v>35</v>
      </c>
      <c r="E249" s="837">
        <v>23</v>
      </c>
      <c r="F249" s="20">
        <v>1</v>
      </c>
    </row>
    <row r="250" spans="1:6" x14ac:dyDescent="0.25">
      <c r="B250" s="19"/>
      <c r="C250" s="20">
        <v>155</v>
      </c>
      <c r="D250" s="20"/>
      <c r="E250" s="837"/>
      <c r="F250" s="20"/>
    </row>
    <row r="251" spans="1:6" x14ac:dyDescent="0.25">
      <c r="B251" s="19" t="s">
        <v>729</v>
      </c>
      <c r="C251" s="20">
        <v>14</v>
      </c>
      <c r="D251" s="20">
        <v>58</v>
      </c>
      <c r="E251" s="837">
        <v>38</v>
      </c>
      <c r="F251" s="20">
        <v>0</v>
      </c>
    </row>
    <row r="252" spans="1:6" x14ac:dyDescent="0.25">
      <c r="B252" s="19" t="s">
        <v>730</v>
      </c>
      <c r="C252" s="20">
        <v>76</v>
      </c>
      <c r="D252" s="20">
        <v>35</v>
      </c>
      <c r="E252" s="837">
        <v>23</v>
      </c>
      <c r="F252" s="20">
        <v>1</v>
      </c>
    </row>
    <row r="253" spans="1:6" x14ac:dyDescent="0.25">
      <c r="B253" s="19" t="s">
        <v>731</v>
      </c>
      <c r="C253" s="20">
        <v>30</v>
      </c>
      <c r="D253" s="20"/>
      <c r="E253" s="837"/>
      <c r="F253" s="20"/>
    </row>
  </sheetData>
  <sortState ref="A273:F295">
    <sortCondition ref="B161:B183"/>
  </sortState>
  <mergeCells count="33">
    <mergeCell ref="B159:F159"/>
    <mergeCell ref="B160:E162"/>
    <mergeCell ref="B175:E175"/>
    <mergeCell ref="B14:F14"/>
    <mergeCell ref="B83:F83"/>
    <mergeCell ref="A56:E56"/>
    <mergeCell ref="A155:F155"/>
    <mergeCell ref="B156:F156"/>
    <mergeCell ref="B58:F58"/>
    <mergeCell ref="A81:E81"/>
    <mergeCell ref="B107:F107"/>
    <mergeCell ref="A129:E129"/>
    <mergeCell ref="B131:F131"/>
    <mergeCell ref="A153:E153"/>
    <mergeCell ref="A105:E105"/>
    <mergeCell ref="B246:F246"/>
    <mergeCell ref="B177:E177"/>
    <mergeCell ref="B172:E172"/>
    <mergeCell ref="A160:A162"/>
    <mergeCell ref="F160:F162"/>
    <mergeCell ref="B165:E165"/>
    <mergeCell ref="B168:E168"/>
    <mergeCell ref="B170:E170"/>
    <mergeCell ref="A227:C227"/>
    <mergeCell ref="B182:F182"/>
    <mergeCell ref="A180:E180"/>
    <mergeCell ref="A11:F12"/>
    <mergeCell ref="A9:F9"/>
    <mergeCell ref="A1:F1"/>
    <mergeCell ref="A2:F2"/>
    <mergeCell ref="A4:F5"/>
    <mergeCell ref="A7:F7"/>
    <mergeCell ref="A8:D8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79" fitToHeight="0" orientation="portrait" horizontalDpi="4294967294" verticalDpi="4294967294" r:id="rId1"/>
  <rowBreaks count="4" manualBreakCount="4">
    <brk id="57" max="5" man="1"/>
    <brk id="105" max="5" man="1"/>
    <brk id="158" max="5" man="1"/>
    <brk id="219" max="5" man="1"/>
  </row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view="pageBreakPreview" topLeftCell="A4" zoomScale="60" zoomScaleNormal="100" workbookViewId="0">
      <selection activeCell="H36" sqref="H36"/>
    </sheetView>
  </sheetViews>
  <sheetFormatPr defaultRowHeight="12.75" x14ac:dyDescent="0.25"/>
  <cols>
    <col min="1" max="1" width="9.85546875" style="53" bestFit="1" customWidth="1"/>
    <col min="2" max="2" width="72.28515625" style="51" bestFit="1" customWidth="1"/>
    <col min="3" max="3" width="6.5703125" style="53" bestFit="1" customWidth="1"/>
    <col min="4" max="4" width="11.140625" style="53" bestFit="1" customWidth="1"/>
    <col min="5" max="16384" width="9.140625" style="51"/>
  </cols>
  <sheetData>
    <row r="1" spans="1:6" x14ac:dyDescent="0.25">
      <c r="A1" s="1062" t="s">
        <v>294</v>
      </c>
      <c r="B1" s="1063"/>
      <c r="C1" s="1063"/>
      <c r="D1" s="1064"/>
    </row>
    <row r="2" spans="1:6" x14ac:dyDescent="0.25">
      <c r="A2" s="1065" t="s">
        <v>295</v>
      </c>
      <c r="B2" s="1066"/>
      <c r="C2" s="1066"/>
      <c r="D2" s="1067"/>
    </row>
    <row r="3" spans="1:6" ht="13.5" thickBot="1" x14ac:dyDescent="0.3">
      <c r="A3" s="1068"/>
      <c r="B3" s="1069"/>
      <c r="C3" s="1069"/>
      <c r="D3" s="1070"/>
    </row>
    <row r="4" spans="1:6" ht="13.5" thickBot="1" x14ac:dyDescent="0.3">
      <c r="A4" s="184"/>
      <c r="B4" s="82"/>
      <c r="C4" s="184"/>
      <c r="D4" s="83"/>
    </row>
    <row r="5" spans="1:6" x14ac:dyDescent="0.25">
      <c r="A5" s="1074" t="s">
        <v>292</v>
      </c>
      <c r="B5" s="1075"/>
      <c r="C5" s="1075"/>
      <c r="D5" s="1076"/>
    </row>
    <row r="6" spans="1:6" ht="13.5" thickBot="1" x14ac:dyDescent="0.3">
      <c r="A6" s="1080"/>
      <c r="B6" s="1081"/>
      <c r="C6" s="1081"/>
      <c r="D6" s="1082"/>
    </row>
    <row r="7" spans="1:6" ht="13.5" thickBot="1" x14ac:dyDescent="0.3">
      <c r="A7" s="184"/>
      <c r="B7" s="82"/>
      <c r="C7" s="83"/>
      <c r="D7" s="83"/>
    </row>
    <row r="8" spans="1:6" ht="13.5" thickBot="1" x14ac:dyDescent="0.3">
      <c r="A8" s="1071" t="s">
        <v>873</v>
      </c>
      <c r="B8" s="1072"/>
      <c r="C8" s="1072"/>
      <c r="D8" s="1073"/>
    </row>
    <row r="10" spans="1:6" ht="13.5" thickBot="1" x14ac:dyDescent="0.3"/>
    <row r="11" spans="1:6" x14ac:dyDescent="0.25">
      <c r="A11" s="1759" t="s">
        <v>663</v>
      </c>
      <c r="B11" s="1761" t="s">
        <v>664</v>
      </c>
      <c r="C11" s="1761" t="s">
        <v>667</v>
      </c>
      <c r="D11" s="1763"/>
    </row>
    <row r="12" spans="1:6" ht="13.5" thickBot="1" x14ac:dyDescent="0.3">
      <c r="A12" s="1760"/>
      <c r="B12" s="1762"/>
      <c r="C12" s="226" t="s">
        <v>665</v>
      </c>
      <c r="D12" s="227" t="s">
        <v>666</v>
      </c>
    </row>
    <row r="13" spans="1:6" x14ac:dyDescent="0.25">
      <c r="A13" s="224" t="s">
        <v>13</v>
      </c>
      <c r="B13" s="228" t="s">
        <v>662</v>
      </c>
      <c r="C13" s="978">
        <v>122.4</v>
      </c>
      <c r="D13" s="978">
        <f>C13*176</f>
        <v>21542.400000000001</v>
      </c>
      <c r="F13" s="225"/>
    </row>
    <row r="14" spans="1:6" x14ac:dyDescent="0.25">
      <c r="A14" s="223" t="s">
        <v>14</v>
      </c>
      <c r="B14" s="229" t="s">
        <v>669</v>
      </c>
      <c r="C14" s="979">
        <v>99.75</v>
      </c>
      <c r="D14" s="979">
        <f t="shared" ref="D14:D30" si="0">C14*176</f>
        <v>17556</v>
      </c>
    </row>
    <row r="15" spans="1:6" x14ac:dyDescent="0.25">
      <c r="A15" s="223" t="s">
        <v>15</v>
      </c>
      <c r="B15" s="229" t="s">
        <v>671</v>
      </c>
      <c r="C15" s="979">
        <v>75.97</v>
      </c>
      <c r="D15" s="979">
        <f t="shared" si="0"/>
        <v>13370.72</v>
      </c>
    </row>
    <row r="16" spans="1:6" x14ac:dyDescent="0.25">
      <c r="A16" s="223" t="s">
        <v>17</v>
      </c>
      <c r="B16" s="229" t="s">
        <v>672</v>
      </c>
      <c r="C16" s="979">
        <v>57.48</v>
      </c>
      <c r="D16" s="979">
        <f t="shared" si="0"/>
        <v>10116.48</v>
      </c>
    </row>
    <row r="17" spans="1:4" x14ac:dyDescent="0.25">
      <c r="A17" s="223" t="s">
        <v>227</v>
      </c>
      <c r="B17" s="229" t="s">
        <v>670</v>
      </c>
      <c r="C17" s="979">
        <v>47.44</v>
      </c>
      <c r="D17" s="979">
        <f t="shared" si="0"/>
        <v>8349.4399999999987</v>
      </c>
    </row>
    <row r="18" spans="1:4" x14ac:dyDescent="0.25">
      <c r="A18" s="223" t="s">
        <v>36</v>
      </c>
      <c r="B18" s="229" t="s">
        <v>673</v>
      </c>
      <c r="C18" s="979">
        <v>45.25</v>
      </c>
      <c r="D18" s="979">
        <f t="shared" si="0"/>
        <v>7964</v>
      </c>
    </row>
    <row r="19" spans="1:4" x14ac:dyDescent="0.25">
      <c r="A19" s="223" t="s">
        <v>22</v>
      </c>
      <c r="B19" s="229" t="s">
        <v>674</v>
      </c>
      <c r="C19" s="979">
        <v>43.16</v>
      </c>
      <c r="D19" s="979">
        <f t="shared" si="0"/>
        <v>7596.16</v>
      </c>
    </row>
    <row r="20" spans="1:4" x14ac:dyDescent="0.25">
      <c r="A20" s="223" t="s">
        <v>19</v>
      </c>
      <c r="B20" s="229" t="s">
        <v>675</v>
      </c>
      <c r="C20" s="979">
        <v>36.4</v>
      </c>
      <c r="D20" s="979">
        <f t="shared" si="0"/>
        <v>6406.4</v>
      </c>
    </row>
    <row r="21" spans="1:4" x14ac:dyDescent="0.25">
      <c r="A21" s="223" t="s">
        <v>20</v>
      </c>
      <c r="B21" s="229" t="s">
        <v>676</v>
      </c>
      <c r="C21" s="979">
        <v>28</v>
      </c>
      <c r="D21" s="979">
        <f t="shared" si="0"/>
        <v>4928</v>
      </c>
    </row>
    <row r="22" spans="1:4" x14ac:dyDescent="0.25">
      <c r="A22" s="223" t="s">
        <v>580</v>
      </c>
      <c r="B22" s="229" t="s">
        <v>677</v>
      </c>
      <c r="C22" s="979">
        <v>24.47</v>
      </c>
      <c r="D22" s="979">
        <f t="shared" si="0"/>
        <v>4306.7199999999993</v>
      </c>
    </row>
    <row r="23" spans="1:4" x14ac:dyDescent="0.25">
      <c r="A23" s="223" t="s">
        <v>24</v>
      </c>
      <c r="B23" s="229" t="s">
        <v>678</v>
      </c>
      <c r="C23" s="979">
        <v>12.5</v>
      </c>
      <c r="D23" s="979">
        <f t="shared" si="0"/>
        <v>2200</v>
      </c>
    </row>
    <row r="24" spans="1:4" x14ac:dyDescent="0.25">
      <c r="A24" s="223" t="s">
        <v>668</v>
      </c>
      <c r="B24" s="229" t="s">
        <v>679</v>
      </c>
      <c r="C24" s="979">
        <v>9.15</v>
      </c>
      <c r="D24" s="979">
        <f t="shared" si="0"/>
        <v>1610.4</v>
      </c>
    </row>
    <row r="25" spans="1:4" x14ac:dyDescent="0.25">
      <c r="A25" s="223" t="s">
        <v>95</v>
      </c>
      <c r="B25" s="229" t="s">
        <v>680</v>
      </c>
      <c r="C25" s="979">
        <v>28.54</v>
      </c>
      <c r="D25" s="979">
        <f t="shared" si="0"/>
        <v>5023.04</v>
      </c>
    </row>
    <row r="26" spans="1:4" x14ac:dyDescent="0.25">
      <c r="A26" s="223" t="s">
        <v>96</v>
      </c>
      <c r="B26" s="229" t="s">
        <v>681</v>
      </c>
      <c r="C26" s="979">
        <v>23.55</v>
      </c>
      <c r="D26" s="979">
        <f t="shared" si="0"/>
        <v>4144.8</v>
      </c>
    </row>
    <row r="27" spans="1:4" x14ac:dyDescent="0.25">
      <c r="A27" s="223" t="s">
        <v>65</v>
      </c>
      <c r="B27" s="229" t="s">
        <v>683</v>
      </c>
      <c r="C27" s="979">
        <v>21.07</v>
      </c>
      <c r="D27" s="979">
        <f t="shared" si="0"/>
        <v>3708.32</v>
      </c>
    </row>
    <row r="28" spans="1:4" x14ac:dyDescent="0.25">
      <c r="A28" s="223" t="s">
        <v>464</v>
      </c>
      <c r="B28" s="229" t="s">
        <v>682</v>
      </c>
      <c r="C28" s="979">
        <v>13.85</v>
      </c>
      <c r="D28" s="979">
        <f t="shared" si="0"/>
        <v>2437.6</v>
      </c>
    </row>
    <row r="29" spans="1:4" x14ac:dyDescent="0.25">
      <c r="A29" s="223" t="s">
        <v>97</v>
      </c>
      <c r="B29" s="229" t="s">
        <v>684</v>
      </c>
      <c r="C29" s="979">
        <v>10.14</v>
      </c>
      <c r="D29" s="979">
        <f t="shared" si="0"/>
        <v>1784.64</v>
      </c>
    </row>
    <row r="30" spans="1:4" x14ac:dyDescent="0.25">
      <c r="A30" s="223" t="s">
        <v>66</v>
      </c>
      <c r="B30" s="229" t="s">
        <v>685</v>
      </c>
      <c r="C30" s="979">
        <v>6.38</v>
      </c>
      <c r="D30" s="979">
        <f t="shared" si="0"/>
        <v>1122.8799999999999</v>
      </c>
    </row>
    <row r="32" spans="1:4" ht="13.5" thickBot="1" x14ac:dyDescent="0.3"/>
    <row r="33" spans="1:4" ht="13.5" thickBot="1" x14ac:dyDescent="0.3">
      <c r="A33" s="1071" t="s">
        <v>874</v>
      </c>
      <c r="B33" s="1072"/>
      <c r="C33" s="1072"/>
      <c r="D33" s="1073"/>
    </row>
    <row r="35" spans="1:4" ht="13.5" thickBot="1" x14ac:dyDescent="0.3"/>
    <row r="36" spans="1:4" x14ac:dyDescent="0.25">
      <c r="A36" s="1759" t="s">
        <v>663</v>
      </c>
      <c r="B36" s="1761" t="s">
        <v>664</v>
      </c>
      <c r="C36" s="1761" t="s">
        <v>667</v>
      </c>
      <c r="D36" s="1763"/>
    </row>
    <row r="37" spans="1:4" ht="13.5" thickBot="1" x14ac:dyDescent="0.3">
      <c r="A37" s="1760"/>
      <c r="B37" s="1762"/>
      <c r="C37" s="275" t="s">
        <v>665</v>
      </c>
      <c r="D37" s="227" t="s">
        <v>666</v>
      </c>
    </row>
    <row r="38" spans="1:4" x14ac:dyDescent="0.25">
      <c r="A38" s="224" t="s">
        <v>13</v>
      </c>
      <c r="B38" s="228" t="s">
        <v>662</v>
      </c>
      <c r="C38" s="978">
        <v>122.14</v>
      </c>
      <c r="D38" s="978">
        <f>C38*176</f>
        <v>21496.639999999999</v>
      </c>
    </row>
    <row r="39" spans="1:4" x14ac:dyDescent="0.25">
      <c r="A39" s="223" t="s">
        <v>14</v>
      </c>
      <c r="B39" s="229" t="s">
        <v>669</v>
      </c>
      <c r="C39" s="979">
        <v>101</v>
      </c>
      <c r="D39" s="979">
        <f t="shared" ref="D39:D55" si="1">C39*176</f>
        <v>17776</v>
      </c>
    </row>
    <row r="40" spans="1:4" x14ac:dyDescent="0.25">
      <c r="A40" s="223" t="s">
        <v>15</v>
      </c>
      <c r="B40" s="229" t="s">
        <v>671</v>
      </c>
      <c r="C40" s="979">
        <v>78.040000000000006</v>
      </c>
      <c r="D40" s="979">
        <f t="shared" si="1"/>
        <v>13735.04</v>
      </c>
    </row>
    <row r="41" spans="1:4" x14ac:dyDescent="0.25">
      <c r="A41" s="223" t="s">
        <v>17</v>
      </c>
      <c r="B41" s="229" t="s">
        <v>672</v>
      </c>
      <c r="C41" s="979">
        <v>59.69</v>
      </c>
      <c r="D41" s="979">
        <f t="shared" si="1"/>
        <v>10505.439999999999</v>
      </c>
    </row>
    <row r="42" spans="1:4" x14ac:dyDescent="0.25">
      <c r="A42" s="223" t="s">
        <v>227</v>
      </c>
      <c r="B42" s="229" t="s">
        <v>670</v>
      </c>
      <c r="C42" s="979">
        <v>49.54</v>
      </c>
      <c r="D42" s="979">
        <f t="shared" si="1"/>
        <v>8719.0399999999991</v>
      </c>
    </row>
    <row r="43" spans="1:4" x14ac:dyDescent="0.25">
      <c r="A43" s="223" t="s">
        <v>36</v>
      </c>
      <c r="B43" s="229" t="s">
        <v>673</v>
      </c>
      <c r="C43" s="979">
        <v>45.25</v>
      </c>
      <c r="D43" s="979">
        <f t="shared" si="1"/>
        <v>7964</v>
      </c>
    </row>
    <row r="44" spans="1:4" x14ac:dyDescent="0.25">
      <c r="A44" s="223" t="s">
        <v>22</v>
      </c>
      <c r="B44" s="229" t="s">
        <v>674</v>
      </c>
      <c r="C44" s="979">
        <v>45.25</v>
      </c>
      <c r="D44" s="979">
        <f t="shared" si="1"/>
        <v>7964</v>
      </c>
    </row>
    <row r="45" spans="1:4" x14ac:dyDescent="0.25">
      <c r="A45" s="223" t="s">
        <v>19</v>
      </c>
      <c r="B45" s="229" t="s">
        <v>675</v>
      </c>
      <c r="C45" s="979">
        <v>35.21</v>
      </c>
      <c r="D45" s="979">
        <f t="shared" si="1"/>
        <v>6196.96</v>
      </c>
    </row>
    <row r="46" spans="1:4" x14ac:dyDescent="0.25">
      <c r="A46" s="223" t="s">
        <v>20</v>
      </c>
      <c r="B46" s="229" t="s">
        <v>676</v>
      </c>
      <c r="C46" s="979">
        <v>24.91</v>
      </c>
      <c r="D46" s="979">
        <f t="shared" si="1"/>
        <v>4384.16</v>
      </c>
    </row>
    <row r="47" spans="1:4" x14ac:dyDescent="0.25">
      <c r="A47" s="223" t="s">
        <v>580</v>
      </c>
      <c r="B47" s="229" t="s">
        <v>677</v>
      </c>
      <c r="C47" s="979">
        <v>21.12</v>
      </c>
      <c r="D47" s="979">
        <f t="shared" si="1"/>
        <v>3717.1200000000003</v>
      </c>
    </row>
    <row r="48" spans="1:4" x14ac:dyDescent="0.25">
      <c r="A48" s="223" t="s">
        <v>24</v>
      </c>
      <c r="B48" s="229" t="s">
        <v>678</v>
      </c>
      <c r="C48" s="979">
        <v>9.82</v>
      </c>
      <c r="D48" s="979">
        <f t="shared" si="1"/>
        <v>1728.3200000000002</v>
      </c>
    </row>
    <row r="49" spans="1:4" x14ac:dyDescent="0.25">
      <c r="A49" s="223" t="s">
        <v>668</v>
      </c>
      <c r="B49" s="229" t="s">
        <v>679</v>
      </c>
      <c r="C49" s="979">
        <v>7.04</v>
      </c>
      <c r="D49" s="979">
        <f t="shared" si="1"/>
        <v>1239.04</v>
      </c>
    </row>
    <row r="50" spans="1:4" x14ac:dyDescent="0.25">
      <c r="A50" s="223" t="s">
        <v>95</v>
      </c>
      <c r="B50" s="229" t="s">
        <v>680</v>
      </c>
      <c r="C50" s="979">
        <v>29.93</v>
      </c>
      <c r="D50" s="979">
        <f t="shared" si="1"/>
        <v>5267.68</v>
      </c>
    </row>
    <row r="51" spans="1:4" x14ac:dyDescent="0.25">
      <c r="A51" s="223" t="s">
        <v>96</v>
      </c>
      <c r="B51" s="229" t="s">
        <v>681</v>
      </c>
      <c r="C51" s="979">
        <v>27.05</v>
      </c>
      <c r="D51" s="979">
        <f t="shared" si="1"/>
        <v>4760.8</v>
      </c>
    </row>
    <row r="52" spans="1:4" x14ac:dyDescent="0.25">
      <c r="A52" s="223" t="s">
        <v>65</v>
      </c>
      <c r="B52" s="229" t="s">
        <v>683</v>
      </c>
      <c r="C52" s="979">
        <v>25.31</v>
      </c>
      <c r="D52" s="979">
        <f t="shared" si="1"/>
        <v>4454.5599999999995</v>
      </c>
    </row>
    <row r="53" spans="1:4" x14ac:dyDescent="0.25">
      <c r="A53" s="223" t="s">
        <v>464</v>
      </c>
      <c r="B53" s="229" t="s">
        <v>682</v>
      </c>
      <c r="C53" s="979">
        <v>18.920000000000002</v>
      </c>
      <c r="D53" s="979">
        <f t="shared" si="1"/>
        <v>3329.92</v>
      </c>
    </row>
    <row r="54" spans="1:4" x14ac:dyDescent="0.25">
      <c r="A54" s="223" t="s">
        <v>97</v>
      </c>
      <c r="B54" s="229" t="s">
        <v>684</v>
      </c>
      <c r="C54" s="979">
        <v>14.8</v>
      </c>
      <c r="D54" s="979">
        <f t="shared" si="1"/>
        <v>2604.8000000000002</v>
      </c>
    </row>
    <row r="55" spans="1:4" x14ac:dyDescent="0.25">
      <c r="A55" s="223" t="s">
        <v>66</v>
      </c>
      <c r="B55" s="229" t="s">
        <v>685</v>
      </c>
      <c r="C55" s="979">
        <v>9.91</v>
      </c>
      <c r="D55" s="979">
        <f t="shared" si="1"/>
        <v>1744.16</v>
      </c>
    </row>
  </sheetData>
  <mergeCells count="12">
    <mergeCell ref="A33:D33"/>
    <mergeCell ref="A36:A37"/>
    <mergeCell ref="B36:B37"/>
    <mergeCell ref="C36:D36"/>
    <mergeCell ref="C11:D11"/>
    <mergeCell ref="B11:B12"/>
    <mergeCell ref="A11:A12"/>
    <mergeCell ref="A1:D1"/>
    <mergeCell ref="A2:D2"/>
    <mergeCell ref="A3:D3"/>
    <mergeCell ref="A5:D6"/>
    <mergeCell ref="A8:D8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85" orientation="portrait" horizontalDpi="4294967294" verticalDpi="4294967294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77"/>
  <sheetViews>
    <sheetView workbookViewId="0">
      <selection activeCell="F16" sqref="F1:F1048576"/>
    </sheetView>
  </sheetViews>
  <sheetFormatPr defaultRowHeight="15" x14ac:dyDescent="0.25"/>
  <cols>
    <col min="1" max="1" width="11.42578125" style="8" bestFit="1" customWidth="1"/>
    <col min="2" max="2" width="14.85546875" style="8" bestFit="1" customWidth="1"/>
    <col min="3" max="3" width="24.85546875" style="8" bestFit="1" customWidth="1"/>
    <col min="4" max="4" width="26.85546875" style="8" customWidth="1"/>
    <col min="5" max="5" width="24.85546875" style="8" bestFit="1" customWidth="1"/>
    <col min="6" max="6" width="15.42578125" style="8" bestFit="1" customWidth="1"/>
    <col min="7" max="7" width="12.28515625" style="8" bestFit="1" customWidth="1"/>
    <col min="8" max="9" width="11.28515625" style="8" bestFit="1" customWidth="1"/>
    <col min="10" max="10" width="12.28515625" style="8" bestFit="1" customWidth="1"/>
    <col min="11" max="11" width="4.42578125" style="8" bestFit="1" customWidth="1"/>
    <col min="12" max="12" width="15.7109375" style="8" bestFit="1" customWidth="1"/>
    <col min="13" max="13" width="30.140625" style="8" bestFit="1" customWidth="1"/>
    <col min="14" max="14" width="16.42578125" style="8" bestFit="1" customWidth="1"/>
  </cols>
  <sheetData>
    <row r="3" spans="1:11" ht="15.75" thickBot="1" x14ac:dyDescent="0.3"/>
    <row r="4" spans="1:11" x14ac:dyDescent="0.25">
      <c r="A4" s="1766" t="s">
        <v>891</v>
      </c>
      <c r="B4" s="1767"/>
      <c r="C4" s="1767"/>
      <c r="D4" s="1767"/>
      <c r="E4" s="1768"/>
    </row>
    <row r="5" spans="1:11" ht="15.75" thickBot="1" x14ac:dyDescent="0.3">
      <c r="A5" s="1769"/>
      <c r="B5" s="1770"/>
      <c r="C5" s="1770"/>
      <c r="D5" s="1770"/>
      <c r="E5" s="1771"/>
    </row>
    <row r="6" spans="1:11" ht="15.75" thickBot="1" x14ac:dyDescent="0.3">
      <c r="A6" s="1772" t="s">
        <v>43</v>
      </c>
      <c r="B6" s="1778" t="s">
        <v>501</v>
      </c>
      <c r="C6" s="1778"/>
      <c r="D6" s="1778"/>
      <c r="E6" s="1779"/>
      <c r="F6" s="1764" t="s">
        <v>48</v>
      </c>
    </row>
    <row r="7" spans="1:11" ht="15.75" thickBot="1" x14ac:dyDescent="0.3">
      <c r="A7" s="1773"/>
      <c r="B7" s="622" t="s">
        <v>912</v>
      </c>
      <c r="C7" s="620" t="s">
        <v>913</v>
      </c>
      <c r="D7" s="620" t="s">
        <v>934</v>
      </c>
      <c r="E7" s="621" t="s">
        <v>885</v>
      </c>
      <c r="F7" s="1765"/>
    </row>
    <row r="8" spans="1:11" ht="15.75" thickTop="1" x14ac:dyDescent="0.25">
      <c r="A8" s="626">
        <v>1</v>
      </c>
      <c r="B8" s="623">
        <f>'Preco por Produto'!C18</f>
        <v>14302900.640000004</v>
      </c>
      <c r="C8" s="50">
        <f>'Preco por Produto'!C22</f>
        <v>10269145.017648006</v>
      </c>
      <c r="D8" s="50">
        <f>'Preco por Produto'!C25</f>
        <v>573416</v>
      </c>
      <c r="E8" s="50">
        <f>'Preco por Produto'!C27</f>
        <v>1929.5</v>
      </c>
      <c r="F8" s="567">
        <f t="shared" ref="F8:F15" si="0">SUM(B8:E8)</f>
        <v>25147391.157648012</v>
      </c>
      <c r="G8" s="550">
        <f t="shared" ref="G8:G16" si="1">B8+C8+D8</f>
        <v>25145461.657648012</v>
      </c>
      <c r="I8" s="637">
        <f>G8-'Resumo Total'!C20</f>
        <v>0</v>
      </c>
      <c r="J8" s="550">
        <f t="shared" ref="J8:J16" si="2">(B8+C8+D8)</f>
        <v>25145461.657648012</v>
      </c>
      <c r="K8" s="550"/>
    </row>
    <row r="9" spans="1:11" x14ac:dyDescent="0.25">
      <c r="A9" s="627" t="s">
        <v>909</v>
      </c>
      <c r="B9" s="624">
        <f>'Preco por Produto'!C43</f>
        <v>403779.19999999995</v>
      </c>
      <c r="C9" s="49">
        <f>'Preco por Produto'!C48</f>
        <v>293628.23423999996</v>
      </c>
      <c r="D9" s="49">
        <f>'Preco por Produto'!C52</f>
        <v>17404</v>
      </c>
      <c r="E9" s="49">
        <f>'Preco por Produto'!C54</f>
        <v>1248.5</v>
      </c>
      <c r="F9" s="568">
        <f t="shared" si="0"/>
        <v>716059.93423999986</v>
      </c>
      <c r="G9" s="550">
        <f t="shared" si="1"/>
        <v>714811.43423999986</v>
      </c>
      <c r="H9" s="550">
        <f>G9+G10</f>
        <v>2079498.272136</v>
      </c>
      <c r="I9" s="637">
        <f>H9-'Resumo Total'!C21</f>
        <v>2.1359999664127827E-3</v>
      </c>
      <c r="J9" s="550">
        <f t="shared" si="2"/>
        <v>714811.43423999986</v>
      </c>
    </row>
    <row r="10" spans="1:11" x14ac:dyDescent="0.25">
      <c r="A10" s="627" t="s">
        <v>910</v>
      </c>
      <c r="B10" s="624">
        <f>'Preco por Produto'!D43</f>
        <v>638211.12000000011</v>
      </c>
      <c r="C10" s="49">
        <f>'Preco por Produto'!D48</f>
        <v>726475.71789600013</v>
      </c>
      <c r="D10" s="49">
        <f>'Preco por Produto'!D52</f>
        <v>0</v>
      </c>
      <c r="E10" s="49">
        <f>'Preco por Produto'!D54</f>
        <v>0</v>
      </c>
      <c r="F10" s="568">
        <f t="shared" si="0"/>
        <v>1364686.8378960001</v>
      </c>
      <c r="G10" s="550">
        <f t="shared" si="1"/>
        <v>1364686.8378960001</v>
      </c>
      <c r="I10" s="637">
        <f>G11-'Resumo Total'!C22</f>
        <v>0</v>
      </c>
      <c r="J10" s="550">
        <f t="shared" si="2"/>
        <v>1364686.8378960001</v>
      </c>
    </row>
    <row r="11" spans="1:11" x14ac:dyDescent="0.25">
      <c r="A11" s="627">
        <v>3</v>
      </c>
      <c r="B11" s="624">
        <f>'Preco por Produto'!C76</f>
        <v>160036.79999999999</v>
      </c>
      <c r="C11" s="49">
        <f>'Preco por Produto'!C80</f>
        <v>115658.59535999999</v>
      </c>
      <c r="D11" s="49">
        <f>'Preco por Produto'!C83</f>
        <v>8244</v>
      </c>
      <c r="E11" s="49">
        <f>'Preco por Produto'!C85</f>
        <v>5796</v>
      </c>
      <c r="F11" s="568">
        <f t="shared" si="0"/>
        <v>289735.39535999997</v>
      </c>
      <c r="G11" s="550">
        <f t="shared" si="1"/>
        <v>283939.39535999997</v>
      </c>
      <c r="I11" s="637">
        <f>G12-'Resumo Total'!C23</f>
        <v>0</v>
      </c>
      <c r="J11" s="550">
        <f t="shared" si="2"/>
        <v>283939.39535999997</v>
      </c>
    </row>
    <row r="12" spans="1:11" x14ac:dyDescent="0.25">
      <c r="A12" s="627">
        <v>4</v>
      </c>
      <c r="B12" s="624">
        <f>'Preco por Produto'!C100</f>
        <v>1248823.68</v>
      </c>
      <c r="C12" s="49">
        <f>'Preco por Produto'!C104</f>
        <v>804462.67372800002</v>
      </c>
      <c r="D12" s="49">
        <f>'Preco por Produto'!C107</f>
        <v>49464</v>
      </c>
      <c r="E12" s="49">
        <f>'Preco por Produto'!C109</f>
        <v>227</v>
      </c>
      <c r="F12" s="568">
        <f t="shared" si="0"/>
        <v>2102977.3537280001</v>
      </c>
      <c r="G12" s="550">
        <f t="shared" si="1"/>
        <v>2102750.3537280001</v>
      </c>
      <c r="I12" s="637">
        <f>G13-'Resumo Total'!C24</f>
        <v>0</v>
      </c>
      <c r="J12" s="550">
        <f t="shared" si="2"/>
        <v>2102750.3537280001</v>
      </c>
    </row>
    <row r="13" spans="1:11" x14ac:dyDescent="0.25">
      <c r="A13" s="627">
        <v>5</v>
      </c>
      <c r="B13" s="624">
        <f>'Preco por Produto'!C136</f>
        <v>281410.56</v>
      </c>
      <c r="C13" s="49">
        <f>'Preco por Produto'!C140</f>
        <v>56282.112000000001</v>
      </c>
      <c r="D13" s="49">
        <f>'Preco por Produto'!C143</f>
        <v>0</v>
      </c>
      <c r="E13" s="49">
        <f>'Preco por Produto'!C145</f>
        <v>3683.5</v>
      </c>
      <c r="F13" s="568">
        <f t="shared" si="0"/>
        <v>341376.17200000002</v>
      </c>
      <c r="G13" s="550">
        <f t="shared" si="1"/>
        <v>337692.67200000002</v>
      </c>
      <c r="I13" s="637">
        <f>G14-'Resumo Total'!C25</f>
        <v>0</v>
      </c>
      <c r="J13" s="550">
        <f t="shared" si="2"/>
        <v>337692.67200000002</v>
      </c>
    </row>
    <row r="14" spans="1:11" x14ac:dyDescent="0.25">
      <c r="A14" s="627">
        <v>6</v>
      </c>
      <c r="B14" s="624">
        <f>'Preco por Produto'!C160</f>
        <v>1620886.08</v>
      </c>
      <c r="C14" s="49">
        <f>'Preco por Produto'!C164</f>
        <v>1137705.4888319999</v>
      </c>
      <c r="D14" s="49">
        <f>'Preco por Produto'!C167</f>
        <v>126408</v>
      </c>
      <c r="E14" s="49">
        <f>'Preco por Produto'!C169</f>
        <v>227</v>
      </c>
      <c r="F14" s="568">
        <f t="shared" si="0"/>
        <v>2885226.5688319998</v>
      </c>
      <c r="G14" s="550">
        <f t="shared" si="1"/>
        <v>2884999.5688319998</v>
      </c>
      <c r="I14" s="637">
        <f>G15-'Resumo Total'!C26</f>
        <v>0</v>
      </c>
      <c r="J14" s="550">
        <f t="shared" si="2"/>
        <v>2884999.5688319998</v>
      </c>
    </row>
    <row r="15" spans="1:11" ht="15.75" thickBot="1" x14ac:dyDescent="0.3">
      <c r="A15" s="628">
        <v>7</v>
      </c>
      <c r="B15" s="625">
        <f>'Preco por Produto'!C196</f>
        <v>4247348.2200000016</v>
      </c>
      <c r="C15" s="89">
        <f>'Preco por Produto'!C203</f>
        <v>3091780.6025760006</v>
      </c>
      <c r="D15" s="89">
        <f>'Preco por Produto'!C208</f>
        <v>280296</v>
      </c>
      <c r="E15" s="89">
        <v>0</v>
      </c>
      <c r="F15" s="569">
        <f t="shared" si="0"/>
        <v>7619424.8225760022</v>
      </c>
      <c r="G15" s="550">
        <f t="shared" si="1"/>
        <v>7619424.8225760022</v>
      </c>
      <c r="I15" s="637">
        <f>G15-'Resumo Total'!C26</f>
        <v>0</v>
      </c>
      <c r="J15" s="550">
        <f t="shared" si="2"/>
        <v>7619424.8225760022</v>
      </c>
    </row>
    <row r="16" spans="1:11" ht="15.75" thickBot="1" x14ac:dyDescent="0.3">
      <c r="A16" s="9"/>
      <c r="B16" s="560">
        <f>SUM(B8:B15)</f>
        <v>22903396.300000008</v>
      </c>
      <c r="C16" s="593">
        <f>SUM(C8:C15)</f>
        <v>16495138.442280006</v>
      </c>
      <c r="D16" s="593">
        <f>SUM(D8:D15)</f>
        <v>1055232</v>
      </c>
      <c r="E16" s="561">
        <f>SUM(E8:E15)</f>
        <v>13111.5</v>
      </c>
      <c r="F16" s="570">
        <f>SUM(F8:F15)</f>
        <v>40466878.242280014</v>
      </c>
      <c r="G16" s="550">
        <f t="shared" si="1"/>
        <v>40453766.742280014</v>
      </c>
      <c r="I16" s="637"/>
      <c r="J16" s="550">
        <f t="shared" si="2"/>
        <v>40453766.742280014</v>
      </c>
    </row>
    <row r="18" spans="1:9" ht="15.75" thickBot="1" x14ac:dyDescent="0.3"/>
    <row r="19" spans="1:9" x14ac:dyDescent="0.25">
      <c r="A19" s="1766" t="s">
        <v>891</v>
      </c>
      <c r="B19" s="1767"/>
      <c r="C19" s="1767"/>
      <c r="D19" s="1767"/>
      <c r="E19" s="1767"/>
      <c r="F19" s="1767"/>
      <c r="G19" s="1768"/>
    </row>
    <row r="20" spans="1:9" ht="15.75" thickBot="1" x14ac:dyDescent="0.3">
      <c r="A20" s="1769"/>
      <c r="B20" s="1770"/>
      <c r="C20" s="1770"/>
      <c r="D20" s="1770"/>
      <c r="E20" s="1770"/>
      <c r="F20" s="1770"/>
      <c r="G20" s="1771"/>
    </row>
    <row r="21" spans="1:9" x14ac:dyDescent="0.25">
      <c r="A21" s="1776" t="s">
        <v>43</v>
      </c>
      <c r="B21" s="1774" t="s">
        <v>501</v>
      </c>
      <c r="C21" s="1774"/>
      <c r="D21" s="1774" t="s">
        <v>534</v>
      </c>
      <c r="E21" s="1774"/>
      <c r="F21" s="1775"/>
      <c r="G21" s="1764" t="s">
        <v>48</v>
      </c>
    </row>
    <row r="22" spans="1:9" ht="15.75" thickBot="1" x14ac:dyDescent="0.3">
      <c r="A22" s="1777"/>
      <c r="B22" s="559" t="s">
        <v>883</v>
      </c>
      <c r="C22" s="559" t="s">
        <v>885</v>
      </c>
      <c r="D22" s="559" t="s">
        <v>774</v>
      </c>
      <c r="E22" s="559" t="s">
        <v>884</v>
      </c>
      <c r="F22" s="562" t="s">
        <v>773</v>
      </c>
      <c r="G22" s="1765"/>
    </row>
    <row r="23" spans="1:9" ht="15.75" thickTop="1" x14ac:dyDescent="0.25">
      <c r="A23" s="558">
        <v>1</v>
      </c>
      <c r="B23" s="50">
        <f>'Preco por Produto'!C17</f>
        <v>25145461.657648012</v>
      </c>
      <c r="C23" s="50">
        <f>'Preco por Produto'!C27</f>
        <v>1929.5</v>
      </c>
      <c r="D23" s="50">
        <f>'Preco por Produto'!C31</f>
        <v>2860580.128000001</v>
      </c>
      <c r="E23" s="50">
        <f>'Preco por Produto'!C32</f>
        <v>1400398.5642824008</v>
      </c>
      <c r="F23" s="563">
        <f>'Preco por Produto'!C33</f>
        <v>4887671.069058435</v>
      </c>
      <c r="G23" s="567">
        <f t="shared" ref="G23:G30" si="3">SUM(B23:F23)</f>
        <v>34296040.918988854</v>
      </c>
    </row>
    <row r="24" spans="1:9" x14ac:dyDescent="0.25">
      <c r="A24" s="556" t="s">
        <v>909</v>
      </c>
      <c r="B24" s="49">
        <f>'Preco por Produto'!C42</f>
        <v>714811.43423999986</v>
      </c>
      <c r="C24" s="49">
        <f>'Preco por Produto'!C54</f>
        <v>1248.5</v>
      </c>
      <c r="D24" s="49">
        <f>'Preco por Produto'!C59</f>
        <v>80755.839999999997</v>
      </c>
      <c r="E24" s="49">
        <f>'Preco por Produto'!C60</f>
        <v>39840.788711999994</v>
      </c>
      <c r="F24" s="564">
        <f>'Preco por Produto'!C61</f>
        <v>139052.32076262237</v>
      </c>
      <c r="G24" s="568">
        <f t="shared" si="3"/>
        <v>975708.88371462224</v>
      </c>
      <c r="I24" s="550">
        <f>G24+G25</f>
        <v>2803080.7432968933</v>
      </c>
    </row>
    <row r="25" spans="1:9" x14ac:dyDescent="0.25">
      <c r="A25" s="556" t="s">
        <v>910</v>
      </c>
      <c r="B25" s="49">
        <f>'Preco por Produto'!D42</f>
        <v>1364686.8378960001</v>
      </c>
      <c r="C25" s="49">
        <f>'Preco por Produto'!D54</f>
        <v>0</v>
      </c>
      <c r="D25" s="49">
        <f>'Preco por Produto'!D59</f>
        <v>127642.22400000003</v>
      </c>
      <c r="E25" s="49">
        <f>'Preco por Produto'!D60</f>
        <v>74616.453094800003</v>
      </c>
      <c r="F25" s="564">
        <f>'Preco por Produto'!D61</f>
        <v>260426.34459147096</v>
      </c>
      <c r="G25" s="568">
        <f t="shared" si="3"/>
        <v>1827371.859582271</v>
      </c>
    </row>
    <row r="26" spans="1:9" x14ac:dyDescent="0.25">
      <c r="A26" s="556">
        <v>3</v>
      </c>
      <c r="B26" s="49">
        <f>'Preco por Produto'!C75</f>
        <v>283939.39535999997</v>
      </c>
      <c r="C26" s="49">
        <f>'Preco por Produto'!C85</f>
        <v>5796</v>
      </c>
      <c r="D26" s="49">
        <f>'Preco por Produto'!C89</f>
        <v>32007.360000000001</v>
      </c>
      <c r="E26" s="49">
        <f>'Preco por Produto'!C90</f>
        <v>16087.137767999999</v>
      </c>
      <c r="F26" s="564">
        <f>'Preco por Produto'!C91</f>
        <v>56147.328237873589</v>
      </c>
      <c r="G26" s="568">
        <f t="shared" si="3"/>
        <v>393977.22136587359</v>
      </c>
    </row>
    <row r="27" spans="1:9" x14ac:dyDescent="0.25">
      <c r="A27" s="556">
        <v>4</v>
      </c>
      <c r="B27" s="49">
        <f>'Preco por Produto'!C99</f>
        <v>2102750.3537280001</v>
      </c>
      <c r="C27" s="49">
        <f>'Preco por Produto'!C109</f>
        <v>227</v>
      </c>
      <c r="D27" s="49">
        <f>'Preco por Produto'!C113</f>
        <v>249764.736</v>
      </c>
      <c r="E27" s="49">
        <f>'Preco por Produto'!C114</f>
        <v>117637.10448640001</v>
      </c>
      <c r="F27" s="564">
        <f>'Preco por Produto'!C115</f>
        <v>410577.02207843325</v>
      </c>
      <c r="G27" s="568">
        <f t="shared" si="3"/>
        <v>2880956.216292833</v>
      </c>
    </row>
    <row r="28" spans="1:9" x14ac:dyDescent="0.25">
      <c r="A28" s="556">
        <v>5</v>
      </c>
      <c r="B28" s="49">
        <f>'Preco por Produto'!C135</f>
        <v>337692.67200000002</v>
      </c>
      <c r="C28" s="49">
        <f>'Preco por Produto'!C145</f>
        <v>3683.5</v>
      </c>
      <c r="D28" s="49">
        <f>'Preco por Produto'!C149</f>
        <v>56282.112000000001</v>
      </c>
      <c r="E28" s="49">
        <f>'Preco por Produto'!C150</f>
        <v>19882.914200000003</v>
      </c>
      <c r="F28" s="564">
        <f>'Preco por Produto'!C151</f>
        <v>69395.347140840007</v>
      </c>
      <c r="G28" s="568">
        <f t="shared" si="3"/>
        <v>486936.54534084006</v>
      </c>
    </row>
    <row r="29" spans="1:9" x14ac:dyDescent="0.25">
      <c r="A29" s="556">
        <v>6</v>
      </c>
      <c r="B29" s="49">
        <f>'Preco por Produto'!C159</f>
        <v>2884999.5688319998</v>
      </c>
      <c r="C29" s="49">
        <f>'Preco por Produto'!C169</f>
        <v>227</v>
      </c>
      <c r="D29" s="49">
        <f>'Preco por Produto'!C173</f>
        <v>324177.21600000001</v>
      </c>
      <c r="E29" s="49">
        <f>'Preco por Produto'!C174</f>
        <v>160470.18924159999</v>
      </c>
      <c r="F29" s="564">
        <f>'Preco por Produto'!C175</f>
        <v>560073.05449103226</v>
      </c>
      <c r="G29" s="568">
        <f t="shared" si="3"/>
        <v>3929947.0285646324</v>
      </c>
    </row>
    <row r="30" spans="1:9" ht="15.75" thickBot="1" x14ac:dyDescent="0.3">
      <c r="A30" s="557">
        <v>7</v>
      </c>
      <c r="B30" s="89">
        <f>'Preco por Produto'!C195</f>
        <v>7619424.8225760022</v>
      </c>
      <c r="C30" s="89">
        <f>'Preco por Produto'!C210</f>
        <v>6336</v>
      </c>
      <c r="D30" s="89">
        <f>'Preco por Produto'!C214</f>
        <v>849469.64400000032</v>
      </c>
      <c r="E30" s="89">
        <f>'Preco por Produto'!C215</f>
        <v>423761.52332880016</v>
      </c>
      <c r="F30" s="565">
        <f>'Preco por Produto'!C216</f>
        <v>1479012.4687221781</v>
      </c>
      <c r="G30" s="569">
        <f t="shared" si="3"/>
        <v>10378004.45862698</v>
      </c>
    </row>
    <row r="31" spans="1:9" ht="15.75" thickBot="1" x14ac:dyDescent="0.3">
      <c r="A31" s="9"/>
      <c r="B31" s="560">
        <f t="shared" ref="B31:G31" si="4">SUM(B23:B30)</f>
        <v>40453766.742280014</v>
      </c>
      <c r="C31" s="561">
        <f t="shared" si="4"/>
        <v>19447.5</v>
      </c>
      <c r="D31" s="561">
        <f t="shared" si="4"/>
        <v>4580679.2600000016</v>
      </c>
      <c r="E31" s="561">
        <f t="shared" si="4"/>
        <v>2252694.6751140007</v>
      </c>
      <c r="F31" s="566">
        <f t="shared" si="4"/>
        <v>7862354.9550828859</v>
      </c>
      <c r="G31" s="570">
        <f t="shared" si="4"/>
        <v>55168943.132476911</v>
      </c>
    </row>
    <row r="33" spans="1:14" ht="15.75" thickBot="1" x14ac:dyDescent="0.3">
      <c r="B33" s="550"/>
      <c r="C33" s="550"/>
      <c r="D33" s="629"/>
    </row>
    <row r="34" spans="1:14" ht="15.75" thickBot="1" x14ac:dyDescent="0.3">
      <c r="A34" s="363" t="s">
        <v>265</v>
      </c>
      <c r="B34" s="1096" t="s">
        <v>410</v>
      </c>
      <c r="C34" s="1097"/>
      <c r="I34" s="637">
        <f>B23-'Resumo Total'!C20</f>
        <v>0</v>
      </c>
      <c r="J34" s="550">
        <f t="shared" ref="J34:J42" si="5">B8+C8+D8</f>
        <v>25145461.657648012</v>
      </c>
      <c r="K34" s="629">
        <f t="shared" ref="K34:K42" si="6">B23-J34</f>
        <v>0</v>
      </c>
    </row>
    <row r="35" spans="1:14" x14ac:dyDescent="0.25">
      <c r="A35" s="2" t="s">
        <v>266</v>
      </c>
      <c r="B35" s="552" t="s">
        <v>770</v>
      </c>
      <c r="C35" s="402">
        <f>'Escritorios (Adm_Manut)'!H13</f>
        <v>538436.88</v>
      </c>
      <c r="I35" s="637">
        <f>(B24+B25)-'Resumo Total'!C21</f>
        <v>2.1359999664127827E-3</v>
      </c>
      <c r="J35" s="550">
        <f t="shared" si="5"/>
        <v>714811.43423999986</v>
      </c>
      <c r="K35" s="629">
        <f t="shared" si="6"/>
        <v>0</v>
      </c>
    </row>
    <row r="36" spans="1:14" x14ac:dyDescent="0.25">
      <c r="A36" s="3" t="s">
        <v>267</v>
      </c>
      <c r="B36" s="407" t="s">
        <v>314</v>
      </c>
      <c r="C36" s="403">
        <f>'Escritorios (Adm_Manut)'!H18</f>
        <v>349713.94000000006</v>
      </c>
      <c r="I36" s="637">
        <f>B26-'Resumo Total'!C22</f>
        <v>0</v>
      </c>
      <c r="J36" s="550">
        <f t="shared" si="5"/>
        <v>1364686.8378960001</v>
      </c>
      <c r="K36" s="629">
        <f t="shared" si="6"/>
        <v>0</v>
      </c>
    </row>
    <row r="37" spans="1:14" x14ac:dyDescent="0.25">
      <c r="A37" s="3" t="s">
        <v>414</v>
      </c>
      <c r="B37" s="407" t="s">
        <v>771</v>
      </c>
      <c r="C37" s="403">
        <f>'Escritorios (Adm_Manut)'!H23</f>
        <v>544711.36</v>
      </c>
      <c r="I37" s="637">
        <f>B27-'Resumo Total'!C23</f>
        <v>0</v>
      </c>
      <c r="J37" s="550">
        <f t="shared" si="5"/>
        <v>283939.39535999997</v>
      </c>
      <c r="K37" s="629">
        <f t="shared" si="6"/>
        <v>0</v>
      </c>
    </row>
    <row r="38" spans="1:14" x14ac:dyDescent="0.25">
      <c r="A38" s="3" t="s">
        <v>415</v>
      </c>
      <c r="B38" s="407" t="s">
        <v>411</v>
      </c>
      <c r="C38" s="403">
        <f>'Escritorios (Adm_Manut)'!H36</f>
        <v>2177599.6800000002</v>
      </c>
      <c r="I38" s="637">
        <f>B28-'Resumo Total'!C24</f>
        <v>0</v>
      </c>
      <c r="J38" s="550">
        <f t="shared" si="5"/>
        <v>2102750.3537280001</v>
      </c>
      <c r="K38" s="629">
        <f t="shared" si="6"/>
        <v>0</v>
      </c>
    </row>
    <row r="39" spans="1:14" x14ac:dyDescent="0.25">
      <c r="A39" s="3" t="s">
        <v>416</v>
      </c>
      <c r="B39" s="407" t="s">
        <v>413</v>
      </c>
      <c r="C39" s="403"/>
      <c r="D39" s="8" t="s">
        <v>951</v>
      </c>
      <c r="I39" s="637">
        <f>B29-'Resumo Total'!C25</f>
        <v>0</v>
      </c>
      <c r="J39" s="550">
        <f t="shared" si="5"/>
        <v>337692.67200000002</v>
      </c>
      <c r="K39" s="629">
        <f t="shared" si="6"/>
        <v>0</v>
      </c>
    </row>
    <row r="40" spans="1:14" ht="24" x14ac:dyDescent="0.25">
      <c r="A40" s="5" t="s">
        <v>417</v>
      </c>
      <c r="B40" s="553" t="s">
        <v>776</v>
      </c>
      <c r="C40" s="406">
        <f>'Escritorios (Adm_Manut)'!H41</f>
        <v>43200</v>
      </c>
      <c r="I40" s="637">
        <f>B30-'Resumo Total'!C26</f>
        <v>0</v>
      </c>
      <c r="J40" s="550">
        <f t="shared" si="5"/>
        <v>2884999.5688319998</v>
      </c>
      <c r="K40" s="629">
        <f t="shared" si="6"/>
        <v>0</v>
      </c>
    </row>
    <row r="41" spans="1:14" ht="15.75" thickBot="1" x14ac:dyDescent="0.3">
      <c r="A41" s="4" t="s">
        <v>418</v>
      </c>
      <c r="B41" s="554" t="s">
        <v>757</v>
      </c>
      <c r="C41" s="404">
        <f>'Escritorios (Adm_Manut)'!H43</f>
        <v>114475.96799999999</v>
      </c>
      <c r="I41" s="637"/>
      <c r="J41" s="550">
        <f t="shared" si="5"/>
        <v>7619424.8225760022</v>
      </c>
      <c r="K41" s="629">
        <f t="shared" si="6"/>
        <v>0</v>
      </c>
    </row>
    <row r="42" spans="1:14" ht="15.75" thickBot="1" x14ac:dyDescent="0.3">
      <c r="C42" s="720">
        <f>SUM(C35:C41)</f>
        <v>3768137.8280000002</v>
      </c>
      <c r="I42" s="637"/>
      <c r="J42" s="550">
        <f t="shared" si="5"/>
        <v>40453766.742280014</v>
      </c>
      <c r="K42" s="629">
        <f t="shared" si="6"/>
        <v>0</v>
      </c>
    </row>
    <row r="43" spans="1:14" x14ac:dyDescent="0.25">
      <c r="A43" s="95"/>
      <c r="B43" s="95"/>
      <c r="C43" s="95"/>
      <c r="D43" s="95"/>
      <c r="E43" s="95"/>
      <c r="F43" s="95"/>
      <c r="G43" s="95"/>
      <c r="H43" s="95"/>
      <c r="I43" s="95"/>
      <c r="J43" s="550"/>
      <c r="K43" s="629"/>
      <c r="L43" s="95"/>
      <c r="M43" s="95"/>
      <c r="N43" s="95"/>
    </row>
    <row r="44" spans="1:14" x14ac:dyDescent="0.25">
      <c r="A44" s="95"/>
      <c r="B44" s="95"/>
      <c r="C44" s="95"/>
      <c r="D44" s="95"/>
      <c r="E44" s="95"/>
      <c r="F44" s="95"/>
      <c r="G44" s="95"/>
      <c r="H44" s="95"/>
      <c r="I44" s="95"/>
      <c r="J44" s="550">
        <f>'Resumo Total'!C40+'Resumo Total'!C41+'Resumo Total'!C42</f>
        <v>14695728.890196888</v>
      </c>
      <c r="K44" s="629"/>
      <c r="L44" s="95"/>
      <c r="M44" s="95"/>
      <c r="N44" s="95"/>
    </row>
    <row r="45" spans="1:14" x14ac:dyDescent="0.25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x14ac:dyDescent="0.25">
      <c r="A46" s="95"/>
      <c r="B46" s="95"/>
      <c r="C46" s="95"/>
      <c r="D46" s="95"/>
      <c r="E46" s="95"/>
      <c r="F46" s="95"/>
      <c r="G46" s="95"/>
      <c r="H46" s="95"/>
      <c r="I46" s="95"/>
      <c r="J46" s="719">
        <f>'Resumo Total'!C31+'Resumo Total'!C32+'Resumo Total'!C33+'Resumo Total'!C34+'Resumo Total'!C35+'Resumo Total'!C36+'Resumo Total'!C37</f>
        <v>3787585.3280000002</v>
      </c>
      <c r="K46" s="95"/>
      <c r="L46" s="95"/>
      <c r="M46" s="95"/>
      <c r="N46" s="95"/>
    </row>
    <row r="47" spans="1:14" x14ac:dyDescent="0.25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x14ac:dyDescent="0.25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x14ac:dyDescent="0.25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x14ac:dyDescent="0.25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</row>
    <row r="51" spans="1:14" x14ac:dyDescent="0.25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</row>
    <row r="52" spans="1:14" x14ac:dyDescent="0.25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</row>
    <row r="53" spans="1:14" x14ac:dyDescent="0.25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</row>
    <row r="54" spans="1:14" x14ac:dyDescent="0.25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</row>
    <row r="55" spans="1:14" x14ac:dyDescent="0.25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</row>
    <row r="56" spans="1:14" x14ac:dyDescent="0.25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</row>
    <row r="57" spans="1:14" x14ac:dyDescent="0.25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</row>
    <row r="58" spans="1:14" x14ac:dyDescent="0.25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</row>
    <row r="59" spans="1:14" x14ac:dyDescent="0.25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</row>
    <row r="60" spans="1:14" x14ac:dyDescent="0.25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</row>
    <row r="61" spans="1:14" x14ac:dyDescent="0.25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</row>
    <row r="62" spans="1:14" x14ac:dyDescent="0.25">
      <c r="A62" s="124"/>
      <c r="B62" s="95"/>
      <c r="C62" s="123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</row>
    <row r="63" spans="1:14" x14ac:dyDescent="0.25">
      <c r="A63" s="124"/>
      <c r="B63" s="95"/>
      <c r="C63" s="123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</row>
    <row r="64" spans="1:14" x14ac:dyDescent="0.25">
      <c r="A64" s="124"/>
      <c r="B64" s="95"/>
      <c r="C64" s="123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</row>
    <row r="65" spans="1:14" x14ac:dyDescent="0.25">
      <c r="A65" s="124"/>
      <c r="B65" s="95"/>
      <c r="C65" s="123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</row>
    <row r="66" spans="1:14" x14ac:dyDescent="0.25">
      <c r="A66" s="124"/>
      <c r="B66" s="95"/>
      <c r="C66" s="123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</row>
    <row r="67" spans="1:14" x14ac:dyDescent="0.25">
      <c r="A67" s="124"/>
      <c r="B67" s="95"/>
      <c r="C67" s="123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</row>
    <row r="68" spans="1:14" x14ac:dyDescent="0.25">
      <c r="A68" s="124"/>
      <c r="B68" s="95"/>
      <c r="C68" s="123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</row>
    <row r="69" spans="1:14" x14ac:dyDescent="0.25">
      <c r="A69" s="124"/>
      <c r="B69" s="95"/>
      <c r="C69" s="123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</row>
    <row r="70" spans="1:14" x14ac:dyDescent="0.25">
      <c r="A70" s="21"/>
      <c r="C70" s="9"/>
    </row>
    <row r="71" spans="1:14" x14ac:dyDescent="0.25">
      <c r="A71" s="21"/>
      <c r="C71" s="9"/>
    </row>
    <row r="72" spans="1:14" x14ac:dyDescent="0.25">
      <c r="A72" s="21"/>
      <c r="C72" s="9"/>
    </row>
    <row r="73" spans="1:14" x14ac:dyDescent="0.25">
      <c r="A73" s="21"/>
      <c r="C73" s="9"/>
    </row>
    <row r="74" spans="1:14" x14ac:dyDescent="0.25">
      <c r="A74" s="21"/>
      <c r="C74" s="9"/>
    </row>
    <row r="75" spans="1:14" x14ac:dyDescent="0.25">
      <c r="A75" s="21"/>
      <c r="C75" s="9"/>
    </row>
    <row r="76" spans="1:14" x14ac:dyDescent="0.25">
      <c r="A76" s="21"/>
      <c r="C76" s="9"/>
    </row>
    <row r="77" spans="1:14" x14ac:dyDescent="0.25">
      <c r="A77" s="21"/>
      <c r="C77" s="9"/>
    </row>
  </sheetData>
  <mergeCells count="10">
    <mergeCell ref="G21:G22"/>
    <mergeCell ref="A19:G20"/>
    <mergeCell ref="B34:C34"/>
    <mergeCell ref="A4:E5"/>
    <mergeCell ref="A6:A7"/>
    <mergeCell ref="F6:F7"/>
    <mergeCell ref="B21:C21"/>
    <mergeCell ref="D21:F21"/>
    <mergeCell ref="A21:A22"/>
    <mergeCell ref="B6:E6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topLeftCell="A2" zoomScale="70" zoomScaleNormal="70" workbookViewId="0">
      <selection activeCell="E19" sqref="E19"/>
    </sheetView>
  </sheetViews>
  <sheetFormatPr defaultRowHeight="15" x14ac:dyDescent="0.25"/>
  <cols>
    <col min="1" max="1" width="7.140625" style="8" customWidth="1"/>
    <col min="2" max="2" width="80.140625" style="54" customWidth="1"/>
    <col min="3" max="3" width="17.140625" style="398" bestFit="1" customWidth="1"/>
    <col min="4" max="4" width="3.42578125" style="774" customWidth="1"/>
    <col min="5" max="5" width="11.42578125" style="773" bestFit="1" customWidth="1"/>
    <col min="7" max="7" width="15" bestFit="1" customWidth="1"/>
    <col min="8" max="8" width="5" bestFit="1" customWidth="1"/>
    <col min="17" max="16384" width="9.140625" style="8"/>
  </cols>
  <sheetData>
    <row r="1" spans="1:7" x14ac:dyDescent="0.25">
      <c r="A1" s="1062" t="s">
        <v>294</v>
      </c>
      <c r="B1" s="1063"/>
      <c r="C1" s="1064"/>
    </row>
    <row r="2" spans="1:7" x14ac:dyDescent="0.25">
      <c r="A2" s="1065" t="s">
        <v>295</v>
      </c>
      <c r="B2" s="1066"/>
      <c r="C2" s="1067"/>
    </row>
    <row r="3" spans="1:7" ht="15.75" thickBot="1" x14ac:dyDescent="0.3">
      <c r="A3" s="1068"/>
      <c r="B3" s="1069"/>
      <c r="C3" s="1070"/>
    </row>
    <row r="4" spans="1:7" ht="15.75" customHeight="1" thickBot="1" x14ac:dyDescent="0.3">
      <c r="A4" s="273"/>
      <c r="B4" s="82"/>
      <c r="C4" s="397"/>
    </row>
    <row r="5" spans="1:7" ht="12.75" customHeight="1" x14ac:dyDescent="0.25">
      <c r="A5" s="1074" t="s">
        <v>292</v>
      </c>
      <c r="B5" s="1075"/>
      <c r="C5" s="1076"/>
    </row>
    <row r="6" spans="1:7" ht="15.75" customHeight="1" x14ac:dyDescent="0.25">
      <c r="A6" s="1077"/>
      <c r="B6" s="1078"/>
      <c r="C6" s="1079"/>
    </row>
    <row r="7" spans="1:7" ht="15.75" customHeight="1" thickBot="1" x14ac:dyDescent="0.3">
      <c r="A7" s="1080"/>
      <c r="B7" s="1081"/>
      <c r="C7" s="1082"/>
    </row>
    <row r="8" spans="1:7" ht="15.75" thickBot="1" x14ac:dyDescent="0.3">
      <c r="A8" s="273"/>
      <c r="B8" s="82"/>
      <c r="C8" s="397"/>
    </row>
    <row r="9" spans="1:7" ht="15.75" thickBot="1" x14ac:dyDescent="0.3">
      <c r="A9" s="1071" t="s">
        <v>886</v>
      </c>
      <c r="B9" s="1072"/>
      <c r="C9" s="1073"/>
    </row>
    <row r="10" spans="1:7" ht="15.75" thickBot="1" x14ac:dyDescent="0.3">
      <c r="A10" s="273"/>
      <c r="B10" s="82"/>
      <c r="C10" s="397"/>
    </row>
    <row r="11" spans="1:7" x14ac:dyDescent="0.25">
      <c r="A11" s="1083" t="s">
        <v>0</v>
      </c>
      <c r="B11" s="1086" t="s">
        <v>1</v>
      </c>
      <c r="C11" s="1093" t="s">
        <v>311</v>
      </c>
    </row>
    <row r="12" spans="1:7" x14ac:dyDescent="0.25">
      <c r="A12" s="1084"/>
      <c r="B12" s="1087"/>
      <c r="C12" s="1094"/>
    </row>
    <row r="13" spans="1:7" ht="15.75" thickBot="1" x14ac:dyDescent="0.3">
      <c r="A13" s="1085"/>
      <c r="B13" s="1088"/>
      <c r="C13" s="1095"/>
    </row>
    <row r="14" spans="1:7" ht="15.75" thickBot="1" x14ac:dyDescent="0.3">
      <c r="A14" s="190" t="s">
        <v>99</v>
      </c>
      <c r="B14" s="1091" t="s">
        <v>763</v>
      </c>
      <c r="C14" s="1092"/>
    </row>
    <row r="15" spans="1:7" ht="15.75" thickBot="1" x14ac:dyDescent="0.3">
      <c r="A15" s="7" t="s">
        <v>4</v>
      </c>
      <c r="B15" s="551" t="s">
        <v>764</v>
      </c>
      <c r="C15" s="414">
        <f>Mobilizacao_Desmobilizacao!F24</f>
        <v>35847.012222222227</v>
      </c>
      <c r="E15" s="776">
        <f>((C15*100)/$C$41)/100</f>
        <v>5.8182603941088896E-4</v>
      </c>
    </row>
    <row r="16" spans="1:7" ht="15.75" thickBot="1" x14ac:dyDescent="0.3">
      <c r="A16" s="190" t="s">
        <v>100</v>
      </c>
      <c r="B16" s="1091" t="s">
        <v>765</v>
      </c>
      <c r="C16" s="1092"/>
      <c r="E16" s="774"/>
      <c r="G16" s="770"/>
    </row>
    <row r="17" spans="1:7" ht="15.75" thickBot="1" x14ac:dyDescent="0.3">
      <c r="A17" s="7" t="s">
        <v>81</v>
      </c>
      <c r="B17" s="551" t="s">
        <v>766</v>
      </c>
      <c r="C17" s="414">
        <f>Mobilizacao_Desmobilizacao!F37</f>
        <v>45077.212222222224</v>
      </c>
      <c r="E17" s="776">
        <f>((C17*100)/$C$41)/100</f>
        <v>7.3163966057625891E-4</v>
      </c>
      <c r="G17" s="771"/>
    </row>
    <row r="18" spans="1:7" ht="15.75" thickBot="1" x14ac:dyDescent="0.3">
      <c r="A18" s="363" t="s">
        <v>101</v>
      </c>
      <c r="B18" s="1096" t="s">
        <v>938</v>
      </c>
      <c r="C18" s="1097"/>
      <c r="E18" s="774"/>
    </row>
    <row r="19" spans="1:7" ht="36" x14ac:dyDescent="0.25">
      <c r="A19" s="2" t="s">
        <v>83</v>
      </c>
      <c r="B19" s="409" t="s">
        <v>281</v>
      </c>
      <c r="C19" s="408">
        <f>'Preco por Produto'!C17</f>
        <v>25145461.657648012</v>
      </c>
      <c r="E19" s="776">
        <f>((C19*100)/$C$41)/100</f>
        <v>0.40813120699521299</v>
      </c>
    </row>
    <row r="20" spans="1:7" x14ac:dyDescent="0.25">
      <c r="A20" s="3" t="s">
        <v>84</v>
      </c>
      <c r="B20" s="410" t="s">
        <v>44</v>
      </c>
      <c r="C20" s="412">
        <f>ROUND(('Preco por Produto'!C42+'Preco por Produto'!D42),2)</f>
        <v>2079498.27</v>
      </c>
      <c r="E20" s="776">
        <f t="shared" ref="E20:E25" si="0">((C20*100)/$C$41)/100</f>
        <v>3.3751941023577196E-2</v>
      </c>
    </row>
    <row r="21" spans="1:7" x14ac:dyDescent="0.25">
      <c r="A21" s="3" t="s">
        <v>257</v>
      </c>
      <c r="B21" s="410" t="s">
        <v>225</v>
      </c>
      <c r="C21" s="412">
        <f>'Preco por Produto'!C75</f>
        <v>283939.39535999997</v>
      </c>
      <c r="E21" s="776">
        <f t="shared" si="0"/>
        <v>4.6085663377161109E-3</v>
      </c>
    </row>
    <row r="22" spans="1:7" x14ac:dyDescent="0.25">
      <c r="A22" s="3" t="s">
        <v>258</v>
      </c>
      <c r="B22" s="410" t="s">
        <v>690</v>
      </c>
      <c r="C22" s="412">
        <f>'Preco por Produto'!C99</f>
        <v>2102750.3537280001</v>
      </c>
      <c r="E22" s="776">
        <f t="shared" si="0"/>
        <v>3.4129341173404069E-2</v>
      </c>
    </row>
    <row r="23" spans="1:7" x14ac:dyDescent="0.25">
      <c r="A23" s="3" t="s">
        <v>316</v>
      </c>
      <c r="B23" s="410" t="s">
        <v>45</v>
      </c>
      <c r="C23" s="412">
        <f>'Preco por Produto'!C135</f>
        <v>337692.67200000002</v>
      </c>
      <c r="E23" s="776">
        <f t="shared" si="0"/>
        <v>5.4810255501862946E-3</v>
      </c>
    </row>
    <row r="24" spans="1:7" x14ac:dyDescent="0.25">
      <c r="A24" s="3" t="s">
        <v>376</v>
      </c>
      <c r="B24" s="410" t="s">
        <v>283</v>
      </c>
      <c r="C24" s="412">
        <f>'Preco por Produto'!C159</f>
        <v>2884999.5688319998</v>
      </c>
      <c r="E24" s="776">
        <f t="shared" si="0"/>
        <v>4.6825879446518268E-2</v>
      </c>
    </row>
    <row r="25" spans="1:7" ht="15.75" thickBot="1" x14ac:dyDescent="0.3">
      <c r="A25" s="4" t="s">
        <v>377</v>
      </c>
      <c r="B25" s="411" t="s">
        <v>849</v>
      </c>
      <c r="C25" s="413">
        <f>'Preco por Produto'!C195</f>
        <v>7619424.8225760022</v>
      </c>
      <c r="E25" s="776">
        <f t="shared" si="0"/>
        <v>0.12366943553416149</v>
      </c>
    </row>
    <row r="26" spans="1:7" ht="15.75" thickBot="1" x14ac:dyDescent="0.3">
      <c r="A26" s="416" t="s">
        <v>260</v>
      </c>
      <c r="B26" s="1091" t="s">
        <v>767</v>
      </c>
      <c r="C26" s="1092"/>
      <c r="E26" s="774"/>
    </row>
    <row r="27" spans="1:7" x14ac:dyDescent="0.25">
      <c r="A27" s="2" t="s">
        <v>85</v>
      </c>
      <c r="B27" s="367" t="s">
        <v>939</v>
      </c>
      <c r="C27" s="408">
        <f>'Viagens e Diárias (Por Demanda)'!I14</f>
        <v>415359</v>
      </c>
      <c r="E27" s="776">
        <f>((C27*100)/$C$41)/100</f>
        <v>6.7416129524416482E-3</v>
      </c>
    </row>
    <row r="28" spans="1:7" ht="15.75" thickBot="1" x14ac:dyDescent="0.3">
      <c r="A28" s="3" t="s">
        <v>86</v>
      </c>
      <c r="B28" s="407" t="s">
        <v>769</v>
      </c>
      <c r="C28" s="404">
        <f>'Viagens e Diárias (Por Demanda)'!I22</f>
        <v>2177856</v>
      </c>
      <c r="E28" s="776">
        <f>((C28*100)/$C$41)/100</f>
        <v>3.5348366637421504E-2</v>
      </c>
    </row>
    <row r="29" spans="1:7" ht="15.75" thickBot="1" x14ac:dyDescent="0.3">
      <c r="A29" s="363" t="s">
        <v>265</v>
      </c>
      <c r="B29" s="1096" t="s">
        <v>410</v>
      </c>
      <c r="C29" s="1097"/>
      <c r="E29" s="774"/>
    </row>
    <row r="30" spans="1:7" x14ac:dyDescent="0.25">
      <c r="A30" s="2" t="s">
        <v>266</v>
      </c>
      <c r="B30" s="552" t="s">
        <v>770</v>
      </c>
      <c r="C30" s="402">
        <f>'Escritorios (Adm_Manut)'!H13</f>
        <v>538436.88</v>
      </c>
      <c r="E30" s="776">
        <f t="shared" ref="E30:E36" si="1">((C30*100)/$C$41)/100</f>
        <v>8.7392666206348463E-3</v>
      </c>
    </row>
    <row r="31" spans="1:7" x14ac:dyDescent="0.25">
      <c r="A31" s="3" t="s">
        <v>267</v>
      </c>
      <c r="B31" s="407" t="s">
        <v>314</v>
      </c>
      <c r="C31" s="403">
        <f>'Escritorios (Adm_Manut)'!H18</f>
        <v>349713.94000000006</v>
      </c>
      <c r="E31" s="776">
        <f t="shared" si="1"/>
        <v>5.6761404653646649E-3</v>
      </c>
    </row>
    <row r="32" spans="1:7" x14ac:dyDescent="0.25">
      <c r="A32" s="3" t="s">
        <v>414</v>
      </c>
      <c r="B32" s="407" t="s">
        <v>771</v>
      </c>
      <c r="C32" s="403">
        <f>'Escritorios (Adm_Manut)'!H23</f>
        <v>544711.36</v>
      </c>
      <c r="E32" s="776">
        <f t="shared" si="1"/>
        <v>8.8411065124822281E-3</v>
      </c>
    </row>
    <row r="33" spans="1:5" x14ac:dyDescent="0.25">
      <c r="A33" s="3" t="s">
        <v>415</v>
      </c>
      <c r="B33" s="407" t="s">
        <v>411</v>
      </c>
      <c r="C33" s="403">
        <f>'Escritorios (Adm_Manut)'!H36</f>
        <v>2177599.6800000002</v>
      </c>
      <c r="E33" s="776">
        <f t="shared" si="1"/>
        <v>3.534420635623832E-2</v>
      </c>
    </row>
    <row r="34" spans="1:5" ht="12.75" customHeight="1" x14ac:dyDescent="0.25">
      <c r="A34" s="3" t="s">
        <v>416</v>
      </c>
      <c r="B34" s="407" t="s">
        <v>413</v>
      </c>
      <c r="C34" s="403">
        <f>'MemCalculo (AdmManutEscritorio)'!F236</f>
        <v>19447.5</v>
      </c>
      <c r="E34" s="776">
        <f t="shared" si="1"/>
        <v>3.1564867474307513E-4</v>
      </c>
    </row>
    <row r="35" spans="1:5" x14ac:dyDescent="0.25">
      <c r="A35" s="5" t="s">
        <v>417</v>
      </c>
      <c r="B35" s="553" t="s">
        <v>776</v>
      </c>
      <c r="C35" s="406">
        <f>'Escritorios (Adm_Manut)'!H41</f>
        <v>43200</v>
      </c>
      <c r="E35" s="776">
        <f t="shared" si="1"/>
        <v>7.0117098593139716E-4</v>
      </c>
    </row>
    <row r="36" spans="1:5" ht="15.75" thickBot="1" x14ac:dyDescent="0.3">
      <c r="A36" s="4" t="s">
        <v>418</v>
      </c>
      <c r="B36" s="554" t="s">
        <v>757</v>
      </c>
      <c r="C36" s="404">
        <f>'Escritorios (Adm_Manut)'!H43</f>
        <v>114475.96799999999</v>
      </c>
      <c r="E36" s="776">
        <f t="shared" si="1"/>
        <v>1.8580376700928489E-3</v>
      </c>
    </row>
    <row r="37" spans="1:5" ht="15.75" thickBot="1" x14ac:dyDescent="0.3">
      <c r="A37" s="363" t="s">
        <v>269</v>
      </c>
      <c r="B37" s="1091" t="s">
        <v>772</v>
      </c>
      <c r="C37" s="1092"/>
      <c r="E37" s="774"/>
    </row>
    <row r="38" spans="1:5" x14ac:dyDescent="0.25">
      <c r="A38" s="2" t="s">
        <v>87</v>
      </c>
      <c r="B38" s="555" t="s">
        <v>774</v>
      </c>
      <c r="C38" s="402">
        <f>'(Resumo - Calculo)'!D31</f>
        <v>4580679.2600000016</v>
      </c>
      <c r="E38" s="776">
        <f>((C38*100)/$C$41)/100</f>
        <v>7.4348134096520926E-2</v>
      </c>
    </row>
    <row r="39" spans="1:5" x14ac:dyDescent="0.25">
      <c r="A39" s="3" t="s">
        <v>88</v>
      </c>
      <c r="B39" s="407" t="s">
        <v>775</v>
      </c>
      <c r="C39" s="403">
        <f>'(Resumo - Calculo)'!E31</f>
        <v>2252694.6751140007</v>
      </c>
      <c r="E39" s="776">
        <f>((C39*100)/$C$41)/100</f>
        <v>3.6563058943335475E-2</v>
      </c>
    </row>
    <row r="40" spans="1:5" ht="15.75" thickBot="1" x14ac:dyDescent="0.3">
      <c r="A40" s="4" t="s">
        <v>270</v>
      </c>
      <c r="B40" s="554" t="s">
        <v>773</v>
      </c>
      <c r="C40" s="404">
        <f>'(Resumo - Calculo)'!F31</f>
        <v>7862354.9550828859</v>
      </c>
      <c r="E40" s="777">
        <f>((C40*100)/$C$41)/100</f>
        <v>0.12761238832402946</v>
      </c>
    </row>
    <row r="41" spans="1:5" ht="15.75" thickBot="1" x14ac:dyDescent="0.3">
      <c r="A41" s="1089" t="s">
        <v>318</v>
      </c>
      <c r="B41" s="1090"/>
      <c r="C41" s="405">
        <f>SUM(C14:C40)</f>
        <v>61611220.182785347</v>
      </c>
      <c r="E41" s="778">
        <f>((C41*100)/$C$41)/100</f>
        <v>1</v>
      </c>
    </row>
    <row r="43" spans="1:5" s="95" customFormat="1" ht="12.75" thickBot="1" x14ac:dyDescent="0.3">
      <c r="A43" s="8"/>
      <c r="B43" s="54"/>
      <c r="C43" s="398"/>
      <c r="D43" s="775"/>
      <c r="E43" s="772"/>
    </row>
    <row r="44" spans="1:5" s="95" customFormat="1" ht="15" customHeight="1" x14ac:dyDescent="0.25">
      <c r="A44" s="1053" t="s">
        <v>49</v>
      </c>
      <c r="B44" s="1054"/>
      <c r="C44" s="251" t="s">
        <v>50</v>
      </c>
      <c r="D44" s="775"/>
      <c r="E44" s="772"/>
    </row>
    <row r="45" spans="1:5" s="95" customFormat="1" ht="15.75" customHeight="1" thickBot="1" x14ac:dyDescent="0.3">
      <c r="A45" s="1055"/>
      <c r="B45" s="1056"/>
      <c r="C45" s="630"/>
      <c r="D45" s="775"/>
      <c r="E45" s="772"/>
    </row>
    <row r="46" spans="1:5" s="95" customFormat="1" ht="15" customHeight="1" x14ac:dyDescent="0.25">
      <c r="A46" s="1053" t="s">
        <v>51</v>
      </c>
      <c r="B46" s="1054"/>
      <c r="C46" s="221" t="s">
        <v>52</v>
      </c>
      <c r="D46" s="775"/>
      <c r="E46" s="772"/>
    </row>
    <row r="47" spans="1:5" s="95" customFormat="1" ht="15.75" customHeight="1" thickBot="1" x14ac:dyDescent="0.3">
      <c r="A47" s="1057"/>
      <c r="B47" s="1058"/>
      <c r="C47" s="222"/>
      <c r="D47" s="775"/>
      <c r="E47" s="772"/>
    </row>
    <row r="48" spans="1:5" s="95" customFormat="1" ht="12.75" thickTop="1" x14ac:dyDescent="0.25">
      <c r="A48" s="1059" t="s">
        <v>53</v>
      </c>
      <c r="B48" s="1060"/>
      <c r="C48" s="1061"/>
      <c r="D48" s="775"/>
      <c r="E48" s="772"/>
    </row>
    <row r="49" spans="1:5" s="95" customFormat="1" ht="12" customHeight="1" x14ac:dyDescent="0.25">
      <c r="A49" s="1047"/>
      <c r="B49" s="1048"/>
      <c r="C49" s="1049"/>
      <c r="D49" s="775"/>
      <c r="E49" s="772"/>
    </row>
    <row r="50" spans="1:5" s="95" customFormat="1" ht="12" x14ac:dyDescent="0.25">
      <c r="A50" s="1047"/>
      <c r="B50" s="1048"/>
      <c r="C50" s="1049"/>
      <c r="D50" s="775"/>
      <c r="E50" s="772"/>
    </row>
    <row r="51" spans="1:5" s="95" customFormat="1" ht="12" customHeight="1" thickBot="1" x14ac:dyDescent="0.3">
      <c r="A51" s="1050"/>
      <c r="B51" s="1051"/>
      <c r="C51" s="1052"/>
      <c r="D51" s="775"/>
      <c r="E51" s="772"/>
    </row>
    <row r="52" spans="1:5" s="95" customFormat="1" ht="12" x14ac:dyDescent="0.25">
      <c r="A52" s="102"/>
      <c r="B52" s="129"/>
      <c r="C52" s="399"/>
      <c r="D52" s="775"/>
      <c r="E52" s="772"/>
    </row>
    <row r="53" spans="1:5" s="95" customFormat="1" ht="12" x14ac:dyDescent="0.25">
      <c r="A53" s="102"/>
      <c r="B53" s="129"/>
      <c r="C53" s="399"/>
      <c r="D53" s="775"/>
      <c r="E53" s="772"/>
    </row>
    <row r="54" spans="1:5" s="95" customFormat="1" ht="12" x14ac:dyDescent="0.25">
      <c r="A54" s="102"/>
      <c r="B54" s="129"/>
      <c r="C54" s="399"/>
      <c r="D54" s="775"/>
      <c r="E54" s="772"/>
    </row>
    <row r="55" spans="1:5" s="95" customFormat="1" ht="12" x14ac:dyDescent="0.25">
      <c r="A55" s="102"/>
      <c r="B55" s="129"/>
      <c r="C55" s="399"/>
      <c r="D55" s="775"/>
      <c r="E55" s="772"/>
    </row>
    <row r="56" spans="1:5" s="95" customFormat="1" ht="12" x14ac:dyDescent="0.25">
      <c r="A56" s="102"/>
      <c r="B56" s="129"/>
      <c r="C56" s="399"/>
      <c r="D56" s="775"/>
      <c r="E56" s="772"/>
    </row>
    <row r="57" spans="1:5" s="95" customFormat="1" ht="12" x14ac:dyDescent="0.25">
      <c r="A57" s="102"/>
      <c r="B57" s="129"/>
      <c r="C57" s="399"/>
      <c r="D57" s="775"/>
      <c r="E57" s="772"/>
    </row>
    <row r="58" spans="1:5" s="95" customFormat="1" ht="12" x14ac:dyDescent="0.25">
      <c r="A58" s="102"/>
      <c r="B58" s="129"/>
      <c r="C58" s="399"/>
      <c r="D58" s="775"/>
      <c r="E58" s="772"/>
    </row>
    <row r="59" spans="1:5" s="95" customFormat="1" ht="12" x14ac:dyDescent="0.25">
      <c r="A59" s="102"/>
      <c r="B59" s="129"/>
      <c r="C59" s="399"/>
      <c r="D59" s="775"/>
      <c r="E59" s="772"/>
    </row>
    <row r="60" spans="1:5" s="95" customFormat="1" ht="12" x14ac:dyDescent="0.25">
      <c r="B60" s="130"/>
      <c r="C60" s="400"/>
      <c r="D60" s="775"/>
      <c r="E60" s="772"/>
    </row>
    <row r="61" spans="1:5" s="95" customFormat="1" ht="12" x14ac:dyDescent="0.25">
      <c r="B61" s="130"/>
      <c r="C61" s="400"/>
      <c r="D61" s="775"/>
      <c r="E61" s="772"/>
    </row>
    <row r="62" spans="1:5" s="95" customFormat="1" ht="12" x14ac:dyDescent="0.25">
      <c r="B62" s="130"/>
      <c r="C62" s="400"/>
      <c r="D62" s="775"/>
      <c r="E62" s="772"/>
    </row>
    <row r="63" spans="1:5" s="95" customFormat="1" ht="12" x14ac:dyDescent="0.25">
      <c r="B63" s="130"/>
      <c r="C63" s="400"/>
      <c r="D63" s="775"/>
      <c r="E63" s="772"/>
    </row>
    <row r="64" spans="1:5" s="95" customFormat="1" ht="12" x14ac:dyDescent="0.25">
      <c r="B64" s="130"/>
      <c r="C64" s="400"/>
      <c r="D64" s="775"/>
      <c r="E64" s="772"/>
    </row>
    <row r="65" spans="1:5" s="95" customFormat="1" ht="12" x14ac:dyDescent="0.25">
      <c r="B65" s="130"/>
      <c r="C65" s="400"/>
      <c r="D65" s="775"/>
      <c r="E65" s="772"/>
    </row>
    <row r="66" spans="1:5" s="95" customFormat="1" ht="12" x14ac:dyDescent="0.25">
      <c r="B66" s="130"/>
      <c r="C66" s="400"/>
      <c r="D66" s="775"/>
      <c r="E66" s="772"/>
    </row>
    <row r="67" spans="1:5" s="95" customFormat="1" ht="12" x14ac:dyDescent="0.25">
      <c r="B67" s="130"/>
      <c r="C67" s="400"/>
      <c r="D67" s="775"/>
      <c r="E67" s="772"/>
    </row>
    <row r="68" spans="1:5" s="95" customFormat="1" ht="12" x14ac:dyDescent="0.25">
      <c r="B68" s="130"/>
      <c r="C68" s="400"/>
      <c r="D68" s="775"/>
      <c r="E68" s="772"/>
    </row>
    <row r="69" spans="1:5" s="95" customFormat="1" ht="12" x14ac:dyDescent="0.25">
      <c r="B69" s="130"/>
      <c r="C69" s="400"/>
      <c r="D69" s="775"/>
      <c r="E69" s="772"/>
    </row>
    <row r="70" spans="1:5" x14ac:dyDescent="0.25">
      <c r="A70" s="95"/>
      <c r="B70" s="130"/>
      <c r="C70" s="400"/>
    </row>
  </sheetData>
  <mergeCells count="23">
    <mergeCell ref="B37:C37"/>
    <mergeCell ref="A1:C1"/>
    <mergeCell ref="A2:C2"/>
    <mergeCell ref="A3:C3"/>
    <mergeCell ref="A5:C7"/>
    <mergeCell ref="A9:C9"/>
    <mergeCell ref="A11:A13"/>
    <mergeCell ref="B11:B13"/>
    <mergeCell ref="C11:C13"/>
    <mergeCell ref="B14:C14"/>
    <mergeCell ref="B16:C16"/>
    <mergeCell ref="B18:C18"/>
    <mergeCell ref="B26:C26"/>
    <mergeCell ref="B29:C29"/>
    <mergeCell ref="A49:C49"/>
    <mergeCell ref="A50:C50"/>
    <mergeCell ref="A51:C51"/>
    <mergeCell ref="A41:B41"/>
    <mergeCell ref="A44:B44"/>
    <mergeCell ref="A45:B45"/>
    <mergeCell ref="A46:B46"/>
    <mergeCell ref="A47:B47"/>
    <mergeCell ref="A48:C48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81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6"/>
  <sheetViews>
    <sheetView view="pageBreakPreview" topLeftCell="A208" zoomScale="110" zoomScaleNormal="100" zoomScaleSheetLayoutView="110" workbookViewId="0">
      <selection activeCell="C211" sqref="C211"/>
    </sheetView>
  </sheetViews>
  <sheetFormatPr defaultRowHeight="12.75" x14ac:dyDescent="0.2"/>
  <cols>
    <col min="1" max="1" width="3.28515625" style="156" bestFit="1" customWidth="1"/>
    <col min="2" max="2" width="75.140625" style="156" customWidth="1"/>
    <col min="3" max="3" width="13.5703125" style="156" bestFit="1" customWidth="1"/>
    <col min="4" max="4" width="12.42578125" style="156" bestFit="1" customWidth="1"/>
    <col min="5" max="5" width="4" style="156" customWidth="1"/>
    <col min="6" max="6" width="13.5703125" style="156" bestFit="1" customWidth="1"/>
    <col min="7" max="7" width="33.28515625" style="51" customWidth="1"/>
    <col min="8" max="10" width="6.28515625" style="51" customWidth="1"/>
    <col min="11" max="14" width="10.7109375" style="51" customWidth="1"/>
    <col min="15" max="15" width="13.7109375" style="51" customWidth="1"/>
    <col min="16" max="17" width="10.7109375" style="51" customWidth="1"/>
    <col min="18" max="18" width="12.7109375" style="51" bestFit="1" customWidth="1"/>
    <col min="19" max="20" width="6.28515625" style="51" customWidth="1"/>
    <col min="21" max="16384" width="9.140625" style="156"/>
  </cols>
  <sheetData>
    <row r="1" spans="1:4" x14ac:dyDescent="0.2">
      <c r="A1" s="1101" t="s">
        <v>294</v>
      </c>
      <c r="B1" s="1102"/>
      <c r="C1" s="1103"/>
      <c r="D1" s="80"/>
    </row>
    <row r="2" spans="1:4" x14ac:dyDescent="0.2">
      <c r="A2" s="1121" t="s">
        <v>295</v>
      </c>
      <c r="B2" s="1122"/>
      <c r="C2" s="1123"/>
      <c r="D2" s="80"/>
    </row>
    <row r="3" spans="1:4" ht="13.5" thickBot="1" x14ac:dyDescent="0.25">
      <c r="A3" s="1118"/>
      <c r="B3" s="1119"/>
      <c r="C3" s="1120"/>
      <c r="D3" s="80"/>
    </row>
    <row r="4" spans="1:4" x14ac:dyDescent="0.2">
      <c r="A4" s="724"/>
      <c r="B4" s="724"/>
      <c r="C4" s="724"/>
      <c r="D4" s="80"/>
    </row>
    <row r="5" spans="1:4" ht="13.5" thickBot="1" x14ac:dyDescent="0.25">
      <c r="A5" s="80"/>
      <c r="B5" s="80"/>
      <c r="C5" s="80"/>
      <c r="D5" s="80"/>
    </row>
    <row r="6" spans="1:4" x14ac:dyDescent="0.2">
      <c r="A6" s="1104" t="s">
        <v>292</v>
      </c>
      <c r="B6" s="1105"/>
      <c r="C6" s="1106"/>
      <c r="D6" s="80"/>
    </row>
    <row r="7" spans="1:4" ht="13.5" thickBot="1" x14ac:dyDescent="0.25">
      <c r="A7" s="1107"/>
      <c r="B7" s="1108"/>
      <c r="C7" s="1109"/>
      <c r="D7" s="80"/>
    </row>
    <row r="8" spans="1:4" x14ac:dyDescent="0.2">
      <c r="A8" s="634"/>
      <c r="B8" s="634"/>
      <c r="C8" s="634"/>
      <c r="D8" s="80"/>
    </row>
    <row r="9" spans="1:4" ht="13.5" thickBot="1" x14ac:dyDescent="0.25">
      <c r="B9" s="76"/>
      <c r="C9" s="78"/>
      <c r="D9" s="80"/>
    </row>
    <row r="10" spans="1:4" ht="13.5" thickBot="1" x14ac:dyDescent="0.25">
      <c r="A10" s="1110" t="s">
        <v>503</v>
      </c>
      <c r="B10" s="1111"/>
      <c r="C10" s="1112"/>
      <c r="D10" s="80"/>
    </row>
    <row r="11" spans="1:4" x14ac:dyDescent="0.2">
      <c r="A11" s="80"/>
      <c r="B11" s="80"/>
      <c r="C11" s="80"/>
      <c r="D11" s="80"/>
    </row>
    <row r="12" spans="1:4" ht="13.5" thickBot="1" x14ac:dyDescent="0.25">
      <c r="A12" s="80"/>
      <c r="B12" s="80"/>
      <c r="C12" s="80"/>
      <c r="D12" s="80"/>
    </row>
    <row r="13" spans="1:4" x14ac:dyDescent="0.2">
      <c r="A13" s="1124" t="s">
        <v>34</v>
      </c>
      <c r="B13" s="1127" t="s">
        <v>518</v>
      </c>
      <c r="C13" s="1128"/>
      <c r="D13" s="80"/>
    </row>
    <row r="14" spans="1:4" x14ac:dyDescent="0.2">
      <c r="A14" s="1125"/>
      <c r="B14" s="1129"/>
      <c r="C14" s="1130"/>
      <c r="D14" s="80"/>
    </row>
    <row r="15" spans="1:4" ht="13.5" thickBot="1" x14ac:dyDescent="0.25">
      <c r="A15" s="1126"/>
      <c r="B15" s="1131"/>
      <c r="C15" s="1132"/>
      <c r="D15" s="80"/>
    </row>
    <row r="16" spans="1:4" ht="13.5" thickBot="1" x14ac:dyDescent="0.25">
      <c r="A16" s="1115" t="s">
        <v>501</v>
      </c>
      <c r="B16" s="1116"/>
      <c r="C16" s="1117"/>
      <c r="D16" s="80"/>
    </row>
    <row r="17" spans="1:7" ht="13.5" thickBot="1" x14ac:dyDescent="0.25">
      <c r="A17" s="1113" t="s">
        <v>57</v>
      </c>
      <c r="B17" s="1114"/>
      <c r="C17" s="157">
        <f>SUM(C18+C22+C25)</f>
        <v>25145461.657648012</v>
      </c>
      <c r="D17" s="80"/>
      <c r="F17" s="415"/>
      <c r="G17" s="583"/>
    </row>
    <row r="18" spans="1:7" x14ac:dyDescent="0.2">
      <c r="A18" s="166" t="s">
        <v>504</v>
      </c>
      <c r="B18" s="610" t="s">
        <v>510</v>
      </c>
      <c r="C18" s="604">
        <f>SUM(C19:C21)</f>
        <v>14302900.640000004</v>
      </c>
      <c r="D18" s="80"/>
      <c r="F18" s="415"/>
      <c r="G18" s="583"/>
    </row>
    <row r="19" spans="1:7" x14ac:dyDescent="0.2">
      <c r="A19" s="164" t="s">
        <v>65</v>
      </c>
      <c r="B19" s="611" t="s">
        <v>506</v>
      </c>
      <c r="C19" s="1017">
        <f>'Mão de Obra '!K45</f>
        <v>11439053.120000005</v>
      </c>
      <c r="D19" s="80"/>
    </row>
    <row r="20" spans="1:7" x14ac:dyDescent="0.2">
      <c r="A20" s="164" t="s">
        <v>464</v>
      </c>
      <c r="B20" s="611" t="s">
        <v>507</v>
      </c>
      <c r="C20" s="1017">
        <f>'Mão de Obra '!K46</f>
        <v>129254.40000000001</v>
      </c>
      <c r="D20" s="80"/>
    </row>
    <row r="21" spans="1:7" x14ac:dyDescent="0.2">
      <c r="A21" s="164" t="s">
        <v>97</v>
      </c>
      <c r="B21" s="611" t="s">
        <v>511</v>
      </c>
      <c r="C21" s="1017">
        <f>'Mão de Obra '!L47</f>
        <v>2734593.12</v>
      </c>
      <c r="D21" s="80"/>
    </row>
    <row r="22" spans="1:7" x14ac:dyDescent="0.2">
      <c r="A22" s="167" t="s">
        <v>505</v>
      </c>
      <c r="B22" s="612" t="s">
        <v>512</v>
      </c>
      <c r="C22" s="1018">
        <f>SUM(C23:C24)</f>
        <v>10269145.017648006</v>
      </c>
      <c r="D22" s="80"/>
      <c r="F22" s="415"/>
      <c r="G22" s="583"/>
    </row>
    <row r="23" spans="1:7" x14ac:dyDescent="0.2">
      <c r="A23" s="164" t="s">
        <v>477</v>
      </c>
      <c r="B23" s="613" t="s">
        <v>721</v>
      </c>
      <c r="C23" s="1017">
        <f>(C19+C21)*0.7227</f>
        <v>10243294.137648005</v>
      </c>
      <c r="D23" s="723"/>
      <c r="F23" s="415"/>
      <c r="G23" s="583"/>
    </row>
    <row r="24" spans="1:7" x14ac:dyDescent="0.2">
      <c r="A24" s="164" t="s">
        <v>478</v>
      </c>
      <c r="B24" s="613" t="s">
        <v>697</v>
      </c>
      <c r="C24" s="1019">
        <f>C20*0.2</f>
        <v>25850.880000000005</v>
      </c>
      <c r="D24" s="80"/>
      <c r="F24" s="415"/>
      <c r="G24" s="583"/>
    </row>
    <row r="25" spans="1:7" x14ac:dyDescent="0.2">
      <c r="A25" s="167" t="s">
        <v>13</v>
      </c>
      <c r="B25" s="612" t="s">
        <v>934</v>
      </c>
      <c r="C25" s="1018">
        <f>SUM(C26)</f>
        <v>573416</v>
      </c>
      <c r="D25" s="80"/>
      <c r="F25" s="415"/>
    </row>
    <row r="26" spans="1:7" ht="13.5" thickBot="1" x14ac:dyDescent="0.25">
      <c r="A26" s="238" t="s">
        <v>487</v>
      </c>
      <c r="B26" s="614" t="s">
        <v>935</v>
      </c>
      <c r="C26" s="1020">
        <f>Alimentação!G161</f>
        <v>573416</v>
      </c>
      <c r="D26" s="80"/>
    </row>
    <row r="27" spans="1:7" ht="13.5" thickBot="1" x14ac:dyDescent="0.25">
      <c r="A27" s="1113" t="s">
        <v>502</v>
      </c>
      <c r="B27" s="1139"/>
      <c r="C27" s="1021">
        <f>SUM(C28:C28)</f>
        <v>1929.5</v>
      </c>
      <c r="D27" s="80"/>
    </row>
    <row r="28" spans="1:7" ht="13.5" thickBot="1" x14ac:dyDescent="0.25">
      <c r="A28" s="237" t="s">
        <v>513</v>
      </c>
      <c r="B28" s="542" t="s">
        <v>686</v>
      </c>
      <c r="C28" s="1022">
        <f>'MemCalculo (AdmManutEscritorio)'!F237</f>
        <v>1929.5</v>
      </c>
      <c r="D28" s="80"/>
    </row>
    <row r="29" spans="1:7" ht="13.5" thickBot="1" x14ac:dyDescent="0.25">
      <c r="A29" s="1135" t="s">
        <v>516</v>
      </c>
      <c r="B29" s="1137"/>
      <c r="C29" s="236">
        <f>C17+C27</f>
        <v>25147391.157648012</v>
      </c>
      <c r="D29" s="80"/>
      <c r="F29" s="415"/>
      <c r="G29" s="583"/>
    </row>
    <row r="30" spans="1:7" ht="13.5" thickBot="1" x14ac:dyDescent="0.25">
      <c r="A30" s="1138" t="s">
        <v>534</v>
      </c>
      <c r="B30" s="1116"/>
      <c r="C30" s="1117"/>
      <c r="D30" s="159"/>
    </row>
    <row r="31" spans="1:7" x14ac:dyDescent="0.2">
      <c r="A31" s="162" t="s">
        <v>514</v>
      </c>
      <c r="B31" s="544" t="s">
        <v>687</v>
      </c>
      <c r="C31" s="547">
        <f>0.2*C18</f>
        <v>2860580.128000001</v>
      </c>
      <c r="D31" s="80"/>
      <c r="G31" s="583"/>
    </row>
    <row r="32" spans="1:7" x14ac:dyDescent="0.2">
      <c r="A32" s="168" t="s">
        <v>515</v>
      </c>
      <c r="B32" s="545" t="s">
        <v>936</v>
      </c>
      <c r="C32" s="548">
        <f>0.05*(C29+C31)</f>
        <v>1400398.5642824008</v>
      </c>
      <c r="D32" s="80"/>
      <c r="G32" s="583"/>
    </row>
    <row r="33" spans="1:11" ht="13.5" thickBot="1" x14ac:dyDescent="0.25">
      <c r="A33" s="163" t="s">
        <v>922</v>
      </c>
      <c r="B33" s="546" t="s">
        <v>937</v>
      </c>
      <c r="C33" s="549">
        <f>0.1662*(C29+C31+C32)</f>
        <v>4887671.069058435</v>
      </c>
      <c r="D33" s="80"/>
      <c r="G33" s="583"/>
    </row>
    <row r="34" spans="1:11" ht="13.5" thickBot="1" x14ac:dyDescent="0.25">
      <c r="A34" s="1135" t="s">
        <v>517</v>
      </c>
      <c r="B34" s="1136"/>
      <c r="C34" s="158">
        <f>SUM(C31:C33)</f>
        <v>9148649.7613408379</v>
      </c>
      <c r="D34" s="80"/>
      <c r="G34" s="583"/>
    </row>
    <row r="35" spans="1:11" ht="13.5" thickBot="1" x14ac:dyDescent="0.25">
      <c r="A35" s="159"/>
      <c r="B35" s="160"/>
      <c r="C35" s="161"/>
      <c r="D35" s="80"/>
    </row>
    <row r="36" spans="1:11" ht="13.5" thickBot="1" x14ac:dyDescent="0.25">
      <c r="A36" s="1133" t="s">
        <v>688</v>
      </c>
      <c r="B36" s="1134"/>
      <c r="C36" s="234">
        <f>C34+C29</f>
        <v>34296040.918988854</v>
      </c>
      <c r="D36" s="80"/>
      <c r="F36" s="415"/>
      <c r="G36" s="583"/>
    </row>
    <row r="37" spans="1:11" x14ac:dyDescent="0.2">
      <c r="A37" s="80"/>
      <c r="B37" s="721"/>
      <c r="C37" s="722"/>
      <c r="D37" s="80"/>
    </row>
    <row r="38" spans="1:11" ht="13.5" thickBot="1" x14ac:dyDescent="0.25">
      <c r="A38" s="80"/>
      <c r="B38" s="80"/>
      <c r="C38" s="80"/>
      <c r="D38" s="80"/>
    </row>
    <row r="39" spans="1:11" ht="13.5" thickBot="1" x14ac:dyDescent="0.25">
      <c r="A39" s="587">
        <v>2</v>
      </c>
      <c r="B39" s="1141" t="s">
        <v>44</v>
      </c>
      <c r="C39" s="1145"/>
      <c r="D39" s="1142"/>
    </row>
    <row r="40" spans="1:11" ht="13.5" thickBot="1" x14ac:dyDescent="0.25">
      <c r="A40" s="1115" t="s">
        <v>501</v>
      </c>
      <c r="B40" s="1116"/>
      <c r="C40" s="1116"/>
      <c r="D40" s="1117"/>
    </row>
    <row r="41" spans="1:11" ht="13.5" thickBot="1" x14ac:dyDescent="0.25">
      <c r="A41" s="779"/>
      <c r="B41" s="584"/>
      <c r="C41" s="586" t="s">
        <v>666</v>
      </c>
      <c r="D41" s="585" t="s">
        <v>908</v>
      </c>
    </row>
    <row r="42" spans="1:11" ht="13.5" thickBot="1" x14ac:dyDescent="0.25">
      <c r="A42" s="1113" t="s">
        <v>57</v>
      </c>
      <c r="B42" s="1114"/>
      <c r="C42" s="157">
        <f>SUM(C43+C48+C52)</f>
        <v>714811.43423999986</v>
      </c>
      <c r="D42" s="157">
        <f>SUM(D43+D48+D52)</f>
        <v>1364686.8378960001</v>
      </c>
      <c r="F42" s="415"/>
      <c r="G42" s="583"/>
      <c r="J42" s="583"/>
      <c r="K42" s="583"/>
    </row>
    <row r="43" spans="1:11" x14ac:dyDescent="0.2">
      <c r="A43" s="166" t="s">
        <v>504</v>
      </c>
      <c r="B43" s="537" t="s">
        <v>510</v>
      </c>
      <c r="C43" s="615">
        <f>SUM(C44:C47)</f>
        <v>403779.19999999995</v>
      </c>
      <c r="D43" s="543">
        <f>SUM(D44:D47)</f>
        <v>638211.12000000011</v>
      </c>
      <c r="F43" s="415"/>
      <c r="G43" s="583"/>
      <c r="J43" s="583"/>
      <c r="K43" s="583"/>
    </row>
    <row r="44" spans="1:11" x14ac:dyDescent="0.2">
      <c r="A44" s="164" t="s">
        <v>65</v>
      </c>
      <c r="B44" s="538" t="s">
        <v>694</v>
      </c>
      <c r="C44" s="1023">
        <f>'Mão de Obra '!K59</f>
        <v>403779.19999999995</v>
      </c>
      <c r="D44" s="1024">
        <f>'Mão de Obra '!L59</f>
        <v>0</v>
      </c>
      <c r="J44" s="583"/>
      <c r="K44" s="583"/>
    </row>
    <row r="45" spans="1:11" x14ac:dyDescent="0.2">
      <c r="A45" s="164" t="s">
        <v>464</v>
      </c>
      <c r="B45" s="538" t="s">
        <v>693</v>
      </c>
      <c r="C45" s="1023">
        <v>0</v>
      </c>
      <c r="D45" s="1024">
        <f>'Mão de Obra '!K60</f>
        <v>638211.12000000011</v>
      </c>
      <c r="J45" s="583"/>
      <c r="K45" s="583"/>
    </row>
    <row r="46" spans="1:11" x14ac:dyDescent="0.2">
      <c r="A46" s="164" t="s">
        <v>97</v>
      </c>
      <c r="B46" s="538" t="s">
        <v>507</v>
      </c>
      <c r="C46" s="1023">
        <f>'Mão de Obra '!K61</f>
        <v>0</v>
      </c>
      <c r="D46" s="1024">
        <f>'Mão de Obra '!K61</f>
        <v>0</v>
      </c>
      <c r="J46" s="583"/>
      <c r="K46" s="583"/>
    </row>
    <row r="47" spans="1:11" x14ac:dyDescent="0.2">
      <c r="A47" s="164" t="s">
        <v>66</v>
      </c>
      <c r="B47" s="538" t="s">
        <v>511</v>
      </c>
      <c r="C47" s="1023">
        <f>'Mão de Obra '!L62</f>
        <v>0</v>
      </c>
      <c r="D47" s="1024">
        <f>'Mão de Obra '!L61</f>
        <v>0</v>
      </c>
      <c r="J47" s="583"/>
      <c r="K47" s="583"/>
    </row>
    <row r="48" spans="1:11" x14ac:dyDescent="0.2">
      <c r="A48" s="167" t="s">
        <v>505</v>
      </c>
      <c r="B48" s="539" t="s">
        <v>512</v>
      </c>
      <c r="C48" s="1025">
        <f>SUM(C49:C51)</f>
        <v>293628.23423999996</v>
      </c>
      <c r="D48" s="1026">
        <f>SUM(D49:D51)</f>
        <v>726475.71789600013</v>
      </c>
      <c r="J48" s="583"/>
      <c r="K48" s="583"/>
    </row>
    <row r="49" spans="1:11" x14ac:dyDescent="0.2">
      <c r="A49" s="164" t="s">
        <v>477</v>
      </c>
      <c r="B49" s="540" t="s">
        <v>940</v>
      </c>
      <c r="C49" s="1023">
        <f>0.7272*(C44+C47)</f>
        <v>293628.23423999996</v>
      </c>
      <c r="D49" s="1024">
        <f>0.7227*(D44+D47)</f>
        <v>0</v>
      </c>
      <c r="J49" s="583"/>
      <c r="K49" s="583"/>
    </row>
    <row r="50" spans="1:11" x14ac:dyDescent="0.2">
      <c r="A50" s="164" t="s">
        <v>478</v>
      </c>
      <c r="B50" s="540" t="s">
        <v>911</v>
      </c>
      <c r="C50" s="1023">
        <f>1.1383*C45</f>
        <v>0</v>
      </c>
      <c r="D50" s="1024">
        <f>D45*1.1383</f>
        <v>726475.71789600013</v>
      </c>
      <c r="F50" s="415"/>
      <c r="J50" s="583"/>
      <c r="K50" s="583"/>
    </row>
    <row r="51" spans="1:11" x14ac:dyDescent="0.2">
      <c r="A51" s="164" t="s">
        <v>479</v>
      </c>
      <c r="B51" s="540" t="s">
        <v>787</v>
      </c>
      <c r="C51" s="1027">
        <f>C46*0.2</f>
        <v>0</v>
      </c>
      <c r="D51" s="1024">
        <f>D46*0.2</f>
        <v>0</v>
      </c>
      <c r="J51" s="583"/>
      <c r="K51" s="583"/>
    </row>
    <row r="52" spans="1:11" x14ac:dyDescent="0.2">
      <c r="A52" s="167" t="s">
        <v>13</v>
      </c>
      <c r="B52" s="612" t="s">
        <v>934</v>
      </c>
      <c r="C52" s="1028">
        <f>SUM(C53)</f>
        <v>17404</v>
      </c>
      <c r="D52" s="1026">
        <f>SUM(D53)</f>
        <v>0</v>
      </c>
      <c r="J52" s="583"/>
      <c r="K52" s="583"/>
    </row>
    <row r="53" spans="1:11" ht="13.5" thickBot="1" x14ac:dyDescent="0.25">
      <c r="A53" s="238" t="s">
        <v>487</v>
      </c>
      <c r="B53" s="614" t="s">
        <v>935</v>
      </c>
      <c r="C53" s="1029">
        <f>Alimentação!G164</f>
        <v>17404</v>
      </c>
      <c r="D53" s="1030">
        <v>0</v>
      </c>
      <c r="F53" s="415"/>
      <c r="J53" s="583"/>
      <c r="K53" s="583"/>
    </row>
    <row r="54" spans="1:11" ht="13.5" thickBot="1" x14ac:dyDescent="0.25">
      <c r="A54" s="1146" t="s">
        <v>502</v>
      </c>
      <c r="B54" s="1139"/>
      <c r="C54" s="1031">
        <f>SUM(C55:C55)</f>
        <v>1248.5</v>
      </c>
      <c r="D54" s="1032">
        <f>SUM(D55:D55)</f>
        <v>0</v>
      </c>
      <c r="F54" s="415"/>
      <c r="J54" s="583"/>
      <c r="K54" s="583"/>
    </row>
    <row r="55" spans="1:11" ht="13.5" thickBot="1" x14ac:dyDescent="0.25">
      <c r="A55" s="237" t="s">
        <v>513</v>
      </c>
      <c r="B55" s="542" t="s">
        <v>686</v>
      </c>
      <c r="C55" s="1022">
        <f>'MemCalculo (AdmManutEscritorio)'!F238</f>
        <v>1248.5</v>
      </c>
      <c r="D55" s="1022">
        <f>'Escritorios (Adm_Manut)'!I197</f>
        <v>0</v>
      </c>
      <c r="J55" s="583"/>
      <c r="K55" s="583"/>
    </row>
    <row r="56" spans="1:11" ht="13.5" thickBot="1" x14ac:dyDescent="0.25">
      <c r="A56" s="1135" t="s">
        <v>516</v>
      </c>
      <c r="B56" s="1137"/>
      <c r="C56" s="236">
        <f>C42+C54</f>
        <v>716059.93423999986</v>
      </c>
      <c r="D56" s="236">
        <f>D42+D54</f>
        <v>1364686.8378960001</v>
      </c>
      <c r="F56" s="415"/>
      <c r="G56" s="415"/>
      <c r="J56" s="583"/>
      <c r="K56" s="583"/>
    </row>
    <row r="57" spans="1:11" ht="13.5" thickBot="1" x14ac:dyDescent="0.25">
      <c r="A57" s="1115" t="s">
        <v>534</v>
      </c>
      <c r="B57" s="1116"/>
      <c r="C57" s="1116"/>
      <c r="D57" s="1117"/>
    </row>
    <row r="58" spans="1:11" ht="13.5" thickBot="1" x14ac:dyDescent="0.25">
      <c r="A58" s="1115"/>
      <c r="B58" s="1117"/>
      <c r="C58" s="586" t="s">
        <v>666</v>
      </c>
      <c r="D58" s="585" t="s">
        <v>908</v>
      </c>
    </row>
    <row r="59" spans="1:11" x14ac:dyDescent="0.2">
      <c r="A59" s="162" t="s">
        <v>514</v>
      </c>
      <c r="B59" s="544" t="s">
        <v>687</v>
      </c>
      <c r="C59" s="547">
        <f>0.2*C43</f>
        <v>80755.839999999997</v>
      </c>
      <c r="D59" s="547">
        <f>0.2*D43</f>
        <v>127642.22400000003</v>
      </c>
      <c r="G59" s="156"/>
      <c r="J59" s="583"/>
      <c r="K59" s="583"/>
    </row>
    <row r="60" spans="1:11" x14ac:dyDescent="0.2">
      <c r="A60" s="168" t="s">
        <v>515</v>
      </c>
      <c r="B60" s="545" t="s">
        <v>936</v>
      </c>
      <c r="C60" s="548">
        <f>0.05*(C56+C59)</f>
        <v>39840.788711999994</v>
      </c>
      <c r="D60" s="548">
        <f>0.05*(D56+D59)</f>
        <v>74616.453094800003</v>
      </c>
      <c r="G60" s="156"/>
      <c r="J60" s="583"/>
      <c r="K60" s="583"/>
    </row>
    <row r="61" spans="1:11" ht="13.5" thickBot="1" x14ac:dyDescent="0.25">
      <c r="A61" s="163" t="s">
        <v>922</v>
      </c>
      <c r="B61" s="546" t="s">
        <v>937</v>
      </c>
      <c r="C61" s="549">
        <f>0.1662*(C56+C59+C60)</f>
        <v>139052.32076262237</v>
      </c>
      <c r="D61" s="549">
        <f>0.1662*(D56+D59+D60)</f>
        <v>260426.34459147096</v>
      </c>
      <c r="G61" s="156"/>
      <c r="J61" s="583"/>
      <c r="K61" s="583"/>
    </row>
    <row r="62" spans="1:11" ht="13.5" thickBot="1" x14ac:dyDescent="0.25">
      <c r="A62" s="1135" t="s">
        <v>517</v>
      </c>
      <c r="B62" s="1136"/>
      <c r="C62" s="158">
        <f>SUM(C59:C61)</f>
        <v>259648.94947462238</v>
      </c>
      <c r="D62" s="158">
        <f>SUM(D59:D61)</f>
        <v>462685.02168627101</v>
      </c>
      <c r="G62" s="156"/>
      <c r="J62" s="583"/>
      <c r="K62" s="583"/>
    </row>
    <row r="63" spans="1:11" ht="13.5" thickBot="1" x14ac:dyDescent="0.25">
      <c r="A63" s="159"/>
      <c r="B63" s="160"/>
      <c r="C63" s="161"/>
    </row>
    <row r="64" spans="1:11" ht="13.5" thickBot="1" x14ac:dyDescent="0.25">
      <c r="A64" s="1133" t="s">
        <v>689</v>
      </c>
      <c r="B64" s="1134"/>
      <c r="C64" s="234">
        <f>C62+C56</f>
        <v>975708.88371462224</v>
      </c>
      <c r="D64" s="234">
        <f>D62+D56</f>
        <v>1827371.8595822712</v>
      </c>
      <c r="F64" s="415"/>
      <c r="G64" s="415"/>
      <c r="J64" s="583"/>
      <c r="K64" s="583"/>
    </row>
    <row r="65" spans="1:10" ht="13.5" customHeight="1" thickBot="1" x14ac:dyDescent="0.25">
      <c r="A65" s="1133" t="s">
        <v>689</v>
      </c>
      <c r="B65" s="1134"/>
      <c r="C65" s="1147">
        <f>C64+D64</f>
        <v>2803080.7432968933</v>
      </c>
      <c r="D65" s="1148"/>
      <c r="F65" s="415"/>
      <c r="J65" s="583"/>
    </row>
    <row r="72" spans="1:10" ht="13.5" thickBot="1" x14ac:dyDescent="0.25"/>
    <row r="73" spans="1:10" ht="13.5" thickBot="1" x14ac:dyDescent="0.25">
      <c r="A73" s="235" t="s">
        <v>101</v>
      </c>
      <c r="B73" s="1141" t="s">
        <v>225</v>
      </c>
      <c r="C73" s="1142"/>
    </row>
    <row r="74" spans="1:10" ht="13.5" thickBot="1" x14ac:dyDescent="0.25">
      <c r="A74" s="1115" t="s">
        <v>501</v>
      </c>
      <c r="B74" s="1116"/>
      <c r="C74" s="1117"/>
    </row>
    <row r="75" spans="1:10" ht="13.5" thickBot="1" x14ac:dyDescent="0.25">
      <c r="A75" s="1113" t="s">
        <v>57</v>
      </c>
      <c r="B75" s="1114"/>
      <c r="C75" s="157">
        <f>SUM(C76+C80+C83)</f>
        <v>283939.39535999997</v>
      </c>
      <c r="F75" s="415"/>
      <c r="G75" s="583"/>
    </row>
    <row r="76" spans="1:10" x14ac:dyDescent="0.2">
      <c r="A76" s="166" t="s">
        <v>504</v>
      </c>
      <c r="B76" s="537" t="s">
        <v>510</v>
      </c>
      <c r="C76" s="1033">
        <f>SUM(C77:C79)</f>
        <v>160036.79999999999</v>
      </c>
      <c r="F76" s="415"/>
      <c r="G76" s="583"/>
    </row>
    <row r="77" spans="1:10" x14ac:dyDescent="0.2">
      <c r="A77" s="164" t="s">
        <v>65</v>
      </c>
      <c r="B77" s="538" t="s">
        <v>506</v>
      </c>
      <c r="C77" s="1024">
        <f>'Mão de Obra '!K74</f>
        <v>160036.79999999999</v>
      </c>
      <c r="G77" s="583"/>
    </row>
    <row r="78" spans="1:10" x14ac:dyDescent="0.2">
      <c r="A78" s="164" t="s">
        <v>464</v>
      </c>
      <c r="B78" s="538" t="s">
        <v>507</v>
      </c>
      <c r="C78" s="1024">
        <f>'Mão de Obra '!K75</f>
        <v>0</v>
      </c>
      <c r="G78" s="583"/>
    </row>
    <row r="79" spans="1:10" x14ac:dyDescent="0.2">
      <c r="A79" s="164" t="s">
        <v>97</v>
      </c>
      <c r="B79" s="538" t="s">
        <v>511</v>
      </c>
      <c r="C79" s="1024">
        <f>'Mão de Obra '!L76</f>
        <v>0</v>
      </c>
      <c r="G79" s="583"/>
    </row>
    <row r="80" spans="1:10" x14ac:dyDescent="0.2">
      <c r="A80" s="167" t="s">
        <v>505</v>
      </c>
      <c r="B80" s="539" t="s">
        <v>512</v>
      </c>
      <c r="C80" s="1026">
        <f>SUM(C81:C82)</f>
        <v>115658.59535999999</v>
      </c>
      <c r="G80" s="583"/>
    </row>
    <row r="81" spans="1:7" x14ac:dyDescent="0.2">
      <c r="A81" s="164" t="s">
        <v>477</v>
      </c>
      <c r="B81" s="540" t="s">
        <v>721</v>
      </c>
      <c r="C81" s="1024">
        <f>0.7227*(C77+C79)</f>
        <v>115658.59535999999</v>
      </c>
      <c r="G81" s="583"/>
    </row>
    <row r="82" spans="1:7" x14ac:dyDescent="0.2">
      <c r="A82" s="164" t="s">
        <v>478</v>
      </c>
      <c r="B82" s="541" t="s">
        <v>697</v>
      </c>
      <c r="C82" s="1034">
        <f>C78*0.2</f>
        <v>0</v>
      </c>
      <c r="G82" s="583"/>
    </row>
    <row r="83" spans="1:7" x14ac:dyDescent="0.2">
      <c r="A83" s="617" t="s">
        <v>13</v>
      </c>
      <c r="B83" s="539" t="s">
        <v>934</v>
      </c>
      <c r="C83" s="1035">
        <f>SUM(C84)</f>
        <v>8244</v>
      </c>
      <c r="F83" s="415"/>
      <c r="G83" s="583"/>
    </row>
    <row r="84" spans="1:7" ht="13.5" thickBot="1" x14ac:dyDescent="0.25">
      <c r="A84" s="165" t="s">
        <v>487</v>
      </c>
      <c r="B84" s="616" t="s">
        <v>935</v>
      </c>
      <c r="C84" s="1036">
        <f>Alimentação!G165</f>
        <v>8244</v>
      </c>
      <c r="G84" s="583"/>
    </row>
    <row r="85" spans="1:7" ht="13.5" thickBot="1" x14ac:dyDescent="0.25">
      <c r="A85" s="1140" t="s">
        <v>502</v>
      </c>
      <c r="B85" s="1139"/>
      <c r="C85" s="1021">
        <f>SUM(C86:C86)</f>
        <v>5796</v>
      </c>
      <c r="F85" s="415"/>
      <c r="G85" s="583"/>
    </row>
    <row r="86" spans="1:7" ht="13.5" thickBot="1" x14ac:dyDescent="0.25">
      <c r="A86" s="237" t="s">
        <v>513</v>
      </c>
      <c r="B86" s="542" t="s">
        <v>686</v>
      </c>
      <c r="C86" s="1022">
        <f>'MemCalculo (AdmManutEscritorio)'!F239</f>
        <v>5796</v>
      </c>
      <c r="G86" s="583"/>
    </row>
    <row r="87" spans="1:7" ht="13.5" thickBot="1" x14ac:dyDescent="0.25">
      <c r="A87" s="1135" t="s">
        <v>516</v>
      </c>
      <c r="B87" s="1137"/>
      <c r="C87" s="236">
        <f>C75+C85</f>
        <v>289735.39535999997</v>
      </c>
      <c r="F87" s="415"/>
      <c r="G87" s="583"/>
    </row>
    <row r="88" spans="1:7" ht="13.5" thickBot="1" x14ac:dyDescent="0.25">
      <c r="A88" s="1138" t="s">
        <v>534</v>
      </c>
      <c r="B88" s="1116"/>
      <c r="C88" s="1117"/>
      <c r="G88" s="583"/>
    </row>
    <row r="89" spans="1:7" x14ac:dyDescent="0.2">
      <c r="A89" s="162" t="s">
        <v>514</v>
      </c>
      <c r="B89" s="544" t="s">
        <v>687</v>
      </c>
      <c r="C89" s="547">
        <f>0.2*C76</f>
        <v>32007.360000000001</v>
      </c>
      <c r="G89" s="583"/>
    </row>
    <row r="90" spans="1:7" x14ac:dyDescent="0.2">
      <c r="A90" s="168" t="s">
        <v>515</v>
      </c>
      <c r="B90" s="545" t="s">
        <v>936</v>
      </c>
      <c r="C90" s="548">
        <f>0.05*(C87+C89)</f>
        <v>16087.137767999999</v>
      </c>
      <c r="G90" s="583"/>
    </row>
    <row r="91" spans="1:7" ht="13.5" thickBot="1" x14ac:dyDescent="0.25">
      <c r="A91" s="163" t="s">
        <v>922</v>
      </c>
      <c r="B91" s="546" t="s">
        <v>937</v>
      </c>
      <c r="C91" s="549">
        <f>0.1662*(C87+C89+C90)</f>
        <v>56147.328237873589</v>
      </c>
      <c r="G91" s="583"/>
    </row>
    <row r="92" spans="1:7" ht="13.5" thickBot="1" x14ac:dyDescent="0.25">
      <c r="A92" s="1135" t="s">
        <v>517</v>
      </c>
      <c r="B92" s="1136"/>
      <c r="C92" s="158">
        <f>SUM(C89:C91)</f>
        <v>104241.82600587359</v>
      </c>
      <c r="F92" s="415"/>
      <c r="G92" s="583"/>
    </row>
    <row r="93" spans="1:7" ht="13.5" thickBot="1" x14ac:dyDescent="0.25">
      <c r="A93" s="159"/>
      <c r="B93" s="160"/>
      <c r="C93" s="161"/>
      <c r="G93" s="583"/>
    </row>
    <row r="94" spans="1:7" ht="13.5" thickBot="1" x14ac:dyDescent="0.25">
      <c r="A94" s="1133" t="s">
        <v>882</v>
      </c>
      <c r="B94" s="1134"/>
      <c r="C94" s="234">
        <f>C92+C87</f>
        <v>393977.22136587359</v>
      </c>
      <c r="F94" s="415"/>
      <c r="G94" s="583"/>
    </row>
    <row r="96" spans="1:7" ht="13.5" thickBot="1" x14ac:dyDescent="0.25"/>
    <row r="97" spans="1:7" ht="13.5" thickBot="1" x14ac:dyDescent="0.25">
      <c r="A97" s="235" t="s">
        <v>260</v>
      </c>
      <c r="B97" s="1141" t="s">
        <v>690</v>
      </c>
      <c r="C97" s="1142"/>
    </row>
    <row r="98" spans="1:7" ht="13.5" thickBot="1" x14ac:dyDescent="0.25">
      <c r="A98" s="1115" t="s">
        <v>501</v>
      </c>
      <c r="B98" s="1116"/>
      <c r="C98" s="1117"/>
    </row>
    <row r="99" spans="1:7" ht="13.5" thickBot="1" x14ac:dyDescent="0.25">
      <c r="A99" s="1113" t="s">
        <v>57</v>
      </c>
      <c r="B99" s="1114"/>
      <c r="C99" s="157">
        <f>SUM(C100+C104+C107)</f>
        <v>2102750.3537280001</v>
      </c>
      <c r="F99" s="415"/>
      <c r="G99" s="583"/>
    </row>
    <row r="100" spans="1:7" x14ac:dyDescent="0.2">
      <c r="A100" s="166" t="s">
        <v>504</v>
      </c>
      <c r="B100" s="537" t="s">
        <v>510</v>
      </c>
      <c r="C100" s="1033">
        <f>SUM(C101:C103)</f>
        <v>1248823.68</v>
      </c>
      <c r="F100" s="415"/>
      <c r="G100" s="583"/>
    </row>
    <row r="101" spans="1:7" x14ac:dyDescent="0.2">
      <c r="A101" s="164" t="s">
        <v>65</v>
      </c>
      <c r="B101" s="538" t="s">
        <v>506</v>
      </c>
      <c r="C101" s="1024">
        <f>'Mão de Obra '!K89</f>
        <v>1061216.6399999999</v>
      </c>
      <c r="G101" s="583"/>
    </row>
    <row r="102" spans="1:7" x14ac:dyDescent="0.2">
      <c r="A102" s="164" t="s">
        <v>464</v>
      </c>
      <c r="B102" s="538" t="s">
        <v>507</v>
      </c>
      <c r="C102" s="1024">
        <f>'Mão de Obra '!K90</f>
        <v>187607.04000000001</v>
      </c>
      <c r="G102" s="583"/>
    </row>
    <row r="103" spans="1:7" x14ac:dyDescent="0.2">
      <c r="A103" s="164" t="s">
        <v>97</v>
      </c>
      <c r="B103" s="538" t="s">
        <v>511</v>
      </c>
      <c r="C103" s="1024">
        <f>'Mão de Obra '!L91</f>
        <v>0</v>
      </c>
      <c r="G103" s="583"/>
    </row>
    <row r="104" spans="1:7" x14ac:dyDescent="0.2">
      <c r="A104" s="167" t="s">
        <v>505</v>
      </c>
      <c r="B104" s="539" t="s">
        <v>512</v>
      </c>
      <c r="C104" s="1026">
        <f>SUM(C105:C106)</f>
        <v>804462.67372800002</v>
      </c>
      <c r="G104" s="583"/>
    </row>
    <row r="105" spans="1:7" x14ac:dyDescent="0.2">
      <c r="A105" s="164" t="s">
        <v>477</v>
      </c>
      <c r="B105" s="540" t="s">
        <v>721</v>
      </c>
      <c r="C105" s="1024">
        <f>0.7227*(C101+C103)</f>
        <v>766941.26572799997</v>
      </c>
      <c r="G105" s="583"/>
    </row>
    <row r="106" spans="1:7" x14ac:dyDescent="0.2">
      <c r="A106" s="164" t="s">
        <v>478</v>
      </c>
      <c r="B106" s="541" t="s">
        <v>697</v>
      </c>
      <c r="C106" s="1024">
        <f>C102*0.2</f>
        <v>37521.408000000003</v>
      </c>
      <c r="G106" s="583"/>
    </row>
    <row r="107" spans="1:7" x14ac:dyDescent="0.2">
      <c r="A107" s="167" t="s">
        <v>13</v>
      </c>
      <c r="B107" s="539" t="s">
        <v>934</v>
      </c>
      <c r="C107" s="1035">
        <f>SUM(C108)</f>
        <v>49464</v>
      </c>
      <c r="F107" s="415"/>
      <c r="G107" s="583"/>
    </row>
    <row r="108" spans="1:7" ht="13.5" thickBot="1" x14ac:dyDescent="0.25">
      <c r="A108" s="165" t="s">
        <v>487</v>
      </c>
      <c r="B108" s="616" t="s">
        <v>935</v>
      </c>
      <c r="C108" s="1036">
        <f>Alimentação!G166</f>
        <v>49464</v>
      </c>
      <c r="G108" s="583"/>
    </row>
    <row r="109" spans="1:7" ht="13.5" thickBot="1" x14ac:dyDescent="0.25">
      <c r="A109" s="1140" t="s">
        <v>502</v>
      </c>
      <c r="B109" s="1139"/>
      <c r="C109" s="1037">
        <f>SUM(C110:C110)</f>
        <v>227</v>
      </c>
      <c r="F109" s="415"/>
      <c r="G109" s="583"/>
    </row>
    <row r="110" spans="1:7" ht="13.5" thickBot="1" x14ac:dyDescent="0.25">
      <c r="A110" s="237" t="s">
        <v>513</v>
      </c>
      <c r="B110" s="542" t="s">
        <v>686</v>
      </c>
      <c r="C110" s="1022">
        <f>'MemCalculo (AdmManutEscritorio)'!F240</f>
        <v>227</v>
      </c>
      <c r="G110" s="583"/>
    </row>
    <row r="111" spans="1:7" ht="13.5" thickBot="1" x14ac:dyDescent="0.25">
      <c r="A111" s="1135" t="s">
        <v>516</v>
      </c>
      <c r="B111" s="1137"/>
      <c r="C111" s="236">
        <f>C99+C109</f>
        <v>2102977.3537280001</v>
      </c>
      <c r="F111" s="415"/>
      <c r="G111" s="583"/>
    </row>
    <row r="112" spans="1:7" ht="13.5" thickBot="1" x14ac:dyDescent="0.25">
      <c r="A112" s="1138" t="s">
        <v>534</v>
      </c>
      <c r="B112" s="1116"/>
      <c r="C112" s="1117"/>
      <c r="G112" s="583"/>
    </row>
    <row r="113" spans="1:7" x14ac:dyDescent="0.2">
      <c r="A113" s="162" t="s">
        <v>514</v>
      </c>
      <c r="B113" s="544" t="s">
        <v>687</v>
      </c>
      <c r="C113" s="547">
        <f>0.2*C100</f>
        <v>249764.736</v>
      </c>
      <c r="G113" s="583"/>
    </row>
    <row r="114" spans="1:7" x14ac:dyDescent="0.2">
      <c r="A114" s="168" t="s">
        <v>515</v>
      </c>
      <c r="B114" s="545" t="s">
        <v>936</v>
      </c>
      <c r="C114" s="548">
        <f>0.05*(C111+C113)</f>
        <v>117637.10448640001</v>
      </c>
      <c r="G114" s="583"/>
    </row>
    <row r="115" spans="1:7" ht="13.5" thickBot="1" x14ac:dyDescent="0.25">
      <c r="A115" s="163" t="s">
        <v>922</v>
      </c>
      <c r="B115" s="546" t="s">
        <v>937</v>
      </c>
      <c r="C115" s="549">
        <f>0.1662*(C111+C113+C114)</f>
        <v>410577.02207843325</v>
      </c>
      <c r="G115" s="583"/>
    </row>
    <row r="116" spans="1:7" ht="13.5" thickBot="1" x14ac:dyDescent="0.25">
      <c r="A116" s="1135" t="s">
        <v>517</v>
      </c>
      <c r="B116" s="1136"/>
      <c r="C116" s="158">
        <f>SUM(C113:C115)</f>
        <v>777978.86256483325</v>
      </c>
      <c r="G116" s="583"/>
    </row>
    <row r="117" spans="1:7" ht="13.5" thickBot="1" x14ac:dyDescent="0.25">
      <c r="A117" s="159"/>
      <c r="B117" s="160"/>
      <c r="C117" s="161"/>
      <c r="G117" s="583"/>
    </row>
    <row r="118" spans="1:7" ht="13.5" thickBot="1" x14ac:dyDescent="0.25">
      <c r="A118" s="1133" t="s">
        <v>881</v>
      </c>
      <c r="B118" s="1134"/>
      <c r="C118" s="234">
        <f>C116+C111</f>
        <v>2880956.2162928334</v>
      </c>
      <c r="F118" s="415"/>
      <c r="G118" s="583"/>
    </row>
    <row r="132" spans="1:7" ht="13.5" thickBot="1" x14ac:dyDescent="0.25"/>
    <row r="133" spans="1:7" ht="13.5" thickBot="1" x14ac:dyDescent="0.25">
      <c r="A133" s="235" t="s">
        <v>265</v>
      </c>
      <c r="B133" s="1141" t="s">
        <v>691</v>
      </c>
      <c r="C133" s="1142"/>
    </row>
    <row r="134" spans="1:7" ht="13.5" thickBot="1" x14ac:dyDescent="0.25">
      <c r="A134" s="1115" t="s">
        <v>501</v>
      </c>
      <c r="B134" s="1116"/>
      <c r="C134" s="1117"/>
    </row>
    <row r="135" spans="1:7" ht="13.5" thickBot="1" x14ac:dyDescent="0.25">
      <c r="A135" s="1113" t="s">
        <v>57</v>
      </c>
      <c r="B135" s="1114"/>
      <c r="C135" s="157">
        <f>SUM(C136+C140+C143)</f>
        <v>337692.67200000002</v>
      </c>
    </row>
    <row r="136" spans="1:7" x14ac:dyDescent="0.2">
      <c r="A136" s="166" t="s">
        <v>504</v>
      </c>
      <c r="B136" s="537" t="s">
        <v>510</v>
      </c>
      <c r="C136" s="1033">
        <f>SUM(C137:C139)</f>
        <v>281410.56</v>
      </c>
      <c r="F136" s="415"/>
      <c r="G136" s="583"/>
    </row>
    <row r="137" spans="1:7" x14ac:dyDescent="0.2">
      <c r="A137" s="164" t="s">
        <v>65</v>
      </c>
      <c r="B137" s="538" t="s">
        <v>506</v>
      </c>
      <c r="C137" s="1024">
        <f>'Mão de Obra '!K100</f>
        <v>0</v>
      </c>
      <c r="G137" s="583"/>
    </row>
    <row r="138" spans="1:7" x14ac:dyDescent="0.2">
      <c r="A138" s="164" t="s">
        <v>464</v>
      </c>
      <c r="B138" s="538" t="s">
        <v>507</v>
      </c>
      <c r="C138" s="1024">
        <f>'Mão de Obra '!K101</f>
        <v>281410.56</v>
      </c>
      <c r="G138" s="583"/>
    </row>
    <row r="139" spans="1:7" x14ac:dyDescent="0.2">
      <c r="A139" s="164" t="s">
        <v>97</v>
      </c>
      <c r="B139" s="538" t="s">
        <v>511</v>
      </c>
      <c r="C139" s="1024">
        <f>'Mão de Obra '!L102</f>
        <v>0</v>
      </c>
      <c r="G139" s="583"/>
    </row>
    <row r="140" spans="1:7" x14ac:dyDescent="0.2">
      <c r="A140" s="167" t="s">
        <v>505</v>
      </c>
      <c r="B140" s="539" t="s">
        <v>512</v>
      </c>
      <c r="C140" s="1026">
        <f>SUM(C141:C142)</f>
        <v>56282.112000000001</v>
      </c>
      <c r="G140" s="583"/>
    </row>
    <row r="141" spans="1:7" x14ac:dyDescent="0.2">
      <c r="A141" s="164" t="s">
        <v>477</v>
      </c>
      <c r="B141" s="540" t="s">
        <v>721</v>
      </c>
      <c r="C141" s="1024">
        <f>0.7227*(C137+C139)</f>
        <v>0</v>
      </c>
      <c r="G141" s="583"/>
    </row>
    <row r="142" spans="1:7" x14ac:dyDescent="0.2">
      <c r="A142" s="164" t="s">
        <v>478</v>
      </c>
      <c r="B142" s="541" t="s">
        <v>697</v>
      </c>
      <c r="C142" s="1034">
        <f>C138*0.2</f>
        <v>56282.112000000001</v>
      </c>
      <c r="G142" s="583"/>
    </row>
    <row r="143" spans="1:7" x14ac:dyDescent="0.2">
      <c r="A143" s="617" t="s">
        <v>13</v>
      </c>
      <c r="B143" s="539" t="s">
        <v>934</v>
      </c>
      <c r="C143" s="1035">
        <f>SUM(C144)</f>
        <v>0</v>
      </c>
      <c r="F143" s="415"/>
      <c r="G143" s="583"/>
    </row>
    <row r="144" spans="1:7" ht="13.5" thickBot="1" x14ac:dyDescent="0.25">
      <c r="A144" s="165" t="s">
        <v>487</v>
      </c>
      <c r="B144" s="616" t="s">
        <v>935</v>
      </c>
      <c r="C144" s="1036">
        <f>Alimentação!G101</f>
        <v>0</v>
      </c>
      <c r="G144" s="583"/>
    </row>
    <row r="145" spans="1:7" ht="13.5" thickBot="1" x14ac:dyDescent="0.25">
      <c r="A145" s="1140" t="s">
        <v>502</v>
      </c>
      <c r="B145" s="1139"/>
      <c r="C145" s="1021">
        <f>SUM(C146:C146)</f>
        <v>3683.5</v>
      </c>
      <c r="F145" s="415"/>
      <c r="G145" s="583"/>
    </row>
    <row r="146" spans="1:7" ht="13.5" thickBot="1" x14ac:dyDescent="0.25">
      <c r="A146" s="237" t="s">
        <v>513</v>
      </c>
      <c r="B146" s="542" t="s">
        <v>686</v>
      </c>
      <c r="C146" s="1022">
        <f>'MemCalculo (AdmManutEscritorio)'!F241</f>
        <v>3683.5</v>
      </c>
      <c r="G146" s="583"/>
    </row>
    <row r="147" spans="1:7" ht="13.5" thickBot="1" x14ac:dyDescent="0.25">
      <c r="A147" s="1135" t="s">
        <v>516</v>
      </c>
      <c r="B147" s="1137"/>
      <c r="C147" s="236">
        <f>C135+C145</f>
        <v>341376.17200000002</v>
      </c>
      <c r="F147" s="415"/>
      <c r="G147" s="583"/>
    </row>
    <row r="148" spans="1:7" ht="13.5" thickBot="1" x14ac:dyDescent="0.25">
      <c r="A148" s="1138" t="s">
        <v>534</v>
      </c>
      <c r="B148" s="1116"/>
      <c r="C148" s="1117"/>
      <c r="G148" s="583"/>
    </row>
    <row r="149" spans="1:7" x14ac:dyDescent="0.2">
      <c r="A149" s="162" t="s">
        <v>514</v>
      </c>
      <c r="B149" s="544" t="s">
        <v>687</v>
      </c>
      <c r="C149" s="547">
        <f>0.2*C136</f>
        <v>56282.112000000001</v>
      </c>
      <c r="G149" s="583"/>
    </row>
    <row r="150" spans="1:7" x14ac:dyDescent="0.2">
      <c r="A150" s="168" t="s">
        <v>515</v>
      </c>
      <c r="B150" s="545" t="s">
        <v>936</v>
      </c>
      <c r="C150" s="548">
        <f>0.05*(C147+C149)</f>
        <v>19882.914200000003</v>
      </c>
      <c r="G150" s="583"/>
    </row>
    <row r="151" spans="1:7" ht="13.5" thickBot="1" x14ac:dyDescent="0.25">
      <c r="A151" s="163" t="s">
        <v>922</v>
      </c>
      <c r="B151" s="546" t="s">
        <v>937</v>
      </c>
      <c r="C151" s="549">
        <f>0.1662*(C147+C149+C150)</f>
        <v>69395.347140840007</v>
      </c>
      <c r="G151" s="583"/>
    </row>
    <row r="152" spans="1:7" ht="13.5" thickBot="1" x14ac:dyDescent="0.25">
      <c r="A152" s="1135" t="s">
        <v>517</v>
      </c>
      <c r="B152" s="1136"/>
      <c r="C152" s="158">
        <f>SUM(C149:C151)</f>
        <v>145560.37334084001</v>
      </c>
    </row>
    <row r="153" spans="1:7" ht="13.5" thickBot="1" x14ac:dyDescent="0.25">
      <c r="A153" s="159"/>
      <c r="B153" s="160"/>
      <c r="C153" s="161"/>
    </row>
    <row r="154" spans="1:7" ht="13.5" thickBot="1" x14ac:dyDescent="0.25">
      <c r="A154" s="1133" t="s">
        <v>880</v>
      </c>
      <c r="B154" s="1134"/>
      <c r="C154" s="234">
        <f>C152+C147</f>
        <v>486936.54534084001</v>
      </c>
    </row>
    <row r="156" spans="1:7" ht="13.5" thickBot="1" x14ac:dyDescent="0.25"/>
    <row r="157" spans="1:7" ht="13.5" thickBot="1" x14ac:dyDescent="0.25">
      <c r="A157" s="235" t="s">
        <v>269</v>
      </c>
      <c r="B157" s="1141" t="s">
        <v>283</v>
      </c>
      <c r="C157" s="1142"/>
    </row>
    <row r="158" spans="1:7" ht="13.5" thickBot="1" x14ac:dyDescent="0.25">
      <c r="A158" s="1115" t="s">
        <v>501</v>
      </c>
      <c r="B158" s="1116"/>
      <c r="C158" s="1117"/>
    </row>
    <row r="159" spans="1:7" ht="13.5" thickBot="1" x14ac:dyDescent="0.25">
      <c r="A159" s="1113" t="s">
        <v>57</v>
      </c>
      <c r="B159" s="1114"/>
      <c r="C159" s="157">
        <f>SUM(C160+C164+C167)</f>
        <v>2884999.5688319998</v>
      </c>
      <c r="F159" s="415"/>
      <c r="G159" s="583"/>
    </row>
    <row r="160" spans="1:7" x14ac:dyDescent="0.2">
      <c r="A160" s="166" t="s">
        <v>504</v>
      </c>
      <c r="B160" s="537" t="s">
        <v>510</v>
      </c>
      <c r="C160" s="1033">
        <f>SUM(C161:C163)</f>
        <v>1620886.08</v>
      </c>
      <c r="F160" s="415"/>
      <c r="G160" s="583"/>
    </row>
    <row r="161" spans="1:15" x14ac:dyDescent="0.2">
      <c r="A161" s="164" t="s">
        <v>65</v>
      </c>
      <c r="B161" s="538" t="s">
        <v>506</v>
      </c>
      <c r="C161" s="1024">
        <f>'Mão de Obra '!K114</f>
        <v>1556396.1600000001</v>
      </c>
      <c r="G161" s="583"/>
    </row>
    <row r="162" spans="1:15" x14ac:dyDescent="0.2">
      <c r="A162" s="164" t="s">
        <v>464</v>
      </c>
      <c r="B162" s="538" t="s">
        <v>507</v>
      </c>
      <c r="C162" s="1024">
        <f>'Mão de Obra '!K115</f>
        <v>64489.919999999998</v>
      </c>
      <c r="G162" s="583"/>
    </row>
    <row r="163" spans="1:15" x14ac:dyDescent="0.2">
      <c r="A163" s="164" t="s">
        <v>97</v>
      </c>
      <c r="B163" s="538" t="s">
        <v>511</v>
      </c>
      <c r="C163" s="1024">
        <f>'Mão de Obra '!L116</f>
        <v>0</v>
      </c>
      <c r="G163" s="583"/>
    </row>
    <row r="164" spans="1:15" x14ac:dyDescent="0.2">
      <c r="A164" s="167" t="s">
        <v>505</v>
      </c>
      <c r="B164" s="539" t="s">
        <v>512</v>
      </c>
      <c r="C164" s="1026">
        <f>SUM(C165:C166)</f>
        <v>1137705.4888319999</v>
      </c>
      <c r="F164" s="415"/>
      <c r="G164" s="583"/>
    </row>
    <row r="165" spans="1:15" x14ac:dyDescent="0.2">
      <c r="A165" s="164" t="s">
        <v>477</v>
      </c>
      <c r="B165" s="540" t="s">
        <v>721</v>
      </c>
      <c r="C165" s="1024">
        <f>0.7227*(C161+C163)</f>
        <v>1124807.504832</v>
      </c>
      <c r="G165" s="583"/>
    </row>
    <row r="166" spans="1:15" x14ac:dyDescent="0.2">
      <c r="A166" s="164" t="s">
        <v>478</v>
      </c>
      <c r="B166" s="541" t="s">
        <v>697</v>
      </c>
      <c r="C166" s="1034">
        <f>C162*0.2</f>
        <v>12897.984</v>
      </c>
      <c r="G166" s="583"/>
    </row>
    <row r="167" spans="1:15" x14ac:dyDescent="0.2">
      <c r="A167" s="617" t="s">
        <v>13</v>
      </c>
      <c r="B167" s="539" t="s">
        <v>934</v>
      </c>
      <c r="C167" s="1035">
        <f>SUM(C168)</f>
        <v>126408</v>
      </c>
      <c r="F167" s="415"/>
      <c r="G167" s="583"/>
    </row>
    <row r="168" spans="1:15" ht="13.5" thickBot="1" x14ac:dyDescent="0.25">
      <c r="A168" s="165" t="s">
        <v>487</v>
      </c>
      <c r="B168" s="616" t="s">
        <v>935</v>
      </c>
      <c r="C168" s="1036">
        <f>Alimentação!G168</f>
        <v>126408</v>
      </c>
      <c r="G168" s="583"/>
    </row>
    <row r="169" spans="1:15" ht="13.5" thickBot="1" x14ac:dyDescent="0.25">
      <c r="A169" s="1140" t="s">
        <v>502</v>
      </c>
      <c r="B169" s="1139"/>
      <c r="C169" s="1021">
        <f>SUM(C170:C170)</f>
        <v>227</v>
      </c>
      <c r="F169" s="415"/>
      <c r="G169" s="583"/>
    </row>
    <row r="170" spans="1:15" ht="13.5" thickBot="1" x14ac:dyDescent="0.25">
      <c r="A170" s="237" t="s">
        <v>513</v>
      </c>
      <c r="B170" s="542" t="s">
        <v>686</v>
      </c>
      <c r="C170" s="1022">
        <f>'MemCalculo (AdmManutEscritorio)'!F242</f>
        <v>227</v>
      </c>
      <c r="G170" s="583"/>
    </row>
    <row r="171" spans="1:15" ht="13.5" thickBot="1" x14ac:dyDescent="0.25">
      <c r="A171" s="1135" t="s">
        <v>516</v>
      </c>
      <c r="B171" s="1137"/>
      <c r="C171" s="236">
        <f>C159+C169</f>
        <v>2885226.5688319998</v>
      </c>
      <c r="E171" s="415"/>
      <c r="F171" s="415"/>
      <c r="G171" s="583"/>
    </row>
    <row r="172" spans="1:15" ht="13.5" thickBot="1" x14ac:dyDescent="0.25">
      <c r="A172" s="1138" t="s">
        <v>534</v>
      </c>
      <c r="B172" s="1116"/>
      <c r="C172" s="1117"/>
      <c r="G172" s="583"/>
    </row>
    <row r="173" spans="1:15" x14ac:dyDescent="0.2">
      <c r="A173" s="162" t="s">
        <v>514</v>
      </c>
      <c r="B173" s="544" t="s">
        <v>687</v>
      </c>
      <c r="C173" s="547">
        <f>0.2*C160</f>
        <v>324177.21600000001</v>
      </c>
      <c r="G173" s="583"/>
    </row>
    <row r="174" spans="1:15" x14ac:dyDescent="0.2">
      <c r="A174" s="168" t="s">
        <v>515</v>
      </c>
      <c r="B174" s="545" t="s">
        <v>936</v>
      </c>
      <c r="C174" s="548">
        <f>0.05*(C171+C173)</f>
        <v>160470.18924159999</v>
      </c>
      <c r="G174" s="583"/>
    </row>
    <row r="175" spans="1:15" ht="13.5" thickBot="1" x14ac:dyDescent="0.25">
      <c r="A175" s="163" t="s">
        <v>922</v>
      </c>
      <c r="B175" s="546" t="s">
        <v>937</v>
      </c>
      <c r="C175" s="549">
        <f>0.1662*(C171+C173+C174)</f>
        <v>560073.05449103226</v>
      </c>
      <c r="G175" s="583"/>
    </row>
    <row r="176" spans="1:15" ht="13.5" thickBot="1" x14ac:dyDescent="0.25">
      <c r="A176" s="1135" t="s">
        <v>517</v>
      </c>
      <c r="B176" s="1136"/>
      <c r="C176" s="158">
        <f>SUM(C173:C175)</f>
        <v>1044720.4597326323</v>
      </c>
      <c r="F176" s="415"/>
      <c r="G176" s="583"/>
      <c r="O176" s="583"/>
    </row>
    <row r="177" spans="1:7" ht="13.5" thickBot="1" x14ac:dyDescent="0.25">
      <c r="A177" s="159"/>
      <c r="B177" s="160"/>
      <c r="C177" s="161"/>
      <c r="G177" s="583"/>
    </row>
    <row r="178" spans="1:7" ht="13.5" thickBot="1" x14ac:dyDescent="0.25">
      <c r="A178" s="1133" t="s">
        <v>879</v>
      </c>
      <c r="B178" s="1134"/>
      <c r="C178" s="234">
        <f>C176+C171</f>
        <v>3929947.0285646319</v>
      </c>
      <c r="F178" s="415"/>
      <c r="G178" s="583"/>
    </row>
    <row r="192" spans="1:7" ht="13.5" thickBot="1" x14ac:dyDescent="0.25"/>
    <row r="193" spans="1:9" ht="13.5" thickBot="1" x14ac:dyDescent="0.25">
      <c r="A193" s="235" t="s">
        <v>692</v>
      </c>
      <c r="B193" s="1141" t="s">
        <v>849</v>
      </c>
      <c r="C193" s="1142"/>
      <c r="E193" s="415"/>
    </row>
    <row r="194" spans="1:9" ht="13.5" thickBot="1" x14ac:dyDescent="0.25">
      <c r="A194" s="1115" t="s">
        <v>501</v>
      </c>
      <c r="B194" s="1116"/>
      <c r="C194" s="1117"/>
    </row>
    <row r="195" spans="1:9" ht="13.5" thickBot="1" x14ac:dyDescent="0.25">
      <c r="A195" s="1113" t="s">
        <v>57</v>
      </c>
      <c r="B195" s="1114"/>
      <c r="C195" s="157">
        <f>SUM(C196+C203+C208)</f>
        <v>7619424.8225760022</v>
      </c>
      <c r="G195" s="583"/>
      <c r="I195" s="583"/>
    </row>
    <row r="196" spans="1:9" x14ac:dyDescent="0.2">
      <c r="A196" s="166" t="s">
        <v>504</v>
      </c>
      <c r="B196" s="537" t="s">
        <v>510</v>
      </c>
      <c r="C196" s="1033">
        <f>SUM(C197:C202)</f>
        <v>4247348.2200000016</v>
      </c>
      <c r="G196" s="583"/>
      <c r="I196" s="583"/>
    </row>
    <row r="197" spans="1:9" x14ac:dyDescent="0.2">
      <c r="A197" s="164" t="s">
        <v>65</v>
      </c>
      <c r="B197" s="538" t="s">
        <v>795</v>
      </c>
      <c r="C197" s="1024">
        <f>'Mão de Obra '!K152</f>
        <v>761428.8</v>
      </c>
      <c r="I197" s="583"/>
    </row>
    <row r="198" spans="1:9" x14ac:dyDescent="0.2">
      <c r="A198" s="164" t="s">
        <v>464</v>
      </c>
      <c r="B198" s="538" t="s">
        <v>796</v>
      </c>
      <c r="C198" s="1024">
        <f>'Mão de Obra '!K153</f>
        <v>3399865.9200000013</v>
      </c>
      <c r="I198" s="583"/>
    </row>
    <row r="199" spans="1:9" x14ac:dyDescent="0.2">
      <c r="A199" s="164" t="s">
        <v>97</v>
      </c>
      <c r="B199" s="538" t="s">
        <v>797</v>
      </c>
      <c r="C199" s="1024">
        <f>'Mão de Obra '!K154</f>
        <v>14699.52</v>
      </c>
      <c r="I199" s="583"/>
    </row>
    <row r="200" spans="1:9" x14ac:dyDescent="0.2">
      <c r="A200" s="164" t="s">
        <v>66</v>
      </c>
      <c r="B200" s="538" t="s">
        <v>507</v>
      </c>
      <c r="C200" s="1024">
        <f>'Mão de Obra '!K155</f>
        <v>0</v>
      </c>
      <c r="I200" s="583"/>
    </row>
    <row r="201" spans="1:9" x14ac:dyDescent="0.2">
      <c r="A201" s="164" t="s">
        <v>465</v>
      </c>
      <c r="B201" s="538" t="s">
        <v>798</v>
      </c>
      <c r="C201" s="1024">
        <f>'Mão de Obra '!L152</f>
        <v>0</v>
      </c>
      <c r="I201" s="583"/>
    </row>
    <row r="202" spans="1:9" x14ac:dyDescent="0.2">
      <c r="A202" s="164" t="s">
        <v>466</v>
      </c>
      <c r="B202" s="538" t="s">
        <v>799</v>
      </c>
      <c r="C202" s="1024">
        <f>'Mão de Obra '!L153</f>
        <v>71353.98</v>
      </c>
      <c r="I202" s="583"/>
    </row>
    <row r="203" spans="1:9" x14ac:dyDescent="0.2">
      <c r="A203" s="167" t="s">
        <v>505</v>
      </c>
      <c r="B203" s="539" t="s">
        <v>512</v>
      </c>
      <c r="C203" s="1026">
        <f>SUM(C204:C207)</f>
        <v>3091780.6025760006</v>
      </c>
      <c r="I203" s="583"/>
    </row>
    <row r="204" spans="1:9" x14ac:dyDescent="0.2">
      <c r="A204" s="164" t="s">
        <v>477</v>
      </c>
      <c r="B204" s="540" t="s">
        <v>800</v>
      </c>
      <c r="C204" s="1024">
        <f>0.7227*(C197+C201)</f>
        <v>550284.59376000008</v>
      </c>
      <c r="I204" s="583"/>
    </row>
    <row r="205" spans="1:9" x14ac:dyDescent="0.2">
      <c r="A205" s="164" t="s">
        <v>478</v>
      </c>
      <c r="B205" s="540" t="s">
        <v>801</v>
      </c>
      <c r="C205" s="1024">
        <f>0.7272*(C198+C202)</f>
        <v>2524271.1112800008</v>
      </c>
      <c r="I205" s="583"/>
    </row>
    <row r="206" spans="1:9" x14ac:dyDescent="0.2">
      <c r="A206" s="164" t="s">
        <v>479</v>
      </c>
      <c r="B206" s="540" t="s">
        <v>802</v>
      </c>
      <c r="C206" s="1024">
        <f>1.1718*C199</f>
        <v>17224.897536</v>
      </c>
      <c r="I206" s="583"/>
    </row>
    <row r="207" spans="1:9" x14ac:dyDescent="0.2">
      <c r="A207" s="164" t="s">
        <v>480</v>
      </c>
      <c r="B207" s="540" t="s">
        <v>803</v>
      </c>
      <c r="C207" s="1024">
        <f>C200*0.2</f>
        <v>0</v>
      </c>
      <c r="I207" s="583"/>
    </row>
    <row r="208" spans="1:9" x14ac:dyDescent="0.2">
      <c r="A208" s="617" t="s">
        <v>13</v>
      </c>
      <c r="B208" s="618" t="s">
        <v>934</v>
      </c>
      <c r="C208" s="1038">
        <f>SUM(C209)</f>
        <v>280296</v>
      </c>
      <c r="G208" s="583"/>
      <c r="I208" s="583"/>
    </row>
    <row r="209" spans="1:9" ht="13.5" thickBot="1" x14ac:dyDescent="0.25">
      <c r="A209" s="165" t="s">
        <v>487</v>
      </c>
      <c r="B209" s="616" t="s">
        <v>935</v>
      </c>
      <c r="C209" s="1036">
        <f>Alimentação!G169</f>
        <v>280296</v>
      </c>
      <c r="I209" s="583"/>
    </row>
    <row r="210" spans="1:9" ht="13.5" thickBot="1" x14ac:dyDescent="0.25">
      <c r="A210" s="1140" t="s">
        <v>502</v>
      </c>
      <c r="B210" s="1139"/>
      <c r="C210" s="1021">
        <f>SUM(C211:C211)</f>
        <v>6336</v>
      </c>
      <c r="G210" s="583"/>
      <c r="I210" s="583"/>
    </row>
    <row r="211" spans="1:9" ht="13.5" thickBot="1" x14ac:dyDescent="0.25">
      <c r="A211" s="237" t="s">
        <v>513</v>
      </c>
      <c r="B211" s="542" t="s">
        <v>686</v>
      </c>
      <c r="C211" s="1022">
        <f>'MemCalculo (AdmManutEscritorio)'!F243</f>
        <v>6336</v>
      </c>
      <c r="I211" s="583"/>
    </row>
    <row r="212" spans="1:9" ht="13.5" thickBot="1" x14ac:dyDescent="0.25">
      <c r="A212" s="1135" t="s">
        <v>516</v>
      </c>
      <c r="B212" s="1143"/>
      <c r="C212" s="236">
        <f>C195+C210</f>
        <v>7625760.8225760022</v>
      </c>
      <c r="G212" s="583"/>
      <c r="I212" s="583"/>
    </row>
    <row r="213" spans="1:9" ht="13.5" thickBot="1" x14ac:dyDescent="0.25">
      <c r="A213" s="1138" t="s">
        <v>534</v>
      </c>
      <c r="B213" s="1116"/>
      <c r="C213" s="1117"/>
      <c r="I213" s="583"/>
    </row>
    <row r="214" spans="1:9" x14ac:dyDescent="0.2">
      <c r="A214" s="162" t="s">
        <v>514</v>
      </c>
      <c r="B214" s="544" t="s">
        <v>687</v>
      </c>
      <c r="C214" s="547">
        <f>0.2*C196</f>
        <v>849469.64400000032</v>
      </c>
      <c r="I214" s="583"/>
    </row>
    <row r="215" spans="1:9" x14ac:dyDescent="0.2">
      <c r="A215" s="168" t="s">
        <v>515</v>
      </c>
      <c r="B215" s="545" t="s">
        <v>936</v>
      </c>
      <c r="C215" s="548">
        <f>0.05*(C212+C214)</f>
        <v>423761.52332880016</v>
      </c>
      <c r="I215" s="583"/>
    </row>
    <row r="216" spans="1:9" ht="13.5" thickBot="1" x14ac:dyDescent="0.25">
      <c r="A216" s="163" t="s">
        <v>922</v>
      </c>
      <c r="B216" s="546" t="s">
        <v>937</v>
      </c>
      <c r="C216" s="619">
        <f>0.1662*(C212+C214+C215)</f>
        <v>1479012.4687221781</v>
      </c>
      <c r="I216" s="583"/>
    </row>
    <row r="217" spans="1:9" ht="13.5" thickBot="1" x14ac:dyDescent="0.25">
      <c r="A217" s="1135" t="s">
        <v>517</v>
      </c>
      <c r="B217" s="1144"/>
      <c r="C217" s="158">
        <f>SUM(C214:C216)</f>
        <v>2752243.6360509787</v>
      </c>
      <c r="I217" s="583"/>
    </row>
    <row r="218" spans="1:9" ht="13.5" thickBot="1" x14ac:dyDescent="0.25">
      <c r="A218" s="159"/>
      <c r="B218" s="160"/>
      <c r="C218" s="161"/>
      <c r="I218" s="583"/>
    </row>
    <row r="219" spans="1:9" ht="13.5" thickBot="1" x14ac:dyDescent="0.25">
      <c r="A219" s="1133" t="s">
        <v>878</v>
      </c>
      <c r="B219" s="1134"/>
      <c r="C219" s="234">
        <f>C217+C212</f>
        <v>10378004.458626982</v>
      </c>
      <c r="G219" s="583"/>
      <c r="I219" s="583"/>
    </row>
    <row r="221" spans="1:9" ht="13.5" thickBot="1" x14ac:dyDescent="0.25"/>
    <row r="222" spans="1:9" ht="15" customHeight="1" x14ac:dyDescent="0.2">
      <c r="A222" s="1149" t="s">
        <v>49</v>
      </c>
      <c r="B222" s="1150"/>
      <c r="C222" s="1149" t="s">
        <v>50</v>
      </c>
      <c r="D222" s="1150"/>
      <c r="E222" s="855"/>
      <c r="F222" s="855"/>
      <c r="G222" s="856"/>
    </row>
    <row r="223" spans="1:9" ht="15.75" customHeight="1" thickBot="1" x14ac:dyDescent="0.25">
      <c r="A223" s="1151"/>
      <c r="B223" s="1152"/>
      <c r="C223" s="1151"/>
      <c r="D223" s="1152"/>
      <c r="E223" s="855"/>
      <c r="F223" s="855"/>
      <c r="G223" s="856"/>
    </row>
    <row r="224" spans="1:9" ht="15" customHeight="1" x14ac:dyDescent="0.2">
      <c r="A224" s="1149" t="s">
        <v>51</v>
      </c>
      <c r="B224" s="1150"/>
      <c r="C224" s="1149" t="s">
        <v>52</v>
      </c>
      <c r="D224" s="1150"/>
      <c r="E224" s="857"/>
      <c r="F224" s="855"/>
      <c r="G224" s="856"/>
    </row>
    <row r="225" spans="1:7" ht="15.75" customHeight="1" thickBot="1" x14ac:dyDescent="0.25">
      <c r="A225" s="1153"/>
      <c r="B225" s="1154"/>
      <c r="C225" s="1153"/>
      <c r="D225" s="1154"/>
      <c r="E225" s="857"/>
      <c r="F225" s="855"/>
      <c r="G225" s="856"/>
    </row>
    <row r="226" spans="1:7" ht="13.5" thickTop="1" x14ac:dyDescent="0.2">
      <c r="A226" s="1059" t="s">
        <v>53</v>
      </c>
      <c r="B226" s="1060"/>
      <c r="C226" s="1060"/>
      <c r="D226" s="1061"/>
      <c r="E226" s="858"/>
      <c r="F226" s="858"/>
      <c r="G226" s="856"/>
    </row>
    <row r="227" spans="1:7" ht="12.75" customHeight="1" x14ac:dyDescent="0.2">
      <c r="A227" s="1155"/>
      <c r="B227" s="1156"/>
      <c r="C227" s="1156"/>
      <c r="D227" s="1157"/>
      <c r="E227" s="859"/>
      <c r="F227" s="859"/>
      <c r="G227" s="856"/>
    </row>
    <row r="228" spans="1:7" ht="13.5" thickBot="1" x14ac:dyDescent="0.25">
      <c r="A228" s="1158"/>
      <c r="B228" s="1159"/>
      <c r="C228" s="1159"/>
      <c r="D228" s="1160"/>
      <c r="E228" s="859"/>
      <c r="F228" s="859"/>
      <c r="G228" s="856"/>
    </row>
    <row r="229" spans="1:7" x14ac:dyDescent="0.2">
      <c r="E229" s="855"/>
      <c r="F229" s="855"/>
      <c r="G229" s="856"/>
    </row>
    <row r="234" spans="1:7" x14ac:dyDescent="0.2">
      <c r="G234" s="583"/>
    </row>
    <row r="235" spans="1:7" ht="15.75" customHeight="1" x14ac:dyDescent="0.2"/>
    <row r="236" spans="1:7" x14ac:dyDescent="0.2">
      <c r="D236" s="415"/>
    </row>
  </sheetData>
  <mergeCells count="76">
    <mergeCell ref="C225:D225"/>
    <mergeCell ref="A225:B225"/>
    <mergeCell ref="A226:D226"/>
    <mergeCell ref="A227:D227"/>
    <mergeCell ref="A228:D228"/>
    <mergeCell ref="C224:D224"/>
    <mergeCell ref="A222:B222"/>
    <mergeCell ref="A224:B224"/>
    <mergeCell ref="A223:B223"/>
    <mergeCell ref="C222:D222"/>
    <mergeCell ref="C223:D223"/>
    <mergeCell ref="A65:B65"/>
    <mergeCell ref="C65:D65"/>
    <mergeCell ref="A64:B64"/>
    <mergeCell ref="A40:D40"/>
    <mergeCell ref="A57:D57"/>
    <mergeCell ref="A58:B58"/>
    <mergeCell ref="B39:D39"/>
    <mergeCell ref="A42:B42"/>
    <mergeCell ref="A54:B54"/>
    <mergeCell ref="A56:B56"/>
    <mergeCell ref="A62:B62"/>
    <mergeCell ref="A210:B210"/>
    <mergeCell ref="A212:B212"/>
    <mergeCell ref="A213:C213"/>
    <mergeCell ref="A217:B217"/>
    <mergeCell ref="A219:B219"/>
    <mergeCell ref="A176:B176"/>
    <mergeCell ref="A178:B178"/>
    <mergeCell ref="B193:C193"/>
    <mergeCell ref="A194:C194"/>
    <mergeCell ref="A195:B195"/>
    <mergeCell ref="A158:C158"/>
    <mergeCell ref="A159:B159"/>
    <mergeCell ref="A169:B169"/>
    <mergeCell ref="A171:B171"/>
    <mergeCell ref="A172:C172"/>
    <mergeCell ref="A147:B147"/>
    <mergeCell ref="A148:C148"/>
    <mergeCell ref="A152:B152"/>
    <mergeCell ref="A154:B154"/>
    <mergeCell ref="B157:C157"/>
    <mergeCell ref="A118:B118"/>
    <mergeCell ref="B133:C133"/>
    <mergeCell ref="A134:C134"/>
    <mergeCell ref="A135:B135"/>
    <mergeCell ref="A145:B145"/>
    <mergeCell ref="A99:B99"/>
    <mergeCell ref="A109:B109"/>
    <mergeCell ref="A111:B111"/>
    <mergeCell ref="A112:C112"/>
    <mergeCell ref="A116:B116"/>
    <mergeCell ref="A88:C88"/>
    <mergeCell ref="A92:B92"/>
    <mergeCell ref="A94:B94"/>
    <mergeCell ref="B97:C97"/>
    <mergeCell ref="A98:C98"/>
    <mergeCell ref="A85:B85"/>
    <mergeCell ref="A87:B87"/>
    <mergeCell ref="B73:C73"/>
    <mergeCell ref="A74:C74"/>
    <mergeCell ref="A75:B75"/>
    <mergeCell ref="A36:B36"/>
    <mergeCell ref="A34:B34"/>
    <mergeCell ref="A29:B29"/>
    <mergeCell ref="A30:C30"/>
    <mergeCell ref="A27:B27"/>
    <mergeCell ref="A1:C1"/>
    <mergeCell ref="A6:C7"/>
    <mergeCell ref="A10:C10"/>
    <mergeCell ref="A17:B17"/>
    <mergeCell ref="A16:C16"/>
    <mergeCell ref="A3:C3"/>
    <mergeCell ref="A2:C2"/>
    <mergeCell ref="A13:A15"/>
    <mergeCell ref="B13:C15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79" orientation="portrait" horizontalDpi="4294967294" verticalDpi="4294967294" r:id="rId1"/>
  <rowBreaks count="3" manualBreakCount="3">
    <brk id="65" max="3" man="1"/>
    <brk id="119" max="3" man="1"/>
    <brk id="178" max="3" man="1"/>
  </rowBreaks>
  <ignoredErrors>
    <ignoredError sqref="C24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topLeftCell="A10" zoomScaleNormal="110" zoomScaleSheetLayoutView="100" workbookViewId="0">
      <selection activeCell="F37" sqref="F37"/>
    </sheetView>
  </sheetViews>
  <sheetFormatPr defaultRowHeight="12.75" x14ac:dyDescent="0.25"/>
  <cols>
    <col min="1" max="1" width="5.42578125" style="209" bestFit="1" customWidth="1"/>
    <col min="2" max="2" width="38" style="209" bestFit="1" customWidth="1"/>
    <col min="3" max="3" width="9.7109375" style="209" bestFit="1" customWidth="1"/>
    <col min="4" max="4" width="4.85546875" style="209" bestFit="1" customWidth="1"/>
    <col min="5" max="5" width="17" style="209" bestFit="1" customWidth="1"/>
    <col min="6" max="6" width="15.140625" style="209" bestFit="1" customWidth="1"/>
    <col min="7" max="7" width="80.7109375" style="209" bestFit="1" customWidth="1"/>
    <col min="8" max="16384" width="9.140625" style="209"/>
  </cols>
  <sheetData>
    <row r="1" spans="1:9" x14ac:dyDescent="0.25">
      <c r="A1" s="1164" t="s">
        <v>659</v>
      </c>
      <c r="B1" s="1165"/>
      <c r="C1" s="1165"/>
      <c r="D1" s="1165"/>
      <c r="E1" s="1165"/>
      <c r="F1" s="1166"/>
    </row>
    <row r="2" spans="1:9" x14ac:dyDescent="0.25">
      <c r="A2" s="1167" t="s">
        <v>295</v>
      </c>
      <c r="B2" s="1168"/>
      <c r="C2" s="1168"/>
      <c r="D2" s="1168"/>
      <c r="E2" s="1168"/>
      <c r="F2" s="1169"/>
    </row>
    <row r="3" spans="1:9" ht="13.5" thickBot="1" x14ac:dyDescent="0.3">
      <c r="A3" s="1170"/>
      <c r="B3" s="1171"/>
      <c r="C3" s="1171"/>
      <c r="D3" s="1171"/>
      <c r="E3" s="1171"/>
      <c r="F3" s="1172"/>
    </row>
    <row r="4" spans="1:9" ht="13.5" thickBot="1" x14ac:dyDescent="0.3">
      <c r="A4" s="210"/>
      <c r="B4" s="211"/>
      <c r="C4" s="210"/>
      <c r="D4" s="212"/>
      <c r="E4" s="212"/>
      <c r="F4" s="212"/>
    </row>
    <row r="5" spans="1:9" x14ac:dyDescent="0.25">
      <c r="A5" s="1104" t="s">
        <v>292</v>
      </c>
      <c r="B5" s="1105"/>
      <c r="C5" s="1105"/>
      <c r="D5" s="1105"/>
      <c r="E5" s="1105"/>
      <c r="F5" s="1106"/>
    </row>
    <row r="6" spans="1:9" ht="13.5" thickBot="1" x14ac:dyDescent="0.3">
      <c r="A6" s="1107"/>
      <c r="B6" s="1108"/>
      <c r="C6" s="1108"/>
      <c r="D6" s="1108"/>
      <c r="E6" s="1108"/>
      <c r="F6" s="1109"/>
    </row>
    <row r="7" spans="1:9" ht="13.5" thickBot="1" x14ac:dyDescent="0.3">
      <c r="A7" s="210"/>
      <c r="B7" s="211"/>
      <c r="C7" s="212"/>
      <c r="D7" s="212"/>
      <c r="E7" s="212"/>
      <c r="F7" s="212"/>
    </row>
    <row r="8" spans="1:9" ht="13.5" thickBot="1" x14ac:dyDescent="0.3">
      <c r="A8" s="1173" t="s">
        <v>653</v>
      </c>
      <c r="B8" s="1174"/>
      <c r="C8" s="1174"/>
      <c r="D8" s="1174"/>
      <c r="E8" s="1174"/>
      <c r="F8" s="1175"/>
    </row>
    <row r="9" spans="1:9" ht="13.5" thickBot="1" x14ac:dyDescent="0.3">
      <c r="A9" s="210"/>
      <c r="B9" s="211"/>
      <c r="C9" s="212"/>
      <c r="D9" s="212"/>
      <c r="E9" s="212"/>
      <c r="F9" s="212"/>
    </row>
    <row r="10" spans="1:9" x14ac:dyDescent="0.25">
      <c r="A10" s="1192" t="s">
        <v>0</v>
      </c>
      <c r="B10" s="1182" t="s">
        <v>1</v>
      </c>
      <c r="C10" s="1182" t="s">
        <v>2</v>
      </c>
      <c r="D10" s="1182" t="s">
        <v>3</v>
      </c>
      <c r="E10" s="1182" t="s">
        <v>310</v>
      </c>
      <c r="F10" s="1185" t="s">
        <v>311</v>
      </c>
    </row>
    <row r="11" spans="1:9" x14ac:dyDescent="0.25">
      <c r="A11" s="1193"/>
      <c r="B11" s="1183"/>
      <c r="C11" s="1183"/>
      <c r="D11" s="1183"/>
      <c r="E11" s="1183"/>
      <c r="F11" s="1186"/>
    </row>
    <row r="12" spans="1:9" ht="13.5" thickBot="1" x14ac:dyDescent="0.3">
      <c r="A12" s="1194"/>
      <c r="B12" s="1184"/>
      <c r="C12" s="1184"/>
      <c r="D12" s="1184"/>
      <c r="E12" s="1184"/>
      <c r="F12" s="1187"/>
    </row>
    <row r="13" spans="1:9" ht="13.5" thickBot="1" x14ac:dyDescent="0.3">
      <c r="A13" s="213" t="s">
        <v>99</v>
      </c>
      <c r="B13" s="1188" t="s">
        <v>654</v>
      </c>
      <c r="C13" s="1188"/>
      <c r="D13" s="1188"/>
      <c r="E13" s="1188"/>
      <c r="F13" s="1189"/>
    </row>
    <row r="14" spans="1:9" x14ac:dyDescent="0.25">
      <c r="A14" s="827" t="s">
        <v>4</v>
      </c>
      <c r="B14" s="246" t="s">
        <v>655</v>
      </c>
      <c r="C14" s="193" t="s">
        <v>80</v>
      </c>
      <c r="D14" s="214">
        <v>20</v>
      </c>
      <c r="E14" s="1016">
        <f>'MemCalculo (Trecho Aéreo)'!E70</f>
        <v>461.51</v>
      </c>
      <c r="F14" s="195">
        <f t="shared" ref="F14:F23" si="0">D14*E14</f>
        <v>9230.2000000000007</v>
      </c>
      <c r="I14" s="1015"/>
    </row>
    <row r="15" spans="1:9" ht="25.5" x14ac:dyDescent="0.25">
      <c r="A15" s="828" t="s">
        <v>5</v>
      </c>
      <c r="B15" s="829" t="s">
        <v>434</v>
      </c>
      <c r="C15" s="215" t="s">
        <v>61</v>
      </c>
      <c r="D15" s="216">
        <v>1</v>
      </c>
      <c r="E15" s="198">
        <f>'Escritorios (Adm_Manut)'!G40</f>
        <v>5341.38</v>
      </c>
      <c r="F15" s="199">
        <f t="shared" si="0"/>
        <v>5341.38</v>
      </c>
      <c r="I15" s="1015"/>
    </row>
    <row r="16" spans="1:9" x14ac:dyDescent="0.25">
      <c r="A16" s="828" t="s">
        <v>6</v>
      </c>
      <c r="B16" s="830" t="s">
        <v>312</v>
      </c>
      <c r="C16" s="215" t="s">
        <v>61</v>
      </c>
      <c r="D16" s="201">
        <v>1</v>
      </c>
      <c r="E16" s="202">
        <f>'Escritorios (Adm_Manut)'!G14</f>
        <v>1707.14</v>
      </c>
      <c r="F16" s="199">
        <f t="shared" si="0"/>
        <v>1707.14</v>
      </c>
      <c r="I16" s="1015"/>
    </row>
    <row r="17" spans="1:9" x14ac:dyDescent="0.25">
      <c r="A17" s="828" t="s">
        <v>7</v>
      </c>
      <c r="B17" s="830" t="s">
        <v>313</v>
      </c>
      <c r="C17" s="215" t="s">
        <v>61</v>
      </c>
      <c r="D17" s="201">
        <v>2</v>
      </c>
      <c r="E17" s="202">
        <f>'Escritorios (Adm_Manut)'!G15</f>
        <v>2241.92</v>
      </c>
      <c r="F17" s="199">
        <f t="shared" si="0"/>
        <v>4483.84</v>
      </c>
      <c r="I17" s="1015"/>
    </row>
    <row r="18" spans="1:9" x14ac:dyDescent="0.25">
      <c r="A18" s="828" t="s">
        <v>8</v>
      </c>
      <c r="B18" s="830" t="s">
        <v>307</v>
      </c>
      <c r="C18" s="215" t="s">
        <v>61</v>
      </c>
      <c r="D18" s="201">
        <v>1</v>
      </c>
      <c r="E18" s="202">
        <f>'Escritorios (Adm_Manut)'!G16</f>
        <v>1957.98</v>
      </c>
      <c r="F18" s="199">
        <f t="shared" si="0"/>
        <v>1957.98</v>
      </c>
      <c r="I18" s="1015"/>
    </row>
    <row r="19" spans="1:9" x14ac:dyDescent="0.25">
      <c r="A19" s="828" t="s">
        <v>9</v>
      </c>
      <c r="B19" s="830" t="s">
        <v>308</v>
      </c>
      <c r="C19" s="215" t="s">
        <v>61</v>
      </c>
      <c r="D19" s="201">
        <v>1</v>
      </c>
      <c r="E19" s="202">
        <f>'Escritorios (Adm_Manut)'!G17</f>
        <v>1713.22</v>
      </c>
      <c r="F19" s="199">
        <f t="shared" si="0"/>
        <v>1713.22</v>
      </c>
      <c r="I19" s="1015"/>
    </row>
    <row r="20" spans="1:9" x14ac:dyDescent="0.25">
      <c r="A20" s="828" t="s">
        <v>11</v>
      </c>
      <c r="B20" s="830" t="s">
        <v>649</v>
      </c>
      <c r="C20" s="215" t="s">
        <v>61</v>
      </c>
      <c r="D20" s="201">
        <v>1</v>
      </c>
      <c r="E20" s="202">
        <f>'Escritorios (Adm_Manut)'!G19</f>
        <v>734.21</v>
      </c>
      <c r="F20" s="199">
        <f t="shared" si="0"/>
        <v>734.21</v>
      </c>
      <c r="I20" s="1015"/>
    </row>
    <row r="21" spans="1:9" x14ac:dyDescent="0.25">
      <c r="A21" s="828" t="s">
        <v>12</v>
      </c>
      <c r="B21" s="830" t="s">
        <v>650</v>
      </c>
      <c r="C21" s="215" t="s">
        <v>61</v>
      </c>
      <c r="D21" s="201">
        <v>2</v>
      </c>
      <c r="E21" s="202">
        <f>'Escritorios (Adm_Manut)'!G20</f>
        <v>4574.6961111111123</v>
      </c>
      <c r="F21" s="199">
        <f t="shared" si="0"/>
        <v>9149.3922222222245</v>
      </c>
      <c r="I21" s="1015"/>
    </row>
    <row r="22" spans="1:9" x14ac:dyDescent="0.25">
      <c r="A22" s="828" t="s">
        <v>28</v>
      </c>
      <c r="B22" s="830" t="s">
        <v>651</v>
      </c>
      <c r="C22" s="215" t="s">
        <v>61</v>
      </c>
      <c r="D22" s="201">
        <v>1</v>
      </c>
      <c r="E22" s="202">
        <f>'Escritorios (Adm_Manut)'!G21</f>
        <v>611.86</v>
      </c>
      <c r="F22" s="199">
        <f t="shared" si="0"/>
        <v>611.86</v>
      </c>
      <c r="I22" s="1015"/>
    </row>
    <row r="23" spans="1:9" ht="13.5" thickBot="1" x14ac:dyDescent="0.3">
      <c r="A23" s="832" t="s">
        <v>29</v>
      </c>
      <c r="B23" s="253" t="s">
        <v>652</v>
      </c>
      <c r="C23" s="833" t="s">
        <v>61</v>
      </c>
      <c r="D23" s="834">
        <v>1</v>
      </c>
      <c r="E23" s="835">
        <f>'Escritorios (Adm_Manut)'!G22</f>
        <v>917.79</v>
      </c>
      <c r="F23" s="831">
        <f t="shared" si="0"/>
        <v>917.79</v>
      </c>
      <c r="I23" s="1015"/>
    </row>
    <row r="24" spans="1:9" ht="13.5" thickBot="1" x14ac:dyDescent="0.3">
      <c r="A24" s="1180" t="s">
        <v>657</v>
      </c>
      <c r="B24" s="1181"/>
      <c r="C24" s="1181"/>
      <c r="D24" s="1181"/>
      <c r="E24" s="1181"/>
      <c r="F24" s="218">
        <f>SUM(F14:F23)</f>
        <v>35847.012222222227</v>
      </c>
      <c r="I24" s="1015"/>
    </row>
    <row r="25" spans="1:9" ht="13.5" thickBot="1" x14ac:dyDescent="0.3">
      <c r="A25" s="219"/>
      <c r="B25" s="220"/>
      <c r="C25" s="220"/>
      <c r="D25" s="220"/>
      <c r="E25" s="220"/>
      <c r="F25" s="220"/>
      <c r="I25" s="1015"/>
    </row>
    <row r="26" spans="1:9" ht="13.5" thickBot="1" x14ac:dyDescent="0.3">
      <c r="A26" s="213" t="s">
        <v>100</v>
      </c>
      <c r="B26" s="1188" t="s">
        <v>656</v>
      </c>
      <c r="C26" s="1188"/>
      <c r="D26" s="1188"/>
      <c r="E26" s="1188"/>
      <c r="F26" s="1189"/>
      <c r="I26" s="1015"/>
    </row>
    <row r="27" spans="1:9" x14ac:dyDescent="0.25">
      <c r="A27" s="191" t="s">
        <v>81</v>
      </c>
      <c r="B27" s="192" t="s">
        <v>655</v>
      </c>
      <c r="C27" s="193" t="s">
        <v>80</v>
      </c>
      <c r="D27" s="214">
        <v>40</v>
      </c>
      <c r="E27" s="194">
        <f>'MemCalculo (Trecho Aéreo)'!E70</f>
        <v>461.51</v>
      </c>
      <c r="F27" s="195">
        <f t="shared" ref="F27:F36" si="1">D27*E27</f>
        <v>18460.400000000001</v>
      </c>
      <c r="I27" s="1015"/>
    </row>
    <row r="28" spans="1:9" ht="25.5" x14ac:dyDescent="0.25">
      <c r="A28" s="196" t="s">
        <v>82</v>
      </c>
      <c r="B28" s="197" t="s">
        <v>434</v>
      </c>
      <c r="C28" s="215" t="s">
        <v>61</v>
      </c>
      <c r="D28" s="216">
        <v>1</v>
      </c>
      <c r="E28" s="198">
        <f>'Escritorios (Adm_Manut)'!G40</f>
        <v>5341.38</v>
      </c>
      <c r="F28" s="199">
        <f t="shared" si="1"/>
        <v>5341.38</v>
      </c>
      <c r="I28" s="1015"/>
    </row>
    <row r="29" spans="1:9" x14ac:dyDescent="0.25">
      <c r="A29" s="196" t="s">
        <v>286</v>
      </c>
      <c r="B29" s="200" t="s">
        <v>312</v>
      </c>
      <c r="C29" s="215" t="s">
        <v>61</v>
      </c>
      <c r="D29" s="201">
        <v>1</v>
      </c>
      <c r="E29" s="202">
        <f>'Escritorios (Adm_Manut)'!G14</f>
        <v>1707.14</v>
      </c>
      <c r="F29" s="199">
        <f t="shared" si="1"/>
        <v>1707.14</v>
      </c>
      <c r="I29" s="1015"/>
    </row>
    <row r="30" spans="1:9" x14ac:dyDescent="0.25">
      <c r="A30" s="196" t="s">
        <v>287</v>
      </c>
      <c r="B30" s="200" t="s">
        <v>313</v>
      </c>
      <c r="C30" s="215" t="s">
        <v>61</v>
      </c>
      <c r="D30" s="201">
        <v>2</v>
      </c>
      <c r="E30" s="202">
        <f>'Escritorios (Adm_Manut)'!G15</f>
        <v>2241.92</v>
      </c>
      <c r="F30" s="199">
        <f t="shared" si="1"/>
        <v>4483.84</v>
      </c>
      <c r="I30" s="1015"/>
    </row>
    <row r="31" spans="1:9" x14ac:dyDescent="0.25">
      <c r="A31" s="196" t="s">
        <v>288</v>
      </c>
      <c r="B31" s="200" t="s">
        <v>307</v>
      </c>
      <c r="C31" s="215" t="s">
        <v>61</v>
      </c>
      <c r="D31" s="201">
        <v>1</v>
      </c>
      <c r="E31" s="202">
        <f>'Escritorios (Adm_Manut)'!G16</f>
        <v>1957.98</v>
      </c>
      <c r="F31" s="199">
        <f t="shared" si="1"/>
        <v>1957.98</v>
      </c>
      <c r="I31" s="1015"/>
    </row>
    <row r="32" spans="1:9" x14ac:dyDescent="0.25">
      <c r="A32" s="196" t="s">
        <v>289</v>
      </c>
      <c r="B32" s="200" t="s">
        <v>308</v>
      </c>
      <c r="C32" s="215" t="s">
        <v>61</v>
      </c>
      <c r="D32" s="201">
        <v>1</v>
      </c>
      <c r="E32" s="202">
        <f>'Escritorios (Adm_Manut)'!G17</f>
        <v>1713.22</v>
      </c>
      <c r="F32" s="199">
        <f t="shared" si="1"/>
        <v>1713.22</v>
      </c>
      <c r="I32" s="1015"/>
    </row>
    <row r="33" spans="1:9" x14ac:dyDescent="0.25">
      <c r="A33" s="196" t="s">
        <v>290</v>
      </c>
      <c r="B33" s="200" t="s">
        <v>649</v>
      </c>
      <c r="C33" s="215" t="s">
        <v>61</v>
      </c>
      <c r="D33" s="201">
        <v>1</v>
      </c>
      <c r="E33" s="202">
        <f>'Escritorios (Adm_Manut)'!G19</f>
        <v>734.21</v>
      </c>
      <c r="F33" s="199">
        <f t="shared" si="1"/>
        <v>734.21</v>
      </c>
      <c r="I33" s="1015"/>
    </row>
    <row r="34" spans="1:9" x14ac:dyDescent="0.25">
      <c r="A34" s="196" t="s">
        <v>291</v>
      </c>
      <c r="B34" s="200" t="s">
        <v>650</v>
      </c>
      <c r="C34" s="215" t="s">
        <v>61</v>
      </c>
      <c r="D34" s="201">
        <v>2</v>
      </c>
      <c r="E34" s="202">
        <f>'Escritorios (Adm_Manut)'!G20</f>
        <v>4574.6961111111123</v>
      </c>
      <c r="F34" s="199">
        <f t="shared" si="1"/>
        <v>9149.3922222222245</v>
      </c>
      <c r="I34" s="1015"/>
    </row>
    <row r="35" spans="1:9" x14ac:dyDescent="0.25">
      <c r="A35" s="196" t="s">
        <v>362</v>
      </c>
      <c r="B35" s="200" t="s">
        <v>651</v>
      </c>
      <c r="C35" s="215" t="s">
        <v>61</v>
      </c>
      <c r="D35" s="201">
        <v>1</v>
      </c>
      <c r="E35" s="202">
        <f>'Escritorios (Adm_Manut)'!G21</f>
        <v>611.86</v>
      </c>
      <c r="F35" s="199">
        <f t="shared" si="1"/>
        <v>611.86</v>
      </c>
      <c r="I35" s="1015"/>
    </row>
    <row r="36" spans="1:9" ht="13.5" thickBot="1" x14ac:dyDescent="0.3">
      <c r="A36" s="203" t="s">
        <v>363</v>
      </c>
      <c r="B36" s="204" t="s">
        <v>652</v>
      </c>
      <c r="C36" s="217" t="s">
        <v>61</v>
      </c>
      <c r="D36" s="205">
        <v>1</v>
      </c>
      <c r="E36" s="202">
        <f>'Escritorios (Adm_Manut)'!G22</f>
        <v>917.79</v>
      </c>
      <c r="F36" s="206">
        <f t="shared" si="1"/>
        <v>917.79</v>
      </c>
      <c r="I36" s="1015"/>
    </row>
    <row r="37" spans="1:9" ht="13.5" thickBot="1" x14ac:dyDescent="0.3">
      <c r="A37" s="1180" t="s">
        <v>658</v>
      </c>
      <c r="B37" s="1181"/>
      <c r="C37" s="1181"/>
      <c r="D37" s="1181"/>
      <c r="E37" s="1181"/>
      <c r="F37" s="218">
        <f>SUM(F27:F36)</f>
        <v>45077.212222222224</v>
      </c>
    </row>
    <row r="39" spans="1:9" ht="13.5" thickBot="1" x14ac:dyDescent="0.3"/>
    <row r="40" spans="1:9" ht="15" customHeight="1" x14ac:dyDescent="0.25">
      <c r="A40" s="1053" t="s">
        <v>49</v>
      </c>
      <c r="B40" s="1190"/>
      <c r="C40" s="1190"/>
      <c r="D40" s="1054"/>
      <c r="E40" s="1053" t="s">
        <v>50</v>
      </c>
      <c r="F40" s="1054"/>
    </row>
    <row r="41" spans="1:9" ht="15.75" customHeight="1" thickBot="1" x14ac:dyDescent="0.3">
      <c r="A41" s="1055"/>
      <c r="B41" s="1191"/>
      <c r="C41" s="1191"/>
      <c r="D41" s="1056"/>
      <c r="E41" s="1055"/>
      <c r="F41" s="1056"/>
    </row>
    <row r="42" spans="1:9" x14ac:dyDescent="0.25">
      <c r="A42" s="1053" t="s">
        <v>51</v>
      </c>
      <c r="B42" s="1190"/>
      <c r="C42" s="1190"/>
      <c r="D42" s="1190"/>
      <c r="E42" s="1190"/>
      <c r="F42" s="221" t="s">
        <v>52</v>
      </c>
    </row>
    <row r="43" spans="1:9" ht="13.5" thickBot="1" x14ac:dyDescent="0.3">
      <c r="A43" s="1057"/>
      <c r="B43" s="1176"/>
      <c r="C43" s="1176"/>
      <c r="D43" s="1176"/>
      <c r="E43" s="1176"/>
      <c r="F43" s="222"/>
    </row>
    <row r="44" spans="1:9" ht="15.75" customHeight="1" thickTop="1" x14ac:dyDescent="0.25">
      <c r="A44" s="1177" t="s">
        <v>53</v>
      </c>
      <c r="B44" s="1178"/>
      <c r="C44" s="1178"/>
      <c r="D44" s="1178"/>
      <c r="E44" s="1178"/>
      <c r="F44" s="1179"/>
    </row>
    <row r="45" spans="1:9" ht="13.5" customHeight="1" x14ac:dyDescent="0.25">
      <c r="A45" s="1047" t="s">
        <v>660</v>
      </c>
      <c r="B45" s="1048"/>
      <c r="C45" s="1048"/>
      <c r="D45" s="1048"/>
      <c r="E45" s="1048"/>
      <c r="F45" s="1049"/>
    </row>
    <row r="46" spans="1:9" ht="13.5" customHeight="1" x14ac:dyDescent="0.25">
      <c r="A46" s="1047"/>
      <c r="B46" s="1048"/>
      <c r="C46" s="1048"/>
      <c r="D46" s="1048"/>
      <c r="E46" s="1048"/>
      <c r="F46" s="1049"/>
    </row>
    <row r="47" spans="1:9" ht="12.75" customHeight="1" x14ac:dyDescent="0.25">
      <c r="A47" s="1047" t="s">
        <v>661</v>
      </c>
      <c r="B47" s="1048"/>
      <c r="C47" s="1048"/>
      <c r="D47" s="1048"/>
      <c r="E47" s="1048"/>
      <c r="F47" s="1049"/>
    </row>
    <row r="48" spans="1:9" ht="13.5" thickBot="1" x14ac:dyDescent="0.3">
      <c r="A48" s="1161" t="s">
        <v>953</v>
      </c>
      <c r="B48" s="1162"/>
      <c r="C48" s="1162"/>
      <c r="D48" s="1162"/>
      <c r="E48" s="1162"/>
      <c r="F48" s="1163"/>
    </row>
  </sheetData>
  <mergeCells count="25">
    <mergeCell ref="E41:F41"/>
    <mergeCell ref="A40:D40"/>
    <mergeCell ref="A41:D41"/>
    <mergeCell ref="A42:E42"/>
    <mergeCell ref="A10:A12"/>
    <mergeCell ref="B10:B12"/>
    <mergeCell ref="C10:C12"/>
    <mergeCell ref="D10:D12"/>
    <mergeCell ref="E40:F40"/>
    <mergeCell ref="A48:F48"/>
    <mergeCell ref="A47:F47"/>
    <mergeCell ref="A1:F1"/>
    <mergeCell ref="A2:F2"/>
    <mergeCell ref="A3:F3"/>
    <mergeCell ref="A5:F6"/>
    <mergeCell ref="A8:F8"/>
    <mergeCell ref="A43:E43"/>
    <mergeCell ref="A44:F44"/>
    <mergeCell ref="A45:F46"/>
    <mergeCell ref="A37:E37"/>
    <mergeCell ref="E10:E12"/>
    <mergeCell ref="F10:F12"/>
    <mergeCell ref="B13:F13"/>
    <mergeCell ref="B26:F26"/>
    <mergeCell ref="A24:E24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90" orientation="portrait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03"/>
  <sheetViews>
    <sheetView view="pageBreakPreview" topLeftCell="A49" zoomScale="90" zoomScaleNormal="110" zoomScaleSheetLayoutView="90" workbookViewId="0">
      <selection activeCell="H145" sqref="H145"/>
    </sheetView>
  </sheetViews>
  <sheetFormatPr defaultColWidth="26.28515625" defaultRowHeight="12" x14ac:dyDescent="0.2"/>
  <cols>
    <col min="1" max="1" width="7.85546875" style="291" bestFit="1" customWidth="1"/>
    <col min="2" max="2" width="50" style="304" customWidth="1"/>
    <col min="3" max="3" width="9.85546875" style="291" bestFit="1" customWidth="1"/>
    <col min="4" max="4" width="8.28515625" style="291" bestFit="1" customWidth="1"/>
    <col min="5" max="5" width="5.85546875" style="291" bestFit="1" customWidth="1"/>
    <col min="6" max="6" width="11.5703125" style="291" bestFit="1" customWidth="1"/>
    <col min="7" max="7" width="14.85546875" style="291" customWidth="1"/>
    <col min="8" max="8" width="16.5703125" style="291" customWidth="1"/>
    <col min="9" max="9" width="14" style="291" customWidth="1"/>
    <col min="10" max="10" width="15.85546875" style="291" customWidth="1"/>
    <col min="11" max="11" width="15.7109375" style="291" bestFit="1" customWidth="1"/>
    <col min="12" max="12" width="16.85546875" style="291" customWidth="1"/>
    <col min="13" max="13" width="14.5703125" style="291" customWidth="1"/>
    <col min="14" max="14" width="16.42578125" style="291" bestFit="1" customWidth="1"/>
    <col min="15" max="15" width="18.7109375" style="291" customWidth="1"/>
    <col min="16" max="16" width="23" style="288" bestFit="1" customWidth="1"/>
    <col min="17" max="17" width="22.28515625" style="288" bestFit="1" customWidth="1"/>
    <col min="18" max="18" width="6.42578125" style="288" customWidth="1"/>
    <col min="19" max="19" width="8.7109375" style="290" bestFit="1" customWidth="1"/>
    <col min="20" max="20" width="5.28515625" style="290" bestFit="1" customWidth="1"/>
    <col min="21" max="21" width="9.7109375" style="290" bestFit="1" customWidth="1"/>
    <col min="22" max="22" width="7.42578125" style="290" bestFit="1" customWidth="1"/>
    <col min="23" max="23" width="12.85546875" style="288" bestFit="1" customWidth="1"/>
    <col min="24" max="24" width="7.140625" style="291" bestFit="1" customWidth="1"/>
    <col min="25" max="16384" width="26.28515625" style="291"/>
  </cols>
  <sheetData>
    <row r="1" spans="1:23" ht="12.75" x14ac:dyDescent="0.2">
      <c r="A1" s="1101" t="s">
        <v>294</v>
      </c>
      <c r="B1" s="1102"/>
      <c r="C1" s="1102"/>
      <c r="D1" s="1102"/>
      <c r="E1" s="1102"/>
      <c r="F1" s="1102"/>
      <c r="G1" s="1102"/>
      <c r="H1" s="1102"/>
      <c r="I1" s="1102"/>
      <c r="J1" s="1102"/>
      <c r="K1" s="1102"/>
      <c r="L1" s="1102"/>
      <c r="M1" s="1102"/>
      <c r="N1" s="1103"/>
      <c r="O1" s="797"/>
    </row>
    <row r="2" spans="1:23" ht="13.5" thickBot="1" x14ac:dyDescent="0.25">
      <c r="A2" s="1237" t="s">
        <v>295</v>
      </c>
      <c r="B2" s="1238"/>
      <c r="C2" s="1238"/>
      <c r="D2" s="1238"/>
      <c r="E2" s="1238"/>
      <c r="F2" s="1238"/>
      <c r="G2" s="1238"/>
      <c r="H2" s="1238"/>
      <c r="I2" s="1238"/>
      <c r="J2" s="1238"/>
      <c r="K2" s="1238"/>
      <c r="L2" s="1238"/>
      <c r="M2" s="1238"/>
      <c r="N2" s="1239"/>
      <c r="O2" s="797"/>
      <c r="P2" s="288">
        <v>880</v>
      </c>
    </row>
    <row r="3" spans="1:23" ht="13.5" thickBot="1" x14ac:dyDescent="0.25">
      <c r="A3" s="1240"/>
      <c r="B3" s="1241"/>
      <c r="C3" s="1241"/>
      <c r="D3" s="1241"/>
      <c r="E3" s="1241"/>
      <c r="F3" s="1241"/>
      <c r="G3" s="1241"/>
      <c r="H3" s="1241"/>
      <c r="I3" s="1241"/>
      <c r="J3" s="1241"/>
      <c r="K3" s="1241"/>
      <c r="L3" s="1241"/>
      <c r="M3" s="1241"/>
      <c r="N3" s="1241"/>
      <c r="O3" s="799"/>
    </row>
    <row r="4" spans="1:23" x14ac:dyDescent="0.2">
      <c r="A4" s="1242" t="s">
        <v>292</v>
      </c>
      <c r="B4" s="1243"/>
      <c r="C4" s="1243"/>
      <c r="D4" s="1243"/>
      <c r="E4" s="1243"/>
      <c r="F4" s="1243"/>
      <c r="G4" s="1243"/>
      <c r="H4" s="1243"/>
      <c r="I4" s="1243"/>
      <c r="J4" s="1243"/>
      <c r="K4" s="1243"/>
      <c r="L4" s="1243"/>
      <c r="M4" s="1243"/>
      <c r="N4" s="1244"/>
      <c r="O4" s="796"/>
    </row>
    <row r="5" spans="1:23" ht="12.75" thickBot="1" x14ac:dyDescent="0.25">
      <c r="A5" s="1245"/>
      <c r="B5" s="1246"/>
      <c r="C5" s="1246"/>
      <c r="D5" s="1246"/>
      <c r="E5" s="1246"/>
      <c r="F5" s="1246"/>
      <c r="G5" s="1246"/>
      <c r="H5" s="1246"/>
      <c r="I5" s="1246"/>
      <c r="J5" s="1246"/>
      <c r="K5" s="1246"/>
      <c r="L5" s="1246"/>
      <c r="M5" s="1246"/>
      <c r="N5" s="1247"/>
      <c r="O5" s="796"/>
    </row>
    <row r="6" spans="1:23" ht="12.75" thickBot="1" x14ac:dyDescent="0.25">
      <c r="A6" s="288"/>
      <c r="B6" s="289"/>
      <c r="C6" s="290"/>
      <c r="D6" s="288"/>
      <c r="E6" s="288"/>
      <c r="F6" s="288"/>
      <c r="G6" s="288"/>
      <c r="H6" s="288"/>
      <c r="I6" s="290"/>
    </row>
    <row r="7" spans="1:23" ht="12.75" thickBot="1" x14ac:dyDescent="0.25">
      <c r="A7" s="1248" t="s">
        <v>57</v>
      </c>
      <c r="B7" s="1249"/>
      <c r="C7" s="1249"/>
      <c r="D7" s="1249"/>
      <c r="E7" s="1249"/>
      <c r="F7" s="1249"/>
      <c r="G7" s="1249"/>
      <c r="H7" s="1249"/>
      <c r="I7" s="1249"/>
      <c r="J7" s="1249"/>
      <c r="K7" s="1249"/>
      <c r="L7" s="1249"/>
      <c r="M7" s="1249"/>
      <c r="N7" s="1250"/>
      <c r="O7" s="804"/>
    </row>
    <row r="8" spans="1:23" ht="12.75" thickBot="1" x14ac:dyDescent="0.25">
      <c r="A8" s="288"/>
      <c r="B8" s="289"/>
      <c r="C8" s="290"/>
      <c r="D8" s="288"/>
      <c r="E8" s="288"/>
      <c r="F8" s="288"/>
      <c r="G8" s="288"/>
      <c r="H8" s="288"/>
      <c r="I8" s="290"/>
    </row>
    <row r="9" spans="1:23" ht="12.75" thickBot="1" x14ac:dyDescent="0.25">
      <c r="A9" s="288"/>
      <c r="B9" s="289"/>
      <c r="C9" s="290"/>
      <c r="D9" s="1255" t="s">
        <v>26</v>
      </c>
      <c r="E9" s="1256"/>
      <c r="F9" s="1256"/>
      <c r="G9" s="1256"/>
      <c r="H9" s="1256"/>
      <c r="I9" s="1256"/>
      <c r="J9" s="1257"/>
      <c r="K9" s="804"/>
      <c r="L9" s="804"/>
      <c r="M9" s="804"/>
      <c r="N9" s="804"/>
    </row>
    <row r="10" spans="1:23" ht="12.75" thickBot="1" x14ac:dyDescent="0.25">
      <c r="A10" s="288"/>
      <c r="D10" s="1251" t="s">
        <v>778</v>
      </c>
      <c r="E10" s="1252"/>
      <c r="F10" s="800" t="s">
        <v>736</v>
      </c>
      <c r="G10" s="292" t="s">
        <v>735</v>
      </c>
      <c r="H10" s="801" t="s">
        <v>790</v>
      </c>
      <c r="I10" s="860" t="s">
        <v>791</v>
      </c>
      <c r="J10" s="801" t="s">
        <v>959</v>
      </c>
      <c r="K10" s="300"/>
      <c r="L10" s="300"/>
      <c r="M10" s="300"/>
      <c r="N10" s="300"/>
      <c r="P10" s="1255" t="s">
        <v>725</v>
      </c>
      <c r="Q10" s="1256"/>
      <c r="R10" s="1256"/>
      <c r="S10" s="1256"/>
      <c r="T10" s="1256"/>
      <c r="U10" s="1256"/>
      <c r="V10" s="1256"/>
      <c r="W10" s="1257"/>
    </row>
    <row r="11" spans="1:23" ht="12.75" thickBot="1" x14ac:dyDescent="0.25">
      <c r="A11" s="288"/>
      <c r="D11" s="1253">
        <v>0.3</v>
      </c>
      <c r="E11" s="1254"/>
      <c r="F11" s="918">
        <v>1.1383000000000001</v>
      </c>
      <c r="G11" s="919">
        <v>1.1718</v>
      </c>
      <c r="H11" s="920">
        <v>0.72719999999999996</v>
      </c>
      <c r="I11" s="920">
        <v>0.72270000000000001</v>
      </c>
      <c r="J11" s="920">
        <v>0.2</v>
      </c>
      <c r="K11" s="909"/>
      <c r="L11" s="376"/>
      <c r="M11" s="376"/>
      <c r="N11" s="376"/>
    </row>
    <row r="12" spans="1:23" ht="12.75" thickBot="1" x14ac:dyDescent="0.25">
      <c r="A12" s="288"/>
      <c r="B12" s="289"/>
      <c r="C12" s="290"/>
      <c r="D12" s="288"/>
      <c r="E12" s="288"/>
    </row>
    <row r="13" spans="1:23" s="304" customFormat="1" ht="12.75" thickBot="1" x14ac:dyDescent="0.25">
      <c r="A13" s="1200" t="s">
        <v>0</v>
      </c>
      <c r="B13" s="1200" t="s">
        <v>1</v>
      </c>
      <c r="C13" s="1195" t="s">
        <v>297</v>
      </c>
      <c r="D13" s="1200" t="s">
        <v>2</v>
      </c>
      <c r="E13" s="1195" t="s">
        <v>3</v>
      </c>
      <c r="F13" s="1200" t="s">
        <v>242</v>
      </c>
      <c r="G13" s="1211" t="s">
        <v>25</v>
      </c>
      <c r="H13" s="1212"/>
      <c r="I13" s="1212"/>
      <c r="J13" s="1213"/>
      <c r="K13" s="1211" t="s">
        <v>783</v>
      </c>
      <c r="L13" s="1212"/>
      <c r="M13" s="1212"/>
      <c r="N13" s="1213"/>
      <c r="O13" s="795"/>
      <c r="P13" s="1207" t="s">
        <v>631</v>
      </c>
      <c r="Q13" s="1216" t="s">
        <v>632</v>
      </c>
      <c r="R13" s="331"/>
      <c r="S13" s="332"/>
      <c r="T13" s="332"/>
      <c r="U13" s="332"/>
      <c r="V13" s="332"/>
      <c r="W13" s="289"/>
    </row>
    <row r="14" spans="1:23" s="304" customFormat="1" x14ac:dyDescent="0.2">
      <c r="A14" s="1210"/>
      <c r="B14" s="1210"/>
      <c r="C14" s="1196"/>
      <c r="D14" s="1210"/>
      <c r="E14" s="1196"/>
      <c r="F14" s="1210"/>
      <c r="G14" s="1198" t="s">
        <v>296</v>
      </c>
      <c r="H14" s="1200" t="s">
        <v>779</v>
      </c>
      <c r="I14" s="1200" t="s">
        <v>26</v>
      </c>
      <c r="J14" s="1200" t="s">
        <v>293</v>
      </c>
      <c r="K14" s="1198" t="s">
        <v>296</v>
      </c>
      <c r="L14" s="1200" t="s">
        <v>779</v>
      </c>
      <c r="M14" s="1200" t="s">
        <v>26</v>
      </c>
      <c r="N14" s="1200" t="s">
        <v>293</v>
      </c>
      <c r="O14" s="795"/>
      <c r="P14" s="1208"/>
      <c r="Q14" s="1217"/>
      <c r="R14" s="331"/>
      <c r="S14" s="332"/>
      <c r="T14" s="332"/>
      <c r="U14" s="332"/>
      <c r="V14" s="332"/>
      <c r="W14" s="289"/>
    </row>
    <row r="15" spans="1:23" s="304" customFormat="1" ht="12.75" thickBot="1" x14ac:dyDescent="0.25">
      <c r="A15" s="1201"/>
      <c r="B15" s="1201"/>
      <c r="C15" s="1197"/>
      <c r="D15" s="1201"/>
      <c r="E15" s="1197"/>
      <c r="F15" s="1201"/>
      <c r="G15" s="1199"/>
      <c r="H15" s="1201"/>
      <c r="I15" s="1201"/>
      <c r="J15" s="1201"/>
      <c r="K15" s="1199"/>
      <c r="L15" s="1201"/>
      <c r="M15" s="1201"/>
      <c r="N15" s="1201"/>
      <c r="O15" s="795"/>
      <c r="P15" s="1209"/>
      <c r="Q15" s="1218"/>
      <c r="R15" s="331"/>
      <c r="S15" s="332"/>
      <c r="T15" s="332"/>
      <c r="U15" s="332"/>
      <c r="V15" s="332"/>
      <c r="W15" s="289"/>
    </row>
    <row r="16" spans="1:23" ht="12.75" thickBot="1" x14ac:dyDescent="0.25">
      <c r="A16" s="811" t="s">
        <v>99</v>
      </c>
      <c r="B16" s="1287" t="s">
        <v>973</v>
      </c>
      <c r="C16" s="1215"/>
      <c r="D16" s="1215"/>
      <c r="E16" s="1215"/>
      <c r="F16" s="1215"/>
      <c r="G16" s="1215"/>
      <c r="H16" s="1215"/>
      <c r="I16" s="1215"/>
      <c r="J16" s="1215"/>
      <c r="K16" s="1215"/>
      <c r="L16" s="1215"/>
      <c r="M16" s="1215"/>
      <c r="N16" s="1288"/>
      <c r="O16" s="795"/>
      <c r="P16" s="300"/>
      <c r="Q16" s="300"/>
      <c r="R16" s="300"/>
    </row>
    <row r="17" spans="1:24" x14ac:dyDescent="0.2">
      <c r="A17" s="306" t="s">
        <v>4</v>
      </c>
      <c r="B17" s="324" t="s">
        <v>280</v>
      </c>
      <c r="C17" s="297" t="s">
        <v>14</v>
      </c>
      <c r="D17" s="178" t="s">
        <v>27</v>
      </c>
      <c r="E17" s="297">
        <v>1</v>
      </c>
      <c r="F17" s="815">
        <v>18</v>
      </c>
      <c r="G17" s="944">
        <f>VLOOKUP(C17,'MemCalculo (Salários)'!$A$13:$D$30,4,FALSE)</f>
        <v>17556</v>
      </c>
      <c r="H17" s="905">
        <f>ROUND(G17*$D$11,2)</f>
        <v>5266.8</v>
      </c>
      <c r="I17" s="914">
        <f>ROUND((G17+H17)*$I$11,2)</f>
        <v>16494.04</v>
      </c>
      <c r="J17" s="967">
        <f>G17+H17+I17</f>
        <v>39316.839999999997</v>
      </c>
      <c r="K17" s="944">
        <f>E17*F17*G17</f>
        <v>316008</v>
      </c>
      <c r="L17" s="914">
        <f>E17*F17*H17</f>
        <v>94802.400000000009</v>
      </c>
      <c r="M17" s="914">
        <f>ROUND((K17+L17)*$I$11,2)</f>
        <v>296892.68</v>
      </c>
      <c r="N17" s="945">
        <f>E17*F17*J17</f>
        <v>707703.11999999988</v>
      </c>
      <c r="O17" s="921">
        <f t="shared" ref="O17:O39" si="0">K17+L17+M17</f>
        <v>707703.08000000007</v>
      </c>
      <c r="P17" s="794" t="s">
        <v>633</v>
      </c>
      <c r="Q17" s="334" t="s">
        <v>634</v>
      </c>
      <c r="R17" s="300"/>
      <c r="S17" s="802" t="s">
        <v>640</v>
      </c>
      <c r="T17" s="802" t="s">
        <v>637</v>
      </c>
      <c r="U17" s="802" t="s">
        <v>638</v>
      </c>
      <c r="V17" s="802" t="s">
        <v>639</v>
      </c>
      <c r="W17" s="805"/>
      <c r="X17" s="603" t="s">
        <v>915</v>
      </c>
    </row>
    <row r="18" spans="1:24" x14ac:dyDescent="0.2">
      <c r="A18" s="308" t="s">
        <v>5</v>
      </c>
      <c r="B18" s="277" t="s">
        <v>972</v>
      </c>
      <c r="C18" s="62" t="s">
        <v>13</v>
      </c>
      <c r="D18" s="62" t="s">
        <v>27</v>
      </c>
      <c r="E18" s="62">
        <v>1</v>
      </c>
      <c r="F18" s="57">
        <v>6</v>
      </c>
      <c r="G18" s="933">
        <f>VLOOKUP(C18,'MemCalculo (Salários)'!$A$13:$D$30,4,FALSE)</f>
        <v>21542.400000000001</v>
      </c>
      <c r="H18" s="951">
        <v>0</v>
      </c>
      <c r="I18" s="905">
        <f>ROUND((G18+H18)*$J$11,2)</f>
        <v>4308.4799999999996</v>
      </c>
      <c r="J18" s="968">
        <f>G18+H18+I18</f>
        <v>25850.880000000001</v>
      </c>
      <c r="K18" s="933">
        <f>E18*F18*G18</f>
        <v>129254.40000000001</v>
      </c>
      <c r="L18" s="905">
        <f>E18*F18*H18</f>
        <v>0</v>
      </c>
      <c r="M18" s="905">
        <f>E18*F18*I18</f>
        <v>25850.879999999997</v>
      </c>
      <c r="N18" s="907">
        <f>E18*F18*J18</f>
        <v>155105.28</v>
      </c>
      <c r="O18" s="921">
        <f t="shared" si="0"/>
        <v>155105.28</v>
      </c>
      <c r="P18" s="336" t="s">
        <v>636</v>
      </c>
      <c r="Q18" s="233" t="s">
        <v>634</v>
      </c>
      <c r="R18" s="300"/>
      <c r="S18" s="185" t="s">
        <v>633</v>
      </c>
      <c r="T18" s="185">
        <f>SUMIF($P$17:$P$44,S17,$E$17:$E$44)</f>
        <v>0</v>
      </c>
      <c r="U18" s="185">
        <f>SUMIF($Q$17:$Q$44,U17,$E$17:$E$44)</f>
        <v>46</v>
      </c>
      <c r="V18" s="185">
        <f>SUMIF($Q$17:$Q$44,V17,$E$17:$E$44)</f>
        <v>41</v>
      </c>
      <c r="W18" s="805"/>
      <c r="X18" s="291">
        <f>SUM(F17:F44)</f>
        <v>388</v>
      </c>
    </row>
    <row r="19" spans="1:24" x14ac:dyDescent="0.2">
      <c r="A19" s="1014" t="s">
        <v>6</v>
      </c>
      <c r="B19" s="972" t="s">
        <v>974</v>
      </c>
      <c r="C19" s="929" t="s">
        <v>15</v>
      </c>
      <c r="D19" s="929" t="s">
        <v>27</v>
      </c>
      <c r="E19" s="929">
        <v>2</v>
      </c>
      <c r="F19" s="973">
        <v>6</v>
      </c>
      <c r="G19" s="933">
        <f>VLOOKUP(C19,'MemCalculo (Salários)'!$A$13:$D$30,4,FALSE)</f>
        <v>13370.72</v>
      </c>
      <c r="H19" s="905">
        <v>0</v>
      </c>
      <c r="I19" s="905">
        <f>ROUND((G19+H19)*$J$11,2)</f>
        <v>2674.14</v>
      </c>
      <c r="J19" s="968">
        <f>G19+H19+I19</f>
        <v>16044.859999999999</v>
      </c>
      <c r="K19" s="933">
        <f>E19*F19*G19</f>
        <v>160448.63999999998</v>
      </c>
      <c r="L19" s="905">
        <f>E19*F19*H19</f>
        <v>0</v>
      </c>
      <c r="M19" s="905">
        <f>(K19+L19)*$I$11</f>
        <v>115956.23212799999</v>
      </c>
      <c r="N19" s="907">
        <f>E19*F19*J19</f>
        <v>192538.31999999998</v>
      </c>
      <c r="O19" s="921">
        <f t="shared" si="0"/>
        <v>276404.87212799996</v>
      </c>
      <c r="P19" s="336" t="s">
        <v>636</v>
      </c>
      <c r="Q19" s="233" t="s">
        <v>634</v>
      </c>
      <c r="R19" s="300"/>
      <c r="S19" s="185" t="s">
        <v>636</v>
      </c>
      <c r="T19" s="185">
        <f>SUMIF($P$17:$P$44,S19,$E$17:$E$44)</f>
        <v>3</v>
      </c>
      <c r="U19" s="185">
        <f>SUMIF($Q$17:$Q$44,U18,$E$17:$E$44)</f>
        <v>0</v>
      </c>
      <c r="V19" s="185">
        <f>SUMIF($Q$17:$Q$44,V18,$E$17:$E$44)</f>
        <v>0</v>
      </c>
      <c r="W19" s="805"/>
    </row>
    <row r="20" spans="1:24" x14ac:dyDescent="0.2">
      <c r="A20" s="308" t="s">
        <v>7</v>
      </c>
      <c r="B20" s="186" t="s">
        <v>564</v>
      </c>
      <c r="C20" s="62" t="s">
        <v>15</v>
      </c>
      <c r="D20" s="62" t="s">
        <v>27</v>
      </c>
      <c r="E20" s="62">
        <v>4</v>
      </c>
      <c r="F20" s="57">
        <v>18</v>
      </c>
      <c r="G20" s="933">
        <f>VLOOKUP(C20,'MemCalculo (Salários)'!$A$13:$D$30,4,FALSE)</f>
        <v>13370.72</v>
      </c>
      <c r="H20" s="905">
        <f>ROUND(G20*$D$11,2)</f>
        <v>4011.22</v>
      </c>
      <c r="I20" s="905">
        <f>ROUND((G20+H20)*$I$11,2)</f>
        <v>12561.93</v>
      </c>
      <c r="J20" s="968">
        <f>G20+H20+I20</f>
        <v>29943.87</v>
      </c>
      <c r="K20" s="933">
        <f>E20*F20*G20</f>
        <v>962691.84</v>
      </c>
      <c r="L20" s="905">
        <f>E20*F20*H20</f>
        <v>288807.83999999997</v>
      </c>
      <c r="M20" s="905">
        <f>(K20+L20)*$I$11</f>
        <v>904458.81873599999</v>
      </c>
      <c r="N20" s="907">
        <f>E20*F20*J20</f>
        <v>2155958.64</v>
      </c>
      <c r="O20" s="921">
        <f t="shared" si="0"/>
        <v>2155958.4987359997</v>
      </c>
      <c r="P20" s="336" t="s">
        <v>633</v>
      </c>
      <c r="Q20" s="233" t="s">
        <v>634</v>
      </c>
    </row>
    <row r="21" spans="1:24" x14ac:dyDescent="0.2">
      <c r="A21" s="308" t="s">
        <v>8</v>
      </c>
      <c r="B21" s="186" t="s">
        <v>565</v>
      </c>
      <c r="C21" s="62" t="s">
        <v>15</v>
      </c>
      <c r="D21" s="62" t="s">
        <v>27</v>
      </c>
      <c r="E21" s="62">
        <v>4</v>
      </c>
      <c r="F21" s="57">
        <v>18</v>
      </c>
      <c r="G21" s="933">
        <f>VLOOKUP(C21,'MemCalculo (Salários)'!$A$13:$D$30,4,FALSE)</f>
        <v>13370.72</v>
      </c>
      <c r="H21" s="905">
        <f t="shared" ref="H21:H27" si="1">ROUND(G21*$D$11,2)</f>
        <v>4011.22</v>
      </c>
      <c r="I21" s="905">
        <f t="shared" ref="I21:I44" si="2">ROUND((G21+H21)*$I$11,2)</f>
        <v>12561.93</v>
      </c>
      <c r="J21" s="968">
        <f t="shared" ref="J21:J32" si="3">G21+H21+I21</f>
        <v>29943.87</v>
      </c>
      <c r="K21" s="933">
        <f t="shared" ref="K21:K32" si="4">E21*F21*G21</f>
        <v>962691.84</v>
      </c>
      <c r="L21" s="905">
        <f t="shared" ref="L21:L34" si="5">E21*F21*H21</f>
        <v>288807.83999999997</v>
      </c>
      <c r="M21" s="905">
        <f t="shared" ref="M21:M44" si="6">(K21+L21)*$I$11</f>
        <v>904458.81873599999</v>
      </c>
      <c r="N21" s="907">
        <f t="shared" ref="N21:N32" si="7">E21*F21*J21</f>
        <v>2155958.64</v>
      </c>
      <c r="O21" s="921">
        <f t="shared" si="0"/>
        <v>2155958.4987359997</v>
      </c>
      <c r="P21" s="336" t="s">
        <v>633</v>
      </c>
      <c r="Q21" s="233" t="s">
        <v>634</v>
      </c>
    </row>
    <row r="22" spans="1:24" x14ac:dyDescent="0.2">
      <c r="A22" s="308" t="s">
        <v>9</v>
      </c>
      <c r="B22" s="186" t="s">
        <v>566</v>
      </c>
      <c r="C22" s="62" t="s">
        <v>15</v>
      </c>
      <c r="D22" s="62" t="s">
        <v>27</v>
      </c>
      <c r="E22" s="62">
        <v>4</v>
      </c>
      <c r="F22" s="57">
        <v>18</v>
      </c>
      <c r="G22" s="933">
        <f>VLOOKUP(C22,'MemCalculo (Salários)'!$A$13:$D$30,4,FALSE)</f>
        <v>13370.72</v>
      </c>
      <c r="H22" s="905">
        <f t="shared" si="1"/>
        <v>4011.22</v>
      </c>
      <c r="I22" s="905">
        <f t="shared" si="2"/>
        <v>12561.93</v>
      </c>
      <c r="J22" s="968">
        <f t="shared" si="3"/>
        <v>29943.87</v>
      </c>
      <c r="K22" s="933">
        <f t="shared" si="4"/>
        <v>962691.84</v>
      </c>
      <c r="L22" s="905">
        <f t="shared" si="5"/>
        <v>288807.83999999997</v>
      </c>
      <c r="M22" s="905">
        <f t="shared" si="6"/>
        <v>904458.81873599999</v>
      </c>
      <c r="N22" s="907">
        <f t="shared" si="7"/>
        <v>2155958.64</v>
      </c>
      <c r="O22" s="921">
        <f t="shared" si="0"/>
        <v>2155958.4987359997</v>
      </c>
      <c r="P22" s="336" t="s">
        <v>633</v>
      </c>
      <c r="Q22" s="233" t="s">
        <v>634</v>
      </c>
    </row>
    <row r="23" spans="1:24" x14ac:dyDescent="0.2">
      <c r="A23" s="308" t="s">
        <v>11</v>
      </c>
      <c r="B23" s="186" t="s">
        <v>243</v>
      </c>
      <c r="C23" s="62" t="s">
        <v>15</v>
      </c>
      <c r="D23" s="62" t="s">
        <v>27</v>
      </c>
      <c r="E23" s="62">
        <v>2</v>
      </c>
      <c r="F23" s="57">
        <v>18</v>
      </c>
      <c r="G23" s="933">
        <f>VLOOKUP(C23,'MemCalculo (Salários)'!$A$13:$D$30,4,FALSE)</f>
        <v>13370.72</v>
      </c>
      <c r="H23" s="905">
        <f t="shared" si="1"/>
        <v>4011.22</v>
      </c>
      <c r="I23" s="905">
        <f>ROUND((G23+H23)*$I$11,2)</f>
        <v>12561.93</v>
      </c>
      <c r="J23" s="968">
        <f>G23+H23+I23</f>
        <v>29943.87</v>
      </c>
      <c r="K23" s="933">
        <f t="shared" si="4"/>
        <v>481345.92</v>
      </c>
      <c r="L23" s="905">
        <f t="shared" si="5"/>
        <v>144403.91999999998</v>
      </c>
      <c r="M23" s="905">
        <f t="shared" si="6"/>
        <v>452229.40936799999</v>
      </c>
      <c r="N23" s="907">
        <f>E23*F23*J23</f>
        <v>1077979.32</v>
      </c>
      <c r="O23" s="921">
        <f t="shared" si="0"/>
        <v>1077979.2493679998</v>
      </c>
      <c r="P23" s="336" t="s">
        <v>633</v>
      </c>
      <c r="Q23" s="233" t="s">
        <v>634</v>
      </c>
      <c r="R23" s="300"/>
      <c r="S23" s="300"/>
      <c r="T23" s="300"/>
      <c r="U23" s="300"/>
      <c r="V23" s="300"/>
      <c r="W23" s="805"/>
    </row>
    <row r="24" spans="1:24" x14ac:dyDescent="0.2">
      <c r="A24" s="308" t="s">
        <v>12</v>
      </c>
      <c r="B24" s="186" t="s">
        <v>244</v>
      </c>
      <c r="C24" s="62" t="s">
        <v>15</v>
      </c>
      <c r="D24" s="62" t="s">
        <v>27</v>
      </c>
      <c r="E24" s="62">
        <v>2</v>
      </c>
      <c r="F24" s="57">
        <v>18</v>
      </c>
      <c r="G24" s="933">
        <f>VLOOKUP(C24,'MemCalculo (Salários)'!$A$13:$D$30,4,FALSE)</f>
        <v>13370.72</v>
      </c>
      <c r="H24" s="905">
        <f t="shared" si="1"/>
        <v>4011.22</v>
      </c>
      <c r="I24" s="905">
        <f t="shared" si="2"/>
        <v>12561.93</v>
      </c>
      <c r="J24" s="968">
        <f t="shared" si="3"/>
        <v>29943.87</v>
      </c>
      <c r="K24" s="933">
        <f t="shared" si="4"/>
        <v>481345.92</v>
      </c>
      <c r="L24" s="905">
        <f t="shared" si="5"/>
        <v>144403.91999999998</v>
      </c>
      <c r="M24" s="905">
        <f t="shared" si="6"/>
        <v>452229.40936799999</v>
      </c>
      <c r="N24" s="907">
        <f t="shared" si="7"/>
        <v>1077979.32</v>
      </c>
      <c r="O24" s="921">
        <f t="shared" si="0"/>
        <v>1077979.2493679998</v>
      </c>
      <c r="P24" s="336" t="s">
        <v>633</v>
      </c>
      <c r="Q24" s="233" t="s">
        <v>634</v>
      </c>
      <c r="R24" s="300"/>
      <c r="S24" s="300"/>
      <c r="T24" s="300"/>
      <c r="U24" s="300"/>
      <c r="V24" s="300"/>
      <c r="W24" s="805"/>
    </row>
    <row r="25" spans="1:24" x14ac:dyDescent="0.2">
      <c r="A25" s="308" t="s">
        <v>28</v>
      </c>
      <c r="B25" s="790" t="s">
        <v>245</v>
      </c>
      <c r="C25" s="62" t="s">
        <v>15</v>
      </c>
      <c r="D25" s="62" t="s">
        <v>27</v>
      </c>
      <c r="E25" s="62">
        <v>2</v>
      </c>
      <c r="F25" s="57">
        <v>18</v>
      </c>
      <c r="G25" s="933">
        <f>VLOOKUP(C25,'MemCalculo (Salários)'!$A$13:$D$30,4,FALSE)</f>
        <v>13370.72</v>
      </c>
      <c r="H25" s="905">
        <f t="shared" si="1"/>
        <v>4011.22</v>
      </c>
      <c r="I25" s="905">
        <f t="shared" si="2"/>
        <v>12561.93</v>
      </c>
      <c r="J25" s="968">
        <f t="shared" si="3"/>
        <v>29943.87</v>
      </c>
      <c r="K25" s="933">
        <f t="shared" si="4"/>
        <v>481345.92</v>
      </c>
      <c r="L25" s="905">
        <f t="shared" si="5"/>
        <v>144403.91999999998</v>
      </c>
      <c r="M25" s="905">
        <f t="shared" si="6"/>
        <v>452229.40936799999</v>
      </c>
      <c r="N25" s="907">
        <f t="shared" si="7"/>
        <v>1077979.32</v>
      </c>
      <c r="O25" s="921">
        <f t="shared" si="0"/>
        <v>1077979.2493679998</v>
      </c>
      <c r="P25" s="336" t="s">
        <v>633</v>
      </c>
      <c r="Q25" s="233" t="s">
        <v>634</v>
      </c>
      <c r="R25" s="300"/>
      <c r="S25" s="300"/>
      <c r="T25" s="300"/>
      <c r="U25" s="300"/>
      <c r="V25" s="300"/>
      <c r="W25" s="805"/>
    </row>
    <row r="26" spans="1:24" x14ac:dyDescent="0.2">
      <c r="A26" s="308" t="s">
        <v>29</v>
      </c>
      <c r="B26" s="186" t="s">
        <v>16</v>
      </c>
      <c r="C26" s="62" t="s">
        <v>17</v>
      </c>
      <c r="D26" s="62" t="s">
        <v>27</v>
      </c>
      <c r="E26" s="62">
        <v>6</v>
      </c>
      <c r="F26" s="57">
        <v>18</v>
      </c>
      <c r="G26" s="933">
        <f>VLOOKUP(C26,'MemCalculo (Salários)'!$A$13:$D$30,4,FALSE)</f>
        <v>10116.48</v>
      </c>
      <c r="H26" s="905">
        <f t="shared" si="1"/>
        <v>3034.94</v>
      </c>
      <c r="I26" s="905">
        <f>ROUND((G26+H26)*$I$11,2)</f>
        <v>9504.5300000000007</v>
      </c>
      <c r="J26" s="968">
        <f>G26+H26+I26</f>
        <v>22655.95</v>
      </c>
      <c r="K26" s="933">
        <f>E26*F26*G26</f>
        <v>1092579.8399999999</v>
      </c>
      <c r="L26" s="905">
        <f>E26*F26*H26</f>
        <v>327773.52</v>
      </c>
      <c r="M26" s="905">
        <f t="shared" si="6"/>
        <v>1026489.3732719999</v>
      </c>
      <c r="N26" s="907">
        <f>E26*F26*J26</f>
        <v>2446842.6</v>
      </c>
      <c r="O26" s="921">
        <f t="shared" si="0"/>
        <v>2446842.7332719998</v>
      </c>
      <c r="P26" s="336" t="s">
        <v>633</v>
      </c>
      <c r="Q26" s="233" t="s">
        <v>634</v>
      </c>
      <c r="R26" s="300"/>
      <c r="S26" s="300"/>
      <c r="T26" s="300"/>
      <c r="U26" s="300"/>
      <c r="V26" s="300"/>
      <c r="W26" s="805"/>
    </row>
    <row r="27" spans="1:24" x14ac:dyDescent="0.2">
      <c r="A27" s="308" t="s">
        <v>30</v>
      </c>
      <c r="B27" s="186" t="s">
        <v>18</v>
      </c>
      <c r="C27" s="62" t="s">
        <v>19</v>
      </c>
      <c r="D27" s="62" t="s">
        <v>27</v>
      </c>
      <c r="E27" s="62">
        <v>24</v>
      </c>
      <c r="F27" s="57">
        <v>18</v>
      </c>
      <c r="G27" s="933">
        <f>VLOOKUP(C27,'MemCalculo (Salários)'!$A$13:$D$30,4,FALSE)</f>
        <v>6406.4</v>
      </c>
      <c r="H27" s="905">
        <f t="shared" si="1"/>
        <v>1921.92</v>
      </c>
      <c r="I27" s="905">
        <f>ROUND((G27+H27)*$I$11,2)</f>
        <v>6018.88</v>
      </c>
      <c r="J27" s="968">
        <f>G27+H27+I27</f>
        <v>14347.2</v>
      </c>
      <c r="K27" s="933">
        <f>E27*F27*G27</f>
        <v>2767564.7999999998</v>
      </c>
      <c r="L27" s="905">
        <f t="shared" si="5"/>
        <v>830269.44000000006</v>
      </c>
      <c r="M27" s="905">
        <f t="shared" si="6"/>
        <v>2600154.8052479997</v>
      </c>
      <c r="N27" s="907">
        <f>E27*F27*J27</f>
        <v>6197990.4000000004</v>
      </c>
      <c r="O27" s="921">
        <f t="shared" si="0"/>
        <v>6197989.045248</v>
      </c>
      <c r="P27" s="336" t="s">
        <v>633</v>
      </c>
      <c r="Q27" s="233" t="s">
        <v>635</v>
      </c>
      <c r="R27" s="300"/>
      <c r="S27" s="300"/>
      <c r="T27" s="300"/>
      <c r="U27" s="300"/>
      <c r="V27" s="300"/>
      <c r="W27" s="805"/>
    </row>
    <row r="28" spans="1:24" x14ac:dyDescent="0.2">
      <c r="A28" s="308" t="s">
        <v>31</v>
      </c>
      <c r="B28" s="186" t="s">
        <v>93</v>
      </c>
      <c r="C28" s="62" t="s">
        <v>15</v>
      </c>
      <c r="D28" s="62" t="s">
        <v>27</v>
      </c>
      <c r="E28" s="62">
        <v>1</v>
      </c>
      <c r="F28" s="57">
        <v>18</v>
      </c>
      <c r="G28" s="933">
        <f>VLOOKUP(C28,'MemCalculo (Salários)'!$A$13:$D$30,4,FALSE)</f>
        <v>13370.72</v>
      </c>
      <c r="H28" s="905">
        <v>0</v>
      </c>
      <c r="I28" s="905">
        <f>ROUND((G28+H28)*$I$11,2)</f>
        <v>9663.02</v>
      </c>
      <c r="J28" s="968">
        <f>G28+H28+I28</f>
        <v>23033.739999999998</v>
      </c>
      <c r="K28" s="933">
        <f>E28*F28*G28</f>
        <v>240672.96</v>
      </c>
      <c r="L28" s="905">
        <f t="shared" si="5"/>
        <v>0</v>
      </c>
      <c r="M28" s="905">
        <f t="shared" si="6"/>
        <v>173934.348192</v>
      </c>
      <c r="N28" s="907">
        <f>E28*F28*J28</f>
        <v>414607.31999999995</v>
      </c>
      <c r="O28" s="921">
        <f t="shared" si="0"/>
        <v>414607.30819200003</v>
      </c>
      <c r="P28" s="336" t="s">
        <v>633</v>
      </c>
      <c r="Q28" s="233" t="s">
        <v>634</v>
      </c>
      <c r="R28" s="300"/>
      <c r="S28" s="300"/>
      <c r="T28" s="300"/>
      <c r="U28" s="300"/>
      <c r="V28" s="300"/>
      <c r="W28" s="805"/>
    </row>
    <row r="29" spans="1:24" x14ac:dyDescent="0.2">
      <c r="A29" s="308" t="s">
        <v>32</v>
      </c>
      <c r="B29" s="186" t="s">
        <v>92</v>
      </c>
      <c r="C29" s="62" t="s">
        <v>19</v>
      </c>
      <c r="D29" s="62" t="s">
        <v>27</v>
      </c>
      <c r="E29" s="62">
        <v>1</v>
      </c>
      <c r="F29" s="57">
        <v>18</v>
      </c>
      <c r="G29" s="933">
        <f>VLOOKUP(C29,'MemCalculo (Salários)'!$A$13:$D$30,4,FALSE)</f>
        <v>6406.4</v>
      </c>
      <c r="H29" s="905">
        <v>0</v>
      </c>
      <c r="I29" s="905">
        <f>ROUND((G29+H29)*$I$11,2)</f>
        <v>4629.91</v>
      </c>
      <c r="J29" s="968">
        <f>G29+H29+I29</f>
        <v>11036.31</v>
      </c>
      <c r="K29" s="933">
        <f>E29*F29*G29</f>
        <v>115315.2</v>
      </c>
      <c r="L29" s="905">
        <f t="shared" si="5"/>
        <v>0</v>
      </c>
      <c r="M29" s="905">
        <f t="shared" si="6"/>
        <v>83338.295039999997</v>
      </c>
      <c r="N29" s="907">
        <f>E29*F29*J29</f>
        <v>198653.58</v>
      </c>
      <c r="O29" s="921">
        <f t="shared" si="0"/>
        <v>198653.49504000001</v>
      </c>
      <c r="P29" s="336" t="s">
        <v>633</v>
      </c>
      <c r="Q29" s="233" t="s">
        <v>635</v>
      </c>
      <c r="R29" s="300"/>
      <c r="S29" s="300"/>
      <c r="T29" s="300"/>
      <c r="U29" s="300"/>
      <c r="V29" s="300"/>
      <c r="W29" s="805"/>
    </row>
    <row r="30" spans="1:24" x14ac:dyDescent="0.2">
      <c r="A30" s="308" t="s">
        <v>33</v>
      </c>
      <c r="B30" s="186" t="s">
        <v>941</v>
      </c>
      <c r="C30" s="62" t="s">
        <v>17</v>
      </c>
      <c r="D30" s="62" t="s">
        <v>27</v>
      </c>
      <c r="E30" s="62">
        <v>2</v>
      </c>
      <c r="F30" s="57">
        <v>3</v>
      </c>
      <c r="G30" s="933">
        <f>VLOOKUP(C30,'MemCalculo (Salários)'!$A$13:$D$30,4,FALSE)</f>
        <v>10116.48</v>
      </c>
      <c r="H30" s="905">
        <f>ROUND(G30*$D$11,2)</f>
        <v>3034.94</v>
      </c>
      <c r="I30" s="905">
        <f t="shared" si="2"/>
        <v>9504.5300000000007</v>
      </c>
      <c r="J30" s="968">
        <f>G30+H30+I30</f>
        <v>22655.95</v>
      </c>
      <c r="K30" s="933">
        <f>E30*F30*G30</f>
        <v>60698.879999999997</v>
      </c>
      <c r="L30" s="905">
        <f t="shared" si="5"/>
        <v>18209.64</v>
      </c>
      <c r="M30" s="905">
        <f t="shared" si="6"/>
        <v>57027.187403999997</v>
      </c>
      <c r="N30" s="907">
        <f>E30*F30*J30</f>
        <v>135935.70000000001</v>
      </c>
      <c r="O30" s="921">
        <f t="shared" si="0"/>
        <v>135935.70740399999</v>
      </c>
      <c r="P30" s="336" t="s">
        <v>633</v>
      </c>
      <c r="Q30" s="233" t="s">
        <v>634</v>
      </c>
      <c r="R30" s="300"/>
      <c r="S30" s="300"/>
      <c r="T30" s="300"/>
      <c r="U30" s="300"/>
      <c r="V30" s="300"/>
      <c r="W30" s="805"/>
    </row>
    <row r="31" spans="1:24" x14ac:dyDescent="0.2">
      <c r="A31" s="308" t="s">
        <v>90</v>
      </c>
      <c r="B31" s="277" t="s">
        <v>942</v>
      </c>
      <c r="C31" s="62" t="s">
        <v>17</v>
      </c>
      <c r="D31" s="62" t="s">
        <v>27</v>
      </c>
      <c r="E31" s="62">
        <v>2</v>
      </c>
      <c r="F31" s="57">
        <v>3</v>
      </c>
      <c r="G31" s="933">
        <f>VLOOKUP(C31,'MemCalculo (Salários)'!$A$13:$D$30,4,FALSE)</f>
        <v>10116.48</v>
      </c>
      <c r="H31" s="905">
        <f>ROUND(G31*$D$11,2)</f>
        <v>3034.94</v>
      </c>
      <c r="I31" s="905">
        <f t="shared" si="2"/>
        <v>9504.5300000000007</v>
      </c>
      <c r="J31" s="968">
        <f t="shared" si="3"/>
        <v>22655.95</v>
      </c>
      <c r="K31" s="933">
        <f t="shared" si="4"/>
        <v>60698.879999999997</v>
      </c>
      <c r="L31" s="905">
        <f t="shared" si="5"/>
        <v>18209.64</v>
      </c>
      <c r="M31" s="905">
        <f t="shared" si="6"/>
        <v>57027.187403999997</v>
      </c>
      <c r="N31" s="907">
        <f t="shared" si="7"/>
        <v>135935.70000000001</v>
      </c>
      <c r="O31" s="921">
        <f t="shared" si="0"/>
        <v>135935.70740399999</v>
      </c>
      <c r="P31" s="336" t="s">
        <v>633</v>
      </c>
      <c r="Q31" s="233" t="s">
        <v>634</v>
      </c>
      <c r="R31" s="300"/>
      <c r="S31" s="300"/>
      <c r="T31" s="300"/>
      <c r="U31" s="300"/>
      <c r="V31" s="300"/>
      <c r="W31" s="805"/>
    </row>
    <row r="32" spans="1:24" x14ac:dyDescent="0.2">
      <c r="A32" s="308" t="s">
        <v>91</v>
      </c>
      <c r="B32" s="277" t="s">
        <v>943</v>
      </c>
      <c r="C32" s="62" t="s">
        <v>17</v>
      </c>
      <c r="D32" s="62" t="s">
        <v>27</v>
      </c>
      <c r="E32" s="62">
        <v>2</v>
      </c>
      <c r="F32" s="57">
        <v>3</v>
      </c>
      <c r="G32" s="933">
        <f>VLOOKUP(C32,'MemCalculo (Salários)'!$A$13:$D$30,4,FALSE)</f>
        <v>10116.48</v>
      </c>
      <c r="H32" s="905">
        <f>ROUND(G32*$D$11,2)</f>
        <v>3034.94</v>
      </c>
      <c r="I32" s="905">
        <f t="shared" si="2"/>
        <v>9504.5300000000007</v>
      </c>
      <c r="J32" s="968">
        <f t="shared" si="3"/>
        <v>22655.95</v>
      </c>
      <c r="K32" s="933">
        <f t="shared" si="4"/>
        <v>60698.879999999997</v>
      </c>
      <c r="L32" s="905">
        <f t="shared" si="5"/>
        <v>18209.64</v>
      </c>
      <c r="M32" s="905">
        <f t="shared" si="6"/>
        <v>57027.187403999997</v>
      </c>
      <c r="N32" s="907">
        <f t="shared" si="7"/>
        <v>135935.70000000001</v>
      </c>
      <c r="O32" s="921">
        <f t="shared" si="0"/>
        <v>135935.70740399999</v>
      </c>
      <c r="P32" s="336" t="s">
        <v>633</v>
      </c>
      <c r="Q32" s="233" t="s">
        <v>634</v>
      </c>
      <c r="R32" s="300"/>
      <c r="S32" s="300"/>
      <c r="T32" s="300"/>
      <c r="U32" s="300"/>
      <c r="V32" s="300"/>
      <c r="W32" s="805"/>
    </row>
    <row r="33" spans="1:23" x14ac:dyDescent="0.2">
      <c r="A33" s="308" t="s">
        <v>231</v>
      </c>
      <c r="B33" s="186" t="s">
        <v>944</v>
      </c>
      <c r="C33" s="62" t="s">
        <v>36</v>
      </c>
      <c r="D33" s="62" t="s">
        <v>27</v>
      </c>
      <c r="E33" s="62">
        <v>4</v>
      </c>
      <c r="F33" s="57">
        <v>3</v>
      </c>
      <c r="G33" s="933">
        <f>VLOOKUP(C33,'MemCalculo (Salários)'!$A$13:$D$30,4,FALSE)</f>
        <v>7964</v>
      </c>
      <c r="H33" s="905">
        <f>ROUND(G33*$D$11,2)</f>
        <v>2389.1999999999998</v>
      </c>
      <c r="I33" s="905">
        <f t="shared" si="2"/>
        <v>7482.26</v>
      </c>
      <c r="J33" s="968">
        <f t="shared" ref="J33:J41" si="8">G33+H33+I33</f>
        <v>17835.46</v>
      </c>
      <c r="K33" s="933">
        <f t="shared" ref="K33:K41" si="9">E33*F33*G33</f>
        <v>95568</v>
      </c>
      <c r="L33" s="905">
        <f t="shared" si="5"/>
        <v>28670.399999999998</v>
      </c>
      <c r="M33" s="905">
        <f t="shared" si="6"/>
        <v>89787.091679999998</v>
      </c>
      <c r="N33" s="907">
        <f t="shared" ref="N33:N38" si="10">E33*F33*J33</f>
        <v>214025.52</v>
      </c>
      <c r="O33" s="921">
        <f t="shared" si="0"/>
        <v>214025.49167999998</v>
      </c>
      <c r="P33" s="336" t="s">
        <v>633</v>
      </c>
      <c r="Q33" s="233" t="s">
        <v>634</v>
      </c>
      <c r="R33" s="300"/>
      <c r="S33" s="300"/>
      <c r="T33" s="300"/>
      <c r="U33" s="300"/>
      <c r="V33" s="300"/>
      <c r="W33" s="805"/>
    </row>
    <row r="34" spans="1:23" x14ac:dyDescent="0.2">
      <c r="A34" s="308" t="s">
        <v>232</v>
      </c>
      <c r="B34" s="186" t="s">
        <v>10</v>
      </c>
      <c r="C34" s="62" t="s">
        <v>20</v>
      </c>
      <c r="D34" s="62" t="s">
        <v>27</v>
      </c>
      <c r="E34" s="62">
        <v>6</v>
      </c>
      <c r="F34" s="57">
        <v>3</v>
      </c>
      <c r="G34" s="933">
        <f>VLOOKUP(C34,'MemCalculo (Salários)'!$A$13:$D$30,4,FALSE)</f>
        <v>4928</v>
      </c>
      <c r="H34" s="905">
        <f>ROUND(G34*$D$11,2)</f>
        <v>1478.4</v>
      </c>
      <c r="I34" s="905">
        <f t="shared" si="2"/>
        <v>4629.91</v>
      </c>
      <c r="J34" s="968">
        <f t="shared" si="8"/>
        <v>11036.31</v>
      </c>
      <c r="K34" s="933">
        <f t="shared" si="9"/>
        <v>88704</v>
      </c>
      <c r="L34" s="905">
        <f t="shared" si="5"/>
        <v>26611.200000000001</v>
      </c>
      <c r="M34" s="905">
        <f t="shared" si="6"/>
        <v>83338.295039999997</v>
      </c>
      <c r="N34" s="907">
        <f t="shared" si="10"/>
        <v>198653.58</v>
      </c>
      <c r="O34" s="921">
        <f t="shared" si="0"/>
        <v>198653.49504000001</v>
      </c>
      <c r="P34" s="336" t="s">
        <v>633</v>
      </c>
      <c r="Q34" s="233" t="s">
        <v>635</v>
      </c>
      <c r="R34" s="300"/>
      <c r="S34" s="300"/>
      <c r="T34" s="300"/>
      <c r="U34" s="300"/>
      <c r="V34" s="300"/>
      <c r="W34" s="805"/>
    </row>
    <row r="35" spans="1:23" x14ac:dyDescent="0.2">
      <c r="A35" s="308" t="s">
        <v>233</v>
      </c>
      <c r="B35" s="186" t="s">
        <v>945</v>
      </c>
      <c r="C35" s="62" t="s">
        <v>15</v>
      </c>
      <c r="D35" s="62" t="s">
        <v>27</v>
      </c>
      <c r="E35" s="62">
        <v>1</v>
      </c>
      <c r="F35" s="57">
        <v>4</v>
      </c>
      <c r="G35" s="933">
        <f>VLOOKUP(C35,'MemCalculo (Salários)'!$A$13:$D$30,4,FALSE)</f>
        <v>13370.72</v>
      </c>
      <c r="H35" s="905">
        <v>0</v>
      </c>
      <c r="I35" s="905">
        <f t="shared" si="2"/>
        <v>9663.02</v>
      </c>
      <c r="J35" s="968">
        <f t="shared" si="8"/>
        <v>23033.739999999998</v>
      </c>
      <c r="K35" s="933">
        <f t="shared" si="9"/>
        <v>53482.879999999997</v>
      </c>
      <c r="L35" s="905">
        <f>E35*F35*H35</f>
        <v>0</v>
      </c>
      <c r="M35" s="905">
        <f t="shared" si="6"/>
        <v>38652.077376000001</v>
      </c>
      <c r="N35" s="907">
        <f t="shared" si="10"/>
        <v>92134.959999999992</v>
      </c>
      <c r="O35" s="921">
        <f t="shared" si="0"/>
        <v>92134.957376000006</v>
      </c>
      <c r="P35" s="336" t="s">
        <v>633</v>
      </c>
      <c r="Q35" s="233" t="s">
        <v>634</v>
      </c>
      <c r="R35" s="300"/>
      <c r="S35" s="300"/>
      <c r="T35" s="300"/>
      <c r="U35" s="300"/>
      <c r="V35" s="300"/>
      <c r="W35" s="805"/>
    </row>
    <row r="36" spans="1:23" ht="12.75" thickBot="1" x14ac:dyDescent="0.25">
      <c r="A36" s="309" t="s">
        <v>246</v>
      </c>
      <c r="B36" s="279" t="s">
        <v>562</v>
      </c>
      <c r="C36" s="188" t="s">
        <v>19</v>
      </c>
      <c r="D36" s="188" t="s">
        <v>27</v>
      </c>
      <c r="E36" s="188">
        <v>2</v>
      </c>
      <c r="F36" s="59">
        <v>18</v>
      </c>
      <c r="G36" s="949">
        <f>VLOOKUP(C36,'MemCalculo (Salários)'!$A$13:$D$30,4,FALSE)</f>
        <v>6406.4</v>
      </c>
      <c r="H36" s="915">
        <v>0</v>
      </c>
      <c r="I36" s="915">
        <f t="shared" si="2"/>
        <v>4629.91</v>
      </c>
      <c r="J36" s="969">
        <f t="shared" si="8"/>
        <v>11036.31</v>
      </c>
      <c r="K36" s="949">
        <f t="shared" si="9"/>
        <v>230630.39999999999</v>
      </c>
      <c r="L36" s="915">
        <f>E36*F36*H36</f>
        <v>0</v>
      </c>
      <c r="M36" s="915">
        <f t="shared" si="6"/>
        <v>166676.59007999999</v>
      </c>
      <c r="N36" s="950">
        <f t="shared" si="10"/>
        <v>397307.16</v>
      </c>
      <c r="O36" s="921">
        <f t="shared" si="0"/>
        <v>397306.99008000002</v>
      </c>
      <c r="P36" s="336" t="s">
        <v>633</v>
      </c>
      <c r="Q36" s="233" t="s">
        <v>635</v>
      </c>
      <c r="R36" s="300"/>
    </row>
    <row r="37" spans="1:23" x14ac:dyDescent="0.2">
      <c r="A37" s="278" t="s">
        <v>247</v>
      </c>
      <c r="B37" s="816" t="s">
        <v>625</v>
      </c>
      <c r="C37" s="276" t="s">
        <v>15</v>
      </c>
      <c r="D37" s="276" t="s">
        <v>27</v>
      </c>
      <c r="E37" s="276">
        <v>1</v>
      </c>
      <c r="F37" s="598">
        <v>18</v>
      </c>
      <c r="G37" s="970">
        <f>VLOOKUP(C37,'MemCalculo (Salários)'!$A$13:$D$30,4,FALSE)</f>
        <v>13370.72</v>
      </c>
      <c r="H37" s="910">
        <v>0</v>
      </c>
      <c r="I37" s="910">
        <f t="shared" si="2"/>
        <v>9663.02</v>
      </c>
      <c r="J37" s="971">
        <f t="shared" si="8"/>
        <v>23033.739999999998</v>
      </c>
      <c r="K37" s="958">
        <f t="shared" si="9"/>
        <v>240672.96</v>
      </c>
      <c r="L37" s="910">
        <f t="shared" ref="L37:L42" si="11">E37*F37*H37</f>
        <v>0</v>
      </c>
      <c r="M37" s="910">
        <f t="shared" si="6"/>
        <v>173934.348192</v>
      </c>
      <c r="N37" s="959">
        <f t="shared" si="10"/>
        <v>414607.31999999995</v>
      </c>
      <c r="O37" s="921">
        <f t="shared" si="0"/>
        <v>414607.30819200003</v>
      </c>
      <c r="P37" s="336" t="s">
        <v>633</v>
      </c>
      <c r="Q37" s="233" t="s">
        <v>634</v>
      </c>
      <c r="R37" s="300"/>
    </row>
    <row r="38" spans="1:23" x14ac:dyDescent="0.2">
      <c r="A38" s="308" t="s">
        <v>248</v>
      </c>
      <c r="B38" s="186" t="s">
        <v>626</v>
      </c>
      <c r="C38" s="62" t="s">
        <v>20</v>
      </c>
      <c r="D38" s="62" t="s">
        <v>27</v>
      </c>
      <c r="E38" s="62">
        <v>2</v>
      </c>
      <c r="F38" s="232">
        <v>18</v>
      </c>
      <c r="G38" s="906">
        <f>VLOOKUP(C38,'MemCalculo (Salários)'!$A$13:$D$30,4,FALSE)</f>
        <v>4928</v>
      </c>
      <c r="H38" s="905">
        <v>0</v>
      </c>
      <c r="I38" s="905">
        <f t="shared" si="2"/>
        <v>3561.47</v>
      </c>
      <c r="J38" s="968">
        <f t="shared" si="8"/>
        <v>8489.4699999999993</v>
      </c>
      <c r="K38" s="933">
        <f t="shared" si="9"/>
        <v>177408</v>
      </c>
      <c r="L38" s="905">
        <f t="shared" si="11"/>
        <v>0</v>
      </c>
      <c r="M38" s="905">
        <f t="shared" si="6"/>
        <v>128212.7616</v>
      </c>
      <c r="N38" s="907">
        <f t="shared" si="10"/>
        <v>305620.92</v>
      </c>
      <c r="O38" s="921">
        <f t="shared" si="0"/>
        <v>305620.76159999997</v>
      </c>
      <c r="P38" s="336" t="s">
        <v>633</v>
      </c>
      <c r="Q38" s="233" t="s">
        <v>635</v>
      </c>
      <c r="R38" s="300"/>
    </row>
    <row r="39" spans="1:23" ht="36" x14ac:dyDescent="0.2">
      <c r="A39" s="308" t="s">
        <v>249</v>
      </c>
      <c r="B39" s="186" t="s">
        <v>535</v>
      </c>
      <c r="C39" s="62" t="s">
        <v>227</v>
      </c>
      <c r="D39" s="62" t="s">
        <v>27</v>
      </c>
      <c r="E39" s="185">
        <v>2</v>
      </c>
      <c r="F39" s="233">
        <v>15</v>
      </c>
      <c r="G39" s="906">
        <f>VLOOKUP(C39,'MemCalculo (Salários)'!$A$13:$D$30,4,FALSE)</f>
        <v>8349.4399999999987</v>
      </c>
      <c r="H39" s="905">
        <v>0</v>
      </c>
      <c r="I39" s="905">
        <f t="shared" si="2"/>
        <v>6034.14</v>
      </c>
      <c r="J39" s="968">
        <f t="shared" si="8"/>
        <v>14383.579999999998</v>
      </c>
      <c r="K39" s="933">
        <f t="shared" si="9"/>
        <v>250483.19999999995</v>
      </c>
      <c r="L39" s="905">
        <f t="shared" si="11"/>
        <v>0</v>
      </c>
      <c r="M39" s="905">
        <f t="shared" si="6"/>
        <v>181024.20863999997</v>
      </c>
      <c r="N39" s="907">
        <f>E39*F39*J39</f>
        <v>431507.39999999997</v>
      </c>
      <c r="O39" s="921">
        <f t="shared" si="0"/>
        <v>431507.40863999992</v>
      </c>
      <c r="P39" s="336" t="s">
        <v>633</v>
      </c>
      <c r="Q39" s="233" t="s">
        <v>634</v>
      </c>
      <c r="R39" s="300"/>
    </row>
    <row r="40" spans="1:23" s="877" customFormat="1" x14ac:dyDescent="0.2">
      <c r="A40" s="1014" t="s">
        <v>250</v>
      </c>
      <c r="B40" s="928" t="s">
        <v>238</v>
      </c>
      <c r="C40" s="929" t="s">
        <v>15</v>
      </c>
      <c r="D40" s="929" t="s">
        <v>27</v>
      </c>
      <c r="E40" s="929">
        <v>1</v>
      </c>
      <c r="F40" s="974">
        <v>18</v>
      </c>
      <c r="G40" s="906">
        <f>VLOOKUP(C40,'MemCalculo (Salários)'!$A$13:$D$30,4,FALSE)</f>
        <v>13370.72</v>
      </c>
      <c r="H40" s="905">
        <f>ROUND(G40*$D$11,2)</f>
        <v>4011.22</v>
      </c>
      <c r="I40" s="905">
        <f t="shared" si="2"/>
        <v>12561.93</v>
      </c>
      <c r="J40" s="968">
        <f>G40+H40+I40</f>
        <v>29943.87</v>
      </c>
      <c r="K40" s="933">
        <f>E40*F40*G40</f>
        <v>240672.96</v>
      </c>
      <c r="L40" s="905">
        <f>(E40*(F40*50%)*H40)</f>
        <v>36100.979999999996</v>
      </c>
      <c r="M40" s="905">
        <f>(K40+L40)*$I$11</f>
        <v>200024.526438</v>
      </c>
      <c r="N40" s="907">
        <f>K40+L40+M40</f>
        <v>476798.46643799997</v>
      </c>
      <c r="O40" s="921">
        <f>K40+L40+M40</f>
        <v>476798.46643799997</v>
      </c>
      <c r="P40" s="873" t="s">
        <v>633</v>
      </c>
      <c r="Q40" s="874" t="s">
        <v>634</v>
      </c>
      <c r="R40" s="766"/>
      <c r="S40" s="875"/>
      <c r="T40" s="875"/>
      <c r="U40" s="875"/>
      <c r="V40" s="875"/>
      <c r="W40" s="876"/>
    </row>
    <row r="41" spans="1:23" s="877" customFormat="1" x14ac:dyDescent="0.2">
      <c r="A41" s="1014" t="s">
        <v>251</v>
      </c>
      <c r="B41" s="928" t="s">
        <v>627</v>
      </c>
      <c r="C41" s="929" t="s">
        <v>15</v>
      </c>
      <c r="D41" s="929" t="s">
        <v>27</v>
      </c>
      <c r="E41" s="929">
        <v>1</v>
      </c>
      <c r="F41" s="974">
        <v>18</v>
      </c>
      <c r="G41" s="906">
        <f>VLOOKUP(C41,'MemCalculo (Salários)'!$A$13:$D$30,4,FALSE)</f>
        <v>13370.72</v>
      </c>
      <c r="H41" s="905">
        <f>ROUND(G41*$D$11,2)</f>
        <v>4011.22</v>
      </c>
      <c r="I41" s="905">
        <f t="shared" si="2"/>
        <v>12561.93</v>
      </c>
      <c r="J41" s="968">
        <f t="shared" si="8"/>
        <v>29943.87</v>
      </c>
      <c r="K41" s="933">
        <f t="shared" si="9"/>
        <v>240672.96</v>
      </c>
      <c r="L41" s="905">
        <f>(E41*(F41*50%)*H41)</f>
        <v>36100.979999999996</v>
      </c>
      <c r="M41" s="905">
        <f t="shared" si="6"/>
        <v>200024.526438</v>
      </c>
      <c r="N41" s="907">
        <f>K41+L41+M41</f>
        <v>476798.46643799997</v>
      </c>
      <c r="O41" s="921">
        <f>K41+L41+M41</f>
        <v>476798.46643799997</v>
      </c>
      <c r="P41" s="873" t="s">
        <v>633</v>
      </c>
      <c r="Q41" s="874" t="s">
        <v>634</v>
      </c>
      <c r="R41" s="766"/>
      <c r="S41" s="875"/>
      <c r="T41" s="875"/>
      <c r="U41" s="875"/>
      <c r="V41" s="875"/>
      <c r="W41" s="876"/>
    </row>
    <row r="42" spans="1:23" x14ac:dyDescent="0.2">
      <c r="A42" s="308" t="s">
        <v>252</v>
      </c>
      <c r="B42" s="294" t="s">
        <v>279</v>
      </c>
      <c r="C42" s="62" t="s">
        <v>17</v>
      </c>
      <c r="D42" s="62" t="s">
        <v>27</v>
      </c>
      <c r="E42" s="62">
        <v>1</v>
      </c>
      <c r="F42" s="232">
        <v>18</v>
      </c>
      <c r="G42" s="906">
        <f>VLOOKUP(C42,'MemCalculo (Salários)'!$A$13:$D$30,4,FALSE)</f>
        <v>10116.48</v>
      </c>
      <c r="H42" s="905">
        <v>0</v>
      </c>
      <c r="I42" s="905">
        <f t="shared" si="2"/>
        <v>7311.18</v>
      </c>
      <c r="J42" s="968">
        <f>G42+H42+I42</f>
        <v>17427.66</v>
      </c>
      <c r="K42" s="933">
        <f>E42*F42*G42</f>
        <v>182096.63999999998</v>
      </c>
      <c r="L42" s="905">
        <f t="shared" si="11"/>
        <v>0</v>
      </c>
      <c r="M42" s="905">
        <f t="shared" si="6"/>
        <v>131601.24172799999</v>
      </c>
      <c r="N42" s="907">
        <f>E42*F42*J42</f>
        <v>313697.88</v>
      </c>
      <c r="O42" s="921">
        <f t="shared" ref="O42:O44" si="12">K42+L42+M42</f>
        <v>313697.88172800001</v>
      </c>
      <c r="P42" s="336" t="s">
        <v>633</v>
      </c>
      <c r="Q42" s="233" t="s">
        <v>634</v>
      </c>
      <c r="R42" s="300"/>
    </row>
    <row r="43" spans="1:23" x14ac:dyDescent="0.2">
      <c r="A43" s="308" t="s">
        <v>253</v>
      </c>
      <c r="B43" s="186" t="s">
        <v>21</v>
      </c>
      <c r="C43" s="62" t="s">
        <v>22</v>
      </c>
      <c r="D43" s="62" t="s">
        <v>27</v>
      </c>
      <c r="E43" s="62">
        <v>2</v>
      </c>
      <c r="F43" s="233">
        <v>18</v>
      </c>
      <c r="G43" s="906">
        <f>VLOOKUP(C43,'MemCalculo (Salários)'!$A$13:$D$30,4,FALSE)</f>
        <v>7596.16</v>
      </c>
      <c r="H43" s="905">
        <v>0</v>
      </c>
      <c r="I43" s="905">
        <f t="shared" si="2"/>
        <v>5489.74</v>
      </c>
      <c r="J43" s="968">
        <f>G43+H43+I43</f>
        <v>13085.9</v>
      </c>
      <c r="K43" s="933">
        <f>E43*F43*G43</f>
        <v>273461.76000000001</v>
      </c>
      <c r="L43" s="905">
        <f>E43*F43*H43</f>
        <v>0</v>
      </c>
      <c r="M43" s="905">
        <f t="shared" si="6"/>
        <v>197630.813952</v>
      </c>
      <c r="N43" s="907">
        <f>E43*F43*J43</f>
        <v>471092.39999999997</v>
      </c>
      <c r="O43" s="921">
        <f t="shared" si="12"/>
        <v>471092.57395200001</v>
      </c>
      <c r="P43" s="336" t="s">
        <v>633</v>
      </c>
      <c r="Q43" s="233" t="s">
        <v>635</v>
      </c>
      <c r="R43" s="300"/>
    </row>
    <row r="44" spans="1:23" ht="12.75" thickBot="1" x14ac:dyDescent="0.25">
      <c r="A44" s="309" t="s">
        <v>254</v>
      </c>
      <c r="B44" s="817" t="s">
        <v>23</v>
      </c>
      <c r="C44" s="188" t="s">
        <v>24</v>
      </c>
      <c r="D44" s="188" t="s">
        <v>27</v>
      </c>
      <c r="E44" s="188">
        <v>4</v>
      </c>
      <c r="F44" s="338">
        <v>18</v>
      </c>
      <c r="G44" s="906">
        <f>VLOOKUP(C44,'MemCalculo (Salários)'!$A$13:$D$30,4,FALSE)</f>
        <v>2200</v>
      </c>
      <c r="H44" s="905">
        <v>0</v>
      </c>
      <c r="I44" s="905">
        <f t="shared" si="2"/>
        <v>1589.94</v>
      </c>
      <c r="J44" s="968">
        <f>G44+H44+I44</f>
        <v>3789.94</v>
      </c>
      <c r="K44" s="949">
        <f>E44*F44*G44</f>
        <v>158400</v>
      </c>
      <c r="L44" s="915">
        <f>E44*F44*H44</f>
        <v>0</v>
      </c>
      <c r="M44" s="905">
        <f t="shared" si="6"/>
        <v>114475.68000000001</v>
      </c>
      <c r="N44" s="950">
        <f>E44*F44*J44</f>
        <v>272875.68</v>
      </c>
      <c r="O44" s="921">
        <f t="shared" si="12"/>
        <v>272875.68</v>
      </c>
      <c r="P44" s="337" t="s">
        <v>633</v>
      </c>
      <c r="Q44" s="338" t="s">
        <v>635</v>
      </c>
      <c r="R44" s="300"/>
    </row>
    <row r="45" spans="1:23" ht="12.75" thickBot="1" x14ac:dyDescent="0.25">
      <c r="A45" s="1226" t="s">
        <v>508</v>
      </c>
      <c r="B45" s="1282"/>
      <c r="C45" s="1282"/>
      <c r="D45" s="1282"/>
      <c r="E45" s="1282"/>
      <c r="F45" s="1282"/>
      <c r="G45" s="1205"/>
      <c r="H45" s="1205"/>
      <c r="I45" s="1205"/>
      <c r="J45" s="1206"/>
      <c r="K45" s="387">
        <f>K17+(SUM(K19:K44))</f>
        <v>11439053.120000005</v>
      </c>
      <c r="L45" s="387">
        <f>L17+(SUM(L19:L44))</f>
        <v>2734593.12</v>
      </c>
      <c r="M45" s="387">
        <f>M17+(SUM(M19:M44))</f>
        <v>10243294.141568001</v>
      </c>
      <c r="N45" s="387">
        <f>N17+(SUM(N19:N44))</f>
        <v>24333076.072875995</v>
      </c>
      <c r="O45" s="795"/>
      <c r="P45" s="291"/>
      <c r="Q45" s="291"/>
      <c r="R45" s="300"/>
    </row>
    <row r="46" spans="1:23" ht="12.75" thickBot="1" x14ac:dyDescent="0.25">
      <c r="A46" s="1226" t="s">
        <v>509</v>
      </c>
      <c r="B46" s="1205"/>
      <c r="C46" s="1205"/>
      <c r="D46" s="1205"/>
      <c r="E46" s="1205"/>
      <c r="F46" s="1205"/>
      <c r="G46" s="1205"/>
      <c r="H46" s="1205"/>
      <c r="I46" s="1205"/>
      <c r="J46" s="1206"/>
      <c r="K46" s="387">
        <f>SUM(K18:K18)</f>
        <v>129254.40000000001</v>
      </c>
      <c r="L46" s="387">
        <f>SUM(L18:L18)</f>
        <v>0</v>
      </c>
      <c r="M46" s="387">
        <f>SUM(M18:M18)</f>
        <v>25850.879999999997</v>
      </c>
      <c r="N46" s="387">
        <f>SUM(N18:N18)</f>
        <v>155105.28</v>
      </c>
      <c r="O46" s="795"/>
      <c r="P46" s="291"/>
      <c r="Q46" s="291"/>
      <c r="R46" s="300"/>
    </row>
    <row r="47" spans="1:23" ht="12.75" thickBot="1" x14ac:dyDescent="0.25">
      <c r="A47" s="1281" t="s">
        <v>256</v>
      </c>
      <c r="B47" s="1234"/>
      <c r="C47" s="1234"/>
      <c r="D47" s="1234"/>
      <c r="E47" s="1234"/>
      <c r="F47" s="1234"/>
      <c r="G47" s="1234"/>
      <c r="H47" s="1234"/>
      <c r="I47" s="1234"/>
      <c r="J47" s="1280"/>
      <c r="K47" s="388">
        <f>SUM(K45:K46)</f>
        <v>11568307.520000005</v>
      </c>
      <c r="L47" s="386">
        <f>SUM(L45:L46)</f>
        <v>2734593.12</v>
      </c>
      <c r="M47" s="386">
        <f>SUM(M45:M46)</f>
        <v>10269145.021568002</v>
      </c>
      <c r="N47" s="386">
        <f>SUM(N45:N46)</f>
        <v>24488181.352875996</v>
      </c>
      <c r="O47" s="795"/>
      <c r="P47" s="290"/>
      <c r="Q47" s="290"/>
      <c r="R47" s="290"/>
    </row>
    <row r="48" spans="1:23" ht="12.75" thickBot="1" x14ac:dyDescent="0.25">
      <c r="A48" s="288"/>
      <c r="B48" s="289"/>
      <c r="C48" s="290"/>
      <c r="D48" s="288"/>
      <c r="E48" s="288"/>
      <c r="F48" s="288"/>
      <c r="G48" s="290"/>
      <c r="H48" s="290"/>
      <c r="I48" s="290"/>
      <c r="J48" s="290"/>
      <c r="K48" s="290"/>
      <c r="L48" s="290"/>
      <c r="M48" s="290"/>
      <c r="N48" s="290"/>
      <c r="O48" s="795"/>
      <c r="P48" s="290"/>
      <c r="Q48" s="290"/>
      <c r="R48" s="290"/>
    </row>
    <row r="49" spans="1:22" ht="12.75" thickBot="1" x14ac:dyDescent="0.25">
      <c r="A49" s="1200" t="s">
        <v>0</v>
      </c>
      <c r="B49" s="1200" t="s">
        <v>1</v>
      </c>
      <c r="C49" s="1195" t="s">
        <v>297</v>
      </c>
      <c r="D49" s="1200" t="s">
        <v>2</v>
      </c>
      <c r="E49" s="1195" t="s">
        <v>3</v>
      </c>
      <c r="F49" s="1200" t="s">
        <v>242</v>
      </c>
      <c r="G49" s="1211" t="s">
        <v>25</v>
      </c>
      <c r="H49" s="1212"/>
      <c r="I49" s="1212"/>
      <c r="J49" s="1213"/>
      <c r="K49" s="1211" t="s">
        <v>783</v>
      </c>
      <c r="L49" s="1212"/>
      <c r="M49" s="1212"/>
      <c r="N49" s="1213"/>
      <c r="O49" s="795"/>
      <c r="P49" s="1207" t="s">
        <v>631</v>
      </c>
      <c r="Q49" s="1216" t="s">
        <v>632</v>
      </c>
      <c r="R49" s="331"/>
    </row>
    <row r="50" spans="1:22" x14ac:dyDescent="0.2">
      <c r="A50" s="1210"/>
      <c r="B50" s="1210"/>
      <c r="C50" s="1196"/>
      <c r="D50" s="1210"/>
      <c r="E50" s="1196"/>
      <c r="F50" s="1210"/>
      <c r="G50" s="1198" t="s">
        <v>296</v>
      </c>
      <c r="H50" s="1200" t="s">
        <v>779</v>
      </c>
      <c r="I50" s="1200" t="s">
        <v>26</v>
      </c>
      <c r="J50" s="1200" t="s">
        <v>293</v>
      </c>
      <c r="K50" s="1198" t="s">
        <v>296</v>
      </c>
      <c r="L50" s="1200" t="s">
        <v>779</v>
      </c>
      <c r="M50" s="1200" t="s">
        <v>26</v>
      </c>
      <c r="N50" s="1200" t="s">
        <v>293</v>
      </c>
      <c r="O50" s="795"/>
      <c r="P50" s="1208"/>
      <c r="Q50" s="1217"/>
      <c r="R50" s="331"/>
    </row>
    <row r="51" spans="1:22" ht="12.75" thickBot="1" x14ac:dyDescent="0.25">
      <c r="A51" s="1201"/>
      <c r="B51" s="1201"/>
      <c r="C51" s="1197"/>
      <c r="D51" s="1201"/>
      <c r="E51" s="1197"/>
      <c r="F51" s="1201"/>
      <c r="G51" s="1199"/>
      <c r="H51" s="1201"/>
      <c r="I51" s="1201"/>
      <c r="J51" s="1201"/>
      <c r="K51" s="1199"/>
      <c r="L51" s="1201"/>
      <c r="M51" s="1201"/>
      <c r="N51" s="1201"/>
      <c r="O51" s="795"/>
      <c r="P51" s="1209"/>
      <c r="Q51" s="1218"/>
      <c r="R51" s="331"/>
    </row>
    <row r="52" spans="1:22" ht="12.75" thickBot="1" x14ac:dyDescent="0.25">
      <c r="A52" s="328">
        <v>2</v>
      </c>
      <c r="B52" s="1202" t="s">
        <v>44</v>
      </c>
      <c r="C52" s="1203"/>
      <c r="D52" s="1203"/>
      <c r="E52" s="1203"/>
      <c r="F52" s="1203"/>
      <c r="G52" s="1203"/>
      <c r="H52" s="1203"/>
      <c r="I52" s="1203"/>
      <c r="J52" s="1203"/>
      <c r="K52" s="1203"/>
      <c r="L52" s="1203"/>
      <c r="M52" s="1203"/>
      <c r="N52" s="1214"/>
      <c r="O52" s="795"/>
      <c r="P52" s="290"/>
      <c r="Q52" s="290"/>
      <c r="R52" s="290"/>
    </row>
    <row r="53" spans="1:22" ht="36" x14ac:dyDescent="0.2">
      <c r="A53" s="803" t="s">
        <v>81</v>
      </c>
      <c r="B53" s="75" t="s">
        <v>537</v>
      </c>
      <c r="C53" s="276" t="s">
        <v>14</v>
      </c>
      <c r="D53" s="276" t="s">
        <v>27</v>
      </c>
      <c r="E53" s="276">
        <v>1</v>
      </c>
      <c r="F53" s="598">
        <v>1</v>
      </c>
      <c r="G53" s="932">
        <f>VLOOKUP(C53,'MemCalculo (Salários)'!$A$38:$D$55,4,FALSE)</f>
        <v>17776</v>
      </c>
      <c r="H53" s="910">
        <v>0</v>
      </c>
      <c r="I53" s="908">
        <f>ROUND((G53+H53)*$H$11,2)</f>
        <v>12926.71</v>
      </c>
      <c r="J53" s="917">
        <f>G53+H53+I53</f>
        <v>30702.71</v>
      </c>
      <c r="K53" s="958">
        <f>E53*F53*G53</f>
        <v>17776</v>
      </c>
      <c r="L53" s="910">
        <f t="shared" ref="L53:L58" si="13">E53*F53*H53</f>
        <v>0</v>
      </c>
      <c r="M53" s="908">
        <f>(K53+L53)*$H$11</f>
        <v>12926.707199999999</v>
      </c>
      <c r="N53" s="959">
        <f>E53*F53*J53</f>
        <v>30702.71</v>
      </c>
      <c r="O53" s="589"/>
      <c r="P53" s="794" t="s">
        <v>636</v>
      </c>
      <c r="Q53" s="334" t="s">
        <v>634</v>
      </c>
      <c r="R53" s="290"/>
      <c r="S53" s="802" t="s">
        <v>640</v>
      </c>
      <c r="T53" s="802" t="s">
        <v>637</v>
      </c>
      <c r="U53" s="802" t="s">
        <v>638</v>
      </c>
      <c r="V53" s="802" t="s">
        <v>639</v>
      </c>
    </row>
    <row r="54" spans="1:22" ht="24" x14ac:dyDescent="0.2">
      <c r="A54" s="282" t="s">
        <v>82</v>
      </c>
      <c r="B54" s="55" t="s">
        <v>536</v>
      </c>
      <c r="C54" s="62" t="s">
        <v>227</v>
      </c>
      <c r="D54" s="62" t="s">
        <v>27</v>
      </c>
      <c r="E54" s="62">
        <v>2</v>
      </c>
      <c r="F54" s="232">
        <v>15</v>
      </c>
      <c r="G54" s="932">
        <f>VLOOKUP(C54,'MemCalculo (Salários)'!$A$38:$D$55,4,FALSE)</f>
        <v>8719.0399999999991</v>
      </c>
      <c r="H54" s="910">
        <v>0</v>
      </c>
      <c r="I54" s="908">
        <f>ROUND((G54+H54)*$H$11,2)</f>
        <v>6340.49</v>
      </c>
      <c r="J54" s="917">
        <f>G54+H54+I54</f>
        <v>15059.529999999999</v>
      </c>
      <c r="K54" s="933">
        <f>E54*F54*G54</f>
        <v>261571.19999999998</v>
      </c>
      <c r="L54" s="905">
        <f t="shared" si="13"/>
        <v>0</v>
      </c>
      <c r="M54" s="908">
        <f>(K54+L54)*$H$11</f>
        <v>190214.57663999998</v>
      </c>
      <c r="N54" s="907">
        <f>E54*F54*J54</f>
        <v>451785.89999999997</v>
      </c>
      <c r="O54" s="589"/>
      <c r="P54" s="336" t="s">
        <v>636</v>
      </c>
      <c r="Q54" s="233" t="s">
        <v>634</v>
      </c>
      <c r="R54" s="290"/>
      <c r="S54" s="185" t="s">
        <v>633</v>
      </c>
      <c r="T54" s="185">
        <f>SUMIF($P$53:$P$58,S54,$E$53:$E$58)</f>
        <v>0</v>
      </c>
      <c r="U54" s="185">
        <f>SUMIFS($E$53:$E$58,$Q$53:$Q$58,U53,P53:P58,S54)</f>
        <v>0</v>
      </c>
      <c r="V54" s="185">
        <f>SUMIFS($E$53:$E$58,$Q$53:$Q$58,V53,P53:P58,S54)</f>
        <v>0</v>
      </c>
    </row>
    <row r="55" spans="1:22" ht="24" x14ac:dyDescent="0.2">
      <c r="A55" s="726" t="s">
        <v>286</v>
      </c>
      <c r="B55" s="727" t="s">
        <v>964</v>
      </c>
      <c r="C55" s="590" t="s">
        <v>15</v>
      </c>
      <c r="D55" s="590" t="s">
        <v>235</v>
      </c>
      <c r="E55" s="590">
        <f>6*52</f>
        <v>312</v>
      </c>
      <c r="F55" s="728">
        <v>7</v>
      </c>
      <c r="G55" s="960">
        <f>VLOOKUP(C55,'MemCalculo (Salários)'!$A$38:$D$55,3,FALSE)</f>
        <v>78.040000000000006</v>
      </c>
      <c r="H55" s="961">
        <v>0</v>
      </c>
      <c r="I55" s="912">
        <f>(G55+H55)*$F$11</f>
        <v>88.832932000000014</v>
      </c>
      <c r="J55" s="962">
        <f t="shared" ref="J55:J58" si="14">G55+H55+I55</f>
        <v>166.87293200000002</v>
      </c>
      <c r="K55" s="963">
        <f t="shared" ref="K55:K58" si="15">E55*F55*G55</f>
        <v>170439.36000000002</v>
      </c>
      <c r="L55" s="911">
        <f t="shared" si="13"/>
        <v>0</v>
      </c>
      <c r="M55" s="912">
        <f>(K55+L55)*$F$11</f>
        <v>194011.12348800004</v>
      </c>
      <c r="N55" s="964">
        <f t="shared" ref="N55:N58" si="16">E55*F55*J55</f>
        <v>364450.48348800006</v>
      </c>
      <c r="O55" s="589"/>
      <c r="P55" s="336" t="s">
        <v>641</v>
      </c>
      <c r="Q55" s="233" t="s">
        <v>641</v>
      </c>
      <c r="R55" s="290"/>
      <c r="S55" s="185" t="s">
        <v>636</v>
      </c>
      <c r="T55" s="185">
        <f>SUMIF($P$53:$P$58,S55,$E$53:$E$58)</f>
        <v>4</v>
      </c>
      <c r="U55" s="185">
        <f>SUMIFS($E$53:$E$58,$Q$53:$Q$58,U53,P53:P58,S55)</f>
        <v>4</v>
      </c>
      <c r="V55" s="185">
        <f>SUMIFS($E$53:$E$58,$Q$53:$Q$58,V53,P53:P58,S55)</f>
        <v>0</v>
      </c>
    </row>
    <row r="56" spans="1:22" ht="24" x14ac:dyDescent="0.2">
      <c r="A56" s="726" t="s">
        <v>287</v>
      </c>
      <c r="B56" s="727" t="s">
        <v>965</v>
      </c>
      <c r="C56" s="590" t="s">
        <v>15</v>
      </c>
      <c r="D56" s="590" t="s">
        <v>235</v>
      </c>
      <c r="E56" s="590">
        <f>6*74</f>
        <v>444</v>
      </c>
      <c r="F56" s="728">
        <v>10</v>
      </c>
      <c r="G56" s="960">
        <f>VLOOKUP(C56,'MemCalculo (Salários)'!$A$38:$D$55,3,FALSE)</f>
        <v>78.040000000000006</v>
      </c>
      <c r="H56" s="961">
        <v>0</v>
      </c>
      <c r="I56" s="912">
        <f>(G56+H56)*$F$11</f>
        <v>88.832932000000014</v>
      </c>
      <c r="J56" s="962">
        <f t="shared" si="14"/>
        <v>166.87293200000002</v>
      </c>
      <c r="K56" s="963">
        <f t="shared" si="15"/>
        <v>346497.60000000003</v>
      </c>
      <c r="L56" s="911">
        <f t="shared" si="13"/>
        <v>0</v>
      </c>
      <c r="M56" s="912">
        <f>(K56+L56)*$F$11</f>
        <v>394418.21808000008</v>
      </c>
      <c r="N56" s="964">
        <f t="shared" si="16"/>
        <v>740915.81808000011</v>
      </c>
      <c r="O56" s="589"/>
      <c r="P56" s="336" t="s">
        <v>641</v>
      </c>
      <c r="Q56" s="233" t="s">
        <v>641</v>
      </c>
      <c r="R56" s="290"/>
    </row>
    <row r="57" spans="1:22" ht="24" x14ac:dyDescent="0.2">
      <c r="A57" s="282" t="s">
        <v>288</v>
      </c>
      <c r="B57" s="283" t="s">
        <v>538</v>
      </c>
      <c r="C57" s="62" t="s">
        <v>14</v>
      </c>
      <c r="D57" s="62" t="s">
        <v>27</v>
      </c>
      <c r="E57" s="62">
        <v>1</v>
      </c>
      <c r="F57" s="284">
        <v>7</v>
      </c>
      <c r="G57" s="932">
        <f>VLOOKUP(C57,'MemCalculo (Salários)'!$A$38:$D$55,4,FALSE)</f>
        <v>17776</v>
      </c>
      <c r="H57" s="910">
        <v>0</v>
      </c>
      <c r="I57" s="908">
        <f>ROUND((G57+H57)*$H$11,2)</f>
        <v>12926.71</v>
      </c>
      <c r="J57" s="917">
        <f>G57+H57+I57</f>
        <v>30702.71</v>
      </c>
      <c r="K57" s="933">
        <f>E57*F57*G57</f>
        <v>124432</v>
      </c>
      <c r="L57" s="905">
        <f t="shared" si="13"/>
        <v>0</v>
      </c>
      <c r="M57" s="908">
        <f>(K57+L57)*$H$11</f>
        <v>90486.950400000002</v>
      </c>
      <c r="N57" s="907">
        <f>E57*F57*J57</f>
        <v>214918.97</v>
      </c>
      <c r="O57" s="589"/>
      <c r="P57" s="336" t="s">
        <v>636</v>
      </c>
      <c r="Q57" s="233" t="s">
        <v>634</v>
      </c>
      <c r="R57" s="290"/>
    </row>
    <row r="58" spans="1:22" ht="24.75" thickBot="1" x14ac:dyDescent="0.25">
      <c r="A58" s="729" t="s">
        <v>289</v>
      </c>
      <c r="B58" s="730" t="s">
        <v>966</v>
      </c>
      <c r="C58" s="731" t="s">
        <v>15</v>
      </c>
      <c r="D58" s="731" t="s">
        <v>235</v>
      </c>
      <c r="E58" s="731">
        <f>3*74</f>
        <v>222</v>
      </c>
      <c r="F58" s="732">
        <v>7</v>
      </c>
      <c r="G58" s="960">
        <f>VLOOKUP(C58,'MemCalculo (Salários)'!$A$38:$D$55,3,FALSE)</f>
        <v>78.040000000000006</v>
      </c>
      <c r="H58" s="961">
        <v>0</v>
      </c>
      <c r="I58" s="912">
        <f>(G58+H58)*$F$11</f>
        <v>88.832932000000014</v>
      </c>
      <c r="J58" s="962">
        <f t="shared" si="14"/>
        <v>166.87293200000002</v>
      </c>
      <c r="K58" s="965">
        <f t="shared" si="15"/>
        <v>121274.16</v>
      </c>
      <c r="L58" s="913">
        <f t="shared" si="13"/>
        <v>0</v>
      </c>
      <c r="M58" s="912">
        <f>(K58+L58)*$F$11</f>
        <v>138046.37632800001</v>
      </c>
      <c r="N58" s="966">
        <f t="shared" si="16"/>
        <v>259320.53632800005</v>
      </c>
      <c r="O58" s="589"/>
      <c r="P58" s="337" t="s">
        <v>641</v>
      </c>
      <c r="Q58" s="338" t="s">
        <v>641</v>
      </c>
      <c r="R58" s="290"/>
    </row>
    <row r="59" spans="1:22" ht="12.75" thickBot="1" x14ac:dyDescent="0.25">
      <c r="A59" s="1204" t="s">
        <v>695</v>
      </c>
      <c r="B59" s="1205"/>
      <c r="C59" s="1205"/>
      <c r="D59" s="1205"/>
      <c r="E59" s="1205"/>
      <c r="F59" s="1205"/>
      <c r="G59" s="1205"/>
      <c r="H59" s="1205"/>
      <c r="I59" s="1205"/>
      <c r="J59" s="1206"/>
      <c r="K59" s="387">
        <f>K53+K54+K57</f>
        <v>403779.19999999995</v>
      </c>
      <c r="L59" s="390">
        <f>L53+L54+L57</f>
        <v>0</v>
      </c>
      <c r="M59" s="387">
        <f>M53+M54+M57</f>
        <v>293628.23424000002</v>
      </c>
      <c r="N59" s="387">
        <f>N53+N54+N57</f>
        <v>697407.58</v>
      </c>
      <c r="O59" s="795"/>
      <c r="P59" s="290"/>
      <c r="Q59" s="290"/>
      <c r="R59" s="290"/>
    </row>
    <row r="60" spans="1:22" ht="12.75" thickBot="1" x14ac:dyDescent="0.25">
      <c r="A60" s="1204" t="s">
        <v>696</v>
      </c>
      <c r="B60" s="1205"/>
      <c r="C60" s="1205"/>
      <c r="D60" s="1205"/>
      <c r="E60" s="1205"/>
      <c r="F60" s="1205"/>
      <c r="G60" s="1205"/>
      <c r="H60" s="1205"/>
      <c r="I60" s="1205"/>
      <c r="J60" s="1206"/>
      <c r="K60" s="385">
        <f>K55+K56+K58</f>
        <v>638211.12000000011</v>
      </c>
      <c r="L60" s="391">
        <f>L55+L56+L58</f>
        <v>0</v>
      </c>
      <c r="M60" s="385">
        <f>M55+M56+M58</f>
        <v>726475.71789600013</v>
      </c>
      <c r="N60" s="385">
        <f>N55+N56+N58</f>
        <v>1364686.8378960001</v>
      </c>
      <c r="O60" s="795"/>
      <c r="P60" s="290"/>
      <c r="Q60" s="290"/>
      <c r="R60" s="290"/>
    </row>
    <row r="61" spans="1:22" ht="12.75" thickBot="1" x14ac:dyDescent="0.25">
      <c r="A61" s="1226" t="s">
        <v>509</v>
      </c>
      <c r="B61" s="1205"/>
      <c r="C61" s="1205"/>
      <c r="D61" s="1205"/>
      <c r="E61" s="1205"/>
      <c r="F61" s="1205"/>
      <c r="G61" s="1205"/>
      <c r="H61" s="1205"/>
      <c r="I61" s="1205"/>
      <c r="J61" s="1206"/>
      <c r="K61" s="281">
        <v>0</v>
      </c>
      <c r="L61" s="281">
        <v>0</v>
      </c>
      <c r="M61" s="281">
        <v>0</v>
      </c>
      <c r="N61" s="281">
        <v>0</v>
      </c>
      <c r="O61" s="795"/>
      <c r="P61" s="290"/>
      <c r="Q61" s="290"/>
      <c r="R61" s="290"/>
    </row>
    <row r="62" spans="1:22" ht="12.75" thickBot="1" x14ac:dyDescent="0.25">
      <c r="A62" s="1233" t="s">
        <v>285</v>
      </c>
      <c r="B62" s="1235"/>
      <c r="C62" s="1235"/>
      <c r="D62" s="1235"/>
      <c r="E62" s="1235"/>
      <c r="F62" s="1235"/>
      <c r="G62" s="1234"/>
      <c r="H62" s="1234"/>
      <c r="I62" s="1234"/>
      <c r="J62" s="1280"/>
      <c r="K62" s="389">
        <f>SUM(K59:K61)</f>
        <v>1041990.3200000001</v>
      </c>
      <c r="L62" s="392">
        <f>SUM(L59:L61)</f>
        <v>0</v>
      </c>
      <c r="M62" s="389">
        <f>SUM(M59:M61)</f>
        <v>1020103.9521360002</v>
      </c>
      <c r="N62" s="389">
        <f>SUM(N59:N61)</f>
        <v>2062094.4178960002</v>
      </c>
      <c r="O62" s="795"/>
      <c r="P62" s="290"/>
      <c r="Q62" s="290"/>
      <c r="R62" s="290"/>
    </row>
    <row r="63" spans="1:22" x14ac:dyDescent="0.2">
      <c r="A63" s="288"/>
      <c r="B63" s="289"/>
      <c r="C63" s="290"/>
      <c r="D63" s="288"/>
      <c r="E63" s="288"/>
      <c r="F63" s="288"/>
      <c r="G63" s="290"/>
      <c r="H63" s="290"/>
      <c r="I63" s="290"/>
      <c r="J63" s="290"/>
      <c r="K63" s="290"/>
      <c r="L63" s="290"/>
      <c r="M63" s="290"/>
      <c r="N63" s="290"/>
      <c r="O63" s="795"/>
      <c r="P63" s="290"/>
      <c r="Q63" s="290"/>
      <c r="R63" s="290"/>
    </row>
    <row r="64" spans="1:22" x14ac:dyDescent="0.2">
      <c r="A64" s="288"/>
      <c r="B64" s="289"/>
      <c r="C64" s="290"/>
      <c r="D64" s="288"/>
      <c r="E64" s="288"/>
      <c r="F64" s="288"/>
      <c r="G64" s="290"/>
      <c r="H64" s="290"/>
      <c r="I64" s="290"/>
      <c r="J64" s="290"/>
      <c r="K64" s="290"/>
      <c r="L64" s="290"/>
      <c r="M64" s="290"/>
      <c r="N64" s="290"/>
      <c r="O64" s="795"/>
      <c r="P64" s="290"/>
      <c r="Q64" s="290"/>
      <c r="R64" s="290"/>
    </row>
    <row r="65" spans="1:22" ht="12.75" thickBot="1" x14ac:dyDescent="0.25">
      <c r="A65" s="288"/>
      <c r="B65" s="289"/>
      <c r="C65" s="290"/>
      <c r="D65" s="288"/>
      <c r="E65" s="288"/>
      <c r="F65" s="288"/>
      <c r="G65" s="290"/>
      <c r="H65" s="290"/>
      <c r="I65" s="290"/>
      <c r="J65" s="290"/>
      <c r="K65" s="290"/>
      <c r="L65" s="290"/>
      <c r="M65" s="290"/>
      <c r="N65" s="290"/>
      <c r="O65" s="795"/>
      <c r="P65" s="290"/>
      <c r="Q65" s="290"/>
      <c r="R65" s="290"/>
    </row>
    <row r="66" spans="1:22" ht="12.75" thickBot="1" x14ac:dyDescent="0.25">
      <c r="A66" s="1200" t="s">
        <v>0</v>
      </c>
      <c r="B66" s="1200" t="s">
        <v>1</v>
      </c>
      <c r="C66" s="1195" t="s">
        <v>297</v>
      </c>
      <c r="D66" s="1200" t="s">
        <v>2</v>
      </c>
      <c r="E66" s="1195" t="s">
        <v>3</v>
      </c>
      <c r="F66" s="1200" t="s">
        <v>242</v>
      </c>
      <c r="G66" s="1211" t="s">
        <v>25</v>
      </c>
      <c r="H66" s="1212"/>
      <c r="I66" s="1212"/>
      <c r="J66" s="1213"/>
      <c r="K66" s="1211" t="s">
        <v>783</v>
      </c>
      <c r="L66" s="1212"/>
      <c r="M66" s="1212"/>
      <c r="N66" s="1213"/>
      <c r="O66" s="795"/>
      <c r="P66" s="1207" t="s">
        <v>631</v>
      </c>
      <c r="Q66" s="1216" t="s">
        <v>632</v>
      </c>
      <c r="R66" s="331"/>
    </row>
    <row r="67" spans="1:22" x14ac:dyDescent="0.2">
      <c r="A67" s="1210"/>
      <c r="B67" s="1210"/>
      <c r="C67" s="1196"/>
      <c r="D67" s="1210"/>
      <c r="E67" s="1196"/>
      <c r="F67" s="1210"/>
      <c r="G67" s="1198" t="s">
        <v>296</v>
      </c>
      <c r="H67" s="1200" t="s">
        <v>779</v>
      </c>
      <c r="I67" s="1200" t="s">
        <v>26</v>
      </c>
      <c r="J67" s="1200" t="s">
        <v>293</v>
      </c>
      <c r="K67" s="1198" t="s">
        <v>296</v>
      </c>
      <c r="L67" s="1200" t="s">
        <v>779</v>
      </c>
      <c r="M67" s="1200" t="s">
        <v>26</v>
      </c>
      <c r="N67" s="1200" t="s">
        <v>293</v>
      </c>
      <c r="O67" s="795"/>
      <c r="P67" s="1208"/>
      <c r="Q67" s="1217"/>
      <c r="R67" s="331"/>
    </row>
    <row r="68" spans="1:22" ht="12.75" thickBot="1" x14ac:dyDescent="0.25">
      <c r="A68" s="1201"/>
      <c r="B68" s="1201"/>
      <c r="C68" s="1197"/>
      <c r="D68" s="1201"/>
      <c r="E68" s="1197"/>
      <c r="F68" s="1201"/>
      <c r="G68" s="1199"/>
      <c r="H68" s="1201"/>
      <c r="I68" s="1201"/>
      <c r="J68" s="1201"/>
      <c r="K68" s="1199"/>
      <c r="L68" s="1201"/>
      <c r="M68" s="1201"/>
      <c r="N68" s="1201"/>
      <c r="O68" s="795"/>
      <c r="P68" s="1209"/>
      <c r="Q68" s="1218"/>
      <c r="R68" s="331"/>
    </row>
    <row r="69" spans="1:22" ht="12.75" thickBot="1" x14ac:dyDescent="0.25">
      <c r="A69" s="350" t="s">
        <v>101</v>
      </c>
      <c r="B69" s="1202" t="s">
        <v>225</v>
      </c>
      <c r="C69" s="1203"/>
      <c r="D69" s="1203"/>
      <c r="E69" s="1203"/>
      <c r="F69" s="1203"/>
      <c r="G69" s="1203"/>
      <c r="H69" s="1203"/>
      <c r="I69" s="1203"/>
      <c r="J69" s="1203"/>
      <c r="K69" s="1215"/>
      <c r="L69" s="1215"/>
      <c r="M69" s="1215"/>
      <c r="N69" s="1215"/>
      <c r="O69" s="795"/>
      <c r="P69" s="290"/>
      <c r="Q69" s="290"/>
      <c r="R69" s="290"/>
      <c r="S69" s="802" t="s">
        <v>640</v>
      </c>
      <c r="T69" s="802" t="s">
        <v>637</v>
      </c>
      <c r="U69" s="802" t="s">
        <v>638</v>
      </c>
      <c r="V69" s="802" t="s">
        <v>639</v>
      </c>
    </row>
    <row r="70" spans="1:22" x14ac:dyDescent="0.2">
      <c r="A70" s="306" t="s">
        <v>83</v>
      </c>
      <c r="B70" s="307" t="s">
        <v>234</v>
      </c>
      <c r="C70" s="276" t="s">
        <v>17</v>
      </c>
      <c r="D70" s="276" t="s">
        <v>27</v>
      </c>
      <c r="E70" s="56">
        <v>1</v>
      </c>
      <c r="F70" s="378">
        <v>3</v>
      </c>
      <c r="G70" s="932">
        <f>VLOOKUP(C70,'MemCalculo (Salários)'!$A$38:$D$55,4,FALSE)</f>
        <v>10505.439999999999</v>
      </c>
      <c r="H70" s="910">
        <v>0</v>
      </c>
      <c r="I70" s="908">
        <f>ROUND((G70+H70)*$H$11,2)</f>
        <v>7639.56</v>
      </c>
      <c r="J70" s="917">
        <f>G70+H70+I70</f>
        <v>18145</v>
      </c>
      <c r="K70" s="944">
        <f>E70*F70*G70</f>
        <v>31516.319999999996</v>
      </c>
      <c r="L70" s="914">
        <f>E70*F70*H70</f>
        <v>0</v>
      </c>
      <c r="M70" s="914">
        <f>E70*F70*I70</f>
        <v>22918.68</v>
      </c>
      <c r="N70" s="945">
        <f>E70*F70*J70</f>
        <v>54435</v>
      </c>
      <c r="O70" s="795"/>
      <c r="P70" s="185" t="s">
        <v>636</v>
      </c>
      <c r="Q70" s="185" t="s">
        <v>634</v>
      </c>
      <c r="R70" s="290"/>
      <c r="S70" s="185" t="s">
        <v>633</v>
      </c>
      <c r="T70" s="185">
        <f>SUMIF($P$70:$P$73,S70,$E$70:$E$73)</f>
        <v>0</v>
      </c>
      <c r="U70" s="185">
        <f>SUMIFS($E$70:$E$73,$Q$70:$Q$73,U69,P70:P73,S70)</f>
        <v>0</v>
      </c>
      <c r="V70" s="185">
        <f>SUMIF($Q$53:$Q$58,V69,$E$53:$E$58)</f>
        <v>0</v>
      </c>
    </row>
    <row r="71" spans="1:22" x14ac:dyDescent="0.2">
      <c r="A71" s="308" t="s">
        <v>84</v>
      </c>
      <c r="B71" s="277" t="s">
        <v>228</v>
      </c>
      <c r="C71" s="62" t="s">
        <v>227</v>
      </c>
      <c r="D71" s="62" t="s">
        <v>27</v>
      </c>
      <c r="E71" s="57">
        <v>2</v>
      </c>
      <c r="F71" s="58">
        <v>3</v>
      </c>
      <c r="G71" s="932">
        <f>VLOOKUP(C71,'MemCalculo (Salários)'!$A$38:$D$55,4,FALSE)</f>
        <v>8719.0399999999991</v>
      </c>
      <c r="H71" s="910">
        <v>0</v>
      </c>
      <c r="I71" s="908">
        <f t="shared" ref="I71:I72" si="17">ROUND((G71+H71)*$H$11,2)</f>
        <v>6340.49</v>
      </c>
      <c r="J71" s="917">
        <f>G71+H71+I71</f>
        <v>15059.529999999999</v>
      </c>
      <c r="K71" s="933">
        <f>E71*F71*G71</f>
        <v>52314.239999999991</v>
      </c>
      <c r="L71" s="905">
        <f>E71*F71*H71</f>
        <v>0</v>
      </c>
      <c r="M71" s="905">
        <f>E71*F71*I71</f>
        <v>38042.94</v>
      </c>
      <c r="N71" s="907">
        <f>E71*F71*J71</f>
        <v>90357.18</v>
      </c>
      <c r="O71" s="795"/>
      <c r="P71" s="185" t="s">
        <v>636</v>
      </c>
      <c r="Q71" s="185" t="s">
        <v>634</v>
      </c>
      <c r="R71" s="290"/>
      <c r="S71" s="185" t="s">
        <v>636</v>
      </c>
      <c r="T71" s="185">
        <f>SUMIF($P$70:$P$73,S71,$E$70:$E$73)</f>
        <v>6</v>
      </c>
      <c r="U71" s="185">
        <f>SUMIFS($E$70:$E$73,$Q$70:$Q$73,U69,$P$70:$P$73,S71)</f>
        <v>6</v>
      </c>
      <c r="V71" s="185">
        <f>SUMIFS($E$70:$E$73,$Q$70:$Q$73,V69,$P$70:$P$73,T71)</f>
        <v>0</v>
      </c>
    </row>
    <row r="72" spans="1:22" x14ac:dyDescent="0.2">
      <c r="A72" s="308" t="s">
        <v>257</v>
      </c>
      <c r="B72" s="277" t="s">
        <v>226</v>
      </c>
      <c r="C72" s="62" t="s">
        <v>227</v>
      </c>
      <c r="D72" s="62" t="s">
        <v>27</v>
      </c>
      <c r="E72" s="57">
        <v>2</v>
      </c>
      <c r="F72" s="58">
        <v>3</v>
      </c>
      <c r="G72" s="932">
        <f>VLOOKUP(C72,'MemCalculo (Salários)'!$A$38:$D$55,4,FALSE)</f>
        <v>8719.0399999999991</v>
      </c>
      <c r="H72" s="910">
        <v>0</v>
      </c>
      <c r="I72" s="908">
        <f t="shared" si="17"/>
        <v>6340.49</v>
      </c>
      <c r="J72" s="917">
        <f>G72+H72+I72</f>
        <v>15059.529999999999</v>
      </c>
      <c r="K72" s="933">
        <f>E72*F72*G72</f>
        <v>52314.239999999991</v>
      </c>
      <c r="L72" s="905">
        <f>E72*F72*H72</f>
        <v>0</v>
      </c>
      <c r="M72" s="905">
        <f>E72*F72*I72</f>
        <v>38042.94</v>
      </c>
      <c r="N72" s="907">
        <f>E72*F72*J72</f>
        <v>90357.18</v>
      </c>
      <c r="O72" s="795"/>
      <c r="P72" s="185" t="s">
        <v>636</v>
      </c>
      <c r="Q72" s="185" t="s">
        <v>634</v>
      </c>
      <c r="R72" s="290"/>
    </row>
    <row r="73" spans="1:22" ht="12.75" thickBot="1" x14ac:dyDescent="0.25">
      <c r="A73" s="309" t="s">
        <v>258</v>
      </c>
      <c r="B73" s="279" t="s">
        <v>229</v>
      </c>
      <c r="C73" s="188" t="s">
        <v>36</v>
      </c>
      <c r="D73" s="188" t="s">
        <v>27</v>
      </c>
      <c r="E73" s="59">
        <v>1</v>
      </c>
      <c r="F73" s="60">
        <v>3</v>
      </c>
      <c r="G73" s="932">
        <f>VLOOKUP(C73,'MemCalculo (Salários)'!$A$38:$D$55,4,FALSE)</f>
        <v>7964</v>
      </c>
      <c r="H73" s="910">
        <v>0</v>
      </c>
      <c r="I73" s="908">
        <f>ROUND((G73+H73)*$H$11,2)</f>
        <v>5791.42</v>
      </c>
      <c r="J73" s="917">
        <f>G73+H73+I73</f>
        <v>13755.42</v>
      </c>
      <c r="K73" s="949">
        <f>E73*F73*G73</f>
        <v>23892</v>
      </c>
      <c r="L73" s="915">
        <f>E73*F73*H73</f>
        <v>0</v>
      </c>
      <c r="M73" s="915">
        <f>E73*F73*I73</f>
        <v>17374.260000000002</v>
      </c>
      <c r="N73" s="950">
        <f>E73*F73*J73</f>
        <v>41266.26</v>
      </c>
      <c r="O73" s="795"/>
      <c r="P73" s="185" t="s">
        <v>636</v>
      </c>
      <c r="Q73" s="185" t="s">
        <v>634</v>
      </c>
      <c r="R73" s="290"/>
    </row>
    <row r="74" spans="1:22" ht="12.75" thickBot="1" x14ac:dyDescent="0.25">
      <c r="A74" s="1204" t="s">
        <v>508</v>
      </c>
      <c r="B74" s="1205"/>
      <c r="C74" s="1205"/>
      <c r="D74" s="1205"/>
      <c r="E74" s="1205"/>
      <c r="F74" s="1205"/>
      <c r="G74" s="1205"/>
      <c r="H74" s="1205"/>
      <c r="I74" s="1205"/>
      <c r="J74" s="1206"/>
      <c r="K74" s="396">
        <f>SUM(K70:K73)</f>
        <v>160036.79999999999</v>
      </c>
      <c r="L74" s="396">
        <f>SUM(L70:L73)</f>
        <v>0</v>
      </c>
      <c r="M74" s="396">
        <f>SUM(M70:M73)</f>
        <v>116378.82</v>
      </c>
      <c r="N74" s="396">
        <f>SUM(N70:N73)</f>
        <v>276415.62</v>
      </c>
      <c r="O74" s="795"/>
      <c r="P74" s="290"/>
      <c r="Q74" s="290"/>
      <c r="R74" s="290"/>
    </row>
    <row r="75" spans="1:22" ht="12.75" thickBot="1" x14ac:dyDescent="0.25">
      <c r="A75" s="1226" t="s">
        <v>509</v>
      </c>
      <c r="B75" s="1205"/>
      <c r="C75" s="1205"/>
      <c r="D75" s="1205"/>
      <c r="E75" s="1205"/>
      <c r="F75" s="1205"/>
      <c r="G75" s="1205"/>
      <c r="H75" s="1205"/>
      <c r="I75" s="1205"/>
      <c r="J75" s="1206"/>
      <c r="K75" s="281">
        <v>0</v>
      </c>
      <c r="L75" s="281">
        <v>0</v>
      </c>
      <c r="M75" s="281">
        <v>0</v>
      </c>
      <c r="N75" s="281">
        <v>0</v>
      </c>
      <c r="O75" s="795"/>
      <c r="P75" s="290"/>
      <c r="Q75" s="290"/>
      <c r="R75" s="290"/>
    </row>
    <row r="76" spans="1:22" ht="12.75" thickBot="1" x14ac:dyDescent="0.25">
      <c r="A76" s="1233" t="s">
        <v>259</v>
      </c>
      <c r="B76" s="1234"/>
      <c r="C76" s="1234"/>
      <c r="D76" s="1234"/>
      <c r="E76" s="1234"/>
      <c r="F76" s="1234"/>
      <c r="G76" s="1235"/>
      <c r="H76" s="1235"/>
      <c r="I76" s="1235"/>
      <c r="J76" s="1236"/>
      <c r="K76" s="394">
        <f>SUM(K74:K75)</f>
        <v>160036.79999999999</v>
      </c>
      <c r="L76" s="394">
        <f>SUM(L74:L75)</f>
        <v>0</v>
      </c>
      <c r="M76" s="394">
        <f>SUM(M74:M75)</f>
        <v>116378.82</v>
      </c>
      <c r="N76" s="394">
        <f>SUM(N74:N75)</f>
        <v>276415.62</v>
      </c>
      <c r="O76" s="795"/>
      <c r="P76" s="290"/>
      <c r="Q76" s="290"/>
      <c r="R76" s="290"/>
    </row>
    <row r="77" spans="1:22" ht="12.75" thickBot="1" x14ac:dyDescent="0.25">
      <c r="A77" s="288"/>
      <c r="B77" s="289"/>
      <c r="C77" s="290"/>
      <c r="D77" s="288"/>
      <c r="E77" s="288"/>
      <c r="F77" s="288"/>
      <c r="G77" s="290"/>
      <c r="H77" s="290"/>
      <c r="I77" s="290"/>
      <c r="J77" s="290"/>
      <c r="K77" s="290"/>
      <c r="L77" s="290"/>
      <c r="M77" s="290"/>
      <c r="N77" s="290"/>
      <c r="O77" s="795"/>
      <c r="P77" s="290"/>
      <c r="Q77" s="290"/>
      <c r="R77" s="290"/>
    </row>
    <row r="78" spans="1:22" ht="12.75" thickBot="1" x14ac:dyDescent="0.25">
      <c r="A78" s="1200" t="s">
        <v>0</v>
      </c>
      <c r="B78" s="1200" t="s">
        <v>1</v>
      </c>
      <c r="C78" s="1195" t="s">
        <v>297</v>
      </c>
      <c r="D78" s="1200" t="s">
        <v>2</v>
      </c>
      <c r="E78" s="1195" t="s">
        <v>3</v>
      </c>
      <c r="F78" s="1200" t="s">
        <v>242</v>
      </c>
      <c r="G78" s="1211" t="s">
        <v>25</v>
      </c>
      <c r="H78" s="1212"/>
      <c r="I78" s="1212"/>
      <c r="J78" s="1213"/>
      <c r="K78" s="1211" t="s">
        <v>783</v>
      </c>
      <c r="L78" s="1212"/>
      <c r="M78" s="1212"/>
      <c r="N78" s="1213"/>
      <c r="O78" s="795"/>
      <c r="P78" s="1207" t="s">
        <v>631</v>
      </c>
      <c r="Q78" s="1216" t="s">
        <v>632</v>
      </c>
      <c r="R78" s="290"/>
    </row>
    <row r="79" spans="1:22" x14ac:dyDescent="0.2">
      <c r="A79" s="1210"/>
      <c r="B79" s="1210"/>
      <c r="C79" s="1196"/>
      <c r="D79" s="1210"/>
      <c r="E79" s="1196"/>
      <c r="F79" s="1210"/>
      <c r="G79" s="1198" t="s">
        <v>296</v>
      </c>
      <c r="H79" s="1200" t="s">
        <v>779</v>
      </c>
      <c r="I79" s="1200" t="s">
        <v>26</v>
      </c>
      <c r="J79" s="1200" t="s">
        <v>293</v>
      </c>
      <c r="K79" s="1198" t="s">
        <v>296</v>
      </c>
      <c r="L79" s="1200" t="s">
        <v>779</v>
      </c>
      <c r="M79" s="1200" t="s">
        <v>26</v>
      </c>
      <c r="N79" s="1200" t="s">
        <v>293</v>
      </c>
      <c r="O79" s="795"/>
      <c r="P79" s="1208"/>
      <c r="Q79" s="1217"/>
      <c r="R79" s="290"/>
    </row>
    <row r="80" spans="1:22" ht="12.75" thickBot="1" x14ac:dyDescent="0.25">
      <c r="A80" s="1201"/>
      <c r="B80" s="1201"/>
      <c r="C80" s="1197"/>
      <c r="D80" s="1201"/>
      <c r="E80" s="1197"/>
      <c r="F80" s="1201"/>
      <c r="G80" s="1199"/>
      <c r="H80" s="1201"/>
      <c r="I80" s="1201"/>
      <c r="J80" s="1201"/>
      <c r="K80" s="1199"/>
      <c r="L80" s="1201"/>
      <c r="M80" s="1201"/>
      <c r="N80" s="1201"/>
      <c r="O80" s="795"/>
      <c r="P80" s="1209"/>
      <c r="Q80" s="1218"/>
      <c r="R80" s="290"/>
    </row>
    <row r="81" spans="1:22" ht="12.75" thickBot="1" x14ac:dyDescent="0.25">
      <c r="A81" s="329" t="s">
        <v>260</v>
      </c>
      <c r="B81" s="1202" t="s">
        <v>690</v>
      </c>
      <c r="C81" s="1203"/>
      <c r="D81" s="1203"/>
      <c r="E81" s="1203"/>
      <c r="F81" s="1203"/>
      <c r="G81" s="1203"/>
      <c r="H81" s="1203"/>
      <c r="I81" s="1203"/>
      <c r="J81" s="1203"/>
      <c r="K81" s="1203"/>
      <c r="L81" s="1203"/>
      <c r="M81" s="1203"/>
      <c r="N81" s="1203"/>
      <c r="O81" s="795"/>
      <c r="P81" s="290"/>
      <c r="Q81" s="290"/>
      <c r="R81" s="290"/>
      <c r="S81" s="802" t="s">
        <v>640</v>
      </c>
      <c r="T81" s="802" t="s">
        <v>637</v>
      </c>
      <c r="U81" s="802" t="s">
        <v>638</v>
      </c>
      <c r="V81" s="802" t="s">
        <v>639</v>
      </c>
    </row>
    <row r="82" spans="1:22" ht="12.75" thickBot="1" x14ac:dyDescent="0.25">
      <c r="A82" s="310" t="s">
        <v>85</v>
      </c>
      <c r="B82" s="783" t="s">
        <v>576</v>
      </c>
      <c r="C82" s="178" t="s">
        <v>13</v>
      </c>
      <c r="D82" s="178" t="s">
        <v>235</v>
      </c>
      <c r="E82" s="178">
        <v>64</v>
      </c>
      <c r="F82" s="784">
        <v>12</v>
      </c>
      <c r="G82" s="952">
        <f>VLOOKUP(C82,'MemCalculo (Salários)'!$A$38:$D$55,3,FALSE)</f>
        <v>122.14</v>
      </c>
      <c r="H82" s="953">
        <v>0</v>
      </c>
      <c r="I82" s="914">
        <f>ROUND((G82+H82)*$J$11,2)</f>
        <v>24.43</v>
      </c>
      <c r="J82" s="954">
        <f t="shared" ref="J82:J87" si="18">G82+H82+I82</f>
        <v>146.57</v>
      </c>
      <c r="K82" s="944">
        <f t="shared" ref="K82:K87" si="19">E82*F82*G82</f>
        <v>93803.520000000004</v>
      </c>
      <c r="L82" s="914">
        <f t="shared" ref="L82:L88" si="20">E82*F82*H82</f>
        <v>0</v>
      </c>
      <c r="M82" s="914">
        <f t="shared" ref="M82:M88" si="21">E82*F82*I82</f>
        <v>18762.239999999998</v>
      </c>
      <c r="N82" s="945">
        <f t="shared" ref="N82:N87" si="22">E82*F82*J82</f>
        <v>112565.75999999999</v>
      </c>
      <c r="O82" s="795"/>
      <c r="P82" s="185" t="s">
        <v>641</v>
      </c>
      <c r="Q82" s="185" t="s">
        <v>641</v>
      </c>
      <c r="R82" s="290"/>
      <c r="S82" s="185" t="s">
        <v>633</v>
      </c>
      <c r="T82" s="185">
        <f>SUMIF($P$82:$P$88,S82,$E$82:$E$88)</f>
        <v>0</v>
      </c>
      <c r="U82" s="185">
        <f>SUMIFS($E$82:$E$88,$Q$82:$Q$88,U81,$P$82:$P$88,S82)</f>
        <v>0</v>
      </c>
      <c r="V82" s="185">
        <f>SUMIFS($E$82:$E$88,$Q$82:$Q$88,V81,$P$82:$P$88,S82)</f>
        <v>0</v>
      </c>
    </row>
    <row r="83" spans="1:22" x14ac:dyDescent="0.2">
      <c r="A83" s="311" t="s">
        <v>86</v>
      </c>
      <c r="B83" s="312" t="s">
        <v>577</v>
      </c>
      <c r="C83" s="62" t="s">
        <v>13</v>
      </c>
      <c r="D83" s="62" t="s">
        <v>235</v>
      </c>
      <c r="E83" s="178">
        <v>64</v>
      </c>
      <c r="F83" s="57">
        <v>12</v>
      </c>
      <c r="G83" s="932">
        <f>VLOOKUP(C83,'MemCalculo (Salários)'!$A$38:$D$55,3,FALSE)</f>
        <v>122.14</v>
      </c>
      <c r="H83" s="951">
        <v>0</v>
      </c>
      <c r="I83" s="914">
        <f>ROUND((G83+H83)*$J$11,2)</f>
        <v>24.43</v>
      </c>
      <c r="J83" s="917">
        <f t="shared" si="18"/>
        <v>146.57</v>
      </c>
      <c r="K83" s="933">
        <f t="shared" si="19"/>
        <v>93803.520000000004</v>
      </c>
      <c r="L83" s="905">
        <f t="shared" si="20"/>
        <v>0</v>
      </c>
      <c r="M83" s="905">
        <f t="shared" si="21"/>
        <v>18762.239999999998</v>
      </c>
      <c r="N83" s="907">
        <f t="shared" si="22"/>
        <v>112565.75999999999</v>
      </c>
      <c r="O83" s="795"/>
      <c r="P83" s="185" t="s">
        <v>641</v>
      </c>
      <c r="Q83" s="185" t="s">
        <v>641</v>
      </c>
      <c r="R83" s="290"/>
      <c r="S83" s="185" t="s">
        <v>636</v>
      </c>
      <c r="T83" s="185">
        <f>SUMIF($P$82:$P$88,S83,$E$82:$E$88)</f>
        <v>9</v>
      </c>
      <c r="U83" s="185">
        <f>SUMIFS($E$82:$E$88,$Q$82:$Q$88,U81,P82:P88,S83)</f>
        <v>8</v>
      </c>
      <c r="V83" s="185">
        <f>SUMIFS($E$82:$E$88,$Q$82:$Q$88,V81,$P$82:$P$88,S83)</f>
        <v>1</v>
      </c>
    </row>
    <row r="84" spans="1:22" x14ac:dyDescent="0.2">
      <c r="A84" s="311" t="s">
        <v>261</v>
      </c>
      <c r="B84" s="312" t="s">
        <v>238</v>
      </c>
      <c r="C84" s="62" t="s">
        <v>17</v>
      </c>
      <c r="D84" s="62" t="s">
        <v>27</v>
      </c>
      <c r="E84" s="62">
        <v>4</v>
      </c>
      <c r="F84" s="57">
        <v>12</v>
      </c>
      <c r="G84" s="932">
        <f>VLOOKUP(C84,'MemCalculo (Salários)'!$A$38:$D$55,4,FALSE)</f>
        <v>10505.439999999999</v>
      </c>
      <c r="H84" s="910">
        <v>0</v>
      </c>
      <c r="I84" s="908">
        <f>ROUND((G84+H84)*$H$11,2)</f>
        <v>7639.56</v>
      </c>
      <c r="J84" s="917">
        <f>G84+H84+I84</f>
        <v>18145</v>
      </c>
      <c r="K84" s="933">
        <f>E84*F84*G84</f>
        <v>504261.11999999994</v>
      </c>
      <c r="L84" s="905">
        <f t="shared" si="20"/>
        <v>0</v>
      </c>
      <c r="M84" s="905">
        <f t="shared" si="21"/>
        <v>366698.88</v>
      </c>
      <c r="N84" s="907">
        <f>E84*F84*J84</f>
        <v>870960</v>
      </c>
      <c r="O84" s="795"/>
      <c r="P84" s="185" t="s">
        <v>636</v>
      </c>
      <c r="Q84" s="185" t="s">
        <v>634</v>
      </c>
      <c r="R84" s="290"/>
    </row>
    <row r="85" spans="1:22" x14ac:dyDescent="0.2">
      <c r="A85" s="311" t="s">
        <v>262</v>
      </c>
      <c r="B85" s="312" t="s">
        <v>239</v>
      </c>
      <c r="C85" s="62" t="s">
        <v>17</v>
      </c>
      <c r="D85" s="62" t="s">
        <v>27</v>
      </c>
      <c r="E85" s="62">
        <v>2</v>
      </c>
      <c r="F85" s="57">
        <v>12</v>
      </c>
      <c r="G85" s="932">
        <f>VLOOKUP(C85,'MemCalculo (Salários)'!$A$38:$D$55,4,FALSE)</f>
        <v>10505.439999999999</v>
      </c>
      <c r="H85" s="910">
        <v>0</v>
      </c>
      <c r="I85" s="908">
        <f t="shared" ref="I85:I88" si="23">ROUND((G85+H85)*$H$11,2)</f>
        <v>7639.56</v>
      </c>
      <c r="J85" s="917">
        <f t="shared" si="18"/>
        <v>18145</v>
      </c>
      <c r="K85" s="933">
        <f>E85*F85*G85</f>
        <v>252130.55999999997</v>
      </c>
      <c r="L85" s="905">
        <f t="shared" si="20"/>
        <v>0</v>
      </c>
      <c r="M85" s="905">
        <f t="shared" si="21"/>
        <v>183349.44</v>
      </c>
      <c r="N85" s="907">
        <f>E85*F85*J85</f>
        <v>435480</v>
      </c>
      <c r="O85" s="795"/>
      <c r="P85" s="185" t="s">
        <v>636</v>
      </c>
      <c r="Q85" s="185" t="s">
        <v>634</v>
      </c>
      <c r="R85" s="290"/>
    </row>
    <row r="86" spans="1:22" x14ac:dyDescent="0.2">
      <c r="A86" s="311" t="s">
        <v>263</v>
      </c>
      <c r="B86" s="312" t="s">
        <v>239</v>
      </c>
      <c r="C86" s="62" t="s">
        <v>227</v>
      </c>
      <c r="D86" s="62" t="s">
        <v>27</v>
      </c>
      <c r="E86" s="62">
        <v>1</v>
      </c>
      <c r="F86" s="57">
        <v>12</v>
      </c>
      <c r="G86" s="932">
        <f>VLOOKUP(C86,'MemCalculo (Salários)'!$A$38:$D$55,4,FALSE)</f>
        <v>8719.0399999999991</v>
      </c>
      <c r="H86" s="910">
        <v>0</v>
      </c>
      <c r="I86" s="908">
        <f>ROUND((G86+H86)*$H$11,2)</f>
        <v>6340.49</v>
      </c>
      <c r="J86" s="917">
        <f>G86+H86+I86</f>
        <v>15059.529999999999</v>
      </c>
      <c r="K86" s="933">
        <f>E86*F86*G86</f>
        <v>104628.47999999998</v>
      </c>
      <c r="L86" s="905">
        <f t="shared" si="20"/>
        <v>0</v>
      </c>
      <c r="M86" s="905">
        <f t="shared" si="21"/>
        <v>76085.88</v>
      </c>
      <c r="N86" s="907">
        <f>E86*F86*J86</f>
        <v>180714.36</v>
      </c>
      <c r="O86" s="795"/>
      <c r="P86" s="185" t="s">
        <v>636</v>
      </c>
      <c r="Q86" s="185" t="s">
        <v>634</v>
      </c>
      <c r="R86" s="290"/>
    </row>
    <row r="87" spans="1:22" x14ac:dyDescent="0.2">
      <c r="A87" s="311" t="s">
        <v>393</v>
      </c>
      <c r="B87" s="312" t="s">
        <v>240</v>
      </c>
      <c r="C87" s="62" t="s">
        <v>227</v>
      </c>
      <c r="D87" s="62" t="s">
        <v>27</v>
      </c>
      <c r="E87" s="62">
        <v>1</v>
      </c>
      <c r="F87" s="57">
        <v>12</v>
      </c>
      <c r="G87" s="932">
        <f>VLOOKUP(C87,'MemCalculo (Salários)'!$A$38:$D$55,4,FALSE)</f>
        <v>8719.0399999999991</v>
      </c>
      <c r="H87" s="910">
        <v>0</v>
      </c>
      <c r="I87" s="908">
        <f t="shared" si="23"/>
        <v>6340.49</v>
      </c>
      <c r="J87" s="917">
        <f t="shared" si="18"/>
        <v>15059.529999999999</v>
      </c>
      <c r="K87" s="933">
        <f t="shared" si="19"/>
        <v>104628.47999999998</v>
      </c>
      <c r="L87" s="905">
        <f t="shared" si="20"/>
        <v>0</v>
      </c>
      <c r="M87" s="905">
        <f t="shared" si="21"/>
        <v>76085.88</v>
      </c>
      <c r="N87" s="907">
        <f t="shared" si="22"/>
        <v>180714.36</v>
      </c>
      <c r="O87" s="795"/>
      <c r="P87" s="185" t="s">
        <v>636</v>
      </c>
      <c r="Q87" s="185" t="s">
        <v>634</v>
      </c>
      <c r="R87" s="290"/>
    </row>
    <row r="88" spans="1:22" ht="12.75" thickBot="1" x14ac:dyDescent="0.25">
      <c r="A88" s="785" t="s">
        <v>394</v>
      </c>
      <c r="B88" s="786" t="s">
        <v>241</v>
      </c>
      <c r="C88" s="188" t="s">
        <v>22</v>
      </c>
      <c r="D88" s="188" t="s">
        <v>27</v>
      </c>
      <c r="E88" s="188">
        <v>1</v>
      </c>
      <c r="F88" s="59">
        <v>12</v>
      </c>
      <c r="G88" s="955">
        <f>VLOOKUP(C88,'MemCalculo (Salários)'!$A$38:$D$55,4,FALSE)</f>
        <v>7964</v>
      </c>
      <c r="H88" s="956">
        <v>0</v>
      </c>
      <c r="I88" s="908">
        <f t="shared" si="23"/>
        <v>5791.42</v>
      </c>
      <c r="J88" s="957">
        <f>G88+H88+I88</f>
        <v>13755.42</v>
      </c>
      <c r="K88" s="949">
        <f>E88*F88*G88</f>
        <v>95568</v>
      </c>
      <c r="L88" s="915">
        <f t="shared" si="20"/>
        <v>0</v>
      </c>
      <c r="M88" s="915">
        <f t="shared" si="21"/>
        <v>69497.040000000008</v>
      </c>
      <c r="N88" s="950">
        <f>E88*F88*J88</f>
        <v>165065.04</v>
      </c>
      <c r="O88" s="795"/>
      <c r="P88" s="185" t="s">
        <v>636</v>
      </c>
      <c r="Q88" s="185" t="s">
        <v>635</v>
      </c>
      <c r="R88" s="290"/>
    </row>
    <row r="89" spans="1:22" ht="12.75" thickBot="1" x14ac:dyDescent="0.25">
      <c r="A89" s="1226" t="s">
        <v>695</v>
      </c>
      <c r="B89" s="1282"/>
      <c r="C89" s="1282"/>
      <c r="D89" s="1282"/>
      <c r="E89" s="1282"/>
      <c r="F89" s="1282"/>
      <c r="G89" s="1282"/>
      <c r="H89" s="1282"/>
      <c r="I89" s="1282"/>
      <c r="J89" s="1283"/>
      <c r="K89" s="395">
        <f>K84+K85+K86+K87+K88</f>
        <v>1061216.6399999999</v>
      </c>
      <c r="L89" s="396">
        <f>L84+L85+L86+L87+L88</f>
        <v>0</v>
      </c>
      <c r="M89" s="395">
        <f>M84+M85+M86+M87+M88</f>
        <v>771717.12000000011</v>
      </c>
      <c r="N89" s="395">
        <f>N84+N85+N86+N87+N88</f>
        <v>1832933.7599999998</v>
      </c>
      <c r="O89" s="795"/>
      <c r="P89" s="290"/>
      <c r="Q89" s="290"/>
      <c r="R89" s="290"/>
    </row>
    <row r="90" spans="1:22" ht="12.75" thickBot="1" x14ac:dyDescent="0.25">
      <c r="A90" s="1226" t="s">
        <v>509</v>
      </c>
      <c r="B90" s="1205"/>
      <c r="C90" s="1205"/>
      <c r="D90" s="1205"/>
      <c r="E90" s="1205"/>
      <c r="F90" s="1205"/>
      <c r="G90" s="1205"/>
      <c r="H90" s="1205"/>
      <c r="I90" s="1205"/>
      <c r="J90" s="1206"/>
      <c r="K90" s="395">
        <f>K82+K83</f>
        <v>187607.04000000001</v>
      </c>
      <c r="L90" s="396">
        <f>L82+L83</f>
        <v>0</v>
      </c>
      <c r="M90" s="395">
        <f>M82+M83</f>
        <v>37524.479999999996</v>
      </c>
      <c r="N90" s="395">
        <f>N82+N83</f>
        <v>225131.51999999999</v>
      </c>
      <c r="O90" s="795"/>
      <c r="P90" s="290"/>
      <c r="Q90" s="290"/>
      <c r="R90" s="290"/>
    </row>
    <row r="91" spans="1:22" ht="12.75" thickBot="1" x14ac:dyDescent="0.25">
      <c r="A91" s="1233" t="s">
        <v>264</v>
      </c>
      <c r="B91" s="1234"/>
      <c r="C91" s="1234"/>
      <c r="D91" s="1234"/>
      <c r="E91" s="1234"/>
      <c r="F91" s="1234"/>
      <c r="G91" s="1234"/>
      <c r="H91" s="1234"/>
      <c r="I91" s="1234"/>
      <c r="J91" s="1280"/>
      <c r="K91" s="394">
        <f>SUM(K89:K90)</f>
        <v>1248823.68</v>
      </c>
      <c r="L91" s="394">
        <f>SUM(L89:L90)</f>
        <v>0</v>
      </c>
      <c r="M91" s="394">
        <f>SUM(M89:M90)</f>
        <v>809241.60000000009</v>
      </c>
      <c r="N91" s="394">
        <f>SUM(N89:N90)</f>
        <v>2058065.2799999998</v>
      </c>
      <c r="O91" s="795"/>
      <c r="P91" s="290"/>
      <c r="Q91" s="290"/>
      <c r="R91" s="290"/>
    </row>
    <row r="92" spans="1:22" x14ac:dyDescent="0.2">
      <c r="A92" s="288"/>
      <c r="B92" s="289"/>
      <c r="C92" s="290"/>
      <c r="D92" s="288"/>
      <c r="E92" s="288"/>
      <c r="F92" s="288"/>
      <c r="G92" s="290"/>
      <c r="H92" s="290"/>
      <c r="I92" s="290"/>
      <c r="J92" s="290"/>
      <c r="K92" s="290"/>
      <c r="L92" s="290"/>
      <c r="M92" s="290"/>
      <c r="N92" s="290"/>
      <c r="O92" s="795"/>
      <c r="P92" s="290"/>
      <c r="Q92" s="290"/>
      <c r="R92" s="290"/>
    </row>
    <row r="93" spans="1:22" ht="12.75" thickBot="1" x14ac:dyDescent="0.25">
      <c r="A93" s="288"/>
      <c r="B93" s="289"/>
      <c r="C93" s="290"/>
      <c r="D93" s="288"/>
      <c r="E93" s="288"/>
      <c r="F93" s="288"/>
      <c r="G93" s="290"/>
      <c r="H93" s="290"/>
      <c r="I93" s="290"/>
      <c r="J93" s="290"/>
      <c r="K93" s="290"/>
      <c r="L93" s="290"/>
      <c r="M93" s="290"/>
      <c r="N93" s="290"/>
      <c r="O93" s="795"/>
      <c r="P93" s="290"/>
      <c r="Q93" s="290"/>
      <c r="R93" s="290"/>
    </row>
    <row r="94" spans="1:22" ht="12.75" thickBot="1" x14ac:dyDescent="0.25">
      <c r="A94" s="1200" t="s">
        <v>0</v>
      </c>
      <c r="B94" s="1200" t="s">
        <v>1</v>
      </c>
      <c r="C94" s="1195" t="s">
        <v>297</v>
      </c>
      <c r="D94" s="1200" t="s">
        <v>2</v>
      </c>
      <c r="E94" s="1195" t="s">
        <v>3</v>
      </c>
      <c r="F94" s="1200" t="s">
        <v>242</v>
      </c>
      <c r="G94" s="1211" t="s">
        <v>25</v>
      </c>
      <c r="H94" s="1212"/>
      <c r="I94" s="1212"/>
      <c r="J94" s="1213"/>
      <c r="K94" s="1211" t="s">
        <v>783</v>
      </c>
      <c r="L94" s="1212"/>
      <c r="M94" s="1212"/>
      <c r="N94" s="1213"/>
      <c r="O94" s="795"/>
      <c r="P94" s="1207" t="s">
        <v>631</v>
      </c>
      <c r="Q94" s="1216" t="s">
        <v>632</v>
      </c>
      <c r="R94" s="331"/>
      <c r="S94" s="802" t="s">
        <v>640</v>
      </c>
      <c r="T94" s="802" t="s">
        <v>637</v>
      </c>
      <c r="U94" s="802" t="s">
        <v>638</v>
      </c>
      <c r="V94" s="802" t="s">
        <v>639</v>
      </c>
    </row>
    <row r="95" spans="1:22" x14ac:dyDescent="0.2">
      <c r="A95" s="1210"/>
      <c r="B95" s="1210"/>
      <c r="C95" s="1196"/>
      <c r="D95" s="1210"/>
      <c r="E95" s="1196"/>
      <c r="F95" s="1210"/>
      <c r="G95" s="1198" t="s">
        <v>296</v>
      </c>
      <c r="H95" s="1200" t="s">
        <v>779</v>
      </c>
      <c r="I95" s="1200" t="s">
        <v>26</v>
      </c>
      <c r="J95" s="1200" t="s">
        <v>293</v>
      </c>
      <c r="K95" s="1198" t="s">
        <v>296</v>
      </c>
      <c r="L95" s="1200" t="s">
        <v>779</v>
      </c>
      <c r="M95" s="1200" t="s">
        <v>26</v>
      </c>
      <c r="N95" s="1200" t="s">
        <v>293</v>
      </c>
      <c r="O95" s="795"/>
      <c r="P95" s="1208"/>
      <c r="Q95" s="1217"/>
      <c r="R95" s="331"/>
      <c r="S95" s="185" t="s">
        <v>633</v>
      </c>
      <c r="T95" s="185">
        <f>SUMIF($P$98:$P$99,S95,E98:E99)</f>
        <v>0</v>
      </c>
      <c r="U95" s="185">
        <f>SUMIFS($E$98:$E$99,Q98:$Q$99,U94,$P$98:P99,S95)</f>
        <v>0</v>
      </c>
      <c r="V95" s="185">
        <f>SUMIFS($E$98:$E$99,$Q$98:$Q$99,V94,$P$98:$P$99,S95)</f>
        <v>0</v>
      </c>
    </row>
    <row r="96" spans="1:22" ht="12.75" thickBot="1" x14ac:dyDescent="0.25">
      <c r="A96" s="1201"/>
      <c r="B96" s="1201"/>
      <c r="C96" s="1197"/>
      <c r="D96" s="1201"/>
      <c r="E96" s="1197"/>
      <c r="F96" s="1201"/>
      <c r="G96" s="1199"/>
      <c r="H96" s="1201"/>
      <c r="I96" s="1201"/>
      <c r="J96" s="1201"/>
      <c r="K96" s="1199"/>
      <c r="L96" s="1201"/>
      <c r="M96" s="1201"/>
      <c r="N96" s="1201"/>
      <c r="O96" s="795"/>
      <c r="P96" s="1209"/>
      <c r="Q96" s="1218"/>
      <c r="R96" s="331"/>
      <c r="S96" s="185" t="s">
        <v>636</v>
      </c>
      <c r="T96" s="185">
        <f>SUMIF($P$98:$P$99,S96,$E$98:$E$99)</f>
        <v>0</v>
      </c>
      <c r="U96" s="185">
        <f>SUMIFS($E$98:$E$99,Q98:$Q$99,U95,$P$98:$P$99,S96)</f>
        <v>0</v>
      </c>
      <c r="V96" s="185">
        <f>SUMIFS($E$98:$E$99,$Q$98:$Q$99,V94,$P$98:$P$99,S96)</f>
        <v>0</v>
      </c>
    </row>
    <row r="97" spans="1:22" ht="12.75" thickBot="1" x14ac:dyDescent="0.25">
      <c r="A97" s="350" t="s">
        <v>265</v>
      </c>
      <c r="B97" s="1202" t="s">
        <v>967</v>
      </c>
      <c r="C97" s="1203"/>
      <c r="D97" s="1203"/>
      <c r="E97" s="1203"/>
      <c r="F97" s="1203"/>
      <c r="G97" s="1203"/>
      <c r="H97" s="1203"/>
      <c r="I97" s="1203"/>
      <c r="J97" s="1203"/>
      <c r="K97" s="1203"/>
      <c r="L97" s="1203"/>
      <c r="M97" s="1203"/>
      <c r="N97" s="1203"/>
      <c r="O97" s="795"/>
      <c r="P97" s="290"/>
      <c r="Q97" s="290"/>
      <c r="R97" s="290"/>
    </row>
    <row r="98" spans="1:22" x14ac:dyDescent="0.2">
      <c r="A98" s="306" t="s">
        <v>266</v>
      </c>
      <c r="B98" s="313" t="s">
        <v>574</v>
      </c>
      <c r="C98" s="276" t="s">
        <v>13</v>
      </c>
      <c r="D98" s="276" t="s">
        <v>235</v>
      </c>
      <c r="E98" s="56">
        <v>64</v>
      </c>
      <c r="F98" s="327">
        <v>18</v>
      </c>
      <c r="G98" s="932">
        <f>VLOOKUP(C98,'MemCalculo (Salários)'!$A$38:$D$55,3,FALSE)</f>
        <v>122.14</v>
      </c>
      <c r="H98" s="951">
        <v>0</v>
      </c>
      <c r="I98" s="905">
        <f>ROUND((G98+H98)*$J$11,2)</f>
        <v>24.43</v>
      </c>
      <c r="J98" s="917">
        <f>G98+H98+I98</f>
        <v>146.57</v>
      </c>
      <c r="K98" s="944">
        <f>E98*F98*G98</f>
        <v>140705.28</v>
      </c>
      <c r="L98" s="914">
        <f>E98*F98*H98</f>
        <v>0</v>
      </c>
      <c r="M98" s="914">
        <f>E98*F98*I98</f>
        <v>28143.360000000001</v>
      </c>
      <c r="N98" s="945">
        <f>E98*F98*J98</f>
        <v>168848.63999999998</v>
      </c>
      <c r="O98" s="795"/>
      <c r="P98" s="185" t="s">
        <v>641</v>
      </c>
      <c r="Q98" s="185" t="s">
        <v>641</v>
      </c>
      <c r="R98" s="290"/>
    </row>
    <row r="99" spans="1:22" ht="12.75" thickBot="1" x14ac:dyDescent="0.25">
      <c r="A99" s="314" t="s">
        <v>267</v>
      </c>
      <c r="B99" s="315" t="s">
        <v>575</v>
      </c>
      <c r="C99" s="189" t="s">
        <v>13</v>
      </c>
      <c r="D99" s="316" t="s">
        <v>235</v>
      </c>
      <c r="E99" s="56">
        <v>64</v>
      </c>
      <c r="F99" s="231">
        <v>18</v>
      </c>
      <c r="G99" s="932">
        <f>VLOOKUP(C99,'MemCalculo (Salários)'!$A$38:$D$55,3,FALSE)</f>
        <v>122.14</v>
      </c>
      <c r="H99" s="951">
        <v>0</v>
      </c>
      <c r="I99" s="905">
        <f>ROUND((G99+H99)*$J$11,2)</f>
        <v>24.43</v>
      </c>
      <c r="J99" s="917">
        <f>G99+H99+I99</f>
        <v>146.57</v>
      </c>
      <c r="K99" s="949">
        <f>E99*F99*G99</f>
        <v>140705.28</v>
      </c>
      <c r="L99" s="915">
        <f>E99*F99*H99</f>
        <v>0</v>
      </c>
      <c r="M99" s="915">
        <f>E99*F99*I99</f>
        <v>28143.360000000001</v>
      </c>
      <c r="N99" s="950">
        <f>E99*F99*J99</f>
        <v>168848.63999999998</v>
      </c>
      <c r="O99" s="795"/>
      <c r="P99" s="185" t="s">
        <v>641</v>
      </c>
      <c r="Q99" s="185" t="s">
        <v>641</v>
      </c>
      <c r="R99" s="290"/>
    </row>
    <row r="100" spans="1:22" ht="12.75" thickBot="1" x14ac:dyDescent="0.25">
      <c r="A100" s="1204" t="s">
        <v>508</v>
      </c>
      <c r="B100" s="1205"/>
      <c r="C100" s="1205"/>
      <c r="D100" s="1205"/>
      <c r="E100" s="1205"/>
      <c r="F100" s="1205"/>
      <c r="G100" s="1205"/>
      <c r="H100" s="1205"/>
      <c r="I100" s="1205"/>
      <c r="J100" s="1206"/>
      <c r="K100" s="280">
        <v>0</v>
      </c>
      <c r="L100" s="280">
        <v>0</v>
      </c>
      <c r="M100" s="280">
        <v>0</v>
      </c>
      <c r="N100" s="280">
        <v>0</v>
      </c>
      <c r="O100" s="795"/>
      <c r="P100" s="290"/>
      <c r="Q100" s="290"/>
      <c r="R100" s="290"/>
    </row>
    <row r="101" spans="1:22" ht="12.75" thickBot="1" x14ac:dyDescent="0.25">
      <c r="A101" s="1226" t="s">
        <v>509</v>
      </c>
      <c r="B101" s="1205"/>
      <c r="C101" s="1205"/>
      <c r="D101" s="1205"/>
      <c r="E101" s="1205"/>
      <c r="F101" s="1205"/>
      <c r="G101" s="1205"/>
      <c r="H101" s="1205"/>
      <c r="I101" s="1205"/>
      <c r="J101" s="1206"/>
      <c r="K101" s="395">
        <f>SUM(K98:K99)</f>
        <v>281410.56</v>
      </c>
      <c r="L101" s="396">
        <f>SUM(L98:L99)</f>
        <v>0</v>
      </c>
      <c r="M101" s="396">
        <f>SUM(M98:M99)</f>
        <v>56286.720000000001</v>
      </c>
      <c r="N101" s="396">
        <f>SUM(N98:N99)</f>
        <v>337697.27999999997</v>
      </c>
      <c r="O101" s="795"/>
      <c r="P101" s="290"/>
      <c r="Q101" s="290"/>
      <c r="R101" s="290"/>
    </row>
    <row r="102" spans="1:22" ht="12.75" thickBot="1" x14ac:dyDescent="0.25">
      <c r="A102" s="1233" t="s">
        <v>268</v>
      </c>
      <c r="B102" s="1234"/>
      <c r="C102" s="1234"/>
      <c r="D102" s="1234"/>
      <c r="E102" s="1234"/>
      <c r="F102" s="1234"/>
      <c r="G102" s="1235"/>
      <c r="H102" s="1235"/>
      <c r="I102" s="1235"/>
      <c r="J102" s="1236"/>
      <c r="K102" s="386">
        <f>SUM(K100:K101)</f>
        <v>281410.56</v>
      </c>
      <c r="L102" s="394">
        <f>SUM(L100:L101)</f>
        <v>0</v>
      </c>
      <c r="M102" s="394">
        <f>SUM(M100:M101)</f>
        <v>56286.720000000001</v>
      </c>
      <c r="N102" s="394">
        <f>SUM(N100:N101)</f>
        <v>337697.27999999997</v>
      </c>
      <c r="O102" s="795"/>
      <c r="P102" s="290"/>
      <c r="Q102" s="290"/>
      <c r="R102" s="290"/>
    </row>
    <row r="103" spans="1:22" x14ac:dyDescent="0.2">
      <c r="A103" s="288"/>
      <c r="B103" s="289"/>
      <c r="C103" s="290"/>
      <c r="D103" s="288"/>
      <c r="E103" s="288"/>
      <c r="F103" s="288"/>
      <c r="G103" s="290"/>
      <c r="H103" s="290"/>
      <c r="I103" s="290"/>
      <c r="J103" s="290"/>
      <c r="K103" s="290"/>
      <c r="L103" s="290"/>
      <c r="M103" s="290"/>
      <c r="N103" s="290"/>
      <c r="O103" s="795"/>
      <c r="P103" s="290"/>
      <c r="Q103" s="290"/>
      <c r="R103" s="290"/>
    </row>
    <row r="104" spans="1:22" ht="12.75" thickBot="1" x14ac:dyDescent="0.25">
      <c r="A104" s="288"/>
      <c r="B104" s="289"/>
      <c r="C104" s="290"/>
      <c r="D104" s="288"/>
      <c r="E104" s="288"/>
      <c r="F104" s="288"/>
      <c r="G104" s="290"/>
      <c r="H104" s="290"/>
      <c r="I104" s="290"/>
      <c r="J104" s="290"/>
      <c r="K104" s="290"/>
      <c r="L104" s="290"/>
      <c r="M104" s="290"/>
      <c r="N104" s="290"/>
      <c r="O104" s="795"/>
      <c r="P104" s="290"/>
      <c r="Q104" s="290"/>
      <c r="R104" s="290"/>
    </row>
    <row r="105" spans="1:22" ht="12.75" thickBot="1" x14ac:dyDescent="0.25">
      <c r="A105" s="1200" t="s">
        <v>0</v>
      </c>
      <c r="B105" s="1200" t="s">
        <v>1</v>
      </c>
      <c r="C105" s="1195" t="s">
        <v>297</v>
      </c>
      <c r="D105" s="1200" t="s">
        <v>2</v>
      </c>
      <c r="E105" s="1195" t="s">
        <v>3</v>
      </c>
      <c r="F105" s="1200" t="s">
        <v>242</v>
      </c>
      <c r="G105" s="1211" t="s">
        <v>25</v>
      </c>
      <c r="H105" s="1212"/>
      <c r="I105" s="1212"/>
      <c r="J105" s="1213"/>
      <c r="K105" s="1211" t="s">
        <v>783</v>
      </c>
      <c r="L105" s="1212"/>
      <c r="M105" s="1212"/>
      <c r="N105" s="1213"/>
      <c r="O105" s="795"/>
      <c r="P105" s="1207" t="s">
        <v>631</v>
      </c>
      <c r="Q105" s="1216" t="s">
        <v>632</v>
      </c>
      <c r="R105" s="331"/>
    </row>
    <row r="106" spans="1:22" x14ac:dyDescent="0.2">
      <c r="A106" s="1210"/>
      <c r="B106" s="1210"/>
      <c r="C106" s="1196"/>
      <c r="D106" s="1210"/>
      <c r="E106" s="1196"/>
      <c r="F106" s="1210"/>
      <c r="G106" s="1198" t="s">
        <v>296</v>
      </c>
      <c r="H106" s="1200" t="s">
        <v>779</v>
      </c>
      <c r="I106" s="1200" t="s">
        <v>26</v>
      </c>
      <c r="J106" s="1200" t="s">
        <v>293</v>
      </c>
      <c r="K106" s="1198" t="s">
        <v>296</v>
      </c>
      <c r="L106" s="1200" t="s">
        <v>779</v>
      </c>
      <c r="M106" s="1200" t="s">
        <v>26</v>
      </c>
      <c r="N106" s="1200" t="s">
        <v>293</v>
      </c>
      <c r="O106" s="795"/>
      <c r="P106" s="1208"/>
      <c r="Q106" s="1217"/>
      <c r="R106" s="331"/>
    </row>
    <row r="107" spans="1:22" ht="12.75" thickBot="1" x14ac:dyDescent="0.25">
      <c r="A107" s="1201"/>
      <c r="B107" s="1201"/>
      <c r="C107" s="1197"/>
      <c r="D107" s="1201"/>
      <c r="E107" s="1197"/>
      <c r="F107" s="1201"/>
      <c r="G107" s="1199"/>
      <c r="H107" s="1201"/>
      <c r="I107" s="1201"/>
      <c r="J107" s="1201"/>
      <c r="K107" s="1199"/>
      <c r="L107" s="1201"/>
      <c r="M107" s="1201"/>
      <c r="N107" s="1201"/>
      <c r="O107" s="795"/>
      <c r="P107" s="1209"/>
      <c r="Q107" s="1218"/>
      <c r="R107" s="331"/>
    </row>
    <row r="108" spans="1:22" ht="12.75" thickBot="1" x14ac:dyDescent="0.25">
      <c r="A108" s="330" t="s">
        <v>269</v>
      </c>
      <c r="B108" s="1202" t="s">
        <v>283</v>
      </c>
      <c r="C108" s="1203"/>
      <c r="D108" s="1203"/>
      <c r="E108" s="1203"/>
      <c r="F108" s="1203"/>
      <c r="G108" s="1203"/>
      <c r="H108" s="1203"/>
      <c r="I108" s="1203"/>
      <c r="J108" s="1203"/>
      <c r="K108" s="1203"/>
      <c r="L108" s="1203"/>
      <c r="M108" s="1203"/>
      <c r="N108" s="1203"/>
      <c r="O108" s="795"/>
      <c r="P108" s="290"/>
      <c r="Q108" s="290"/>
      <c r="R108" s="290"/>
      <c r="S108" s="802" t="s">
        <v>640</v>
      </c>
      <c r="T108" s="802" t="s">
        <v>637</v>
      </c>
      <c r="U108" s="802" t="s">
        <v>638</v>
      </c>
      <c r="V108" s="802" t="s">
        <v>639</v>
      </c>
    </row>
    <row r="109" spans="1:22" x14ac:dyDescent="0.2">
      <c r="A109" s="317" t="s">
        <v>87</v>
      </c>
      <c r="B109" s="377" t="s">
        <v>581</v>
      </c>
      <c r="C109" s="276" t="s">
        <v>13</v>
      </c>
      <c r="D109" s="276" t="s">
        <v>235</v>
      </c>
      <c r="E109" s="56">
        <v>44</v>
      </c>
      <c r="F109" s="378">
        <v>12</v>
      </c>
      <c r="G109" s="932">
        <f>VLOOKUP(C109,'MemCalculo (Salários)'!$A$38:$D$55,3,FALSE)</f>
        <v>122.14</v>
      </c>
      <c r="H109" s="951">
        <v>0</v>
      </c>
      <c r="I109" s="905">
        <f>(G109+H109)*$J$11</f>
        <v>24.428000000000001</v>
      </c>
      <c r="J109" s="917">
        <f>G109+H109+I109</f>
        <v>146.56800000000001</v>
      </c>
      <c r="K109" s="933">
        <f>E109*F109*G109</f>
        <v>64489.919999999998</v>
      </c>
      <c r="L109" s="905">
        <f>E109*F109*H109</f>
        <v>0</v>
      </c>
      <c r="M109" s="905">
        <f>E109*F109*I109</f>
        <v>12897.984</v>
      </c>
      <c r="N109" s="907">
        <f>E109*F109*J109</f>
        <v>77387.90400000001</v>
      </c>
      <c r="O109" s="795"/>
      <c r="P109" s="185" t="s">
        <v>641</v>
      </c>
      <c r="Q109" s="185" t="s">
        <v>641</v>
      </c>
      <c r="R109" s="300"/>
      <c r="S109" s="185" t="s">
        <v>633</v>
      </c>
      <c r="T109" s="185">
        <f>SUMIF($P$109:$P$113,S109,$E$109:$E$113)</f>
        <v>0</v>
      </c>
      <c r="U109" s="185">
        <f>SUMIFS($E$109:$E$113,$Q$109:$Q$113,U108,$P$109:$P$113,S109)</f>
        <v>0</v>
      </c>
      <c r="V109" s="185">
        <f>SUMIFS($E$109:$E$113,$Q$109:$Q$113,V108,$P$109:$P$113,S109)</f>
        <v>0</v>
      </c>
    </row>
    <row r="110" spans="1:22" x14ac:dyDescent="0.2">
      <c r="A110" s="318" t="s">
        <v>88</v>
      </c>
      <c r="B110" s="312" t="s">
        <v>578</v>
      </c>
      <c r="C110" s="62" t="s">
        <v>17</v>
      </c>
      <c r="D110" s="62" t="s">
        <v>27</v>
      </c>
      <c r="E110" s="57">
        <v>3</v>
      </c>
      <c r="F110" s="58">
        <v>12</v>
      </c>
      <c r="G110" s="932">
        <f>VLOOKUP(C110,'MemCalculo (Salários)'!$A$38:$D$55,4,FALSE)</f>
        <v>10505.439999999999</v>
      </c>
      <c r="H110" s="910">
        <v>0</v>
      </c>
      <c r="I110" s="908">
        <f>ROUND((G110+H110)*$H$11,2)</f>
        <v>7639.56</v>
      </c>
      <c r="J110" s="917">
        <f>G110+H110+I110</f>
        <v>18145</v>
      </c>
      <c r="K110" s="933">
        <f>E110*F110*G110</f>
        <v>378195.83999999997</v>
      </c>
      <c r="L110" s="905">
        <f>E110*F110*H110</f>
        <v>0</v>
      </c>
      <c r="M110" s="905">
        <f>E110*F110*I110</f>
        <v>275024.16000000003</v>
      </c>
      <c r="N110" s="907">
        <f>E110*F110*J110</f>
        <v>653220</v>
      </c>
      <c r="O110" s="795"/>
      <c r="P110" s="185" t="s">
        <v>636</v>
      </c>
      <c r="Q110" s="185" t="s">
        <v>634</v>
      </c>
      <c r="R110" s="300"/>
      <c r="S110" s="185" t="s">
        <v>636</v>
      </c>
      <c r="T110" s="185">
        <f>SUMIF($P$109:$P$113,S110,$E$109:$E$113)</f>
        <v>23</v>
      </c>
      <c r="U110" s="185">
        <f>SUMIFS($E$109:$E$113,$Q$109:$Q$113,U108,$P$109:$P$113,S110)</f>
        <v>3</v>
      </c>
      <c r="V110" s="185">
        <f>SUMIFS($E$109:$E$113,$Q$109:$Q$113,V108,$P$109:$P$113,S110)</f>
        <v>20</v>
      </c>
    </row>
    <row r="111" spans="1:22" x14ac:dyDescent="0.2">
      <c r="A111" s="319" t="s">
        <v>270</v>
      </c>
      <c r="B111" s="320" t="s">
        <v>39</v>
      </c>
      <c r="C111" s="62" t="s">
        <v>19</v>
      </c>
      <c r="D111" s="62" t="s">
        <v>27</v>
      </c>
      <c r="E111" s="57">
        <v>8</v>
      </c>
      <c r="F111" s="58">
        <v>12</v>
      </c>
      <c r="G111" s="932">
        <f>VLOOKUP(C111,'MemCalculo (Salários)'!$A$38:$D$55,4,FALSE)</f>
        <v>6196.96</v>
      </c>
      <c r="H111" s="910">
        <v>0</v>
      </c>
      <c r="I111" s="908">
        <f t="shared" ref="I111" si="24">ROUND((G111+H111)*$H$11,2)</f>
        <v>4506.43</v>
      </c>
      <c r="J111" s="917">
        <f>G111+H111+I111</f>
        <v>10703.39</v>
      </c>
      <c r="K111" s="933">
        <f>E111*F111*G111</f>
        <v>594908.16000000003</v>
      </c>
      <c r="L111" s="905">
        <f>E111*F111*H111</f>
        <v>0</v>
      </c>
      <c r="M111" s="905">
        <f>E111*F111*I111</f>
        <v>432617.28</v>
      </c>
      <c r="N111" s="907">
        <f>E111*F111*J111</f>
        <v>1027525.44</v>
      </c>
      <c r="O111" s="795"/>
      <c r="P111" s="185" t="s">
        <v>636</v>
      </c>
      <c r="Q111" s="185" t="s">
        <v>635</v>
      </c>
      <c r="R111" s="300"/>
    </row>
    <row r="112" spans="1:22" x14ac:dyDescent="0.2">
      <c r="A112" s="319" t="s">
        <v>270</v>
      </c>
      <c r="B112" s="320" t="s">
        <v>10</v>
      </c>
      <c r="C112" s="62" t="s">
        <v>20</v>
      </c>
      <c r="D112" s="62" t="s">
        <v>27</v>
      </c>
      <c r="E112" s="57">
        <v>6</v>
      </c>
      <c r="F112" s="58">
        <v>12</v>
      </c>
      <c r="G112" s="932">
        <f>VLOOKUP(C112,'MemCalculo (Salários)'!$A$38:$D$55,4,FALSE)</f>
        <v>4384.16</v>
      </c>
      <c r="H112" s="910">
        <v>0</v>
      </c>
      <c r="I112" s="908">
        <f>ROUND((G112+H112)*$H$11,2)</f>
        <v>3188.16</v>
      </c>
      <c r="J112" s="917">
        <f>G112+H112+I112</f>
        <v>7572.32</v>
      </c>
      <c r="K112" s="933">
        <f>E112*F112*G112</f>
        <v>315659.52000000002</v>
      </c>
      <c r="L112" s="905">
        <f>E112*F112*H112</f>
        <v>0</v>
      </c>
      <c r="M112" s="905">
        <f>E112*F112*I112</f>
        <v>229547.51999999999</v>
      </c>
      <c r="N112" s="907">
        <f>E112*F112*J112</f>
        <v>545207.04000000004</v>
      </c>
      <c r="O112" s="795"/>
      <c r="P112" s="185" t="s">
        <v>636</v>
      </c>
      <c r="Q112" s="185" t="s">
        <v>635</v>
      </c>
      <c r="R112" s="300"/>
    </row>
    <row r="113" spans="1:23" ht="12.75" thickBot="1" x14ac:dyDescent="0.25">
      <c r="A113" s="319" t="s">
        <v>270</v>
      </c>
      <c r="B113" s="382" t="s">
        <v>579</v>
      </c>
      <c r="C113" s="189" t="s">
        <v>580</v>
      </c>
      <c r="D113" s="189" t="s">
        <v>27</v>
      </c>
      <c r="E113" s="381">
        <v>6</v>
      </c>
      <c r="F113" s="383">
        <v>12</v>
      </c>
      <c r="G113" s="932">
        <f>VLOOKUP(C113,'MemCalculo (Salários)'!$A$38:$D$55,4,FALSE)</f>
        <v>3717.1200000000003</v>
      </c>
      <c r="H113" s="910">
        <v>0</v>
      </c>
      <c r="I113" s="908">
        <f>ROUND((G113+H113)*$H$11,2)</f>
        <v>2703.09</v>
      </c>
      <c r="J113" s="917">
        <f>G113+H113+I113</f>
        <v>6420.2100000000009</v>
      </c>
      <c r="K113" s="933">
        <f>E113*F113*G113</f>
        <v>267632.64000000001</v>
      </c>
      <c r="L113" s="905">
        <f>E113*F113*H113</f>
        <v>0</v>
      </c>
      <c r="M113" s="905">
        <f>E113*F113*I113</f>
        <v>194622.48</v>
      </c>
      <c r="N113" s="907">
        <f>E113*F113*J113</f>
        <v>462255.12000000005</v>
      </c>
      <c r="O113" s="795"/>
      <c r="P113" s="185" t="s">
        <v>636</v>
      </c>
      <c r="Q113" s="185" t="s">
        <v>635</v>
      </c>
      <c r="R113" s="300"/>
    </row>
    <row r="114" spans="1:23" ht="12.75" thickBot="1" x14ac:dyDescent="0.25">
      <c r="A114" s="1204" t="s">
        <v>508</v>
      </c>
      <c r="B114" s="1205"/>
      <c r="C114" s="1205"/>
      <c r="D114" s="1205"/>
      <c r="E114" s="1205"/>
      <c r="F114" s="1205"/>
      <c r="G114" s="1205"/>
      <c r="H114" s="1205"/>
      <c r="I114" s="1205"/>
      <c r="J114" s="1206"/>
      <c r="K114" s="385">
        <f>SUM(K110:K113)</f>
        <v>1556396.1600000001</v>
      </c>
      <c r="L114" s="391">
        <f>SUM(L110:L113)</f>
        <v>0</v>
      </c>
      <c r="M114" s="391">
        <f>SUM(M110:M113)</f>
        <v>1131811.4400000002</v>
      </c>
      <c r="N114" s="391">
        <f>SUM(N110:N113)</f>
        <v>2688207.6</v>
      </c>
      <c r="O114" s="795"/>
      <c r="P114" s="290"/>
      <c r="Q114" s="290"/>
      <c r="R114" s="290"/>
    </row>
    <row r="115" spans="1:23" ht="12.75" thickBot="1" x14ac:dyDescent="0.25">
      <c r="A115" s="1226" t="s">
        <v>509</v>
      </c>
      <c r="B115" s="1205"/>
      <c r="C115" s="1205"/>
      <c r="D115" s="1205"/>
      <c r="E115" s="1205"/>
      <c r="F115" s="1205"/>
      <c r="G115" s="1205"/>
      <c r="H115" s="1205"/>
      <c r="I115" s="1205"/>
      <c r="J115" s="1206"/>
      <c r="K115" s="395">
        <f>K109</f>
        <v>64489.919999999998</v>
      </c>
      <c r="L115" s="396">
        <f>L109</f>
        <v>0</v>
      </c>
      <c r="M115" s="396">
        <f>M109</f>
        <v>12897.984</v>
      </c>
      <c r="N115" s="396">
        <f>N109</f>
        <v>77387.90400000001</v>
      </c>
      <c r="O115" s="795"/>
      <c r="P115" s="290"/>
      <c r="Q115" s="290"/>
      <c r="R115" s="290"/>
    </row>
    <row r="116" spans="1:23" ht="12.75" thickBot="1" x14ac:dyDescent="0.25">
      <c r="A116" s="1233" t="s">
        <v>271</v>
      </c>
      <c r="B116" s="1234"/>
      <c r="C116" s="1234"/>
      <c r="D116" s="1234"/>
      <c r="E116" s="1234"/>
      <c r="F116" s="1234"/>
      <c r="G116" s="1235"/>
      <c r="H116" s="1235"/>
      <c r="I116" s="1235"/>
      <c r="J116" s="1236"/>
      <c r="K116" s="386">
        <f>SUM(K114:K115)</f>
        <v>1620886.08</v>
      </c>
      <c r="L116" s="394">
        <f>SUM(L114:L115)</f>
        <v>0</v>
      </c>
      <c r="M116" s="394">
        <f>SUM(M114:M115)</f>
        <v>1144709.4240000001</v>
      </c>
      <c r="N116" s="394">
        <f>SUM(N114:N115)</f>
        <v>2765595.5040000002</v>
      </c>
      <c r="O116" s="795"/>
      <c r="P116" s="290"/>
      <c r="Q116" s="290"/>
      <c r="R116" s="290"/>
    </row>
    <row r="117" spans="1:23" x14ac:dyDescent="0.2">
      <c r="A117" s="288"/>
      <c r="B117" s="289"/>
      <c r="C117" s="290"/>
      <c r="D117" s="288"/>
      <c r="E117" s="288"/>
      <c r="F117" s="288"/>
      <c r="G117" s="290"/>
      <c r="H117" s="290"/>
      <c r="I117" s="290"/>
      <c r="J117" s="290"/>
      <c r="K117" s="290"/>
      <c r="L117" s="290"/>
      <c r="M117" s="290"/>
      <c r="N117" s="290"/>
      <c r="O117" s="795"/>
      <c r="P117" s="290"/>
      <c r="Q117" s="290"/>
      <c r="R117" s="290"/>
    </row>
    <row r="118" spans="1:23" x14ac:dyDescent="0.2">
      <c r="A118" s="288"/>
      <c r="B118" s="289"/>
      <c r="C118" s="290"/>
      <c r="D118" s="288"/>
      <c r="E118" s="288"/>
      <c r="F118" s="288"/>
      <c r="G118" s="290"/>
      <c r="H118" s="290"/>
      <c r="I118" s="290"/>
      <c r="J118" s="290"/>
      <c r="K118" s="290"/>
      <c r="L118" s="290"/>
      <c r="M118" s="290"/>
      <c r="N118" s="290"/>
      <c r="O118" s="795"/>
      <c r="P118" s="290"/>
      <c r="Q118" s="290"/>
      <c r="R118" s="290"/>
    </row>
    <row r="119" spans="1:23" x14ac:dyDescent="0.2">
      <c r="A119" s="288"/>
      <c r="B119" s="289"/>
      <c r="C119" s="290"/>
      <c r="D119" s="288"/>
      <c r="E119" s="288"/>
      <c r="F119" s="288"/>
      <c r="G119" s="290"/>
      <c r="H119" s="290"/>
      <c r="I119" s="290"/>
      <c r="J119" s="290"/>
      <c r="K119" s="290"/>
      <c r="L119" s="290"/>
      <c r="M119" s="290"/>
      <c r="N119" s="290"/>
      <c r="O119" s="795"/>
      <c r="P119" s="290"/>
      <c r="Q119" s="290"/>
      <c r="R119" s="290"/>
    </row>
    <row r="120" spans="1:23" ht="12.75" thickBot="1" x14ac:dyDescent="0.25">
      <c r="A120" s="288"/>
      <c r="B120" s="289"/>
      <c r="C120" s="290"/>
      <c r="D120" s="288"/>
      <c r="E120" s="288"/>
      <c r="F120" s="288"/>
      <c r="G120" s="290"/>
      <c r="H120" s="290"/>
      <c r="I120" s="290"/>
      <c r="J120" s="290"/>
      <c r="K120" s="290"/>
      <c r="L120" s="290"/>
      <c r="M120" s="290"/>
      <c r="N120" s="290"/>
      <c r="O120" s="795"/>
      <c r="P120" s="290"/>
      <c r="Q120" s="290"/>
      <c r="R120" s="290"/>
    </row>
    <row r="121" spans="1:23" ht="12.75" thickBot="1" x14ac:dyDescent="0.25">
      <c r="A121" s="1200" t="s">
        <v>0</v>
      </c>
      <c r="B121" s="1200" t="s">
        <v>1</v>
      </c>
      <c r="C121" s="1195" t="s">
        <v>297</v>
      </c>
      <c r="D121" s="1200" t="s">
        <v>2</v>
      </c>
      <c r="E121" s="1195" t="s">
        <v>3</v>
      </c>
      <c r="F121" s="1200" t="s">
        <v>242</v>
      </c>
      <c r="G121" s="1211" t="s">
        <v>25</v>
      </c>
      <c r="H121" s="1212"/>
      <c r="I121" s="1212"/>
      <c r="J121" s="1213"/>
      <c r="K121" s="1211" t="s">
        <v>783</v>
      </c>
      <c r="L121" s="1212"/>
      <c r="M121" s="1212"/>
      <c r="N121" s="1213"/>
      <c r="O121" s="795"/>
      <c r="P121" s="1207" t="s">
        <v>631</v>
      </c>
      <c r="Q121" s="1216" t="s">
        <v>632</v>
      </c>
      <c r="R121" s="331"/>
    </row>
    <row r="122" spans="1:23" x14ac:dyDescent="0.2">
      <c r="A122" s="1210"/>
      <c r="B122" s="1210"/>
      <c r="C122" s="1196"/>
      <c r="D122" s="1210"/>
      <c r="E122" s="1196"/>
      <c r="F122" s="1210"/>
      <c r="G122" s="1198" t="s">
        <v>296</v>
      </c>
      <c r="H122" s="1200" t="s">
        <v>779</v>
      </c>
      <c r="I122" s="1200" t="s">
        <v>26</v>
      </c>
      <c r="J122" s="1200" t="s">
        <v>293</v>
      </c>
      <c r="K122" s="1198" t="s">
        <v>296</v>
      </c>
      <c r="L122" s="1200" t="s">
        <v>779</v>
      </c>
      <c r="M122" s="1200" t="s">
        <v>26</v>
      </c>
      <c r="N122" s="1200" t="s">
        <v>293</v>
      </c>
      <c r="O122" s="795"/>
      <c r="P122" s="1208"/>
      <c r="Q122" s="1217"/>
      <c r="R122" s="331"/>
      <c r="S122" s="802" t="s">
        <v>640</v>
      </c>
      <c r="T122" s="802" t="s">
        <v>637</v>
      </c>
      <c r="U122" s="802" t="s">
        <v>638</v>
      </c>
      <c r="V122" s="802" t="s">
        <v>639</v>
      </c>
      <c r="W122" s="802" t="s">
        <v>644</v>
      </c>
    </row>
    <row r="123" spans="1:23" ht="12.75" thickBot="1" x14ac:dyDescent="0.25">
      <c r="A123" s="1201"/>
      <c r="B123" s="1201"/>
      <c r="C123" s="1197"/>
      <c r="D123" s="1201"/>
      <c r="E123" s="1197"/>
      <c r="F123" s="1201"/>
      <c r="G123" s="1199"/>
      <c r="H123" s="1201"/>
      <c r="I123" s="1201"/>
      <c r="J123" s="1201"/>
      <c r="K123" s="1199"/>
      <c r="L123" s="1201"/>
      <c r="M123" s="1201"/>
      <c r="N123" s="1201"/>
      <c r="O123" s="795"/>
      <c r="P123" s="1209"/>
      <c r="Q123" s="1218"/>
      <c r="R123" s="331"/>
      <c r="S123" s="185" t="s">
        <v>633</v>
      </c>
      <c r="T123" s="185">
        <f>SUMIF($P$126:$P$151,S123,$E$126:$E$151)</f>
        <v>0</v>
      </c>
      <c r="U123" s="185">
        <f>SUMIFS($E$126:$E$151,$Q$126:$Q$151,U122,$P$126:$P$151,S123)</f>
        <v>0</v>
      </c>
      <c r="V123" s="185">
        <f>SUMIFS($E$126:$E$151,$Q$126:$Q$151,V122,$P$126:$P$151,S123)</f>
        <v>0</v>
      </c>
      <c r="W123" s="185">
        <f>SUMIFS($E$126:$E$151,$Q$126:$Q$151,W122,$P$126:$P$151,T123)</f>
        <v>0</v>
      </c>
    </row>
    <row r="124" spans="1:23" ht="12.75" thickBot="1" x14ac:dyDescent="0.25">
      <c r="A124" s="293">
        <v>7</v>
      </c>
      <c r="B124" s="1203" t="s">
        <v>814</v>
      </c>
      <c r="C124" s="1203"/>
      <c r="D124" s="1203"/>
      <c r="E124" s="1203"/>
      <c r="F124" s="1203"/>
      <c r="G124" s="1203"/>
      <c r="H124" s="1203"/>
      <c r="I124" s="1203"/>
      <c r="J124" s="1203"/>
      <c r="K124" s="1203"/>
      <c r="L124" s="1203"/>
      <c r="M124" s="1203"/>
      <c r="N124" s="1203"/>
      <c r="O124" s="795"/>
      <c r="P124" s="290"/>
      <c r="Q124" s="290"/>
      <c r="R124" s="290"/>
      <c r="S124" s="185" t="s">
        <v>636</v>
      </c>
      <c r="T124" s="185">
        <f>SUMIF($P$126:$P$151,S124,$E$126:$E$151)</f>
        <v>18</v>
      </c>
      <c r="U124" s="185">
        <f>SUMIFS($E$126:$E$151,$Q$126:$Q$151,U122,$P$126:$P$151,S124)</f>
        <v>15</v>
      </c>
      <c r="V124" s="185">
        <f>SUMIFS($E$126:$E$151,$Q$126:$Q$151,V122,$P$126:$P$151,S124)</f>
        <v>2</v>
      </c>
      <c r="W124" s="185">
        <f>SUMIFS($E$126:$E$151,$Q$126:$Q$151,W122,$P$126:$P$151,S124)</f>
        <v>1</v>
      </c>
    </row>
    <row r="125" spans="1:23" ht="12.75" thickBot="1" x14ac:dyDescent="0.25">
      <c r="A125" s="305" t="s">
        <v>541</v>
      </c>
      <c r="B125" s="1284" t="s">
        <v>539</v>
      </c>
      <c r="C125" s="1285"/>
      <c r="D125" s="1285"/>
      <c r="E125" s="1285"/>
      <c r="F125" s="1285"/>
      <c r="G125" s="1285"/>
      <c r="H125" s="1285"/>
      <c r="I125" s="1285"/>
      <c r="J125" s="1285"/>
      <c r="K125" s="1285"/>
      <c r="L125" s="1285"/>
      <c r="M125" s="1285"/>
      <c r="N125" s="1285"/>
      <c r="O125" s="795"/>
      <c r="P125" s="290"/>
      <c r="Q125" s="290"/>
      <c r="R125" s="290"/>
    </row>
    <row r="126" spans="1:23" x14ac:dyDescent="0.2">
      <c r="A126" s="295" t="s">
        <v>543</v>
      </c>
      <c r="B126" s="934" t="s">
        <v>567</v>
      </c>
      <c r="C126" s="935" t="s">
        <v>97</v>
      </c>
      <c r="D126" s="936" t="s">
        <v>27</v>
      </c>
      <c r="E126" s="935">
        <v>4</v>
      </c>
      <c r="F126" s="935">
        <v>18</v>
      </c>
      <c r="G126" s="932">
        <f>VLOOKUP(C126,'MemCalculo (Salários)'!$A$13:$D$30,4,FALSE)</f>
        <v>1784.64</v>
      </c>
      <c r="H126" s="910">
        <v>0</v>
      </c>
      <c r="I126" s="908">
        <f>ROUND((G126+H126)*$I$11,2)</f>
        <v>1289.76</v>
      </c>
      <c r="J126" s="917">
        <f>G126+H126+I126</f>
        <v>3074.4</v>
      </c>
      <c r="K126" s="933">
        <f>E126*F126*G126</f>
        <v>128494.08</v>
      </c>
      <c r="L126" s="905">
        <f>E126*F126*H126</f>
        <v>0</v>
      </c>
      <c r="M126" s="905">
        <f>E126*F126*I126</f>
        <v>92862.720000000001</v>
      </c>
      <c r="N126" s="907">
        <f>E126*F126*J126</f>
        <v>221356.80000000002</v>
      </c>
      <c r="O126" s="795"/>
      <c r="P126" s="333" t="s">
        <v>643</v>
      </c>
      <c r="Q126" s="334" t="s">
        <v>635</v>
      </c>
      <c r="R126" s="300"/>
    </row>
    <row r="127" spans="1:23" ht="12.75" thickBot="1" x14ac:dyDescent="0.25">
      <c r="A127" s="325" t="s">
        <v>544</v>
      </c>
      <c r="B127" s="937" t="s">
        <v>272</v>
      </c>
      <c r="C127" s="927" t="s">
        <v>66</v>
      </c>
      <c r="D127" s="926" t="s">
        <v>235</v>
      </c>
      <c r="E127" s="927">
        <f>32*4</f>
        <v>128</v>
      </c>
      <c r="F127" s="927">
        <v>18</v>
      </c>
      <c r="G127" s="932">
        <f>VLOOKUP(C127,'MemCalculo (Salários)'!$A$13:$D$30,3,FALSE)</f>
        <v>6.38</v>
      </c>
      <c r="H127" s="938">
        <v>0</v>
      </c>
      <c r="I127" s="939">
        <f>ROUND((G127+H127)*$G$11,2)</f>
        <v>7.48</v>
      </c>
      <c r="J127" s="940">
        <f>G127+H127+I127</f>
        <v>13.86</v>
      </c>
      <c r="K127" s="941">
        <f>E127*F127*G127</f>
        <v>14699.52</v>
      </c>
      <c r="L127" s="916">
        <f>E127*F127*H127</f>
        <v>0</v>
      </c>
      <c r="M127" s="916">
        <f>E127*F127*I127</f>
        <v>17233.920000000002</v>
      </c>
      <c r="N127" s="942">
        <f>E127*F127*J127</f>
        <v>31933.439999999999</v>
      </c>
      <c r="O127" s="795"/>
      <c r="P127" s="335" t="s">
        <v>643</v>
      </c>
      <c r="Q127" s="233" t="s">
        <v>642</v>
      </c>
      <c r="R127" s="300"/>
    </row>
    <row r="128" spans="1:23" ht="12.75" thickBot="1" x14ac:dyDescent="0.25">
      <c r="A128" s="789" t="s">
        <v>542</v>
      </c>
      <c r="B128" s="1265" t="s">
        <v>540</v>
      </c>
      <c r="C128" s="1266"/>
      <c r="D128" s="1266"/>
      <c r="E128" s="1266"/>
      <c r="F128" s="1266"/>
      <c r="G128" s="1266"/>
      <c r="H128" s="1266"/>
      <c r="I128" s="1266"/>
      <c r="J128" s="1266"/>
      <c r="K128" s="1266"/>
      <c r="L128" s="1266"/>
      <c r="M128" s="1266"/>
      <c r="N128" s="1266"/>
      <c r="O128" s="795"/>
      <c r="P128" s="336"/>
      <c r="Q128" s="233"/>
      <c r="R128" s="300"/>
    </row>
    <row r="129" spans="1:18" x14ac:dyDescent="0.2">
      <c r="A129" s="295" t="s">
        <v>545</v>
      </c>
      <c r="B129" s="934" t="s">
        <v>230</v>
      </c>
      <c r="C129" s="935" t="s">
        <v>95</v>
      </c>
      <c r="D129" s="936" t="s">
        <v>27</v>
      </c>
      <c r="E129" s="935">
        <v>1</v>
      </c>
      <c r="F129" s="943">
        <v>18</v>
      </c>
      <c r="G129" s="932">
        <f>VLOOKUP(C129,'MemCalculo (Salários)'!$A$13:$D$30,4,FALSE)</f>
        <v>5023.04</v>
      </c>
      <c r="H129" s="910">
        <v>0</v>
      </c>
      <c r="I129" s="908">
        <f>ROUND((G129+H129)*$I$11,2)</f>
        <v>3630.15</v>
      </c>
      <c r="J129" s="917">
        <f t="shared" ref="J129:J134" si="25">G129+H129+I129</f>
        <v>8653.19</v>
      </c>
      <c r="K129" s="944">
        <f t="shared" ref="K129:K136" si="26">E129*F129*G129</f>
        <v>90414.720000000001</v>
      </c>
      <c r="L129" s="914">
        <f t="shared" ref="L129:L136" si="27">E129*F129*H129</f>
        <v>0</v>
      </c>
      <c r="M129" s="914">
        <f t="shared" ref="M129:M136" si="28">E129*F129*I129</f>
        <v>65342.700000000004</v>
      </c>
      <c r="N129" s="945">
        <f>E129*F129*J129</f>
        <v>155757.42000000001</v>
      </c>
      <c r="O129" s="795"/>
      <c r="P129" s="335" t="s">
        <v>643</v>
      </c>
      <c r="Q129" s="233" t="s">
        <v>634</v>
      </c>
      <c r="R129" s="300"/>
    </row>
    <row r="130" spans="1:18" x14ac:dyDescent="0.2">
      <c r="A130" s="287" t="s">
        <v>546</v>
      </c>
      <c r="B130" s="928" t="s">
        <v>89</v>
      </c>
      <c r="C130" s="882" t="s">
        <v>96</v>
      </c>
      <c r="D130" s="929" t="s">
        <v>27</v>
      </c>
      <c r="E130" s="882">
        <v>1</v>
      </c>
      <c r="F130" s="874">
        <v>18</v>
      </c>
      <c r="G130" s="932">
        <f>VLOOKUP(C130,'MemCalculo (Salários)'!$A$13:$D$30,4,FALSE)</f>
        <v>4144.8</v>
      </c>
      <c r="H130" s="910">
        <v>0</v>
      </c>
      <c r="I130" s="908">
        <f t="shared" ref="I130:I136" si="29">ROUND((G130+H130)*$I$11,2)</f>
        <v>2995.45</v>
      </c>
      <c r="J130" s="917">
        <f t="shared" si="25"/>
        <v>7140.25</v>
      </c>
      <c r="K130" s="933">
        <f t="shared" si="26"/>
        <v>74606.400000000009</v>
      </c>
      <c r="L130" s="905">
        <f t="shared" si="27"/>
        <v>0</v>
      </c>
      <c r="M130" s="905">
        <f t="shared" si="28"/>
        <v>53918.1</v>
      </c>
      <c r="N130" s="907">
        <f>E130*F130*J130</f>
        <v>128524.5</v>
      </c>
      <c r="O130" s="795"/>
      <c r="P130" s="335" t="s">
        <v>643</v>
      </c>
      <c r="Q130" s="233" t="s">
        <v>635</v>
      </c>
      <c r="R130" s="300"/>
    </row>
    <row r="131" spans="1:18" x14ac:dyDescent="0.2">
      <c r="A131" s="287" t="s">
        <v>547</v>
      </c>
      <c r="B131" s="928" t="s">
        <v>67</v>
      </c>
      <c r="C131" s="882" t="s">
        <v>65</v>
      </c>
      <c r="D131" s="929" t="s">
        <v>27</v>
      </c>
      <c r="E131" s="882">
        <v>2</v>
      </c>
      <c r="F131" s="874">
        <v>18</v>
      </c>
      <c r="G131" s="932">
        <f>VLOOKUP(C131,'MemCalculo (Salários)'!$A$13:$D$30,4,FALSE)</f>
        <v>3708.32</v>
      </c>
      <c r="H131" s="910">
        <v>0</v>
      </c>
      <c r="I131" s="908">
        <f t="shared" si="29"/>
        <v>2680</v>
      </c>
      <c r="J131" s="917">
        <f t="shared" si="25"/>
        <v>6388.32</v>
      </c>
      <c r="K131" s="933">
        <f t="shared" si="26"/>
        <v>133499.52000000002</v>
      </c>
      <c r="L131" s="905">
        <f t="shared" si="27"/>
        <v>0</v>
      </c>
      <c r="M131" s="905">
        <f t="shared" si="28"/>
        <v>96480</v>
      </c>
      <c r="N131" s="907">
        <f t="shared" ref="N131" si="30">E131*F131*J131</f>
        <v>229979.51999999999</v>
      </c>
      <c r="O131" s="795"/>
      <c r="P131" s="335" t="s">
        <v>643</v>
      </c>
      <c r="Q131" s="233" t="s">
        <v>635</v>
      </c>
      <c r="R131" s="300"/>
    </row>
    <row r="132" spans="1:18" x14ac:dyDescent="0.2">
      <c r="A132" s="287" t="s">
        <v>548</v>
      </c>
      <c r="B132" s="928" t="s">
        <v>567</v>
      </c>
      <c r="C132" s="882" t="s">
        <v>97</v>
      </c>
      <c r="D132" s="929" t="s">
        <v>27</v>
      </c>
      <c r="E132" s="882">
        <v>1</v>
      </c>
      <c r="F132" s="946">
        <v>18</v>
      </c>
      <c r="G132" s="932">
        <f>VLOOKUP(C132,'MemCalculo (Salários)'!$A$13:$D$30,4,FALSE)</f>
        <v>1784.64</v>
      </c>
      <c r="H132" s="910">
        <v>0</v>
      </c>
      <c r="I132" s="908">
        <f t="shared" si="29"/>
        <v>1289.76</v>
      </c>
      <c r="J132" s="917">
        <f t="shared" si="25"/>
        <v>3074.4</v>
      </c>
      <c r="K132" s="933">
        <f t="shared" si="26"/>
        <v>32123.52</v>
      </c>
      <c r="L132" s="905">
        <f t="shared" si="27"/>
        <v>0</v>
      </c>
      <c r="M132" s="905">
        <f t="shared" si="28"/>
        <v>23215.68</v>
      </c>
      <c r="N132" s="907">
        <f>E132*F132*J132</f>
        <v>55339.200000000004</v>
      </c>
      <c r="O132" s="795"/>
      <c r="P132" s="335" t="s">
        <v>643</v>
      </c>
      <c r="Q132" s="233" t="s">
        <v>642</v>
      </c>
      <c r="R132" s="300"/>
    </row>
    <row r="133" spans="1:18" x14ac:dyDescent="0.2">
      <c r="A133" s="287" t="s">
        <v>549</v>
      </c>
      <c r="B133" s="928" t="s">
        <v>273</v>
      </c>
      <c r="C133" s="882" t="s">
        <v>20</v>
      </c>
      <c r="D133" s="929" t="s">
        <v>27</v>
      </c>
      <c r="E133" s="882">
        <v>2</v>
      </c>
      <c r="F133" s="874">
        <v>18</v>
      </c>
      <c r="G133" s="932">
        <f>VLOOKUP(C133,'MemCalculo (Salários)'!$A$13:$D$30,4,FALSE)</f>
        <v>4928</v>
      </c>
      <c r="H133" s="910">
        <v>0</v>
      </c>
      <c r="I133" s="908">
        <f t="shared" si="29"/>
        <v>3561.47</v>
      </c>
      <c r="J133" s="917">
        <f t="shared" si="25"/>
        <v>8489.4699999999993</v>
      </c>
      <c r="K133" s="933">
        <f t="shared" si="26"/>
        <v>177408</v>
      </c>
      <c r="L133" s="905">
        <f t="shared" si="27"/>
        <v>0</v>
      </c>
      <c r="M133" s="905">
        <f t="shared" si="28"/>
        <v>128212.92</v>
      </c>
      <c r="N133" s="907">
        <f>E133*F133*J133</f>
        <v>305620.92</v>
      </c>
      <c r="O133" s="795"/>
      <c r="P133" s="335" t="s">
        <v>643</v>
      </c>
      <c r="Q133" s="233" t="s">
        <v>635</v>
      </c>
      <c r="R133" s="300"/>
    </row>
    <row r="134" spans="1:18" x14ac:dyDescent="0.2">
      <c r="A134" s="287" t="s">
        <v>550</v>
      </c>
      <c r="B134" s="928" t="s">
        <v>569</v>
      </c>
      <c r="C134" s="882" t="s">
        <v>66</v>
      </c>
      <c r="D134" s="929" t="s">
        <v>27</v>
      </c>
      <c r="E134" s="882">
        <v>2</v>
      </c>
      <c r="F134" s="874">
        <v>18</v>
      </c>
      <c r="G134" s="932">
        <f>VLOOKUP(C134,'MemCalculo (Salários)'!$A$13:$D$30,4,FALSE)</f>
        <v>1122.8799999999999</v>
      </c>
      <c r="H134" s="910">
        <v>0</v>
      </c>
      <c r="I134" s="908">
        <f t="shared" si="29"/>
        <v>811.51</v>
      </c>
      <c r="J134" s="917">
        <f t="shared" si="25"/>
        <v>1934.3899999999999</v>
      </c>
      <c r="K134" s="933">
        <f t="shared" si="26"/>
        <v>40423.679999999993</v>
      </c>
      <c r="L134" s="905">
        <f t="shared" si="27"/>
        <v>0</v>
      </c>
      <c r="M134" s="905">
        <f t="shared" si="28"/>
        <v>29214.36</v>
      </c>
      <c r="N134" s="907">
        <f>E134*F134*J134</f>
        <v>69638.039999999994</v>
      </c>
      <c r="O134" s="795"/>
      <c r="P134" s="335" t="s">
        <v>643</v>
      </c>
      <c r="Q134" s="233" t="s">
        <v>642</v>
      </c>
      <c r="R134" s="300"/>
    </row>
    <row r="135" spans="1:18" x14ac:dyDescent="0.2">
      <c r="A135" s="287" t="s">
        <v>551</v>
      </c>
      <c r="B135" s="928" t="s">
        <v>274</v>
      </c>
      <c r="C135" s="882" t="s">
        <v>66</v>
      </c>
      <c r="D135" s="929" t="s">
        <v>27</v>
      </c>
      <c r="E135" s="882">
        <v>1</v>
      </c>
      <c r="F135" s="874">
        <v>18</v>
      </c>
      <c r="G135" s="932">
        <f>VLOOKUP(C135,'MemCalculo (Salários)'!$A$13:$D$30,4,FALSE)</f>
        <v>1122.8799999999999</v>
      </c>
      <c r="H135" s="910">
        <v>0</v>
      </c>
      <c r="I135" s="908">
        <f t="shared" si="29"/>
        <v>811.51</v>
      </c>
      <c r="J135" s="917">
        <f t="shared" ref="J135" si="31">G135+H135+I135</f>
        <v>1934.3899999999999</v>
      </c>
      <c r="K135" s="933">
        <f t="shared" si="26"/>
        <v>20211.839999999997</v>
      </c>
      <c r="L135" s="905">
        <f t="shared" si="27"/>
        <v>0</v>
      </c>
      <c r="M135" s="905">
        <f t="shared" si="28"/>
        <v>14607.18</v>
      </c>
      <c r="N135" s="907">
        <f>E135*F135*J135</f>
        <v>34819.019999999997</v>
      </c>
      <c r="O135" s="795"/>
      <c r="P135" s="335" t="s">
        <v>643</v>
      </c>
      <c r="Q135" s="233" t="s">
        <v>642</v>
      </c>
      <c r="R135" s="300"/>
    </row>
    <row r="136" spans="1:18" ht="12.75" thickBot="1" x14ac:dyDescent="0.25">
      <c r="A136" s="325" t="s">
        <v>568</v>
      </c>
      <c r="B136" s="930" t="s">
        <v>94</v>
      </c>
      <c r="C136" s="947" t="s">
        <v>97</v>
      </c>
      <c r="D136" s="931" t="s">
        <v>27</v>
      </c>
      <c r="E136" s="947">
        <v>2</v>
      </c>
      <c r="F136" s="948">
        <v>18</v>
      </c>
      <c r="G136" s="932">
        <f>VLOOKUP(C136,'MemCalculo (Salários)'!$A$13:$D$30,4,FALSE)</f>
        <v>1784.64</v>
      </c>
      <c r="H136" s="910">
        <v>0</v>
      </c>
      <c r="I136" s="908">
        <f t="shared" si="29"/>
        <v>1289.76</v>
      </c>
      <c r="J136" s="917">
        <f>G136+H136+I136</f>
        <v>3074.4</v>
      </c>
      <c r="K136" s="949">
        <f t="shared" si="26"/>
        <v>64247.040000000001</v>
      </c>
      <c r="L136" s="915">
        <f t="shared" si="27"/>
        <v>0</v>
      </c>
      <c r="M136" s="915">
        <f t="shared" si="28"/>
        <v>46431.360000000001</v>
      </c>
      <c r="N136" s="950">
        <f>E136*F136*J136</f>
        <v>110678.40000000001</v>
      </c>
      <c r="O136" s="795"/>
      <c r="P136" s="335" t="s">
        <v>643</v>
      </c>
      <c r="Q136" s="233" t="s">
        <v>642</v>
      </c>
      <c r="R136" s="300"/>
    </row>
    <row r="137" spans="1:18" ht="12.75" thickBot="1" x14ac:dyDescent="0.25">
      <c r="A137" s="384" t="s">
        <v>552</v>
      </c>
      <c r="B137" s="1265" t="s">
        <v>570</v>
      </c>
      <c r="C137" s="1266"/>
      <c r="D137" s="1266"/>
      <c r="E137" s="1266"/>
      <c r="F137" s="1266"/>
      <c r="G137" s="1266"/>
      <c r="H137" s="1266"/>
      <c r="I137" s="1266"/>
      <c r="J137" s="1266"/>
      <c r="K137" s="1266"/>
      <c r="L137" s="1266"/>
      <c r="M137" s="1266"/>
      <c r="N137" s="1266"/>
      <c r="O137" s="795"/>
      <c r="P137" s="336"/>
      <c r="Q137" s="233"/>
      <c r="R137" s="300"/>
    </row>
    <row r="138" spans="1:18" x14ac:dyDescent="0.2">
      <c r="A138" s="287" t="s">
        <v>571</v>
      </c>
      <c r="B138" s="928" t="s">
        <v>89</v>
      </c>
      <c r="C138" s="882" t="s">
        <v>96</v>
      </c>
      <c r="D138" s="929" t="s">
        <v>27</v>
      </c>
      <c r="E138" s="882">
        <v>1</v>
      </c>
      <c r="F138" s="882">
        <v>18</v>
      </c>
      <c r="G138" s="932">
        <f>VLOOKUP(C138,'MemCalculo (Salários)'!$A$38:$D$55,4,FALSE)</f>
        <v>4760.8</v>
      </c>
      <c r="H138" s="910">
        <v>0</v>
      </c>
      <c r="I138" s="908">
        <f>ROUND((G138+H138)*$H$11,2)</f>
        <v>3462.05</v>
      </c>
      <c r="J138" s="917">
        <f>G138+H138+I138</f>
        <v>8222.85</v>
      </c>
      <c r="K138" s="933">
        <f>E138*F138*G138</f>
        <v>85694.400000000009</v>
      </c>
      <c r="L138" s="905">
        <f>E138*F138*H138</f>
        <v>0</v>
      </c>
      <c r="M138" s="905">
        <f>E138*F138*I138</f>
        <v>62316.9</v>
      </c>
      <c r="N138" s="907">
        <f>E138*F138*J138</f>
        <v>148011.30000000002</v>
      </c>
      <c r="O138" s="795"/>
      <c r="P138" s="336" t="s">
        <v>636</v>
      </c>
      <c r="Q138" s="233" t="s">
        <v>635</v>
      </c>
      <c r="R138" s="300"/>
    </row>
    <row r="139" spans="1:18" x14ac:dyDescent="0.2">
      <c r="A139" s="287" t="s">
        <v>572</v>
      </c>
      <c r="B139" s="928" t="s">
        <v>273</v>
      </c>
      <c r="C139" s="882" t="s">
        <v>20</v>
      </c>
      <c r="D139" s="929" t="s">
        <v>27</v>
      </c>
      <c r="E139" s="882">
        <v>1</v>
      </c>
      <c r="F139" s="882">
        <v>18</v>
      </c>
      <c r="G139" s="932">
        <f>VLOOKUP(C139,'MemCalculo (Salários)'!$A$38:$D$55,4,FALSE)</f>
        <v>4384.16</v>
      </c>
      <c r="H139" s="910">
        <v>0</v>
      </c>
      <c r="I139" s="908">
        <f t="shared" ref="I139:I140" si="32">ROUND((G139+H139)*$H$11,2)</f>
        <v>3188.16</v>
      </c>
      <c r="J139" s="917">
        <f>G139+H139+I139</f>
        <v>7572.32</v>
      </c>
      <c r="K139" s="933">
        <f>E139*F139*G139</f>
        <v>78914.880000000005</v>
      </c>
      <c r="L139" s="905">
        <f>E139*F139*H139</f>
        <v>0</v>
      </c>
      <c r="M139" s="905">
        <f>E139*F139*I139</f>
        <v>57386.879999999997</v>
      </c>
      <c r="N139" s="907">
        <f>E139*F139*J139</f>
        <v>136301.76000000001</v>
      </c>
      <c r="O139" s="795"/>
      <c r="P139" s="336" t="s">
        <v>636</v>
      </c>
      <c r="Q139" s="233" t="s">
        <v>635</v>
      </c>
      <c r="R139" s="300"/>
    </row>
    <row r="140" spans="1:18" ht="12.75" thickBot="1" x14ac:dyDescent="0.25">
      <c r="A140" s="321" t="s">
        <v>573</v>
      </c>
      <c r="B140" s="937" t="s">
        <v>272</v>
      </c>
      <c r="C140" s="927" t="s">
        <v>66</v>
      </c>
      <c r="D140" s="926" t="s">
        <v>27</v>
      </c>
      <c r="E140" s="927">
        <v>1</v>
      </c>
      <c r="F140" s="927">
        <v>18</v>
      </c>
      <c r="G140" s="932">
        <f>VLOOKUP(C140,'MemCalculo (Salários)'!$A$38:$D$55,4,FALSE)</f>
        <v>1744.16</v>
      </c>
      <c r="H140" s="910">
        <v>0</v>
      </c>
      <c r="I140" s="908">
        <f t="shared" si="32"/>
        <v>1268.3499999999999</v>
      </c>
      <c r="J140" s="917">
        <f>G140+H140+I140</f>
        <v>3012.51</v>
      </c>
      <c r="K140" s="933">
        <f>E140*F140*G140</f>
        <v>31394.880000000001</v>
      </c>
      <c r="L140" s="905">
        <f>E140*F140*H140</f>
        <v>0</v>
      </c>
      <c r="M140" s="905">
        <f>E140*F140*I140</f>
        <v>22830.3</v>
      </c>
      <c r="N140" s="907">
        <f>E140*F140*J140</f>
        <v>54225.180000000008</v>
      </c>
      <c r="O140" s="795"/>
      <c r="P140" s="336" t="s">
        <v>636</v>
      </c>
      <c r="Q140" s="233" t="s">
        <v>642</v>
      </c>
      <c r="R140" s="300"/>
    </row>
    <row r="141" spans="1:18" ht="12.75" thickBot="1" x14ac:dyDescent="0.25">
      <c r="A141" s="305" t="s">
        <v>553</v>
      </c>
      <c r="B141" s="1264" t="s">
        <v>561</v>
      </c>
      <c r="C141" s="1264"/>
      <c r="D141" s="1264"/>
      <c r="E141" s="1264"/>
      <c r="F141" s="1264"/>
      <c r="G141" s="1264"/>
      <c r="H141" s="1264"/>
      <c r="I141" s="1264"/>
      <c r="J141" s="1264"/>
      <c r="K141" s="1264"/>
      <c r="L141" s="1264"/>
      <c r="M141" s="1264"/>
      <c r="N141" s="1264"/>
      <c r="O141" s="795"/>
      <c r="P141" s="336"/>
      <c r="Q141" s="233"/>
      <c r="R141" s="300"/>
    </row>
    <row r="142" spans="1:18" ht="36" x14ac:dyDescent="0.2">
      <c r="A142" s="295" t="s">
        <v>554</v>
      </c>
      <c r="B142" s="296" t="s">
        <v>535</v>
      </c>
      <c r="C142" s="178" t="s">
        <v>15</v>
      </c>
      <c r="D142" s="178" t="s">
        <v>27</v>
      </c>
      <c r="E142" s="297">
        <v>1</v>
      </c>
      <c r="F142" s="297">
        <v>18</v>
      </c>
      <c r="G142" s="932">
        <f>VLOOKUP(C142,'MemCalculo (Salários)'!$A$38:$D$55,4,FALSE)</f>
        <v>13735.04</v>
      </c>
      <c r="H142" s="910">
        <v>0</v>
      </c>
      <c r="I142" s="908">
        <f>ROUND((G142+H142)*$H$11,2)</f>
        <v>9988.1200000000008</v>
      </c>
      <c r="J142" s="917">
        <f>G142+H142+I142</f>
        <v>23723.160000000003</v>
      </c>
      <c r="K142" s="933">
        <f>E142*F142*G142</f>
        <v>247230.72000000003</v>
      </c>
      <c r="L142" s="905">
        <f>(E142*F142*H142)/2</f>
        <v>0</v>
      </c>
      <c r="M142" s="905">
        <f>E142*F142*I142</f>
        <v>179786.16</v>
      </c>
      <c r="N142" s="907">
        <f>E142*F142*J142</f>
        <v>427016.88000000006</v>
      </c>
      <c r="O142" s="795"/>
      <c r="P142" s="336" t="s">
        <v>636</v>
      </c>
      <c r="Q142" s="233" t="s">
        <v>634</v>
      </c>
      <c r="R142" s="300"/>
    </row>
    <row r="143" spans="1:18" ht="36" x14ac:dyDescent="0.2">
      <c r="A143" s="287" t="s">
        <v>555</v>
      </c>
      <c r="B143" s="925" t="s">
        <v>535</v>
      </c>
      <c r="C143" s="926" t="s">
        <v>227</v>
      </c>
      <c r="D143" s="926" t="s">
        <v>27</v>
      </c>
      <c r="E143" s="927">
        <v>2</v>
      </c>
      <c r="F143" s="927">
        <v>18</v>
      </c>
      <c r="G143" s="932">
        <f>VLOOKUP(C143,'MemCalculo (Salários)'!$A$38:$D$55,4,FALSE)</f>
        <v>8719.0399999999991</v>
      </c>
      <c r="H143" s="910">
        <v>0</v>
      </c>
      <c r="I143" s="908">
        <f t="shared" ref="I143:I150" si="33">ROUND((G143+H143)*$H$11,2)</f>
        <v>6340.49</v>
      </c>
      <c r="J143" s="917">
        <f>G143+H143+I143</f>
        <v>15059.529999999999</v>
      </c>
      <c r="K143" s="933">
        <f>E143*F143*G143</f>
        <v>313885.43999999994</v>
      </c>
      <c r="L143" s="905">
        <f>(E143*F143*H143)/2</f>
        <v>0</v>
      </c>
      <c r="M143" s="905">
        <f>E143*F143*I143</f>
        <v>228257.63999999998</v>
      </c>
      <c r="N143" s="907">
        <f>E143*F143*J143</f>
        <v>542143.07999999996</v>
      </c>
      <c r="O143" s="795"/>
      <c r="P143" s="336" t="s">
        <v>636</v>
      </c>
      <c r="Q143" s="233" t="s">
        <v>634</v>
      </c>
      <c r="R143" s="300"/>
    </row>
    <row r="144" spans="1:18" x14ac:dyDescent="0.2">
      <c r="A144" s="287" t="s">
        <v>556</v>
      </c>
      <c r="B144" s="928" t="s">
        <v>628</v>
      </c>
      <c r="C144" s="929" t="s">
        <v>17</v>
      </c>
      <c r="D144" s="929" t="s">
        <v>27</v>
      </c>
      <c r="E144" s="929">
        <v>2</v>
      </c>
      <c r="F144" s="929">
        <v>18</v>
      </c>
      <c r="G144" s="932">
        <f>VLOOKUP(C144,'MemCalculo (Salários)'!$A$38:$D$55,4,FALSE)</f>
        <v>10505.439999999999</v>
      </c>
      <c r="H144" s="905">
        <f>ROUND((G144*$D$11)*30%,2)</f>
        <v>945.49</v>
      </c>
      <c r="I144" s="908">
        <f>ROUND((G144+H144)*$H$11,2)</f>
        <v>8327.1200000000008</v>
      </c>
      <c r="J144" s="917">
        <f>G144+H144+I144</f>
        <v>19778.05</v>
      </c>
      <c r="K144" s="933">
        <f>E144*F144*G144</f>
        <v>378195.83999999997</v>
      </c>
      <c r="L144" s="905">
        <f>(E144*(F144*30%)*H144)</f>
        <v>10211.291999999999</v>
      </c>
      <c r="M144" s="905">
        <f>(K144+L144)*$H$11</f>
        <v>282449.66639039997</v>
      </c>
      <c r="N144" s="907">
        <f>K144+L144+M144</f>
        <v>670856.7983903999</v>
      </c>
      <c r="O144" s="795"/>
      <c r="P144" s="336" t="s">
        <v>636</v>
      </c>
      <c r="Q144" s="233" t="s">
        <v>634</v>
      </c>
      <c r="R144" s="300"/>
    </row>
    <row r="145" spans="1:24" x14ac:dyDescent="0.2">
      <c r="A145" s="287" t="s">
        <v>557</v>
      </c>
      <c r="B145" s="928" t="s">
        <v>275</v>
      </c>
      <c r="C145" s="929" t="s">
        <v>15</v>
      </c>
      <c r="D145" s="929" t="s">
        <v>27</v>
      </c>
      <c r="E145" s="929">
        <v>3</v>
      </c>
      <c r="F145" s="929">
        <v>18</v>
      </c>
      <c r="G145" s="932">
        <f>VLOOKUP(C145,'MemCalculo (Salários)'!$A$38:$D$55,4,FALSE)</f>
        <v>13735.04</v>
      </c>
      <c r="H145" s="905">
        <f t="shared" ref="H145:H150" si="34">ROUND((G145*$D$11)*30%,2)</f>
        <v>1236.1500000000001</v>
      </c>
      <c r="I145" s="908">
        <f>ROUND((G145+H145)*$H$11,2)</f>
        <v>10887.05</v>
      </c>
      <c r="J145" s="917">
        <f>G145+H145+I145</f>
        <v>25858.239999999998</v>
      </c>
      <c r="K145" s="933">
        <f>E145*F145*G145</f>
        <v>741692.16</v>
      </c>
      <c r="L145" s="905">
        <f>(E145*(F145*30%)*H145)</f>
        <v>20025.63</v>
      </c>
      <c r="M145" s="905">
        <f t="shared" ref="M145:M151" si="35">(K145+L145)*$H$11</f>
        <v>553921.17688799999</v>
      </c>
      <c r="N145" s="907">
        <f t="shared" ref="N145:N150" si="36">K145+L145+M145</f>
        <v>1315638.966888</v>
      </c>
      <c r="O145" s="795"/>
      <c r="P145" s="336" t="s">
        <v>636</v>
      </c>
      <c r="Q145" s="233" t="s">
        <v>634</v>
      </c>
      <c r="R145" s="300"/>
    </row>
    <row r="146" spans="1:24" x14ac:dyDescent="0.2">
      <c r="A146" s="287" t="s">
        <v>558</v>
      </c>
      <c r="B146" s="928" t="s">
        <v>276</v>
      </c>
      <c r="C146" s="929" t="s">
        <v>15</v>
      </c>
      <c r="D146" s="929" t="s">
        <v>27</v>
      </c>
      <c r="E146" s="929">
        <v>1</v>
      </c>
      <c r="F146" s="929">
        <v>18</v>
      </c>
      <c r="G146" s="932">
        <f>VLOOKUP(C146,'MemCalculo (Salários)'!$A$38:$D$55,4,FALSE)</f>
        <v>13735.04</v>
      </c>
      <c r="H146" s="905">
        <f t="shared" si="34"/>
        <v>1236.1500000000001</v>
      </c>
      <c r="I146" s="908">
        <f t="shared" si="33"/>
        <v>10887.05</v>
      </c>
      <c r="J146" s="917">
        <f t="shared" ref="J146:J150" si="37">G146+H146+I146</f>
        <v>25858.239999999998</v>
      </c>
      <c r="K146" s="933">
        <f>E146*F146*G146</f>
        <v>247230.72000000003</v>
      </c>
      <c r="L146" s="905">
        <f>(E146*(F146*30%)*H146)</f>
        <v>6675.21</v>
      </c>
      <c r="M146" s="905">
        <f t="shared" si="35"/>
        <v>184640.39229600001</v>
      </c>
      <c r="N146" s="907">
        <f>K146+L146+M146</f>
        <v>438546.32229600003</v>
      </c>
      <c r="O146" s="795"/>
      <c r="P146" s="336" t="s">
        <v>636</v>
      </c>
      <c r="Q146" s="233" t="s">
        <v>634</v>
      </c>
      <c r="R146" s="300"/>
    </row>
    <row r="147" spans="1:24" x14ac:dyDescent="0.2">
      <c r="A147" s="287" t="s">
        <v>559</v>
      </c>
      <c r="B147" s="928" t="s">
        <v>238</v>
      </c>
      <c r="C147" s="929" t="s">
        <v>15</v>
      </c>
      <c r="D147" s="929" t="s">
        <v>27</v>
      </c>
      <c r="E147" s="929">
        <v>1</v>
      </c>
      <c r="F147" s="929">
        <v>18</v>
      </c>
      <c r="G147" s="932">
        <f>VLOOKUP(C147,'MemCalculo (Salários)'!$A$38:$D$55,4,FALSE)</f>
        <v>13735.04</v>
      </c>
      <c r="H147" s="905">
        <f t="shared" si="34"/>
        <v>1236.1500000000001</v>
      </c>
      <c r="I147" s="908">
        <f t="shared" si="33"/>
        <v>10887.05</v>
      </c>
      <c r="J147" s="917">
        <f t="shared" si="37"/>
        <v>25858.239999999998</v>
      </c>
      <c r="K147" s="933">
        <f t="shared" ref="K147:K150" si="38">E147*F147*G147</f>
        <v>247230.72000000003</v>
      </c>
      <c r="L147" s="905">
        <f t="shared" ref="L147:L150" si="39">(E147*(F147*30%)*H147)</f>
        <v>6675.21</v>
      </c>
      <c r="M147" s="905">
        <f t="shared" si="35"/>
        <v>184640.39229600001</v>
      </c>
      <c r="N147" s="907">
        <f t="shared" si="36"/>
        <v>438546.32229600003</v>
      </c>
      <c r="O147" s="795"/>
      <c r="P147" s="336" t="s">
        <v>636</v>
      </c>
      <c r="Q147" s="233" t="s">
        <v>634</v>
      </c>
      <c r="R147" s="300"/>
    </row>
    <row r="148" spans="1:24" x14ac:dyDescent="0.2">
      <c r="A148" s="287" t="s">
        <v>560</v>
      </c>
      <c r="B148" s="928" t="s">
        <v>627</v>
      </c>
      <c r="C148" s="929" t="s">
        <v>15</v>
      </c>
      <c r="D148" s="929" t="s">
        <v>27</v>
      </c>
      <c r="E148" s="929">
        <v>1</v>
      </c>
      <c r="F148" s="929">
        <v>18</v>
      </c>
      <c r="G148" s="932">
        <f>VLOOKUP(C148,'MemCalculo (Salários)'!$A$38:$D$55,4,FALSE)</f>
        <v>13735.04</v>
      </c>
      <c r="H148" s="905">
        <f t="shared" si="34"/>
        <v>1236.1500000000001</v>
      </c>
      <c r="I148" s="908">
        <f t="shared" si="33"/>
        <v>10887.05</v>
      </c>
      <c r="J148" s="917">
        <f t="shared" si="37"/>
        <v>25858.239999999998</v>
      </c>
      <c r="K148" s="933">
        <f t="shared" si="38"/>
        <v>247230.72000000003</v>
      </c>
      <c r="L148" s="905">
        <f t="shared" si="39"/>
        <v>6675.21</v>
      </c>
      <c r="M148" s="905">
        <f t="shared" si="35"/>
        <v>184640.39229600001</v>
      </c>
      <c r="N148" s="907">
        <f t="shared" si="36"/>
        <v>438546.32229600003</v>
      </c>
      <c r="O148" s="795"/>
      <c r="P148" s="336" t="s">
        <v>636</v>
      </c>
      <c r="Q148" s="233" t="s">
        <v>634</v>
      </c>
      <c r="R148" s="300"/>
    </row>
    <row r="149" spans="1:24" x14ac:dyDescent="0.2">
      <c r="A149" s="287" t="s">
        <v>780</v>
      </c>
      <c r="B149" s="928" t="s">
        <v>277</v>
      </c>
      <c r="C149" s="929" t="s">
        <v>15</v>
      </c>
      <c r="D149" s="929" t="s">
        <v>27</v>
      </c>
      <c r="E149" s="929">
        <v>1</v>
      </c>
      <c r="F149" s="929">
        <v>18</v>
      </c>
      <c r="G149" s="932">
        <f>VLOOKUP(C149,'MemCalculo (Salários)'!$A$38:$D$55,4,FALSE)</f>
        <v>13735.04</v>
      </c>
      <c r="H149" s="905">
        <f t="shared" si="34"/>
        <v>1236.1500000000001</v>
      </c>
      <c r="I149" s="908">
        <f t="shared" si="33"/>
        <v>10887.05</v>
      </c>
      <c r="J149" s="917">
        <f t="shared" si="37"/>
        <v>25858.239999999998</v>
      </c>
      <c r="K149" s="933">
        <f t="shared" si="38"/>
        <v>247230.72000000003</v>
      </c>
      <c r="L149" s="905">
        <f t="shared" si="39"/>
        <v>6675.21</v>
      </c>
      <c r="M149" s="905">
        <f t="shared" si="35"/>
        <v>184640.39229600001</v>
      </c>
      <c r="N149" s="907">
        <f t="shared" si="36"/>
        <v>438546.32229600003</v>
      </c>
      <c r="O149" s="795"/>
      <c r="P149" s="336" t="s">
        <v>636</v>
      </c>
      <c r="Q149" s="233" t="s">
        <v>634</v>
      </c>
      <c r="R149" s="300"/>
    </row>
    <row r="150" spans="1:24" x14ac:dyDescent="0.2">
      <c r="A150" s="287" t="s">
        <v>781</v>
      </c>
      <c r="B150" s="928" t="s">
        <v>278</v>
      </c>
      <c r="C150" s="929" t="s">
        <v>15</v>
      </c>
      <c r="D150" s="929" t="s">
        <v>27</v>
      </c>
      <c r="E150" s="929">
        <v>1</v>
      </c>
      <c r="F150" s="929">
        <v>18</v>
      </c>
      <c r="G150" s="932">
        <f>VLOOKUP(C150,'MemCalculo (Salários)'!$A$38:$D$55,4,FALSE)</f>
        <v>13735.04</v>
      </c>
      <c r="H150" s="905">
        <f t="shared" si="34"/>
        <v>1236.1500000000001</v>
      </c>
      <c r="I150" s="908">
        <f t="shared" si="33"/>
        <v>10887.05</v>
      </c>
      <c r="J150" s="917">
        <f t="shared" si="37"/>
        <v>25858.239999999998</v>
      </c>
      <c r="K150" s="933">
        <f t="shared" si="38"/>
        <v>247230.72000000003</v>
      </c>
      <c r="L150" s="905">
        <f t="shared" si="39"/>
        <v>6675.21</v>
      </c>
      <c r="M150" s="905">
        <f t="shared" si="35"/>
        <v>184640.39229600001</v>
      </c>
      <c r="N150" s="907">
        <f t="shared" si="36"/>
        <v>438546.32229600003</v>
      </c>
      <c r="O150" s="795"/>
      <c r="P150" s="336" t="s">
        <v>636</v>
      </c>
      <c r="Q150" s="233" t="s">
        <v>634</v>
      </c>
      <c r="R150" s="300"/>
    </row>
    <row r="151" spans="1:24" ht="12.75" thickBot="1" x14ac:dyDescent="0.25">
      <c r="A151" s="325" t="s">
        <v>782</v>
      </c>
      <c r="B151" s="930" t="s">
        <v>629</v>
      </c>
      <c r="C151" s="931" t="s">
        <v>36</v>
      </c>
      <c r="D151" s="931" t="s">
        <v>27</v>
      </c>
      <c r="E151" s="931">
        <v>2</v>
      </c>
      <c r="F151" s="931">
        <v>18</v>
      </c>
      <c r="G151" s="932">
        <f>VLOOKUP(C151,'MemCalculo (Salários)'!$A$38:$D$55,4,FALSE)</f>
        <v>7964</v>
      </c>
      <c r="H151" s="905">
        <f>ROUND((G151*$D$11)*30%,2)</f>
        <v>716.76</v>
      </c>
      <c r="I151" s="908">
        <f>ROUND((G151+H151)*$H$11,2)</f>
        <v>6312.65</v>
      </c>
      <c r="J151" s="917">
        <f>G151+H151+I151</f>
        <v>14993.41</v>
      </c>
      <c r="K151" s="933">
        <f>E151*F151*G151</f>
        <v>286704</v>
      </c>
      <c r="L151" s="905">
        <f>(E151*(F151*30%)*H151)</f>
        <v>7741.0079999999989</v>
      </c>
      <c r="M151" s="905">
        <f t="shared" si="35"/>
        <v>214120.40981759995</v>
      </c>
      <c r="N151" s="907">
        <f>K151+L151+M151</f>
        <v>508565.41781759996</v>
      </c>
      <c r="O151" s="795"/>
      <c r="P151" s="337" t="s">
        <v>636</v>
      </c>
      <c r="Q151" s="338" t="s">
        <v>634</v>
      </c>
      <c r="R151" s="300"/>
    </row>
    <row r="152" spans="1:24" ht="12.75" thickBot="1" x14ac:dyDescent="0.25">
      <c r="A152" s="1226" t="s">
        <v>792</v>
      </c>
      <c r="B152" s="1205"/>
      <c r="C152" s="1205"/>
      <c r="D152" s="1205"/>
      <c r="E152" s="1205"/>
      <c r="F152" s="1205"/>
      <c r="G152" s="1205"/>
      <c r="H152" s="1205"/>
      <c r="I152" s="1205"/>
      <c r="J152" s="1206"/>
      <c r="K152" s="391">
        <f>K126+SUM(K129:K136)</f>
        <v>761428.8</v>
      </c>
      <c r="L152" s="391">
        <f>L126+SUM(L129:L136)</f>
        <v>0</v>
      </c>
      <c r="M152" s="391">
        <f>M126+SUM(M129:M136)</f>
        <v>550285.0199999999</v>
      </c>
      <c r="N152" s="391">
        <f>N126+SUM(N129:N136)</f>
        <v>1311713.82</v>
      </c>
      <c r="O152" s="795"/>
      <c r="P152" s="290"/>
      <c r="Q152" s="290"/>
      <c r="R152" s="290"/>
      <c r="S152" s="1286" t="s">
        <v>48</v>
      </c>
      <c r="T152" s="1286"/>
      <c r="U152" s="1286"/>
      <c r="V152" s="1286"/>
      <c r="W152" s="1286"/>
    </row>
    <row r="153" spans="1:24" ht="12.75" thickBot="1" x14ac:dyDescent="0.25">
      <c r="A153" s="1204" t="s">
        <v>793</v>
      </c>
      <c r="B153" s="1205"/>
      <c r="C153" s="1205"/>
      <c r="D153" s="1205"/>
      <c r="E153" s="1205"/>
      <c r="F153" s="1205"/>
      <c r="G153" s="1205"/>
      <c r="H153" s="1205"/>
      <c r="I153" s="1205"/>
      <c r="J153" s="1206"/>
      <c r="K153" s="391">
        <f>SUM(K138:K151)</f>
        <v>3399865.9200000013</v>
      </c>
      <c r="L153" s="391">
        <f>SUM(L138:L151)</f>
        <v>71353.98</v>
      </c>
      <c r="M153" s="391">
        <f>SUM(M138:M151)</f>
        <v>2524271.0945759998</v>
      </c>
      <c r="N153" s="391">
        <f>SUM(N138:N151)</f>
        <v>5995490.9945760006</v>
      </c>
      <c r="O153" s="795"/>
      <c r="P153" s="290"/>
      <c r="Q153" s="290"/>
      <c r="R153" s="290"/>
      <c r="S153" s="802"/>
      <c r="T153" s="802"/>
      <c r="U153" s="802"/>
      <c r="V153" s="802"/>
      <c r="W153" s="802"/>
    </row>
    <row r="154" spans="1:24" ht="12.75" thickBot="1" x14ac:dyDescent="0.25">
      <c r="A154" s="1204" t="s">
        <v>794</v>
      </c>
      <c r="B154" s="1205"/>
      <c r="C154" s="1205"/>
      <c r="D154" s="1205"/>
      <c r="E154" s="1205"/>
      <c r="F154" s="1205"/>
      <c r="G154" s="1205"/>
      <c r="H154" s="1205"/>
      <c r="I154" s="1205"/>
      <c r="J154" s="1206"/>
      <c r="K154" s="396">
        <f>K127</f>
        <v>14699.52</v>
      </c>
      <c r="L154" s="396">
        <f>L127</f>
        <v>0</v>
      </c>
      <c r="M154" s="396">
        <f>M127</f>
        <v>17233.920000000002</v>
      </c>
      <c r="N154" s="396">
        <f>N127</f>
        <v>31933.439999999999</v>
      </c>
      <c r="O154" s="795"/>
      <c r="P154" s="290"/>
      <c r="Q154" s="290"/>
      <c r="R154" s="290"/>
      <c r="S154" s="802" t="s">
        <v>640</v>
      </c>
      <c r="T154" s="802" t="s">
        <v>637</v>
      </c>
      <c r="U154" s="802" t="s">
        <v>638</v>
      </c>
      <c r="V154" s="802" t="s">
        <v>639</v>
      </c>
      <c r="W154" s="802" t="s">
        <v>644</v>
      </c>
    </row>
    <row r="155" spans="1:24" ht="12.75" thickBot="1" x14ac:dyDescent="0.25">
      <c r="A155" s="1226" t="s">
        <v>509</v>
      </c>
      <c r="B155" s="1205"/>
      <c r="C155" s="1205"/>
      <c r="D155" s="1205"/>
      <c r="E155" s="1205"/>
      <c r="F155" s="1205"/>
      <c r="G155" s="1205"/>
      <c r="H155" s="1205"/>
      <c r="I155" s="1205"/>
      <c r="J155" s="1206"/>
      <c r="K155" s="396">
        <v>0</v>
      </c>
      <c r="L155" s="396">
        <v>0</v>
      </c>
      <c r="M155" s="396">
        <v>0</v>
      </c>
      <c r="N155" s="396">
        <v>0</v>
      </c>
      <c r="O155" s="795"/>
      <c r="P155" s="290"/>
      <c r="Q155" s="290"/>
      <c r="R155" s="290"/>
      <c r="S155" s="185" t="s">
        <v>633</v>
      </c>
      <c r="T155" s="802">
        <f>T18+T54+T70+T82+T95+T109+T123</f>
        <v>0</v>
      </c>
      <c r="U155" s="185">
        <f>U18+U54+U70+U82+U95+U109+U123</f>
        <v>46</v>
      </c>
      <c r="V155" s="185">
        <f>V18+V5+V6+V8+V95+V109+V123</f>
        <v>41</v>
      </c>
      <c r="W155" s="185">
        <f>SUMIFS($E$126:$E$151,$Q$126:$Q$151,W154,$P$126:$P$151,T155)</f>
        <v>0</v>
      </c>
      <c r="X155" s="291">
        <f>U155/8</f>
        <v>5.75</v>
      </c>
    </row>
    <row r="156" spans="1:24" ht="12.75" thickBot="1" x14ac:dyDescent="0.25">
      <c r="A156" s="1233" t="s">
        <v>271</v>
      </c>
      <c r="B156" s="1234"/>
      <c r="C156" s="1234"/>
      <c r="D156" s="1234"/>
      <c r="E156" s="1234"/>
      <c r="F156" s="1234"/>
      <c r="G156" s="1235"/>
      <c r="H156" s="1235"/>
      <c r="I156" s="1235"/>
      <c r="J156" s="1236"/>
      <c r="K156" s="394">
        <f>SUM(K152:K155)</f>
        <v>4175994.2400000016</v>
      </c>
      <c r="L156" s="394">
        <f>SUM(L152:L155)</f>
        <v>71353.98</v>
      </c>
      <c r="M156" s="394">
        <f>SUM(M152:M155)</f>
        <v>3091790.0345759997</v>
      </c>
      <c r="N156" s="394">
        <f>SUM(N152:N155)</f>
        <v>7339138.2545760013</v>
      </c>
      <c r="O156" s="795"/>
      <c r="P156" s="393"/>
      <c r="Q156" s="290"/>
      <c r="R156" s="290"/>
      <c r="S156" s="185" t="s">
        <v>636</v>
      </c>
      <c r="T156" s="348">
        <f>T19+T55+T71+T83+T96+T110+T124</f>
        <v>63</v>
      </c>
      <c r="U156" s="185" t="e">
        <f>#REF!+U55+U71+U83+U110+U124</f>
        <v>#REF!</v>
      </c>
      <c r="V156" s="185">
        <f>V19+V55+V71+V83+V96+V110+V124</f>
        <v>23</v>
      </c>
      <c r="W156" s="185">
        <f>SUMIFS($E$126:$E$151,$Q$126:$Q$151,W154,$P$126:$P$151,S156)</f>
        <v>1</v>
      </c>
      <c r="X156" s="291" t="e">
        <f>U156/12</f>
        <v>#REF!</v>
      </c>
    </row>
    <row r="157" spans="1:24" ht="12.75" thickBot="1" x14ac:dyDescent="0.25">
      <c r="A157" s="288"/>
      <c r="B157" s="289"/>
      <c r="C157" s="290"/>
      <c r="D157" s="288"/>
      <c r="E157" s="288"/>
      <c r="F157" s="288"/>
      <c r="G157" s="290"/>
      <c r="H157" s="290"/>
      <c r="I157" s="290"/>
      <c r="J157" s="290"/>
      <c r="K157" s="290"/>
      <c r="L157" s="290"/>
      <c r="M157" s="290"/>
      <c r="N157" s="290"/>
      <c r="O157" s="795"/>
      <c r="P157" s="393"/>
      <c r="T157" s="349">
        <f>SUM(T155:T156)</f>
        <v>63</v>
      </c>
    </row>
    <row r="158" spans="1:24" x14ac:dyDescent="0.2">
      <c r="A158" s="288"/>
      <c r="B158" s="289"/>
      <c r="C158" s="290"/>
      <c r="D158" s="288"/>
      <c r="E158" s="288"/>
      <c r="F158" s="288"/>
      <c r="G158" s="290"/>
      <c r="H158" s="290"/>
      <c r="I158" s="290"/>
      <c r="J158" s="290"/>
      <c r="K158" s="290"/>
      <c r="L158" s="290"/>
      <c r="M158" s="290"/>
      <c r="N158" s="290"/>
      <c r="O158" s="795"/>
      <c r="T158" s="300"/>
    </row>
    <row r="159" spans="1:24" x14ac:dyDescent="0.2">
      <c r="A159" s="288"/>
      <c r="B159" s="289"/>
      <c r="C159" s="290"/>
      <c r="D159" s="288"/>
      <c r="E159" s="288"/>
      <c r="F159" s="288"/>
      <c r="G159" s="290"/>
      <c r="H159" s="290"/>
      <c r="I159" s="290"/>
      <c r="J159" s="290"/>
      <c r="K159" s="290"/>
      <c r="L159" s="290"/>
      <c r="M159" s="290"/>
      <c r="N159" s="290"/>
      <c r="O159" s="795"/>
      <c r="T159" s="300"/>
    </row>
    <row r="160" spans="1:24" x14ac:dyDescent="0.2">
      <c r="A160" s="288"/>
      <c r="B160" s="289"/>
      <c r="C160" s="290"/>
      <c r="D160" s="288"/>
      <c r="E160" s="288"/>
      <c r="F160" s="288"/>
      <c r="G160" s="290"/>
      <c r="H160" s="290"/>
      <c r="I160" s="290"/>
      <c r="J160" s="290"/>
      <c r="K160" s="290"/>
      <c r="L160" s="290"/>
      <c r="M160" s="290"/>
      <c r="N160" s="290"/>
      <c r="O160" s="795"/>
      <c r="T160" s="300"/>
    </row>
    <row r="161" spans="1:23" x14ac:dyDescent="0.2">
      <c r="A161" s="288"/>
      <c r="B161" s="289"/>
      <c r="C161" s="290"/>
      <c r="D161" s="288"/>
      <c r="E161" s="288"/>
      <c r="F161" s="288"/>
      <c r="G161" s="290"/>
      <c r="H161" s="290"/>
      <c r="I161" s="290"/>
      <c r="J161" s="290"/>
      <c r="K161" s="290"/>
      <c r="L161" s="290"/>
      <c r="M161" s="290"/>
      <c r="N161" s="290"/>
      <c r="O161" s="795"/>
      <c r="T161" s="300"/>
    </row>
    <row r="162" spans="1:23" x14ac:dyDescent="0.2">
      <c r="A162" s="288"/>
      <c r="B162" s="289"/>
      <c r="C162" s="290"/>
      <c r="D162" s="288"/>
      <c r="E162" s="288"/>
      <c r="F162" s="288"/>
      <c r="G162" s="290"/>
      <c r="H162" s="290"/>
      <c r="I162" s="290"/>
      <c r="J162" s="290"/>
      <c r="K162" s="290"/>
      <c r="L162" s="290"/>
      <c r="M162" s="290"/>
      <c r="N162" s="290"/>
      <c r="O162" s="795"/>
      <c r="T162" s="300"/>
    </row>
    <row r="163" spans="1:23" x14ac:dyDescent="0.2">
      <c r="A163" s="288"/>
      <c r="B163" s="289"/>
      <c r="C163" s="290"/>
      <c r="D163" s="288"/>
      <c r="E163" s="288"/>
      <c r="F163" s="288"/>
      <c r="G163" s="290"/>
      <c r="H163" s="290"/>
      <c r="I163" s="290"/>
      <c r="J163" s="290"/>
      <c r="K163" s="290"/>
      <c r="L163" s="290"/>
      <c r="M163" s="290"/>
      <c r="N163" s="290"/>
      <c r="O163" s="795"/>
      <c r="T163" s="300"/>
    </row>
    <row r="164" spans="1:23" x14ac:dyDescent="0.2">
      <c r="A164" s="288"/>
      <c r="B164" s="289"/>
      <c r="C164" s="290"/>
      <c r="D164" s="288"/>
      <c r="E164" s="288"/>
      <c r="F164" s="288"/>
      <c r="G164" s="290"/>
      <c r="H164" s="290"/>
      <c r="I164" s="290"/>
      <c r="J164" s="290"/>
      <c r="K164" s="290"/>
      <c r="L164" s="290"/>
      <c r="M164" s="290"/>
      <c r="N164" s="290"/>
      <c r="O164" s="795"/>
      <c r="T164" s="300"/>
    </row>
    <row r="165" spans="1:23" x14ac:dyDescent="0.2">
      <c r="A165" s="288"/>
      <c r="B165" s="289"/>
      <c r="C165" s="290"/>
      <c r="D165" s="288"/>
      <c r="E165" s="288"/>
      <c r="F165" s="288"/>
      <c r="G165" s="290"/>
      <c r="H165" s="290"/>
      <c r="I165" s="290"/>
      <c r="J165" s="290"/>
      <c r="K165" s="290"/>
      <c r="L165" s="290"/>
      <c r="M165" s="290"/>
      <c r="N165" s="290"/>
      <c r="O165" s="795"/>
      <c r="T165" s="300"/>
    </row>
    <row r="166" spans="1:23" x14ac:dyDescent="0.2">
      <c r="A166" s="288"/>
      <c r="B166" s="289"/>
      <c r="C166" s="290"/>
      <c r="D166" s="288"/>
      <c r="E166" s="288"/>
      <c r="F166" s="288"/>
      <c r="G166" s="290"/>
      <c r="H166" s="290"/>
      <c r="I166" s="290"/>
      <c r="J166" s="290"/>
      <c r="K166" s="290"/>
      <c r="L166" s="290"/>
      <c r="M166" s="290"/>
      <c r="N166" s="290"/>
      <c r="O166" s="795"/>
      <c r="T166" s="300"/>
    </row>
    <row r="167" spans="1:23" x14ac:dyDescent="0.2">
      <c r="A167" s="288"/>
      <c r="B167" s="289"/>
      <c r="C167" s="290"/>
      <c r="D167" s="288"/>
      <c r="E167" s="288"/>
      <c r="F167" s="288"/>
      <c r="G167" s="290"/>
      <c r="H167" s="290"/>
      <c r="I167" s="290"/>
      <c r="J167" s="290"/>
      <c r="K167" s="290"/>
      <c r="L167" s="290"/>
      <c r="M167" s="290"/>
      <c r="N167" s="290"/>
      <c r="O167" s="795"/>
      <c r="T167" s="300"/>
    </row>
    <row r="168" spans="1:23" x14ac:dyDescent="0.2">
      <c r="A168" s="288"/>
      <c r="B168" s="289"/>
      <c r="C168" s="290"/>
      <c r="D168" s="288"/>
      <c r="E168" s="288"/>
      <c r="F168" s="288"/>
      <c r="G168" s="290"/>
      <c r="H168" s="290"/>
      <c r="I168" s="290"/>
      <c r="J168" s="290"/>
      <c r="K168" s="290"/>
      <c r="L168" s="290"/>
      <c r="M168" s="290"/>
      <c r="N168" s="290"/>
      <c r="O168" s="795"/>
      <c r="T168" s="300"/>
    </row>
    <row r="169" spans="1:23" x14ac:dyDescent="0.2">
      <c r="A169" s="288"/>
      <c r="B169" s="289"/>
      <c r="C169" s="290"/>
      <c r="D169" s="288"/>
      <c r="E169" s="288"/>
      <c r="F169" s="288"/>
      <c r="G169" s="290"/>
      <c r="H169" s="290"/>
      <c r="I169" s="290"/>
      <c r="J169" s="290"/>
      <c r="K169" s="290"/>
      <c r="L169" s="290"/>
      <c r="M169" s="290"/>
      <c r="N169" s="290"/>
      <c r="O169" s="795"/>
      <c r="T169" s="300"/>
    </row>
    <row r="170" spans="1:23" x14ac:dyDescent="0.2">
      <c r="A170" s="288"/>
      <c r="B170" s="289"/>
      <c r="C170" s="290"/>
      <c r="D170" s="288"/>
      <c r="E170" s="288"/>
      <c r="F170" s="288"/>
      <c r="G170" s="290"/>
      <c r="H170" s="290"/>
      <c r="I170" s="290"/>
      <c r="J170" s="290"/>
      <c r="K170" s="290"/>
      <c r="L170" s="290"/>
      <c r="M170" s="290"/>
      <c r="N170" s="290"/>
      <c r="O170" s="795"/>
      <c r="T170" s="300"/>
    </row>
    <row r="171" spans="1:23" x14ac:dyDescent="0.2">
      <c r="A171" s="288"/>
      <c r="B171" s="289"/>
      <c r="C171" s="290"/>
      <c r="D171" s="288"/>
      <c r="E171" s="288"/>
      <c r="F171" s="288"/>
      <c r="G171" s="290"/>
      <c r="H171" s="290"/>
      <c r="I171" s="290"/>
      <c r="J171" s="290"/>
      <c r="K171" s="290"/>
      <c r="L171" s="290"/>
      <c r="M171" s="290"/>
      <c r="N171" s="290"/>
      <c r="O171" s="795"/>
      <c r="T171" s="300"/>
    </row>
    <row r="172" spans="1:23" x14ac:dyDescent="0.2">
      <c r="A172" s="288"/>
      <c r="B172" s="289"/>
      <c r="C172" s="290"/>
      <c r="D172" s="288"/>
      <c r="E172" s="288"/>
      <c r="F172" s="288"/>
      <c r="G172" s="290"/>
      <c r="H172" s="290"/>
      <c r="I172" s="290"/>
      <c r="J172" s="290"/>
      <c r="K172" s="290"/>
      <c r="L172" s="290"/>
      <c r="M172" s="290"/>
      <c r="N172" s="290"/>
      <c r="O172" s="795"/>
      <c r="T172" s="300"/>
    </row>
    <row r="173" spans="1:23" x14ac:dyDescent="0.2">
      <c r="A173" s="288"/>
      <c r="B173" s="289"/>
      <c r="C173" s="290"/>
      <c r="D173" s="288"/>
      <c r="E173" s="288"/>
      <c r="F173" s="288"/>
      <c r="G173" s="290"/>
      <c r="H173" s="290"/>
      <c r="I173" s="290"/>
      <c r="J173" s="290"/>
      <c r="K173" s="290"/>
      <c r="L173" s="290"/>
      <c r="M173" s="290"/>
      <c r="N173" s="290"/>
      <c r="O173" s="795"/>
      <c r="T173" s="300"/>
    </row>
    <row r="174" spans="1:23" x14ac:dyDescent="0.2">
      <c r="A174" s="288"/>
      <c r="B174" s="289"/>
      <c r="C174" s="290"/>
      <c r="D174" s="288"/>
      <c r="E174" s="288"/>
      <c r="F174" s="288"/>
      <c r="G174" s="290"/>
      <c r="H174" s="290"/>
      <c r="I174" s="290"/>
      <c r="J174" s="290"/>
      <c r="K174" s="290"/>
      <c r="L174" s="290"/>
      <c r="M174" s="290"/>
      <c r="N174" s="290"/>
      <c r="O174" s="795"/>
    </row>
    <row r="175" spans="1:23" ht="12.75" thickBot="1" x14ac:dyDescent="0.25">
      <c r="A175" s="288"/>
      <c r="B175" s="289"/>
      <c r="C175" s="290"/>
      <c r="D175" s="288"/>
      <c r="E175" s="288"/>
      <c r="F175" s="288"/>
      <c r="G175" s="290"/>
      <c r="H175" s="290"/>
      <c r="I175" s="290"/>
      <c r="J175" s="290"/>
      <c r="K175" s="290"/>
      <c r="L175" s="290"/>
      <c r="M175" s="290"/>
      <c r="N175" s="290"/>
      <c r="O175" s="795"/>
    </row>
    <row r="176" spans="1:23" ht="13.5" thickBot="1" x14ac:dyDescent="0.25">
      <c r="A176" s="1267" t="s">
        <v>298</v>
      </c>
      <c r="B176" s="1268"/>
      <c r="C176" s="1268"/>
      <c r="D176" s="1268"/>
      <c r="E176" s="1268"/>
      <c r="F176" s="1268"/>
      <c r="G176" s="1268"/>
      <c r="H176" s="1268"/>
      <c r="I176" s="1268"/>
      <c r="J176" s="1268"/>
      <c r="K176" s="1268"/>
      <c r="L176" s="1268"/>
      <c r="M176" s="1268"/>
      <c r="N176" s="1269"/>
      <c r="O176" s="795"/>
      <c r="S176" s="291"/>
      <c r="T176" s="291"/>
      <c r="U176" s="291"/>
      <c r="V176" s="291"/>
      <c r="W176" s="291"/>
    </row>
    <row r="177" spans="1:23" ht="13.5" thickBot="1" x14ac:dyDescent="0.25">
      <c r="A177" s="1273" t="s">
        <v>46</v>
      </c>
      <c r="B177" s="1273" t="s">
        <v>43</v>
      </c>
      <c r="C177" s="1274"/>
      <c r="D177" s="1274"/>
      <c r="E177" s="1274"/>
      <c r="F177" s="1275"/>
      <c r="G177" s="1297" t="s">
        <v>526</v>
      </c>
      <c r="H177" s="1298"/>
      <c r="I177" s="1298"/>
      <c r="J177" s="1298"/>
      <c r="K177" s="1298"/>
      <c r="L177" s="1298"/>
      <c r="M177" s="1298"/>
      <c r="N177" s="1299"/>
      <c r="O177" s="795"/>
      <c r="S177" s="291"/>
      <c r="T177" s="291"/>
      <c r="U177" s="291"/>
      <c r="V177" s="291"/>
      <c r="W177" s="291"/>
    </row>
    <row r="178" spans="1:23" x14ac:dyDescent="0.2">
      <c r="A178" s="1276"/>
      <c r="B178" s="1276"/>
      <c r="C178" s="1277"/>
      <c r="D178" s="1277"/>
      <c r="E178" s="1277"/>
      <c r="F178" s="1277"/>
      <c r="G178" s="1289" t="s">
        <v>784</v>
      </c>
      <c r="H178" s="1290"/>
      <c r="I178" s="1290" t="s">
        <v>785</v>
      </c>
      <c r="J178" s="1290"/>
      <c r="K178" s="1290" t="s">
        <v>512</v>
      </c>
      <c r="L178" s="1290"/>
      <c r="M178" s="1290" t="s">
        <v>786</v>
      </c>
      <c r="N178" s="1302"/>
      <c r="O178" s="796"/>
      <c r="S178" s="291"/>
      <c r="T178" s="291"/>
      <c r="U178" s="291"/>
      <c r="V178" s="291"/>
      <c r="W178" s="291"/>
    </row>
    <row r="179" spans="1:23" ht="12.75" thickBot="1" x14ac:dyDescent="0.25">
      <c r="A179" s="1278"/>
      <c r="B179" s="1278"/>
      <c r="C179" s="1279"/>
      <c r="D179" s="1279"/>
      <c r="E179" s="1279"/>
      <c r="F179" s="1279"/>
      <c r="G179" s="1291"/>
      <c r="H179" s="1292"/>
      <c r="I179" s="1292"/>
      <c r="J179" s="1292"/>
      <c r="K179" s="1292"/>
      <c r="L179" s="1292"/>
      <c r="M179" s="1292"/>
      <c r="N179" s="1303"/>
      <c r="O179" s="796"/>
      <c r="S179" s="291"/>
      <c r="T179" s="291"/>
      <c r="U179" s="291"/>
      <c r="V179" s="291"/>
      <c r="W179" s="291"/>
    </row>
    <row r="180" spans="1:23" ht="12.75" thickTop="1" x14ac:dyDescent="0.2">
      <c r="A180" s="1227" t="s">
        <v>34</v>
      </c>
      <c r="B180" s="1229" t="s">
        <v>281</v>
      </c>
      <c r="C180" s="1230"/>
      <c r="D180" s="1230"/>
      <c r="E180" s="1230"/>
      <c r="F180" s="1230"/>
      <c r="G180" s="1293">
        <f>K47</f>
        <v>11568307.520000005</v>
      </c>
      <c r="H180" s="1294"/>
      <c r="I180" s="1294">
        <f>L47</f>
        <v>2734593.12</v>
      </c>
      <c r="J180" s="1294"/>
      <c r="K180" s="1294">
        <f>M47</f>
        <v>10269145.021568002</v>
      </c>
      <c r="L180" s="1294"/>
      <c r="M180" s="1294">
        <f>N47</f>
        <v>24488181.352875996</v>
      </c>
      <c r="N180" s="1304"/>
      <c r="O180" s="796"/>
    </row>
    <row r="181" spans="1:23" x14ac:dyDescent="0.2">
      <c r="A181" s="1227"/>
      <c r="B181" s="1229"/>
      <c r="C181" s="1230"/>
      <c r="D181" s="1230"/>
      <c r="E181" s="1230"/>
      <c r="F181" s="1230"/>
      <c r="G181" s="1295"/>
      <c r="H181" s="1296"/>
      <c r="I181" s="1296"/>
      <c r="J181" s="1296"/>
      <c r="K181" s="1296"/>
      <c r="L181" s="1296"/>
      <c r="M181" s="1296"/>
      <c r="N181" s="1305"/>
      <c r="O181" s="796"/>
    </row>
    <row r="182" spans="1:23" x14ac:dyDescent="0.2">
      <c r="A182" s="1228"/>
      <c r="B182" s="1231"/>
      <c r="C182" s="1232"/>
      <c r="D182" s="1232"/>
      <c r="E182" s="1232"/>
      <c r="F182" s="1232"/>
      <c r="G182" s="1295"/>
      <c r="H182" s="1296"/>
      <c r="I182" s="1296"/>
      <c r="J182" s="1296"/>
      <c r="K182" s="1296"/>
      <c r="L182" s="1296"/>
      <c r="M182" s="1296"/>
      <c r="N182" s="1305"/>
      <c r="O182" s="796"/>
    </row>
    <row r="183" spans="1:23" ht="12.75" x14ac:dyDescent="0.2">
      <c r="A183" s="733" t="s">
        <v>35</v>
      </c>
      <c r="B183" s="1221" t="s">
        <v>44</v>
      </c>
      <c r="C183" s="1222"/>
      <c r="D183" s="1222"/>
      <c r="E183" s="1222"/>
      <c r="F183" s="1222"/>
      <c r="G183" s="1295">
        <f>K62</f>
        <v>1041990.3200000001</v>
      </c>
      <c r="H183" s="1296"/>
      <c r="I183" s="1296">
        <f>L62</f>
        <v>0</v>
      </c>
      <c r="J183" s="1296"/>
      <c r="K183" s="1296">
        <f>M62</f>
        <v>1020103.9521360002</v>
      </c>
      <c r="L183" s="1296"/>
      <c r="M183" s="1296">
        <f>N62</f>
        <v>2062094.4178960002</v>
      </c>
      <c r="N183" s="1305"/>
      <c r="O183" s="796"/>
    </row>
    <row r="184" spans="1:23" ht="12.75" x14ac:dyDescent="0.2">
      <c r="A184" s="733" t="s">
        <v>37</v>
      </c>
      <c r="B184" s="1221" t="s">
        <v>225</v>
      </c>
      <c r="C184" s="1222"/>
      <c r="D184" s="1222"/>
      <c r="E184" s="1222"/>
      <c r="F184" s="1222"/>
      <c r="G184" s="1317">
        <f>K76</f>
        <v>160036.79999999999</v>
      </c>
      <c r="H184" s="1318"/>
      <c r="I184" s="1296">
        <f>L76</f>
        <v>0</v>
      </c>
      <c r="J184" s="1296"/>
      <c r="K184" s="1296">
        <f>M76</f>
        <v>116378.82</v>
      </c>
      <c r="L184" s="1296"/>
      <c r="M184" s="1296">
        <f>N76</f>
        <v>276415.62</v>
      </c>
      <c r="N184" s="1305"/>
      <c r="O184" s="796"/>
    </row>
    <row r="185" spans="1:23" ht="12.75" x14ac:dyDescent="0.2">
      <c r="A185" s="733" t="s">
        <v>38</v>
      </c>
      <c r="B185" s="1221" t="s">
        <v>282</v>
      </c>
      <c r="C185" s="1222"/>
      <c r="D185" s="1222"/>
      <c r="E185" s="1222"/>
      <c r="F185" s="1222"/>
      <c r="G185" s="1295">
        <f>K91</f>
        <v>1248823.68</v>
      </c>
      <c r="H185" s="1296"/>
      <c r="I185" s="1296">
        <f>L91</f>
        <v>0</v>
      </c>
      <c r="J185" s="1296"/>
      <c r="K185" s="1296">
        <f>M91</f>
        <v>809241.60000000009</v>
      </c>
      <c r="L185" s="1296"/>
      <c r="M185" s="1296">
        <f>N91</f>
        <v>2058065.2799999998</v>
      </c>
      <c r="N185" s="1305"/>
      <c r="O185" s="796"/>
    </row>
    <row r="186" spans="1:23" ht="12.75" x14ac:dyDescent="0.2">
      <c r="A186" s="733" t="s">
        <v>40</v>
      </c>
      <c r="B186" s="1221" t="s">
        <v>45</v>
      </c>
      <c r="C186" s="1222"/>
      <c r="D186" s="1222"/>
      <c r="E186" s="1222"/>
      <c r="F186" s="1222"/>
      <c r="G186" s="1295">
        <f>K102</f>
        <v>281410.56</v>
      </c>
      <c r="H186" s="1296"/>
      <c r="I186" s="1296">
        <f>L102</f>
        <v>0</v>
      </c>
      <c r="J186" s="1296"/>
      <c r="K186" s="1296">
        <f>M102</f>
        <v>56286.720000000001</v>
      </c>
      <c r="L186" s="1296"/>
      <c r="M186" s="1296">
        <f>N102</f>
        <v>337697.27999999997</v>
      </c>
      <c r="N186" s="1305"/>
      <c r="O186" s="796"/>
    </row>
    <row r="187" spans="1:23" ht="12.75" x14ac:dyDescent="0.2">
      <c r="A187" s="733" t="s">
        <v>41</v>
      </c>
      <c r="B187" s="1223" t="s">
        <v>283</v>
      </c>
      <c r="C187" s="1223"/>
      <c r="D187" s="1223"/>
      <c r="E187" s="1223"/>
      <c r="F187" s="1221"/>
      <c r="G187" s="1295">
        <f>K116</f>
        <v>1620886.08</v>
      </c>
      <c r="H187" s="1296"/>
      <c r="I187" s="1296">
        <f>L116</f>
        <v>0</v>
      </c>
      <c r="J187" s="1296"/>
      <c r="K187" s="1296">
        <f>M116</f>
        <v>1144709.4240000001</v>
      </c>
      <c r="L187" s="1296"/>
      <c r="M187" s="1296">
        <f>N116</f>
        <v>2765595.5040000002</v>
      </c>
      <c r="N187" s="1305"/>
      <c r="O187" s="796"/>
    </row>
    <row r="188" spans="1:23" ht="13.5" thickBot="1" x14ac:dyDescent="0.25">
      <c r="A188" s="734" t="s">
        <v>42</v>
      </c>
      <c r="B188" s="1224" t="s">
        <v>849</v>
      </c>
      <c r="C188" s="1224"/>
      <c r="D188" s="1224"/>
      <c r="E188" s="1224"/>
      <c r="F188" s="1225"/>
      <c r="G188" s="1319">
        <f>K156</f>
        <v>4175994.2400000016</v>
      </c>
      <c r="H188" s="1300"/>
      <c r="I188" s="1300">
        <f>L156</f>
        <v>71353.98</v>
      </c>
      <c r="J188" s="1300"/>
      <c r="K188" s="1300">
        <f>M156</f>
        <v>3091790.0345759997</v>
      </c>
      <c r="L188" s="1300"/>
      <c r="M188" s="1300">
        <f>N156</f>
        <v>7339138.2545760013</v>
      </c>
      <c r="N188" s="1306"/>
      <c r="O188" s="796"/>
    </row>
    <row r="189" spans="1:23" ht="13.5" thickBot="1" x14ac:dyDescent="0.25">
      <c r="A189" s="1219" t="s">
        <v>47</v>
      </c>
      <c r="B189" s="1220"/>
      <c r="C189" s="1220"/>
      <c r="D189" s="1220"/>
      <c r="E189" s="1220"/>
      <c r="F189" s="1220"/>
      <c r="G189" s="1320">
        <f>SUM(G180:G188)</f>
        <v>20097449.200000007</v>
      </c>
      <c r="H189" s="1301"/>
      <c r="I189" s="1301">
        <f>SUM(I180:I188)</f>
        <v>2805947.1</v>
      </c>
      <c r="J189" s="1301"/>
      <c r="K189" s="1301">
        <f>SUM(K180:K188)</f>
        <v>16507655.572280005</v>
      </c>
      <c r="L189" s="1301"/>
      <c r="M189" s="1301">
        <f>SUM(M180:M188)</f>
        <v>39327187.709348001</v>
      </c>
      <c r="N189" s="1307"/>
      <c r="O189" s="796"/>
    </row>
    <row r="190" spans="1:23" x14ac:dyDescent="0.2">
      <c r="A190" s="725"/>
      <c r="B190" s="725"/>
      <c r="C190" s="725"/>
      <c r="D190" s="725"/>
      <c r="E190" s="725"/>
      <c r="F190" s="725"/>
      <c r="G190" s="718"/>
      <c r="H190" s="718"/>
      <c r="I190" s="718"/>
      <c r="J190" s="718"/>
      <c r="K190" s="290"/>
      <c r="L190" s="290"/>
      <c r="M190" s="290"/>
      <c r="N190" s="290"/>
      <c r="O190" s="795"/>
    </row>
    <row r="191" spans="1:23" x14ac:dyDescent="0.2">
      <c r="A191" s="725"/>
      <c r="B191" s="725"/>
      <c r="C191" s="725"/>
      <c r="D191" s="725"/>
      <c r="E191" s="725"/>
      <c r="F191" s="725"/>
      <c r="G191" s="718"/>
      <c r="H191" s="718"/>
      <c r="I191" s="718"/>
      <c r="J191" s="718"/>
      <c r="K191" s="290"/>
      <c r="L191" s="290"/>
      <c r="M191" s="290"/>
      <c r="N191" s="290"/>
      <c r="O191" s="795"/>
    </row>
    <row r="192" spans="1:23" x14ac:dyDescent="0.2">
      <c r="A192" s="725"/>
      <c r="B192" s="725"/>
      <c r="C192" s="725"/>
      <c r="D192" s="725"/>
      <c r="E192" s="725"/>
      <c r="F192" s="725"/>
      <c r="G192" s="718"/>
      <c r="H192" s="718"/>
      <c r="I192" s="718"/>
      <c r="J192" s="718"/>
      <c r="K192" s="290"/>
      <c r="L192" s="290"/>
      <c r="M192" s="290"/>
      <c r="N192" s="290"/>
      <c r="O192" s="795"/>
    </row>
    <row r="193" spans="1:15" x14ac:dyDescent="0.2">
      <c r="A193" s="725"/>
      <c r="B193" s="725"/>
      <c r="C193" s="725"/>
      <c r="D193" s="725"/>
      <c r="E193" s="725"/>
      <c r="F193" s="725"/>
      <c r="G193" s="718"/>
      <c r="H193" s="718"/>
      <c r="I193" s="718"/>
      <c r="J193" s="718"/>
      <c r="K193" s="290"/>
      <c r="L193" s="290"/>
      <c r="M193" s="290"/>
      <c r="N193" s="290"/>
      <c r="O193" s="795"/>
    </row>
    <row r="194" spans="1:15" x14ac:dyDescent="0.2">
      <c r="A194" s="725"/>
      <c r="B194" s="725"/>
      <c r="C194" s="725"/>
      <c r="D194" s="725"/>
      <c r="E194" s="725"/>
      <c r="F194" s="725"/>
      <c r="G194" s="718"/>
      <c r="H194" s="718"/>
      <c r="I194" s="718"/>
      <c r="J194" s="718"/>
      <c r="K194" s="290"/>
      <c r="L194" s="290"/>
      <c r="M194" s="290"/>
      <c r="N194" s="290"/>
      <c r="O194" s="795"/>
    </row>
    <row r="195" spans="1:15" ht="12.75" thickBot="1" x14ac:dyDescent="0.25">
      <c r="A195" s="288"/>
      <c r="B195" s="289"/>
      <c r="C195" s="290"/>
      <c r="D195" s="288"/>
      <c r="E195" s="288"/>
      <c r="F195" s="288"/>
      <c r="G195" s="290"/>
      <c r="H195" s="290"/>
      <c r="I195" s="290"/>
      <c r="J195" s="290"/>
      <c r="K195" s="290"/>
      <c r="L195" s="290"/>
      <c r="M195" s="290"/>
      <c r="N195" s="290"/>
      <c r="O195" s="795"/>
    </row>
    <row r="196" spans="1:15" x14ac:dyDescent="0.2">
      <c r="A196" s="1308" t="s">
        <v>49</v>
      </c>
      <c r="B196" s="1309"/>
      <c r="C196" s="1309"/>
      <c r="D196" s="1309"/>
      <c r="E196" s="1309"/>
      <c r="F196" s="1309"/>
      <c r="G196" s="1309"/>
      <c r="H196" s="1309"/>
      <c r="I196" s="1309"/>
      <c r="J196" s="1309"/>
      <c r="K196" s="1310"/>
      <c r="L196" s="1308" t="s">
        <v>50</v>
      </c>
      <c r="M196" s="1309"/>
      <c r="N196" s="1310"/>
      <c r="O196" s="795"/>
    </row>
    <row r="197" spans="1:15" ht="12.75" thickBot="1" x14ac:dyDescent="0.25">
      <c r="A197" s="1311"/>
      <c r="B197" s="1312"/>
      <c r="C197" s="1312"/>
      <c r="D197" s="1312"/>
      <c r="E197" s="1312"/>
      <c r="F197" s="1312"/>
      <c r="G197" s="1312"/>
      <c r="H197" s="1312"/>
      <c r="I197" s="1312"/>
      <c r="J197" s="1312"/>
      <c r="K197" s="1313"/>
      <c r="L197" s="1311"/>
      <c r="M197" s="1312"/>
      <c r="N197" s="1313"/>
      <c r="O197" s="795"/>
    </row>
    <row r="198" spans="1:15" x14ac:dyDescent="0.2">
      <c r="A198" s="1314" t="s">
        <v>161</v>
      </c>
      <c r="B198" s="1315"/>
      <c r="C198" s="1315"/>
      <c r="D198" s="1315"/>
      <c r="E198" s="1315"/>
      <c r="F198" s="1315"/>
      <c r="G198" s="1315"/>
      <c r="H198" s="1315"/>
      <c r="I198" s="1315"/>
      <c r="J198" s="1315"/>
      <c r="K198" s="1316"/>
      <c r="L198" s="1308" t="s">
        <v>52</v>
      </c>
      <c r="M198" s="1309"/>
      <c r="N198" s="1310"/>
      <c r="O198" s="795"/>
    </row>
    <row r="199" spans="1:15" ht="12.75" thickBot="1" x14ac:dyDescent="0.25">
      <c r="A199" s="1261"/>
      <c r="B199" s="1262"/>
      <c r="C199" s="1262"/>
      <c r="D199" s="1262"/>
      <c r="E199" s="1262"/>
      <c r="F199" s="1262"/>
      <c r="G199" s="1262"/>
      <c r="H199" s="1262"/>
      <c r="I199" s="1262"/>
      <c r="J199" s="1262"/>
      <c r="K199" s="1263"/>
      <c r="L199" s="1311"/>
      <c r="M199" s="1312"/>
      <c r="N199" s="1313"/>
      <c r="O199" s="795"/>
    </row>
    <row r="200" spans="1:15" x14ac:dyDescent="0.2">
      <c r="A200" s="1270" t="s">
        <v>53</v>
      </c>
      <c r="B200" s="1271"/>
      <c r="C200" s="1271"/>
      <c r="D200" s="1271"/>
      <c r="E200" s="1271"/>
      <c r="F200" s="1271"/>
      <c r="G200" s="1271"/>
      <c r="H200" s="1271"/>
      <c r="I200" s="1271"/>
      <c r="J200" s="1271"/>
      <c r="K200" s="1271"/>
      <c r="L200" s="1271"/>
      <c r="M200" s="1271"/>
      <c r="N200" s="1272"/>
      <c r="O200" s="795"/>
    </row>
    <row r="201" spans="1:15" x14ac:dyDescent="0.2">
      <c r="A201" s="1258"/>
      <c r="B201" s="1259"/>
      <c r="C201" s="1259"/>
      <c r="D201" s="1259"/>
      <c r="E201" s="1259"/>
      <c r="F201" s="1259"/>
      <c r="G201" s="1259"/>
      <c r="H201" s="1259"/>
      <c r="I201" s="1259"/>
      <c r="J201" s="1259"/>
      <c r="K201" s="1259"/>
      <c r="L201" s="1259"/>
      <c r="M201" s="1259"/>
      <c r="N201" s="1260"/>
      <c r="O201" s="795"/>
    </row>
    <row r="202" spans="1:15" x14ac:dyDescent="0.2">
      <c r="A202" s="1258"/>
      <c r="B202" s="1259"/>
      <c r="C202" s="1259"/>
      <c r="D202" s="1259"/>
      <c r="E202" s="1259"/>
      <c r="F202" s="1259"/>
      <c r="G202" s="1259"/>
      <c r="H202" s="1259"/>
      <c r="I202" s="1259"/>
      <c r="J202" s="1259"/>
      <c r="K202" s="1259"/>
      <c r="L202" s="1259"/>
      <c r="M202" s="1259"/>
      <c r="N202" s="1260"/>
      <c r="O202" s="795"/>
    </row>
    <row r="203" spans="1:15" ht="12.75" thickBot="1" x14ac:dyDescent="0.25">
      <c r="A203" s="1261"/>
      <c r="B203" s="1262"/>
      <c r="C203" s="1262"/>
      <c r="D203" s="1262"/>
      <c r="E203" s="1262"/>
      <c r="F203" s="1262"/>
      <c r="G203" s="1262"/>
      <c r="H203" s="1262"/>
      <c r="I203" s="1262"/>
      <c r="J203" s="1262"/>
      <c r="K203" s="1262"/>
      <c r="L203" s="1262"/>
      <c r="M203" s="1262"/>
      <c r="N203" s="1263"/>
      <c r="O203" s="795"/>
    </row>
  </sheetData>
  <mergeCells count="232">
    <mergeCell ref="L198:N198"/>
    <mergeCell ref="L199:N199"/>
    <mergeCell ref="A198:K198"/>
    <mergeCell ref="A199:K199"/>
    <mergeCell ref="K184:L184"/>
    <mergeCell ref="K185:L185"/>
    <mergeCell ref="K186:L186"/>
    <mergeCell ref="K187:L187"/>
    <mergeCell ref="K188:L188"/>
    <mergeCell ref="K189:L189"/>
    <mergeCell ref="G184:H184"/>
    <mergeCell ref="G185:H185"/>
    <mergeCell ref="G186:H186"/>
    <mergeCell ref="G187:H187"/>
    <mergeCell ref="G188:H188"/>
    <mergeCell ref="G189:H189"/>
    <mergeCell ref="A196:K196"/>
    <mergeCell ref="A197:K197"/>
    <mergeCell ref="L196:N196"/>
    <mergeCell ref="L197:N197"/>
    <mergeCell ref="I184:J184"/>
    <mergeCell ref="I185:J185"/>
    <mergeCell ref="I186:J186"/>
    <mergeCell ref="I187:J187"/>
    <mergeCell ref="I188:J188"/>
    <mergeCell ref="I189:J189"/>
    <mergeCell ref="M178:N179"/>
    <mergeCell ref="M180:N182"/>
    <mergeCell ref="M183:N183"/>
    <mergeCell ref="M184:N184"/>
    <mergeCell ref="M185:N185"/>
    <mergeCell ref="M186:N186"/>
    <mergeCell ref="M187:N187"/>
    <mergeCell ref="M188:N188"/>
    <mergeCell ref="M189:N189"/>
    <mergeCell ref="A177:A179"/>
    <mergeCell ref="G178:H179"/>
    <mergeCell ref="G180:H182"/>
    <mergeCell ref="G183:H183"/>
    <mergeCell ref="K178:L179"/>
    <mergeCell ref="K180:L182"/>
    <mergeCell ref="K183:L183"/>
    <mergeCell ref="G177:N177"/>
    <mergeCell ref="K105:N105"/>
    <mergeCell ref="H106:H107"/>
    <mergeCell ref="K106:K107"/>
    <mergeCell ref="L106:L107"/>
    <mergeCell ref="M106:M107"/>
    <mergeCell ref="N106:N107"/>
    <mergeCell ref="K121:N121"/>
    <mergeCell ref="K122:K123"/>
    <mergeCell ref="L122:L123"/>
    <mergeCell ref="M122:M123"/>
    <mergeCell ref="N122:N123"/>
    <mergeCell ref="I178:J179"/>
    <mergeCell ref="I180:J182"/>
    <mergeCell ref="I183:J183"/>
    <mergeCell ref="C105:C107"/>
    <mergeCell ref="D105:D107"/>
    <mergeCell ref="K94:N94"/>
    <mergeCell ref="A76:J76"/>
    <mergeCell ref="A78:A80"/>
    <mergeCell ref="B78:B80"/>
    <mergeCell ref="C78:C80"/>
    <mergeCell ref="D78:D80"/>
    <mergeCell ref="E78:E80"/>
    <mergeCell ref="F78:F80"/>
    <mergeCell ref="G78:J78"/>
    <mergeCell ref="K78:N78"/>
    <mergeCell ref="H79:H80"/>
    <mergeCell ref="A90:J90"/>
    <mergeCell ref="A91:J91"/>
    <mergeCell ref="M95:M96"/>
    <mergeCell ref="N95:N96"/>
    <mergeCell ref="G106:G107"/>
    <mergeCell ref="I106:I107"/>
    <mergeCell ref="J106:J107"/>
    <mergeCell ref="S152:W152"/>
    <mergeCell ref="P10:W10"/>
    <mergeCell ref="H122:H123"/>
    <mergeCell ref="H14:H15"/>
    <mergeCell ref="K13:N13"/>
    <mergeCell ref="K14:K15"/>
    <mergeCell ref="L14:L15"/>
    <mergeCell ref="M14:M15"/>
    <mergeCell ref="N14:N15"/>
    <mergeCell ref="K49:N49"/>
    <mergeCell ref="H50:H51"/>
    <mergeCell ref="K50:K51"/>
    <mergeCell ref="L50:L51"/>
    <mergeCell ref="M50:M51"/>
    <mergeCell ref="N50:N51"/>
    <mergeCell ref="B16:N16"/>
    <mergeCell ref="A45:J45"/>
    <mergeCell ref="A46:J46"/>
    <mergeCell ref="K79:K80"/>
    <mergeCell ref="A47:J47"/>
    <mergeCell ref="G79:G80"/>
    <mergeCell ref="I79:I80"/>
    <mergeCell ref="J79:J80"/>
    <mergeCell ref="A89:J89"/>
    <mergeCell ref="A75:J75"/>
    <mergeCell ref="E121:E123"/>
    <mergeCell ref="F121:F123"/>
    <mergeCell ref="B125:N125"/>
    <mergeCell ref="G49:J49"/>
    <mergeCell ref="G50:G51"/>
    <mergeCell ref="I50:I51"/>
    <mergeCell ref="J50:J51"/>
    <mergeCell ref="A59:J59"/>
    <mergeCell ref="A49:A51"/>
    <mergeCell ref="B49:B51"/>
    <mergeCell ref="B66:B68"/>
    <mergeCell ref="C66:C68"/>
    <mergeCell ref="D66:D68"/>
    <mergeCell ref="E66:E68"/>
    <mergeCell ref="F66:F68"/>
    <mergeCell ref="G66:J66"/>
    <mergeCell ref="E49:E51"/>
    <mergeCell ref="A60:J60"/>
    <mergeCell ref="P78:P80"/>
    <mergeCell ref="Q78:Q80"/>
    <mergeCell ref="K66:N66"/>
    <mergeCell ref="H67:H68"/>
    <mergeCell ref="K67:K68"/>
    <mergeCell ref="L67:L68"/>
    <mergeCell ref="C49:C51"/>
    <mergeCell ref="D49:D51"/>
    <mergeCell ref="F49:F51"/>
    <mergeCell ref="L79:L80"/>
    <mergeCell ref="M79:M80"/>
    <mergeCell ref="N79:N80"/>
    <mergeCell ref="M67:M68"/>
    <mergeCell ref="N67:N68"/>
    <mergeCell ref="P49:P51"/>
    <mergeCell ref="Q49:Q51"/>
    <mergeCell ref="P66:P68"/>
    <mergeCell ref="Q66:Q68"/>
    <mergeCell ref="A74:J74"/>
    <mergeCell ref="A61:J61"/>
    <mergeCell ref="A62:J62"/>
    <mergeCell ref="A66:A68"/>
    <mergeCell ref="A202:N202"/>
    <mergeCell ref="A203:N203"/>
    <mergeCell ref="B108:N108"/>
    <mergeCell ref="B141:N141"/>
    <mergeCell ref="G122:G123"/>
    <mergeCell ref="I122:I123"/>
    <mergeCell ref="J122:J123"/>
    <mergeCell ref="A115:J115"/>
    <mergeCell ref="A116:J116"/>
    <mergeCell ref="A121:A123"/>
    <mergeCell ref="B121:B123"/>
    <mergeCell ref="C121:C123"/>
    <mergeCell ref="D121:D123"/>
    <mergeCell ref="G121:J121"/>
    <mergeCell ref="A155:J155"/>
    <mergeCell ref="A156:J156"/>
    <mergeCell ref="B128:N128"/>
    <mergeCell ref="B137:N137"/>
    <mergeCell ref="A176:N176"/>
    <mergeCell ref="A153:J153"/>
    <mergeCell ref="A154:J154"/>
    <mergeCell ref="A200:N200"/>
    <mergeCell ref="A201:N201"/>
    <mergeCell ref="B177:F179"/>
    <mergeCell ref="A1:N1"/>
    <mergeCell ref="A2:N2"/>
    <mergeCell ref="A3:N3"/>
    <mergeCell ref="A4:N5"/>
    <mergeCell ref="A7:N7"/>
    <mergeCell ref="G13:J13"/>
    <mergeCell ref="G14:G15"/>
    <mergeCell ref="I14:I15"/>
    <mergeCell ref="J14:J15"/>
    <mergeCell ref="A13:A15"/>
    <mergeCell ref="B13:B15"/>
    <mergeCell ref="C13:C15"/>
    <mergeCell ref="D13:D15"/>
    <mergeCell ref="E13:E15"/>
    <mergeCell ref="F13:F15"/>
    <mergeCell ref="D10:E10"/>
    <mergeCell ref="D11:E11"/>
    <mergeCell ref="D9:J9"/>
    <mergeCell ref="Q13:Q15"/>
    <mergeCell ref="B124:N124"/>
    <mergeCell ref="A189:F189"/>
    <mergeCell ref="B183:F183"/>
    <mergeCell ref="B184:F184"/>
    <mergeCell ref="B185:F185"/>
    <mergeCell ref="B186:F186"/>
    <mergeCell ref="B187:F187"/>
    <mergeCell ref="B188:F188"/>
    <mergeCell ref="A152:J152"/>
    <mergeCell ref="A180:A182"/>
    <mergeCell ref="B180:F182"/>
    <mergeCell ref="B81:N81"/>
    <mergeCell ref="K95:K96"/>
    <mergeCell ref="L95:L96"/>
    <mergeCell ref="A114:J114"/>
    <mergeCell ref="A101:J101"/>
    <mergeCell ref="A102:J102"/>
    <mergeCell ref="P94:P96"/>
    <mergeCell ref="Q94:Q96"/>
    <mergeCell ref="P105:P107"/>
    <mergeCell ref="Q105:Q107"/>
    <mergeCell ref="P121:P123"/>
    <mergeCell ref="Q121:Q123"/>
    <mergeCell ref="E105:E107"/>
    <mergeCell ref="G67:G68"/>
    <mergeCell ref="I67:I68"/>
    <mergeCell ref="J67:J68"/>
    <mergeCell ref="B97:N97"/>
    <mergeCell ref="A100:J100"/>
    <mergeCell ref="P13:P15"/>
    <mergeCell ref="F105:F107"/>
    <mergeCell ref="G105:J105"/>
    <mergeCell ref="G95:G96"/>
    <mergeCell ref="I95:I96"/>
    <mergeCell ref="J95:J96"/>
    <mergeCell ref="A94:A96"/>
    <mergeCell ref="B94:B96"/>
    <mergeCell ref="C94:C96"/>
    <mergeCell ref="D94:D96"/>
    <mergeCell ref="E94:E96"/>
    <mergeCell ref="F94:F96"/>
    <mergeCell ref="G94:J94"/>
    <mergeCell ref="H95:H96"/>
    <mergeCell ref="A105:A107"/>
    <mergeCell ref="B105:B107"/>
    <mergeCell ref="B52:N52"/>
    <mergeCell ref="B69:N69"/>
  </mergeCells>
  <printOptions horizontalCentered="1"/>
  <pageMargins left="0.59055118110236227" right="0.98425196850393704" top="0.78740157480314965" bottom="0.39370078740157483" header="0.31496062992125984" footer="0.31496062992125984"/>
  <pageSetup paperSize="9" scale="59" orientation="landscape" horizontalDpi="4294967294" verticalDpi="4294967294" r:id="rId1"/>
  <rowBreaks count="3" manualBreakCount="3">
    <brk id="62" max="13" man="1"/>
    <brk id="118" max="13" man="1"/>
    <brk id="157" max="13" man="1"/>
  </rowBreaks>
  <ignoredErrors>
    <ignoredError sqref="G57 M57" formula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79"/>
  <sheetViews>
    <sheetView view="pageBreakPreview" topLeftCell="A144" zoomScale="110" zoomScaleNormal="100" zoomScaleSheetLayoutView="110" workbookViewId="0">
      <selection activeCell="H175" sqref="H175"/>
    </sheetView>
  </sheetViews>
  <sheetFormatPr defaultColWidth="26.28515625" defaultRowHeight="12" x14ac:dyDescent="0.2"/>
  <cols>
    <col min="1" max="1" width="8.140625" style="291" bestFit="1" customWidth="1"/>
    <col min="2" max="2" width="61.140625" style="304" customWidth="1"/>
    <col min="3" max="3" width="9.5703125" style="291" bestFit="1" customWidth="1"/>
    <col min="4" max="4" width="8.28515625" style="291" bestFit="1" customWidth="1"/>
    <col min="5" max="5" width="5.85546875" style="291" bestFit="1" customWidth="1"/>
    <col min="6" max="6" width="13" style="291" bestFit="1" customWidth="1"/>
    <col min="7" max="7" width="16" style="291" bestFit="1" customWidth="1"/>
    <col min="8" max="16384" width="26.28515625" style="291"/>
  </cols>
  <sheetData>
    <row r="1" spans="1:7" ht="12.75" x14ac:dyDescent="0.2">
      <c r="A1" s="1101" t="s">
        <v>294</v>
      </c>
      <c r="B1" s="1102"/>
      <c r="C1" s="1102"/>
      <c r="D1" s="1102"/>
      <c r="E1" s="1102"/>
      <c r="F1" s="1102"/>
      <c r="G1" s="1103"/>
    </row>
    <row r="2" spans="1:7" ht="13.5" thickBot="1" x14ac:dyDescent="0.25">
      <c r="A2" s="1371" t="s">
        <v>295</v>
      </c>
      <c r="B2" s="1372"/>
      <c r="C2" s="1372"/>
      <c r="D2" s="1372"/>
      <c r="E2" s="1372"/>
      <c r="F2" s="1372"/>
      <c r="G2" s="1373"/>
    </row>
    <row r="3" spans="1:7" ht="13.5" thickBot="1" x14ac:dyDescent="0.25">
      <c r="A3" s="1240"/>
      <c r="B3" s="1241"/>
      <c r="C3" s="1241"/>
      <c r="D3" s="1241"/>
      <c r="E3" s="1241"/>
      <c r="F3" s="1241"/>
      <c r="G3" s="808"/>
    </row>
    <row r="4" spans="1:7" x14ac:dyDescent="0.2">
      <c r="A4" s="1074" t="s">
        <v>292</v>
      </c>
      <c r="B4" s="1075"/>
      <c r="C4" s="1075"/>
      <c r="D4" s="1075"/>
      <c r="E4" s="1075"/>
      <c r="F4" s="1075"/>
      <c r="G4" s="1076"/>
    </row>
    <row r="5" spans="1:7" x14ac:dyDescent="0.2">
      <c r="A5" s="1077"/>
      <c r="B5" s="1078"/>
      <c r="C5" s="1078"/>
      <c r="D5" s="1078"/>
      <c r="E5" s="1078"/>
      <c r="F5" s="1078"/>
      <c r="G5" s="1079"/>
    </row>
    <row r="6" spans="1:7" ht="12.75" thickBot="1" x14ac:dyDescent="0.25">
      <c r="A6" s="1080"/>
      <c r="B6" s="1081"/>
      <c r="C6" s="1081"/>
      <c r="D6" s="1081"/>
      <c r="E6" s="1081"/>
      <c r="F6" s="1081"/>
      <c r="G6" s="1082"/>
    </row>
    <row r="7" spans="1:7" ht="12.75" thickBot="1" x14ac:dyDescent="0.25">
      <c r="A7" s="288"/>
      <c r="B7" s="289"/>
      <c r="C7" s="290"/>
      <c r="D7" s="288"/>
      <c r="E7" s="288"/>
      <c r="F7" s="288"/>
      <c r="G7" s="288"/>
    </row>
    <row r="8" spans="1:7" ht="12.75" thickBot="1" x14ac:dyDescent="0.25">
      <c r="A8" s="1248" t="s">
        <v>927</v>
      </c>
      <c r="B8" s="1249"/>
      <c r="C8" s="1249"/>
      <c r="D8" s="1249"/>
      <c r="E8" s="1249"/>
      <c r="F8" s="1249"/>
      <c r="G8" s="1250"/>
    </row>
    <row r="9" spans="1:7" x14ac:dyDescent="0.2">
      <c r="A9" s="288"/>
      <c r="B9" s="289"/>
      <c r="C9" s="290"/>
      <c r="D9" s="288"/>
      <c r="E9" s="288"/>
      <c r="F9" s="288"/>
      <c r="G9" s="288"/>
    </row>
    <row r="10" spans="1:7" ht="12.75" thickBot="1" x14ac:dyDescent="0.25">
      <c r="A10" s="288"/>
      <c r="B10" s="289"/>
      <c r="C10" s="290"/>
      <c r="D10" s="288"/>
      <c r="E10" s="288"/>
    </row>
    <row r="11" spans="1:7" s="304" customFormat="1" x14ac:dyDescent="0.2">
      <c r="A11" s="1200" t="s">
        <v>0</v>
      </c>
      <c r="B11" s="1200" t="s">
        <v>1</v>
      </c>
      <c r="C11" s="1195" t="s">
        <v>297</v>
      </c>
      <c r="D11" s="1200" t="s">
        <v>2</v>
      </c>
      <c r="E11" s="1195" t="s">
        <v>3</v>
      </c>
      <c r="F11" s="1200" t="s">
        <v>242</v>
      </c>
      <c r="G11" s="1200" t="s">
        <v>923</v>
      </c>
    </row>
    <row r="12" spans="1:7" s="304" customFormat="1" x14ac:dyDescent="0.2">
      <c r="A12" s="1210"/>
      <c r="B12" s="1210"/>
      <c r="C12" s="1196"/>
      <c r="D12" s="1210"/>
      <c r="E12" s="1196"/>
      <c r="F12" s="1210"/>
      <c r="G12" s="1210"/>
    </row>
    <row r="13" spans="1:7" s="304" customFormat="1" ht="12.75" thickBot="1" x14ac:dyDescent="0.25">
      <c r="A13" s="1201"/>
      <c r="B13" s="1201"/>
      <c r="C13" s="1197"/>
      <c r="D13" s="1201"/>
      <c r="E13" s="1197"/>
      <c r="F13" s="1201"/>
      <c r="G13" s="1201"/>
    </row>
    <row r="14" spans="1:7" x14ac:dyDescent="0.2">
      <c r="A14" s="1383" t="s">
        <v>99</v>
      </c>
      <c r="B14" s="1287" t="s">
        <v>563</v>
      </c>
      <c r="C14" s="1215"/>
      <c r="D14" s="1215"/>
      <c r="E14" s="1215"/>
      <c r="F14" s="1215"/>
      <c r="G14" s="1288"/>
    </row>
    <row r="15" spans="1:7" x14ac:dyDescent="0.2">
      <c r="A15" s="1384"/>
      <c r="B15" s="1380"/>
      <c r="C15" s="1381"/>
      <c r="D15" s="1381"/>
      <c r="E15" s="1381"/>
      <c r="F15" s="1381"/>
      <c r="G15" s="1382"/>
    </row>
    <row r="16" spans="1:7" ht="12.75" thickBot="1" x14ac:dyDescent="0.25">
      <c r="A16" s="1384"/>
      <c r="B16" s="1380"/>
      <c r="C16" s="1381"/>
      <c r="D16" s="1381"/>
      <c r="E16" s="1381"/>
      <c r="F16" s="1381"/>
      <c r="G16" s="1382"/>
    </row>
    <row r="17" spans="1:7" x14ac:dyDescent="0.2">
      <c r="A17" s="809" t="s">
        <v>4</v>
      </c>
      <c r="B17" s="818" t="s">
        <v>280</v>
      </c>
      <c r="C17" s="297" t="s">
        <v>14</v>
      </c>
      <c r="D17" s="178" t="s">
        <v>27</v>
      </c>
      <c r="E17" s="297">
        <v>1</v>
      </c>
      <c r="F17" s="815">
        <v>18</v>
      </c>
      <c r="G17" s="606">
        <f>E17*F17</f>
        <v>18</v>
      </c>
    </row>
    <row r="18" spans="1:7" x14ac:dyDescent="0.2">
      <c r="A18" s="282" t="s">
        <v>5</v>
      </c>
      <c r="B18" s="814" t="s">
        <v>960</v>
      </c>
      <c r="C18" s="62" t="s">
        <v>13</v>
      </c>
      <c r="D18" s="62" t="s">
        <v>27</v>
      </c>
      <c r="E18" s="62" t="s">
        <v>169</v>
      </c>
      <c r="F18" s="57" t="s">
        <v>169</v>
      </c>
      <c r="G18" s="607" t="s">
        <v>169</v>
      </c>
    </row>
    <row r="19" spans="1:7" x14ac:dyDescent="0.2">
      <c r="A19" s="282" t="s">
        <v>6</v>
      </c>
      <c r="B19" s="814" t="s">
        <v>963</v>
      </c>
      <c r="C19" s="62" t="s">
        <v>15</v>
      </c>
      <c r="D19" s="62" t="s">
        <v>27</v>
      </c>
      <c r="E19" s="62" t="s">
        <v>169</v>
      </c>
      <c r="F19" s="57" t="s">
        <v>169</v>
      </c>
      <c r="G19" s="607" t="s">
        <v>169</v>
      </c>
    </row>
    <row r="20" spans="1:7" x14ac:dyDescent="0.2">
      <c r="A20" s="282" t="s">
        <v>7</v>
      </c>
      <c r="B20" s="812" t="s">
        <v>564</v>
      </c>
      <c r="C20" s="62" t="s">
        <v>15</v>
      </c>
      <c r="D20" s="62" t="s">
        <v>27</v>
      </c>
      <c r="E20" s="62">
        <v>4</v>
      </c>
      <c r="F20" s="57">
        <v>18</v>
      </c>
      <c r="G20" s="607">
        <f t="shared" ref="G20:G44" si="0">E20*F20</f>
        <v>72</v>
      </c>
    </row>
    <row r="21" spans="1:7" x14ac:dyDescent="0.2">
      <c r="A21" s="282" t="s">
        <v>8</v>
      </c>
      <c r="B21" s="812" t="s">
        <v>565</v>
      </c>
      <c r="C21" s="62" t="s">
        <v>15</v>
      </c>
      <c r="D21" s="62" t="s">
        <v>27</v>
      </c>
      <c r="E21" s="62">
        <v>4</v>
      </c>
      <c r="F21" s="57">
        <v>18</v>
      </c>
      <c r="G21" s="607">
        <f t="shared" si="0"/>
        <v>72</v>
      </c>
    </row>
    <row r="22" spans="1:7" x14ac:dyDescent="0.2">
      <c r="A22" s="282" t="s">
        <v>9</v>
      </c>
      <c r="B22" s="812" t="s">
        <v>566</v>
      </c>
      <c r="C22" s="62" t="s">
        <v>15</v>
      </c>
      <c r="D22" s="62" t="s">
        <v>27</v>
      </c>
      <c r="E22" s="62">
        <v>4</v>
      </c>
      <c r="F22" s="57">
        <v>18</v>
      </c>
      <c r="G22" s="607">
        <f t="shared" si="0"/>
        <v>72</v>
      </c>
    </row>
    <row r="23" spans="1:7" x14ac:dyDescent="0.2">
      <c r="A23" s="282" t="s">
        <v>11</v>
      </c>
      <c r="B23" s="812" t="s">
        <v>243</v>
      </c>
      <c r="C23" s="62" t="s">
        <v>15</v>
      </c>
      <c r="D23" s="62" t="s">
        <v>27</v>
      </c>
      <c r="E23" s="62">
        <v>2</v>
      </c>
      <c r="F23" s="57">
        <v>18</v>
      </c>
      <c r="G23" s="607">
        <f t="shared" si="0"/>
        <v>36</v>
      </c>
    </row>
    <row r="24" spans="1:7" x14ac:dyDescent="0.2">
      <c r="A24" s="282" t="s">
        <v>12</v>
      </c>
      <c r="B24" s="812" t="s">
        <v>244</v>
      </c>
      <c r="C24" s="62" t="s">
        <v>15</v>
      </c>
      <c r="D24" s="62" t="s">
        <v>27</v>
      </c>
      <c r="E24" s="62">
        <v>2</v>
      </c>
      <c r="F24" s="57">
        <v>18</v>
      </c>
      <c r="G24" s="607">
        <f t="shared" si="0"/>
        <v>36</v>
      </c>
    </row>
    <row r="25" spans="1:7" x14ac:dyDescent="0.2">
      <c r="A25" s="282" t="s">
        <v>28</v>
      </c>
      <c r="B25" s="813" t="s">
        <v>245</v>
      </c>
      <c r="C25" s="62" t="s">
        <v>15</v>
      </c>
      <c r="D25" s="62" t="s">
        <v>27</v>
      </c>
      <c r="E25" s="62">
        <v>2</v>
      </c>
      <c r="F25" s="57">
        <v>18</v>
      </c>
      <c r="G25" s="607">
        <f t="shared" si="0"/>
        <v>36</v>
      </c>
    </row>
    <row r="26" spans="1:7" x14ac:dyDescent="0.2">
      <c r="A26" s="282" t="s">
        <v>29</v>
      </c>
      <c r="B26" s="812" t="s">
        <v>16</v>
      </c>
      <c r="C26" s="62" t="s">
        <v>17</v>
      </c>
      <c r="D26" s="62" t="s">
        <v>27</v>
      </c>
      <c r="E26" s="62">
        <v>6</v>
      </c>
      <c r="F26" s="57">
        <v>18</v>
      </c>
      <c r="G26" s="607">
        <f t="shared" si="0"/>
        <v>108</v>
      </c>
    </row>
    <row r="27" spans="1:7" x14ac:dyDescent="0.2">
      <c r="A27" s="282" t="s">
        <v>30</v>
      </c>
      <c r="B27" s="812" t="s">
        <v>18</v>
      </c>
      <c r="C27" s="62" t="s">
        <v>19</v>
      </c>
      <c r="D27" s="62" t="s">
        <v>27</v>
      </c>
      <c r="E27" s="62">
        <v>24</v>
      </c>
      <c r="F27" s="57">
        <v>18</v>
      </c>
      <c r="G27" s="607">
        <f t="shared" si="0"/>
        <v>432</v>
      </c>
    </row>
    <row r="28" spans="1:7" x14ac:dyDescent="0.2">
      <c r="A28" s="282" t="s">
        <v>31</v>
      </c>
      <c r="B28" s="812" t="s">
        <v>93</v>
      </c>
      <c r="C28" s="62" t="s">
        <v>15</v>
      </c>
      <c r="D28" s="62" t="s">
        <v>27</v>
      </c>
      <c r="E28" s="62">
        <v>1</v>
      </c>
      <c r="F28" s="57">
        <v>18</v>
      </c>
      <c r="G28" s="607">
        <f t="shared" si="0"/>
        <v>18</v>
      </c>
    </row>
    <row r="29" spans="1:7" x14ac:dyDescent="0.2">
      <c r="A29" s="282" t="s">
        <v>32</v>
      </c>
      <c r="B29" s="812" t="s">
        <v>92</v>
      </c>
      <c r="C29" s="62" t="s">
        <v>19</v>
      </c>
      <c r="D29" s="62" t="s">
        <v>27</v>
      </c>
      <c r="E29" s="62">
        <v>1</v>
      </c>
      <c r="F29" s="57">
        <v>18</v>
      </c>
      <c r="G29" s="607">
        <f t="shared" si="0"/>
        <v>18</v>
      </c>
    </row>
    <row r="30" spans="1:7" x14ac:dyDescent="0.2">
      <c r="A30" s="282" t="s">
        <v>33</v>
      </c>
      <c r="B30" s="812" t="s">
        <v>941</v>
      </c>
      <c r="C30" s="62" t="s">
        <v>17</v>
      </c>
      <c r="D30" s="62" t="s">
        <v>27</v>
      </c>
      <c r="E30" s="62">
        <v>2</v>
      </c>
      <c r="F30" s="57">
        <v>3</v>
      </c>
      <c r="G30" s="607">
        <f t="shared" si="0"/>
        <v>6</v>
      </c>
    </row>
    <row r="31" spans="1:7" x14ac:dyDescent="0.2">
      <c r="A31" s="282" t="s">
        <v>90</v>
      </c>
      <c r="B31" s="814" t="s">
        <v>942</v>
      </c>
      <c r="C31" s="62" t="s">
        <v>17</v>
      </c>
      <c r="D31" s="62" t="s">
        <v>27</v>
      </c>
      <c r="E31" s="62">
        <v>2</v>
      </c>
      <c r="F31" s="57">
        <v>3</v>
      </c>
      <c r="G31" s="607">
        <f t="shared" si="0"/>
        <v>6</v>
      </c>
    </row>
    <row r="32" spans="1:7" x14ac:dyDescent="0.2">
      <c r="A32" s="282" t="s">
        <v>91</v>
      </c>
      <c r="B32" s="814" t="s">
        <v>943</v>
      </c>
      <c r="C32" s="62" t="s">
        <v>17</v>
      </c>
      <c r="D32" s="62" t="s">
        <v>27</v>
      </c>
      <c r="E32" s="62">
        <v>2</v>
      </c>
      <c r="F32" s="57">
        <v>3</v>
      </c>
      <c r="G32" s="607">
        <f t="shared" si="0"/>
        <v>6</v>
      </c>
    </row>
    <row r="33" spans="1:7" x14ac:dyDescent="0.2">
      <c r="A33" s="282" t="s">
        <v>231</v>
      </c>
      <c r="B33" s="812" t="s">
        <v>944</v>
      </c>
      <c r="C33" s="62" t="s">
        <v>36</v>
      </c>
      <c r="D33" s="62" t="s">
        <v>27</v>
      </c>
      <c r="E33" s="62">
        <v>4</v>
      </c>
      <c r="F33" s="57">
        <v>3</v>
      </c>
      <c r="G33" s="607">
        <f t="shared" si="0"/>
        <v>12</v>
      </c>
    </row>
    <row r="34" spans="1:7" x14ac:dyDescent="0.2">
      <c r="A34" s="282" t="s">
        <v>232</v>
      </c>
      <c r="B34" s="812" t="s">
        <v>10</v>
      </c>
      <c r="C34" s="62" t="s">
        <v>20</v>
      </c>
      <c r="D34" s="62" t="s">
        <v>27</v>
      </c>
      <c r="E34" s="62">
        <v>6</v>
      </c>
      <c r="F34" s="57">
        <v>3</v>
      </c>
      <c r="G34" s="607">
        <f t="shared" si="0"/>
        <v>18</v>
      </c>
    </row>
    <row r="35" spans="1:7" x14ac:dyDescent="0.2">
      <c r="A35" s="282" t="s">
        <v>233</v>
      </c>
      <c r="B35" s="812" t="s">
        <v>945</v>
      </c>
      <c r="C35" s="62" t="s">
        <v>15</v>
      </c>
      <c r="D35" s="62" t="s">
        <v>27</v>
      </c>
      <c r="E35" s="62">
        <v>1</v>
      </c>
      <c r="F35" s="57">
        <v>4</v>
      </c>
      <c r="G35" s="607">
        <f t="shared" si="0"/>
        <v>4</v>
      </c>
    </row>
    <row r="36" spans="1:7" x14ac:dyDescent="0.2">
      <c r="A36" s="282" t="s">
        <v>246</v>
      </c>
      <c r="B36" s="814" t="s">
        <v>562</v>
      </c>
      <c r="C36" s="62" t="s">
        <v>19</v>
      </c>
      <c r="D36" s="62" t="s">
        <v>27</v>
      </c>
      <c r="E36" s="62">
        <v>2</v>
      </c>
      <c r="F36" s="57">
        <v>18</v>
      </c>
      <c r="G36" s="607">
        <f t="shared" si="0"/>
        <v>36</v>
      </c>
    </row>
    <row r="37" spans="1:7" x14ac:dyDescent="0.2">
      <c r="A37" s="282" t="s">
        <v>247</v>
      </c>
      <c r="B37" s="812" t="s">
        <v>625</v>
      </c>
      <c r="C37" s="62" t="s">
        <v>15</v>
      </c>
      <c r="D37" s="62" t="s">
        <v>27</v>
      </c>
      <c r="E37" s="62">
        <v>1</v>
      </c>
      <c r="F37" s="57">
        <v>18</v>
      </c>
      <c r="G37" s="607">
        <f t="shared" si="0"/>
        <v>18</v>
      </c>
    </row>
    <row r="38" spans="1:7" x14ac:dyDescent="0.2">
      <c r="A38" s="282" t="s">
        <v>248</v>
      </c>
      <c r="B38" s="812" t="s">
        <v>626</v>
      </c>
      <c r="C38" s="62" t="s">
        <v>20</v>
      </c>
      <c r="D38" s="62" t="s">
        <v>27</v>
      </c>
      <c r="E38" s="62">
        <v>2</v>
      </c>
      <c r="F38" s="57">
        <v>18</v>
      </c>
      <c r="G38" s="607">
        <f t="shared" si="0"/>
        <v>36</v>
      </c>
    </row>
    <row r="39" spans="1:7" ht="24" x14ac:dyDescent="0.2">
      <c r="A39" s="282" t="s">
        <v>249</v>
      </c>
      <c r="B39" s="812" t="s">
        <v>535</v>
      </c>
      <c r="C39" s="62" t="s">
        <v>227</v>
      </c>
      <c r="D39" s="62" t="s">
        <v>27</v>
      </c>
      <c r="E39" s="185">
        <v>2</v>
      </c>
      <c r="F39" s="791">
        <v>15</v>
      </c>
      <c r="G39" s="607">
        <f t="shared" si="0"/>
        <v>30</v>
      </c>
    </row>
    <row r="40" spans="1:7" x14ac:dyDescent="0.2">
      <c r="A40" s="282" t="s">
        <v>250</v>
      </c>
      <c r="B40" s="365" t="s">
        <v>238</v>
      </c>
      <c r="C40" s="62" t="s">
        <v>15</v>
      </c>
      <c r="D40" s="62" t="s">
        <v>27</v>
      </c>
      <c r="E40" s="62">
        <v>1</v>
      </c>
      <c r="F40" s="57">
        <v>18</v>
      </c>
      <c r="G40" s="607">
        <f t="shared" si="0"/>
        <v>18</v>
      </c>
    </row>
    <row r="41" spans="1:7" x14ac:dyDescent="0.2">
      <c r="A41" s="282" t="s">
        <v>251</v>
      </c>
      <c r="B41" s="365" t="s">
        <v>627</v>
      </c>
      <c r="C41" s="62" t="s">
        <v>15</v>
      </c>
      <c r="D41" s="62" t="s">
        <v>27</v>
      </c>
      <c r="E41" s="62">
        <v>1</v>
      </c>
      <c r="F41" s="57">
        <v>18</v>
      </c>
      <c r="G41" s="607">
        <f t="shared" si="0"/>
        <v>18</v>
      </c>
    </row>
    <row r="42" spans="1:7" x14ac:dyDescent="0.2">
      <c r="A42" s="282" t="s">
        <v>252</v>
      </c>
      <c r="B42" s="365" t="s">
        <v>279</v>
      </c>
      <c r="C42" s="62" t="s">
        <v>17</v>
      </c>
      <c r="D42" s="62" t="s">
        <v>27</v>
      </c>
      <c r="E42" s="62">
        <v>1</v>
      </c>
      <c r="F42" s="57">
        <v>18</v>
      </c>
      <c r="G42" s="607">
        <f t="shared" si="0"/>
        <v>18</v>
      </c>
    </row>
    <row r="43" spans="1:7" x14ac:dyDescent="0.2">
      <c r="A43" s="282" t="s">
        <v>253</v>
      </c>
      <c r="B43" s="812" t="s">
        <v>21</v>
      </c>
      <c r="C43" s="62" t="s">
        <v>22</v>
      </c>
      <c r="D43" s="62" t="s">
        <v>27</v>
      </c>
      <c r="E43" s="62">
        <v>2</v>
      </c>
      <c r="F43" s="791">
        <v>18</v>
      </c>
      <c r="G43" s="607">
        <f t="shared" si="0"/>
        <v>36</v>
      </c>
    </row>
    <row r="44" spans="1:7" ht="12.75" thickBot="1" x14ac:dyDescent="0.25">
      <c r="A44" s="285" t="s">
        <v>254</v>
      </c>
      <c r="B44" s="819" t="s">
        <v>23</v>
      </c>
      <c r="C44" s="188" t="s">
        <v>24</v>
      </c>
      <c r="D44" s="188" t="s">
        <v>27</v>
      </c>
      <c r="E44" s="188">
        <v>4</v>
      </c>
      <c r="F44" s="820">
        <v>18</v>
      </c>
      <c r="G44" s="231">
        <f t="shared" si="0"/>
        <v>72</v>
      </c>
    </row>
    <row r="45" spans="1:7" ht="12.75" thickBot="1" x14ac:dyDescent="0.25">
      <c r="A45" s="1374" t="s">
        <v>924</v>
      </c>
      <c r="B45" s="1375"/>
      <c r="C45" s="1375"/>
      <c r="D45" s="1375"/>
      <c r="E45" s="1375"/>
      <c r="F45" s="1376"/>
      <c r="G45" s="735">
        <f>SUM(G17:G44)</f>
        <v>1252</v>
      </c>
    </row>
    <row r="46" spans="1:7" ht="12.75" thickBot="1" x14ac:dyDescent="0.25">
      <c r="A46" s="1377" t="s">
        <v>925</v>
      </c>
      <c r="B46" s="1378"/>
      <c r="C46" s="1378"/>
      <c r="D46" s="1378"/>
      <c r="E46" s="1378"/>
      <c r="F46" s="1379"/>
      <c r="G46" s="975">
        <v>458</v>
      </c>
    </row>
    <row r="47" spans="1:7" ht="12.75" thickBot="1" x14ac:dyDescent="0.25">
      <c r="A47" s="1336" t="s">
        <v>926</v>
      </c>
      <c r="B47" s="1337"/>
      <c r="C47" s="1337"/>
      <c r="D47" s="1337"/>
      <c r="E47" s="1337"/>
      <c r="F47" s="1338"/>
      <c r="G47" s="609">
        <f>G45*G46</f>
        <v>573416</v>
      </c>
    </row>
    <row r="48" spans="1:7" x14ac:dyDescent="0.2">
      <c r="A48" s="288"/>
      <c r="B48" s="289"/>
      <c r="C48" s="290"/>
      <c r="D48" s="288"/>
      <c r="E48" s="288"/>
      <c r="F48" s="288"/>
      <c r="G48" s="288"/>
    </row>
    <row r="49" spans="1:7" ht="12.75" thickBot="1" x14ac:dyDescent="0.25">
      <c r="A49" s="288"/>
      <c r="B49" s="289"/>
      <c r="C49" s="290"/>
      <c r="D49" s="288"/>
      <c r="E49" s="288"/>
      <c r="F49" s="288"/>
      <c r="G49" s="288"/>
    </row>
    <row r="50" spans="1:7" x14ac:dyDescent="0.2">
      <c r="A50" s="1200" t="s">
        <v>0</v>
      </c>
      <c r="B50" s="1200" t="s">
        <v>1</v>
      </c>
      <c r="C50" s="1195" t="s">
        <v>297</v>
      </c>
      <c r="D50" s="1200" t="s">
        <v>2</v>
      </c>
      <c r="E50" s="1195" t="s">
        <v>3</v>
      </c>
      <c r="F50" s="1200" t="s">
        <v>242</v>
      </c>
      <c r="G50" s="1200" t="s">
        <v>923</v>
      </c>
    </row>
    <row r="51" spans="1:7" x14ac:dyDescent="0.2">
      <c r="A51" s="1210"/>
      <c r="B51" s="1210"/>
      <c r="C51" s="1196"/>
      <c r="D51" s="1210"/>
      <c r="E51" s="1196"/>
      <c r="F51" s="1210"/>
      <c r="G51" s="1210"/>
    </row>
    <row r="52" spans="1:7" ht="12.75" thickBot="1" x14ac:dyDescent="0.25">
      <c r="A52" s="1201"/>
      <c r="B52" s="1201"/>
      <c r="C52" s="1197"/>
      <c r="D52" s="1201"/>
      <c r="E52" s="1197"/>
      <c r="F52" s="1201"/>
      <c r="G52" s="1201"/>
    </row>
    <row r="53" spans="1:7" ht="12.75" thickBot="1" x14ac:dyDescent="0.25">
      <c r="A53" s="328">
        <v>2</v>
      </c>
      <c r="B53" s="1202" t="s">
        <v>44</v>
      </c>
      <c r="C53" s="1203"/>
      <c r="D53" s="1203"/>
      <c r="E53" s="1203"/>
      <c r="F53" s="1203"/>
      <c r="G53" s="1214"/>
    </row>
    <row r="54" spans="1:7" ht="24" x14ac:dyDescent="0.2">
      <c r="A54" s="809" t="s">
        <v>81</v>
      </c>
      <c r="B54" s="75" t="s">
        <v>537</v>
      </c>
      <c r="C54" s="276" t="s">
        <v>14</v>
      </c>
      <c r="D54" s="276" t="s">
        <v>27</v>
      </c>
      <c r="E54" s="276">
        <f>'Mão de Obra '!E53</f>
        <v>1</v>
      </c>
      <c r="F54" s="598">
        <f>'Mão de Obra '!F53</f>
        <v>1</v>
      </c>
      <c r="G54" s="232">
        <f>E54*F54</f>
        <v>1</v>
      </c>
    </row>
    <row r="55" spans="1:7" x14ac:dyDescent="0.2">
      <c r="A55" s="282" t="s">
        <v>82</v>
      </c>
      <c r="B55" s="55" t="s">
        <v>536</v>
      </c>
      <c r="C55" s="62" t="s">
        <v>227</v>
      </c>
      <c r="D55" s="62" t="s">
        <v>27</v>
      </c>
      <c r="E55" s="276">
        <f>'Mão de Obra '!E54</f>
        <v>2</v>
      </c>
      <c r="F55" s="598">
        <f>'Mão de Obra '!F54</f>
        <v>15</v>
      </c>
      <c r="G55" s="232">
        <f>E55*F55</f>
        <v>30</v>
      </c>
    </row>
    <row r="56" spans="1:7" x14ac:dyDescent="0.2">
      <c r="A56" s="282" t="s">
        <v>286</v>
      </c>
      <c r="B56" s="283" t="s">
        <v>722</v>
      </c>
      <c r="C56" s="62" t="s">
        <v>15</v>
      </c>
      <c r="D56" s="62" t="s">
        <v>235</v>
      </c>
      <c r="E56" s="276" t="s">
        <v>169</v>
      </c>
      <c r="F56" s="598" t="s">
        <v>169</v>
      </c>
      <c r="G56" s="232" t="s">
        <v>169</v>
      </c>
    </row>
    <row r="57" spans="1:7" x14ac:dyDescent="0.2">
      <c r="A57" s="282" t="s">
        <v>287</v>
      </c>
      <c r="B57" s="283" t="s">
        <v>723</v>
      </c>
      <c r="C57" s="62" t="s">
        <v>15</v>
      </c>
      <c r="D57" s="62" t="s">
        <v>235</v>
      </c>
      <c r="E57" s="276" t="s">
        <v>169</v>
      </c>
      <c r="F57" s="598" t="s">
        <v>169</v>
      </c>
      <c r="G57" s="232" t="s">
        <v>169</v>
      </c>
    </row>
    <row r="58" spans="1:7" x14ac:dyDescent="0.2">
      <c r="A58" s="282" t="s">
        <v>288</v>
      </c>
      <c r="B58" s="283" t="s">
        <v>538</v>
      </c>
      <c r="C58" s="62" t="s">
        <v>14</v>
      </c>
      <c r="D58" s="62" t="s">
        <v>27</v>
      </c>
      <c r="E58" s="276">
        <f>'Mão de Obra '!E57</f>
        <v>1</v>
      </c>
      <c r="F58" s="598">
        <f>'Mão de Obra '!F57</f>
        <v>7</v>
      </c>
      <c r="G58" s="232">
        <f>E58*F58</f>
        <v>7</v>
      </c>
    </row>
    <row r="59" spans="1:7" ht="24.75" thickBot="1" x14ac:dyDescent="0.25">
      <c r="A59" s="285" t="s">
        <v>289</v>
      </c>
      <c r="B59" s="286" t="s">
        <v>724</v>
      </c>
      <c r="C59" s="188" t="s">
        <v>15</v>
      </c>
      <c r="D59" s="188" t="s">
        <v>235</v>
      </c>
      <c r="E59" s="276" t="s">
        <v>169</v>
      </c>
      <c r="F59" s="598" t="s">
        <v>169</v>
      </c>
      <c r="G59" s="232" t="s">
        <v>169</v>
      </c>
    </row>
    <row r="60" spans="1:7" x14ac:dyDescent="0.2">
      <c r="A60" s="1330" t="s">
        <v>924</v>
      </c>
      <c r="B60" s="1331"/>
      <c r="C60" s="1331"/>
      <c r="D60" s="1331"/>
      <c r="E60" s="1331"/>
      <c r="F60" s="1332"/>
      <c r="G60" s="605">
        <f>SUM(G54:G59)</f>
        <v>38</v>
      </c>
    </row>
    <row r="61" spans="1:7" ht="12.75" thickBot="1" x14ac:dyDescent="0.25">
      <c r="A61" s="1333" t="s">
        <v>925</v>
      </c>
      <c r="B61" s="1334"/>
      <c r="C61" s="1334"/>
      <c r="D61" s="1334"/>
      <c r="E61" s="1334"/>
      <c r="F61" s="1335"/>
      <c r="G61" s="976">
        <v>458</v>
      </c>
    </row>
    <row r="62" spans="1:7" ht="12.75" thickBot="1" x14ac:dyDescent="0.25">
      <c r="A62" s="1336" t="s">
        <v>928</v>
      </c>
      <c r="B62" s="1337"/>
      <c r="C62" s="1337"/>
      <c r="D62" s="1337"/>
      <c r="E62" s="1337"/>
      <c r="F62" s="1338"/>
      <c r="G62" s="609">
        <f>G60*G61</f>
        <v>17404</v>
      </c>
    </row>
    <row r="63" spans="1:7" x14ac:dyDescent="0.2">
      <c r="A63" s="288"/>
      <c r="B63" s="289"/>
      <c r="C63" s="290"/>
      <c r="D63" s="288"/>
      <c r="E63" s="288"/>
      <c r="F63" s="288"/>
      <c r="G63" s="288"/>
    </row>
    <row r="64" spans="1:7" ht="12.75" thickBot="1" x14ac:dyDescent="0.25">
      <c r="A64" s="288"/>
      <c r="B64" s="289"/>
      <c r="C64" s="290"/>
      <c r="D64" s="288"/>
      <c r="E64" s="288"/>
      <c r="F64" s="288"/>
      <c r="G64" s="288"/>
    </row>
    <row r="65" spans="1:7" x14ac:dyDescent="0.2">
      <c r="A65" s="1200" t="s">
        <v>0</v>
      </c>
      <c r="B65" s="1200" t="s">
        <v>1</v>
      </c>
      <c r="C65" s="1195" t="s">
        <v>297</v>
      </c>
      <c r="D65" s="1200" t="s">
        <v>2</v>
      </c>
      <c r="E65" s="1195" t="s">
        <v>3</v>
      </c>
      <c r="F65" s="1200" t="s">
        <v>242</v>
      </c>
      <c r="G65" s="1200" t="s">
        <v>923</v>
      </c>
    </row>
    <row r="66" spans="1:7" x14ac:dyDescent="0.2">
      <c r="A66" s="1210"/>
      <c r="B66" s="1210"/>
      <c r="C66" s="1196"/>
      <c r="D66" s="1210"/>
      <c r="E66" s="1196"/>
      <c r="F66" s="1210"/>
      <c r="G66" s="1210"/>
    </row>
    <row r="67" spans="1:7" ht="12.75" thickBot="1" x14ac:dyDescent="0.25">
      <c r="A67" s="1201"/>
      <c r="B67" s="1201"/>
      <c r="C67" s="1197"/>
      <c r="D67" s="1201"/>
      <c r="E67" s="1197"/>
      <c r="F67" s="1201"/>
      <c r="G67" s="1201"/>
    </row>
    <row r="68" spans="1:7" ht="12.75" thickBot="1" x14ac:dyDescent="0.25">
      <c r="A68" s="350" t="s">
        <v>101</v>
      </c>
      <c r="B68" s="1202" t="s">
        <v>225</v>
      </c>
      <c r="C68" s="1203"/>
      <c r="D68" s="1203"/>
      <c r="E68" s="1203"/>
      <c r="F68" s="1203"/>
      <c r="G68" s="1214"/>
    </row>
    <row r="69" spans="1:7" x14ac:dyDescent="0.2">
      <c r="A69" s="306" t="s">
        <v>83</v>
      </c>
      <c r="B69" s="307" t="s">
        <v>234</v>
      </c>
      <c r="C69" s="276" t="s">
        <v>17</v>
      </c>
      <c r="D69" s="276" t="s">
        <v>27</v>
      </c>
      <c r="E69" s="276">
        <f>'Mão de Obra '!E70</f>
        <v>1</v>
      </c>
      <c r="F69" s="378">
        <f>'Mão de Obra '!F70</f>
        <v>3</v>
      </c>
      <c r="G69" s="606">
        <f>E69*F69</f>
        <v>3</v>
      </c>
    </row>
    <row r="70" spans="1:7" x14ac:dyDescent="0.2">
      <c r="A70" s="308" t="s">
        <v>84</v>
      </c>
      <c r="B70" s="277" t="s">
        <v>228</v>
      </c>
      <c r="C70" s="62" t="s">
        <v>227</v>
      </c>
      <c r="D70" s="62" t="s">
        <v>27</v>
      </c>
      <c r="E70" s="276">
        <f>'Mão de Obra '!E71</f>
        <v>2</v>
      </c>
      <c r="F70" s="378">
        <f>'Mão de Obra '!F71</f>
        <v>3</v>
      </c>
      <c r="G70" s="607">
        <f>E70*F70</f>
        <v>6</v>
      </c>
    </row>
    <row r="71" spans="1:7" x14ac:dyDescent="0.2">
      <c r="A71" s="308" t="s">
        <v>257</v>
      </c>
      <c r="B71" s="277" t="s">
        <v>226</v>
      </c>
      <c r="C71" s="62" t="s">
        <v>227</v>
      </c>
      <c r="D71" s="62" t="s">
        <v>27</v>
      </c>
      <c r="E71" s="276">
        <f>'Mão de Obra '!E72</f>
        <v>2</v>
      </c>
      <c r="F71" s="378">
        <f>'Mão de Obra '!F72</f>
        <v>3</v>
      </c>
      <c r="G71" s="607">
        <f>E71*F71</f>
        <v>6</v>
      </c>
    </row>
    <row r="72" spans="1:7" ht="12.75" thickBot="1" x14ac:dyDescent="0.25">
      <c r="A72" s="309" t="s">
        <v>258</v>
      </c>
      <c r="B72" s="279" t="s">
        <v>229</v>
      </c>
      <c r="C72" s="188" t="s">
        <v>36</v>
      </c>
      <c r="D72" s="188" t="s">
        <v>27</v>
      </c>
      <c r="E72" s="276">
        <f>'Mão de Obra '!E73</f>
        <v>1</v>
      </c>
      <c r="F72" s="378">
        <f>'Mão de Obra '!F73</f>
        <v>3</v>
      </c>
      <c r="G72" s="231">
        <f>E72*F72</f>
        <v>3</v>
      </c>
    </row>
    <row r="73" spans="1:7" x14ac:dyDescent="0.2">
      <c r="A73" s="1330" t="s">
        <v>924</v>
      </c>
      <c r="B73" s="1331"/>
      <c r="C73" s="1331"/>
      <c r="D73" s="1331"/>
      <c r="E73" s="1331"/>
      <c r="F73" s="1332"/>
      <c r="G73" s="605">
        <f>SUM(G69:G72)</f>
        <v>18</v>
      </c>
    </row>
    <row r="74" spans="1:7" ht="12.75" thickBot="1" x14ac:dyDescent="0.25">
      <c r="A74" s="1333" t="s">
        <v>925</v>
      </c>
      <c r="B74" s="1334"/>
      <c r="C74" s="1334"/>
      <c r="D74" s="1334"/>
      <c r="E74" s="1334"/>
      <c r="F74" s="1335"/>
      <c r="G74" s="977">
        <v>458</v>
      </c>
    </row>
    <row r="75" spans="1:7" ht="12.75" thickBot="1" x14ac:dyDescent="0.25">
      <c r="A75" s="1336" t="s">
        <v>929</v>
      </c>
      <c r="B75" s="1337"/>
      <c r="C75" s="1337"/>
      <c r="D75" s="1337"/>
      <c r="E75" s="1337"/>
      <c r="F75" s="1338"/>
      <c r="G75" s="609">
        <f>G73*G74</f>
        <v>8244</v>
      </c>
    </row>
    <row r="76" spans="1:7" ht="12.75" thickBot="1" x14ac:dyDescent="0.25">
      <c r="A76" s="288"/>
      <c r="B76" s="289"/>
      <c r="C76" s="290"/>
      <c r="D76" s="288"/>
      <c r="E76" s="288"/>
      <c r="F76" s="288"/>
      <c r="G76" s="288"/>
    </row>
    <row r="77" spans="1:7" x14ac:dyDescent="0.2">
      <c r="A77" s="1200" t="s">
        <v>0</v>
      </c>
      <c r="B77" s="1200" t="s">
        <v>1</v>
      </c>
      <c r="C77" s="1195" t="s">
        <v>297</v>
      </c>
      <c r="D77" s="1200" t="s">
        <v>2</v>
      </c>
      <c r="E77" s="1195" t="s">
        <v>3</v>
      </c>
      <c r="F77" s="1200" t="s">
        <v>242</v>
      </c>
      <c r="G77" s="1200" t="s">
        <v>923</v>
      </c>
    </row>
    <row r="78" spans="1:7" x14ac:dyDescent="0.2">
      <c r="A78" s="1210"/>
      <c r="B78" s="1210"/>
      <c r="C78" s="1196"/>
      <c r="D78" s="1210"/>
      <c r="E78" s="1196"/>
      <c r="F78" s="1210"/>
      <c r="G78" s="1210"/>
    </row>
    <row r="79" spans="1:7" ht="12.75" thickBot="1" x14ac:dyDescent="0.25">
      <c r="A79" s="1201"/>
      <c r="B79" s="1201"/>
      <c r="C79" s="1197"/>
      <c r="D79" s="1201"/>
      <c r="E79" s="1197"/>
      <c r="F79" s="1201"/>
      <c r="G79" s="1201"/>
    </row>
    <row r="80" spans="1:7" ht="12.75" thickBot="1" x14ac:dyDescent="0.25">
      <c r="A80" s="329" t="s">
        <v>260</v>
      </c>
      <c r="B80" s="1202" t="s">
        <v>690</v>
      </c>
      <c r="C80" s="1203"/>
      <c r="D80" s="1203"/>
      <c r="E80" s="1203"/>
      <c r="F80" s="1203"/>
      <c r="G80" s="1214"/>
    </row>
    <row r="81" spans="1:7" x14ac:dyDescent="0.2">
      <c r="A81" s="310" t="s">
        <v>85</v>
      </c>
      <c r="B81" s="377" t="s">
        <v>576</v>
      </c>
      <c r="C81" s="276" t="s">
        <v>13</v>
      </c>
      <c r="D81" s="276" t="s">
        <v>235</v>
      </c>
      <c r="E81" s="276" t="s">
        <v>169</v>
      </c>
      <c r="F81" s="56">
        <f>'Mão de Obra '!F82</f>
        <v>12</v>
      </c>
      <c r="G81" s="607" t="s">
        <v>169</v>
      </c>
    </row>
    <row r="82" spans="1:7" x14ac:dyDescent="0.2">
      <c r="A82" s="311" t="s">
        <v>86</v>
      </c>
      <c r="B82" s="312" t="s">
        <v>577</v>
      </c>
      <c r="C82" s="62" t="s">
        <v>13</v>
      </c>
      <c r="D82" s="62" t="s">
        <v>235</v>
      </c>
      <c r="E82" s="276" t="s">
        <v>169</v>
      </c>
      <c r="F82" s="56">
        <f>'Mão de Obra '!F83</f>
        <v>12</v>
      </c>
      <c r="G82" s="607" t="s">
        <v>169</v>
      </c>
    </row>
    <row r="83" spans="1:7" x14ac:dyDescent="0.2">
      <c r="A83" s="311" t="s">
        <v>261</v>
      </c>
      <c r="B83" s="312" t="s">
        <v>238</v>
      </c>
      <c r="C83" s="62" t="s">
        <v>17</v>
      </c>
      <c r="D83" s="62" t="s">
        <v>27</v>
      </c>
      <c r="E83" s="276">
        <f>'Mão de Obra '!E84</f>
        <v>4</v>
      </c>
      <c r="F83" s="56">
        <f>'Mão de Obra '!F84</f>
        <v>12</v>
      </c>
      <c r="G83" s="607">
        <f>E83*F83</f>
        <v>48</v>
      </c>
    </row>
    <row r="84" spans="1:7" x14ac:dyDescent="0.2">
      <c r="A84" s="311" t="s">
        <v>262</v>
      </c>
      <c r="B84" s="312" t="s">
        <v>239</v>
      </c>
      <c r="C84" s="62" t="s">
        <v>17</v>
      </c>
      <c r="D84" s="62" t="s">
        <v>27</v>
      </c>
      <c r="E84" s="276">
        <f>'Mão de Obra '!E85</f>
        <v>2</v>
      </c>
      <c r="F84" s="56">
        <f>'Mão de Obra '!F85</f>
        <v>12</v>
      </c>
      <c r="G84" s="607">
        <f>E84*F84</f>
        <v>24</v>
      </c>
    </row>
    <row r="85" spans="1:7" x14ac:dyDescent="0.2">
      <c r="A85" s="311" t="s">
        <v>263</v>
      </c>
      <c r="B85" s="312" t="s">
        <v>239</v>
      </c>
      <c r="C85" s="62" t="s">
        <v>227</v>
      </c>
      <c r="D85" s="62" t="s">
        <v>27</v>
      </c>
      <c r="E85" s="276">
        <f>'Mão de Obra '!E86</f>
        <v>1</v>
      </c>
      <c r="F85" s="56">
        <f>'Mão de Obra '!F86</f>
        <v>12</v>
      </c>
      <c r="G85" s="607">
        <f>E85*F85</f>
        <v>12</v>
      </c>
    </row>
    <row r="86" spans="1:7" x14ac:dyDescent="0.2">
      <c r="A86" s="311" t="s">
        <v>393</v>
      </c>
      <c r="B86" s="312" t="s">
        <v>240</v>
      </c>
      <c r="C86" s="62" t="s">
        <v>227</v>
      </c>
      <c r="D86" s="62" t="s">
        <v>27</v>
      </c>
      <c r="E86" s="276">
        <f>'Mão de Obra '!E87</f>
        <v>1</v>
      </c>
      <c r="F86" s="56">
        <f>'Mão de Obra '!F87</f>
        <v>12</v>
      </c>
      <c r="G86" s="607">
        <f>E86*F86</f>
        <v>12</v>
      </c>
    </row>
    <row r="87" spans="1:7" ht="12.75" thickBot="1" x14ac:dyDescent="0.25">
      <c r="A87" s="379" t="s">
        <v>394</v>
      </c>
      <c r="B87" s="380" t="s">
        <v>241</v>
      </c>
      <c r="C87" s="189" t="s">
        <v>22</v>
      </c>
      <c r="D87" s="189" t="s">
        <v>27</v>
      </c>
      <c r="E87" s="276">
        <f>'Mão de Obra '!E88</f>
        <v>1</v>
      </c>
      <c r="F87" s="56">
        <f>'Mão de Obra '!F88</f>
        <v>12</v>
      </c>
      <c r="G87" s="607">
        <f>E87*F87</f>
        <v>12</v>
      </c>
    </row>
    <row r="88" spans="1:7" x14ac:dyDescent="0.2">
      <c r="A88" s="1330" t="s">
        <v>924</v>
      </c>
      <c r="B88" s="1331"/>
      <c r="C88" s="1331"/>
      <c r="D88" s="1331"/>
      <c r="E88" s="1331"/>
      <c r="F88" s="1332"/>
      <c r="G88" s="605">
        <f>SUM(G83:G87)</f>
        <v>108</v>
      </c>
    </row>
    <row r="89" spans="1:7" ht="12.75" thickBot="1" x14ac:dyDescent="0.25">
      <c r="A89" s="1333" t="s">
        <v>925</v>
      </c>
      <c r="B89" s="1334"/>
      <c r="C89" s="1334"/>
      <c r="D89" s="1334"/>
      <c r="E89" s="1334"/>
      <c r="F89" s="1335"/>
      <c r="G89" s="977">
        <v>458</v>
      </c>
    </row>
    <row r="90" spans="1:7" ht="12.75" thickBot="1" x14ac:dyDescent="0.25">
      <c r="A90" s="1336" t="s">
        <v>930</v>
      </c>
      <c r="B90" s="1337"/>
      <c r="C90" s="1337"/>
      <c r="D90" s="1337"/>
      <c r="E90" s="1337"/>
      <c r="F90" s="1338"/>
      <c r="G90" s="609">
        <f>G88*G89</f>
        <v>49464</v>
      </c>
    </row>
    <row r="91" spans="1:7" x14ac:dyDescent="0.2">
      <c r="A91" s="288"/>
      <c r="B91" s="289"/>
      <c r="C91" s="290"/>
      <c r="D91" s="288"/>
      <c r="E91" s="288"/>
      <c r="F91" s="288"/>
      <c r="G91" s="288"/>
    </row>
    <row r="92" spans="1:7" ht="12.75" thickBot="1" x14ac:dyDescent="0.25">
      <c r="A92" s="288"/>
      <c r="B92" s="289"/>
      <c r="C92" s="290"/>
      <c r="D92" s="288"/>
      <c r="E92" s="288"/>
      <c r="F92" s="288"/>
      <c r="G92" s="288"/>
    </row>
    <row r="93" spans="1:7" x14ac:dyDescent="0.2">
      <c r="A93" s="1200" t="s">
        <v>0</v>
      </c>
      <c r="B93" s="1200" t="s">
        <v>1</v>
      </c>
      <c r="C93" s="1195" t="s">
        <v>297</v>
      </c>
      <c r="D93" s="1200" t="s">
        <v>2</v>
      </c>
      <c r="E93" s="1195" t="s">
        <v>3</v>
      </c>
      <c r="F93" s="1200" t="s">
        <v>242</v>
      </c>
      <c r="G93" s="1200" t="s">
        <v>923</v>
      </c>
    </row>
    <row r="94" spans="1:7" x14ac:dyDescent="0.2">
      <c r="A94" s="1210"/>
      <c r="B94" s="1210"/>
      <c r="C94" s="1196"/>
      <c r="D94" s="1210"/>
      <c r="E94" s="1196"/>
      <c r="F94" s="1210"/>
      <c r="G94" s="1210"/>
    </row>
    <row r="95" spans="1:7" ht="12.75" thickBot="1" x14ac:dyDescent="0.25">
      <c r="A95" s="1201"/>
      <c r="B95" s="1201"/>
      <c r="C95" s="1197"/>
      <c r="D95" s="1201"/>
      <c r="E95" s="1197"/>
      <c r="F95" s="1201"/>
      <c r="G95" s="1201"/>
    </row>
    <row r="96" spans="1:7" ht="12.75" thickBot="1" x14ac:dyDescent="0.25">
      <c r="A96" s="350" t="s">
        <v>265</v>
      </c>
      <c r="B96" s="1202" t="s">
        <v>691</v>
      </c>
      <c r="C96" s="1203"/>
      <c r="D96" s="1203"/>
      <c r="E96" s="1203"/>
      <c r="F96" s="1203"/>
      <c r="G96" s="1214"/>
    </row>
    <row r="97" spans="1:7" x14ac:dyDescent="0.2">
      <c r="A97" s="306" t="s">
        <v>266</v>
      </c>
      <c r="B97" s="313" t="s">
        <v>574</v>
      </c>
      <c r="C97" s="276" t="s">
        <v>13</v>
      </c>
      <c r="D97" s="276" t="s">
        <v>235</v>
      </c>
      <c r="E97" s="62" t="s">
        <v>169</v>
      </c>
      <c r="F97" s="57" t="s">
        <v>169</v>
      </c>
      <c r="G97" s="607" t="s">
        <v>169</v>
      </c>
    </row>
    <row r="98" spans="1:7" ht="12.75" thickBot="1" x14ac:dyDescent="0.25">
      <c r="A98" s="314" t="s">
        <v>267</v>
      </c>
      <c r="B98" s="315" t="s">
        <v>575</v>
      </c>
      <c r="C98" s="189" t="s">
        <v>13</v>
      </c>
      <c r="D98" s="316" t="s">
        <v>235</v>
      </c>
      <c r="E98" s="62" t="s">
        <v>169</v>
      </c>
      <c r="F98" s="57" t="s">
        <v>169</v>
      </c>
      <c r="G98" s="607" t="s">
        <v>169</v>
      </c>
    </row>
    <row r="99" spans="1:7" x14ac:dyDescent="0.2">
      <c r="A99" s="1330" t="s">
        <v>924</v>
      </c>
      <c r="B99" s="1331"/>
      <c r="C99" s="1331"/>
      <c r="D99" s="1331"/>
      <c r="E99" s="1331"/>
      <c r="F99" s="1332"/>
      <c r="G99" s="605">
        <f>SUM(G92:G98)</f>
        <v>0</v>
      </c>
    </row>
    <row r="100" spans="1:7" ht="12.75" thickBot="1" x14ac:dyDescent="0.25">
      <c r="A100" s="1333" t="s">
        <v>925</v>
      </c>
      <c r="B100" s="1334"/>
      <c r="C100" s="1334"/>
      <c r="D100" s="1334"/>
      <c r="E100" s="1334"/>
      <c r="F100" s="1335"/>
      <c r="G100" s="977">
        <v>458</v>
      </c>
    </row>
    <row r="101" spans="1:7" ht="12.75" thickBot="1" x14ac:dyDescent="0.25">
      <c r="A101" s="1336" t="s">
        <v>931</v>
      </c>
      <c r="B101" s="1337"/>
      <c r="C101" s="1337"/>
      <c r="D101" s="1337"/>
      <c r="E101" s="1337"/>
      <c r="F101" s="1338"/>
      <c r="G101" s="609">
        <f>G99*G100</f>
        <v>0</v>
      </c>
    </row>
    <row r="102" spans="1:7" x14ac:dyDescent="0.2">
      <c r="A102" s="288"/>
      <c r="B102" s="289"/>
      <c r="C102" s="290"/>
      <c r="D102" s="288"/>
      <c r="E102" s="288"/>
      <c r="F102" s="288"/>
      <c r="G102" s="288"/>
    </row>
    <row r="103" spans="1:7" ht="12.75" thickBot="1" x14ac:dyDescent="0.25">
      <c r="A103" s="288"/>
      <c r="B103" s="289"/>
      <c r="C103" s="290"/>
      <c r="D103" s="288"/>
      <c r="E103" s="288"/>
      <c r="F103" s="288"/>
      <c r="G103" s="288"/>
    </row>
    <row r="104" spans="1:7" x14ac:dyDescent="0.2">
      <c r="A104" s="1200" t="s">
        <v>0</v>
      </c>
      <c r="B104" s="1200" t="s">
        <v>1</v>
      </c>
      <c r="C104" s="1195" t="s">
        <v>297</v>
      </c>
      <c r="D104" s="1200" t="s">
        <v>2</v>
      </c>
      <c r="E104" s="1195" t="s">
        <v>3</v>
      </c>
      <c r="F104" s="1200" t="s">
        <v>242</v>
      </c>
      <c r="G104" s="1200" t="s">
        <v>923</v>
      </c>
    </row>
    <row r="105" spans="1:7" x14ac:dyDescent="0.2">
      <c r="A105" s="1210"/>
      <c r="B105" s="1210"/>
      <c r="C105" s="1196"/>
      <c r="D105" s="1210"/>
      <c r="E105" s="1196"/>
      <c r="F105" s="1210"/>
      <c r="G105" s="1210"/>
    </row>
    <row r="106" spans="1:7" ht="12.75" thickBot="1" x14ac:dyDescent="0.25">
      <c r="A106" s="1201"/>
      <c r="B106" s="1201"/>
      <c r="C106" s="1197"/>
      <c r="D106" s="1201"/>
      <c r="E106" s="1197"/>
      <c r="F106" s="1201"/>
      <c r="G106" s="1201"/>
    </row>
    <row r="107" spans="1:7" ht="12.75" thickBot="1" x14ac:dyDescent="0.25">
      <c r="A107" s="330" t="s">
        <v>269</v>
      </c>
      <c r="B107" s="1202" t="s">
        <v>283</v>
      </c>
      <c r="C107" s="1203"/>
      <c r="D107" s="1203"/>
      <c r="E107" s="1203"/>
      <c r="F107" s="1203"/>
      <c r="G107" s="1214"/>
    </row>
    <row r="108" spans="1:7" x14ac:dyDescent="0.2">
      <c r="A108" s="317" t="s">
        <v>87</v>
      </c>
      <c r="B108" s="377" t="s">
        <v>581</v>
      </c>
      <c r="C108" s="276" t="s">
        <v>13</v>
      </c>
      <c r="D108" s="276" t="s">
        <v>235</v>
      </c>
      <c r="E108" s="57" t="s">
        <v>169</v>
      </c>
      <c r="F108" s="606" t="s">
        <v>169</v>
      </c>
      <c r="G108" s="607" t="s">
        <v>169</v>
      </c>
    </row>
    <row r="109" spans="1:7" x14ac:dyDescent="0.2">
      <c r="A109" s="318" t="s">
        <v>88</v>
      </c>
      <c r="B109" s="312" t="s">
        <v>578</v>
      </c>
      <c r="C109" s="62" t="s">
        <v>17</v>
      </c>
      <c r="D109" s="62" t="s">
        <v>27</v>
      </c>
      <c r="E109" s="57">
        <f>'Mão de Obra '!E110</f>
        <v>3</v>
      </c>
      <c r="F109" s="607">
        <f>'Mão de Obra '!F110</f>
        <v>12</v>
      </c>
      <c r="G109" s="607">
        <f>E109*F109</f>
        <v>36</v>
      </c>
    </row>
    <row r="110" spans="1:7" x14ac:dyDescent="0.2">
      <c r="A110" s="319" t="s">
        <v>270</v>
      </c>
      <c r="B110" s="320" t="s">
        <v>39</v>
      </c>
      <c r="C110" s="62" t="s">
        <v>19</v>
      </c>
      <c r="D110" s="62" t="s">
        <v>27</v>
      </c>
      <c r="E110" s="57">
        <f>'Mão de Obra '!E111</f>
        <v>8</v>
      </c>
      <c r="F110" s="607">
        <f>'Mão de Obra '!F111</f>
        <v>12</v>
      </c>
      <c r="G110" s="607">
        <f>E110*F110</f>
        <v>96</v>
      </c>
    </row>
    <row r="111" spans="1:7" x14ac:dyDescent="0.2">
      <c r="A111" s="319" t="s">
        <v>270</v>
      </c>
      <c r="B111" s="320" t="s">
        <v>10</v>
      </c>
      <c r="C111" s="62" t="s">
        <v>20</v>
      </c>
      <c r="D111" s="62" t="s">
        <v>27</v>
      </c>
      <c r="E111" s="57">
        <f>'Mão de Obra '!E112</f>
        <v>6</v>
      </c>
      <c r="F111" s="607">
        <f>'Mão de Obra '!F112</f>
        <v>12</v>
      </c>
      <c r="G111" s="607">
        <f>E111*F111</f>
        <v>72</v>
      </c>
    </row>
    <row r="112" spans="1:7" ht="12.75" thickBot="1" x14ac:dyDescent="0.25">
      <c r="A112" s="319" t="s">
        <v>270</v>
      </c>
      <c r="B112" s="382" t="s">
        <v>579</v>
      </c>
      <c r="C112" s="189" t="s">
        <v>580</v>
      </c>
      <c r="D112" s="189" t="s">
        <v>27</v>
      </c>
      <c r="E112" s="57">
        <f>'Mão de Obra '!E113</f>
        <v>6</v>
      </c>
      <c r="F112" s="607">
        <f>'Mão de Obra '!F113</f>
        <v>12</v>
      </c>
      <c r="G112" s="607">
        <f>E112*F112</f>
        <v>72</v>
      </c>
    </row>
    <row r="113" spans="1:7" x14ac:dyDescent="0.2">
      <c r="A113" s="1330" t="s">
        <v>924</v>
      </c>
      <c r="B113" s="1331"/>
      <c r="C113" s="1331"/>
      <c r="D113" s="1331"/>
      <c r="E113" s="1331"/>
      <c r="F113" s="1332"/>
      <c r="G113" s="605">
        <f>SUM(G109:G112)</f>
        <v>276</v>
      </c>
    </row>
    <row r="114" spans="1:7" ht="12.75" thickBot="1" x14ac:dyDescent="0.25">
      <c r="A114" s="1333" t="s">
        <v>925</v>
      </c>
      <c r="B114" s="1334"/>
      <c r="C114" s="1334"/>
      <c r="D114" s="1334"/>
      <c r="E114" s="1334"/>
      <c r="F114" s="1335"/>
      <c r="G114" s="977">
        <v>458</v>
      </c>
    </row>
    <row r="115" spans="1:7" ht="12.75" thickBot="1" x14ac:dyDescent="0.25">
      <c r="A115" s="1336" t="s">
        <v>932</v>
      </c>
      <c r="B115" s="1337"/>
      <c r="C115" s="1337"/>
      <c r="D115" s="1337"/>
      <c r="E115" s="1337"/>
      <c r="F115" s="1338"/>
      <c r="G115" s="609">
        <f>G113*G114</f>
        <v>126408</v>
      </c>
    </row>
    <row r="116" spans="1:7" x14ac:dyDescent="0.2">
      <c r="A116" s="288"/>
      <c r="B116" s="289"/>
      <c r="C116" s="290"/>
      <c r="D116" s="288"/>
      <c r="E116" s="288"/>
      <c r="F116" s="288"/>
      <c r="G116" s="288"/>
    </row>
    <row r="117" spans="1:7" ht="12.75" thickBot="1" x14ac:dyDescent="0.25">
      <c r="A117" s="288"/>
      <c r="B117" s="289"/>
      <c r="C117" s="290"/>
      <c r="D117" s="288"/>
      <c r="E117" s="288"/>
      <c r="F117" s="288"/>
      <c r="G117" s="288"/>
    </row>
    <row r="118" spans="1:7" x14ac:dyDescent="0.2">
      <c r="A118" s="1200" t="s">
        <v>0</v>
      </c>
      <c r="B118" s="1200" t="s">
        <v>1</v>
      </c>
      <c r="C118" s="1195" t="s">
        <v>297</v>
      </c>
      <c r="D118" s="1200" t="s">
        <v>2</v>
      </c>
      <c r="E118" s="1195" t="s">
        <v>3</v>
      </c>
      <c r="F118" s="1200" t="s">
        <v>242</v>
      </c>
      <c r="G118" s="1200" t="s">
        <v>923</v>
      </c>
    </row>
    <row r="119" spans="1:7" x14ac:dyDescent="0.2">
      <c r="A119" s="1210"/>
      <c r="B119" s="1210"/>
      <c r="C119" s="1196"/>
      <c r="D119" s="1210"/>
      <c r="E119" s="1196"/>
      <c r="F119" s="1210"/>
      <c r="G119" s="1210"/>
    </row>
    <row r="120" spans="1:7" ht="12.75" thickBot="1" x14ac:dyDescent="0.25">
      <c r="A120" s="1201"/>
      <c r="B120" s="1201"/>
      <c r="C120" s="1197"/>
      <c r="D120" s="1201"/>
      <c r="E120" s="1197"/>
      <c r="F120" s="1201"/>
      <c r="G120" s="1201"/>
    </row>
    <row r="121" spans="1:7" ht="12.75" thickBot="1" x14ac:dyDescent="0.25">
      <c r="A121" s="293">
        <v>7</v>
      </c>
      <c r="B121" s="1202" t="s">
        <v>814</v>
      </c>
      <c r="C121" s="1203"/>
      <c r="D121" s="1203"/>
      <c r="E121" s="1203"/>
      <c r="F121" s="1203"/>
      <c r="G121" s="1214"/>
    </row>
    <row r="122" spans="1:7" ht="12.75" thickBot="1" x14ac:dyDescent="0.25">
      <c r="A122" s="305" t="s">
        <v>541</v>
      </c>
      <c r="B122" s="1284" t="s">
        <v>539</v>
      </c>
      <c r="C122" s="1285"/>
      <c r="D122" s="1285"/>
      <c r="E122" s="1285"/>
      <c r="F122" s="1285"/>
      <c r="G122" s="1367"/>
    </row>
    <row r="123" spans="1:7" x14ac:dyDescent="0.2">
      <c r="A123" s="295" t="s">
        <v>543</v>
      </c>
      <c r="B123" s="324" t="s">
        <v>567</v>
      </c>
      <c r="C123" s="297" t="s">
        <v>97</v>
      </c>
      <c r="D123" s="178" t="s">
        <v>27</v>
      </c>
      <c r="E123" s="297">
        <v>4</v>
      </c>
      <c r="F123" s="297">
        <v>18</v>
      </c>
      <c r="G123" s="607">
        <f>E123*F123</f>
        <v>72</v>
      </c>
    </row>
    <row r="124" spans="1:7" ht="12.75" thickBot="1" x14ac:dyDescent="0.25">
      <c r="A124" s="325" t="s">
        <v>544</v>
      </c>
      <c r="B124" s="322" t="s">
        <v>272</v>
      </c>
      <c r="C124" s="299" t="s">
        <v>66</v>
      </c>
      <c r="D124" s="189" t="s">
        <v>235</v>
      </c>
      <c r="E124" s="299">
        <f>32*4</f>
        <v>128</v>
      </c>
      <c r="F124" s="299">
        <v>18</v>
      </c>
      <c r="G124" s="864" t="s">
        <v>169</v>
      </c>
    </row>
    <row r="125" spans="1:7" ht="12.75" thickBot="1" x14ac:dyDescent="0.25">
      <c r="A125" s="384" t="s">
        <v>542</v>
      </c>
      <c r="B125" s="1368" t="s">
        <v>540</v>
      </c>
      <c r="C125" s="1369"/>
      <c r="D125" s="1369"/>
      <c r="E125" s="1369"/>
      <c r="F125" s="1369"/>
      <c r="G125" s="1370"/>
    </row>
    <row r="126" spans="1:7" x14ac:dyDescent="0.2">
      <c r="A126" s="295" t="s">
        <v>545</v>
      </c>
      <c r="B126" s="324" t="s">
        <v>230</v>
      </c>
      <c r="C126" s="297" t="s">
        <v>95</v>
      </c>
      <c r="D126" s="178" t="s">
        <v>27</v>
      </c>
      <c r="E126" s="297">
        <v>1</v>
      </c>
      <c r="F126" s="334">
        <v>18</v>
      </c>
      <c r="G126" s="607">
        <f t="shared" ref="G126:G133" si="1">E126*F126</f>
        <v>18</v>
      </c>
    </row>
    <row r="127" spans="1:7" x14ac:dyDescent="0.2">
      <c r="A127" s="287" t="s">
        <v>546</v>
      </c>
      <c r="B127" s="294" t="s">
        <v>89</v>
      </c>
      <c r="C127" s="185" t="s">
        <v>96</v>
      </c>
      <c r="D127" s="62" t="s">
        <v>27</v>
      </c>
      <c r="E127" s="185">
        <v>1</v>
      </c>
      <c r="F127" s="233">
        <v>18</v>
      </c>
      <c r="G127" s="607">
        <f t="shared" si="1"/>
        <v>18</v>
      </c>
    </row>
    <row r="128" spans="1:7" x14ac:dyDescent="0.2">
      <c r="A128" s="287" t="s">
        <v>547</v>
      </c>
      <c r="B128" s="294" t="s">
        <v>67</v>
      </c>
      <c r="C128" s="185" t="s">
        <v>65</v>
      </c>
      <c r="D128" s="62" t="s">
        <v>27</v>
      </c>
      <c r="E128" s="185">
        <v>2</v>
      </c>
      <c r="F128" s="233">
        <v>18</v>
      </c>
      <c r="G128" s="607">
        <f t="shared" si="1"/>
        <v>36</v>
      </c>
    </row>
    <row r="129" spans="1:7" x14ac:dyDescent="0.2">
      <c r="A129" s="287" t="s">
        <v>548</v>
      </c>
      <c r="B129" s="294" t="s">
        <v>567</v>
      </c>
      <c r="C129" s="185" t="s">
        <v>97</v>
      </c>
      <c r="D129" s="62" t="s">
        <v>27</v>
      </c>
      <c r="E129" s="185">
        <v>1</v>
      </c>
      <c r="F129" s="787">
        <v>18</v>
      </c>
      <c r="G129" s="607">
        <f t="shared" si="1"/>
        <v>18</v>
      </c>
    </row>
    <row r="130" spans="1:7" x14ac:dyDescent="0.2">
      <c r="A130" s="287" t="s">
        <v>549</v>
      </c>
      <c r="B130" s="294" t="s">
        <v>273</v>
      </c>
      <c r="C130" s="185" t="s">
        <v>20</v>
      </c>
      <c r="D130" s="62" t="s">
        <v>27</v>
      </c>
      <c r="E130" s="185">
        <v>2</v>
      </c>
      <c r="F130" s="233">
        <v>18</v>
      </c>
      <c r="G130" s="607">
        <f t="shared" si="1"/>
        <v>36</v>
      </c>
    </row>
    <row r="131" spans="1:7" x14ac:dyDescent="0.2">
      <c r="A131" s="287" t="s">
        <v>550</v>
      </c>
      <c r="B131" s="294" t="s">
        <v>569</v>
      </c>
      <c r="C131" s="185" t="s">
        <v>66</v>
      </c>
      <c r="D131" s="62" t="s">
        <v>27</v>
      </c>
      <c r="E131" s="185">
        <v>2</v>
      </c>
      <c r="F131" s="233">
        <v>18</v>
      </c>
      <c r="G131" s="607">
        <f t="shared" si="1"/>
        <v>36</v>
      </c>
    </row>
    <row r="132" spans="1:7" x14ac:dyDescent="0.2">
      <c r="A132" s="287" t="s">
        <v>551</v>
      </c>
      <c r="B132" s="294" t="s">
        <v>274</v>
      </c>
      <c r="C132" s="185" t="s">
        <v>66</v>
      </c>
      <c r="D132" s="62" t="s">
        <v>27</v>
      </c>
      <c r="E132" s="185">
        <v>1</v>
      </c>
      <c r="F132" s="233">
        <v>18</v>
      </c>
      <c r="G132" s="607">
        <f t="shared" si="1"/>
        <v>18</v>
      </c>
    </row>
    <row r="133" spans="1:7" ht="12.75" thickBot="1" x14ac:dyDescent="0.25">
      <c r="A133" s="325" t="s">
        <v>568</v>
      </c>
      <c r="B133" s="326" t="s">
        <v>94</v>
      </c>
      <c r="C133" s="788" t="s">
        <v>97</v>
      </c>
      <c r="D133" s="188" t="s">
        <v>27</v>
      </c>
      <c r="E133" s="788">
        <v>2</v>
      </c>
      <c r="F133" s="338">
        <v>18</v>
      </c>
      <c r="G133" s="607">
        <f t="shared" si="1"/>
        <v>36</v>
      </c>
    </row>
    <row r="134" spans="1:7" ht="12.75" thickBot="1" x14ac:dyDescent="0.25">
      <c r="A134" s="305" t="s">
        <v>552</v>
      </c>
      <c r="B134" s="1368" t="s">
        <v>570</v>
      </c>
      <c r="C134" s="1369"/>
      <c r="D134" s="1369"/>
      <c r="E134" s="1369"/>
      <c r="F134" s="1369"/>
      <c r="G134" s="1370"/>
    </row>
    <row r="135" spans="1:7" x14ac:dyDescent="0.2">
      <c r="A135" s="287" t="s">
        <v>571</v>
      </c>
      <c r="B135" s="294" t="s">
        <v>89</v>
      </c>
      <c r="C135" s="185" t="s">
        <v>96</v>
      </c>
      <c r="D135" s="62" t="s">
        <v>27</v>
      </c>
      <c r="E135" s="185">
        <v>1</v>
      </c>
      <c r="F135" s="185">
        <v>18</v>
      </c>
      <c r="G135" s="327">
        <f>E135*F135</f>
        <v>18</v>
      </c>
    </row>
    <row r="136" spans="1:7" x14ac:dyDescent="0.2">
      <c r="A136" s="287" t="s">
        <v>572</v>
      </c>
      <c r="B136" s="294" t="s">
        <v>273</v>
      </c>
      <c r="C136" s="185" t="s">
        <v>20</v>
      </c>
      <c r="D136" s="62" t="s">
        <v>27</v>
      </c>
      <c r="E136" s="185">
        <v>1</v>
      </c>
      <c r="F136" s="185">
        <v>18</v>
      </c>
      <c r="G136" s="607">
        <f>E136*F136</f>
        <v>18</v>
      </c>
    </row>
    <row r="137" spans="1:7" ht="12.75" thickBot="1" x14ac:dyDescent="0.25">
      <c r="A137" s="321" t="s">
        <v>573</v>
      </c>
      <c r="B137" s="322" t="s">
        <v>272</v>
      </c>
      <c r="C137" s="299" t="s">
        <v>66</v>
      </c>
      <c r="D137" s="189" t="s">
        <v>27</v>
      </c>
      <c r="E137" s="299">
        <v>1</v>
      </c>
      <c r="F137" s="299">
        <v>18</v>
      </c>
      <c r="G137" s="608">
        <f>E137*F137</f>
        <v>18</v>
      </c>
    </row>
    <row r="138" spans="1:7" ht="12.75" thickBot="1" x14ac:dyDescent="0.25">
      <c r="A138" s="323" t="s">
        <v>553</v>
      </c>
      <c r="B138" s="1284" t="s">
        <v>561</v>
      </c>
      <c r="C138" s="1285"/>
      <c r="D138" s="1285"/>
      <c r="E138" s="1285"/>
      <c r="F138" s="1285"/>
      <c r="G138" s="1367"/>
    </row>
    <row r="139" spans="1:7" ht="24" x14ac:dyDescent="0.2">
      <c r="A139" s="295" t="s">
        <v>554</v>
      </c>
      <c r="B139" s="296" t="s">
        <v>535</v>
      </c>
      <c r="C139" s="178" t="s">
        <v>15</v>
      </c>
      <c r="D139" s="178" t="s">
        <v>27</v>
      </c>
      <c r="E139" s="297">
        <v>1</v>
      </c>
      <c r="F139" s="297">
        <v>18</v>
      </c>
      <c r="G139" s="327">
        <f>E139*F139</f>
        <v>18</v>
      </c>
    </row>
    <row r="140" spans="1:7" ht="24" x14ac:dyDescent="0.2">
      <c r="A140" s="287" t="s">
        <v>555</v>
      </c>
      <c r="B140" s="298" t="s">
        <v>535</v>
      </c>
      <c r="C140" s="189" t="s">
        <v>227</v>
      </c>
      <c r="D140" s="189" t="s">
        <v>27</v>
      </c>
      <c r="E140" s="299">
        <v>2</v>
      </c>
      <c r="F140" s="299">
        <v>18</v>
      </c>
      <c r="G140" s="607">
        <f t="shared" ref="G140:G148" si="2">E140*F140</f>
        <v>36</v>
      </c>
    </row>
    <row r="141" spans="1:7" x14ac:dyDescent="0.2">
      <c r="A141" s="287" t="s">
        <v>556</v>
      </c>
      <c r="B141" s="294" t="s">
        <v>628</v>
      </c>
      <c r="C141" s="62" t="s">
        <v>17</v>
      </c>
      <c r="D141" s="62" t="s">
        <v>27</v>
      </c>
      <c r="E141" s="62">
        <v>2</v>
      </c>
      <c r="F141" s="62">
        <v>18</v>
      </c>
      <c r="G141" s="607">
        <f t="shared" si="2"/>
        <v>36</v>
      </c>
    </row>
    <row r="142" spans="1:7" x14ac:dyDescent="0.2">
      <c r="A142" s="287" t="s">
        <v>557</v>
      </c>
      <c r="B142" s="294" t="s">
        <v>275</v>
      </c>
      <c r="C142" s="62" t="s">
        <v>15</v>
      </c>
      <c r="D142" s="62" t="s">
        <v>27</v>
      </c>
      <c r="E142" s="62">
        <v>3</v>
      </c>
      <c r="F142" s="62">
        <v>18</v>
      </c>
      <c r="G142" s="607">
        <f t="shared" si="2"/>
        <v>54</v>
      </c>
    </row>
    <row r="143" spans="1:7" x14ac:dyDescent="0.2">
      <c r="A143" s="287" t="s">
        <v>558</v>
      </c>
      <c r="B143" s="294" t="s">
        <v>276</v>
      </c>
      <c r="C143" s="62" t="s">
        <v>15</v>
      </c>
      <c r="D143" s="62" t="s">
        <v>27</v>
      </c>
      <c r="E143" s="62">
        <v>1</v>
      </c>
      <c r="F143" s="62">
        <v>18</v>
      </c>
      <c r="G143" s="607">
        <f t="shared" si="2"/>
        <v>18</v>
      </c>
    </row>
    <row r="144" spans="1:7" x14ac:dyDescent="0.2">
      <c r="A144" s="287" t="s">
        <v>559</v>
      </c>
      <c r="B144" s="294" t="s">
        <v>238</v>
      </c>
      <c r="C144" s="62" t="s">
        <v>15</v>
      </c>
      <c r="D144" s="62" t="s">
        <v>27</v>
      </c>
      <c r="E144" s="62">
        <v>1</v>
      </c>
      <c r="F144" s="62">
        <v>18</v>
      </c>
      <c r="G144" s="607">
        <f t="shared" si="2"/>
        <v>18</v>
      </c>
    </row>
    <row r="145" spans="1:7" x14ac:dyDescent="0.2">
      <c r="A145" s="287" t="s">
        <v>560</v>
      </c>
      <c r="B145" s="294" t="s">
        <v>627</v>
      </c>
      <c r="C145" s="62" t="s">
        <v>15</v>
      </c>
      <c r="D145" s="62" t="s">
        <v>27</v>
      </c>
      <c r="E145" s="62">
        <v>1</v>
      </c>
      <c r="F145" s="62">
        <v>18</v>
      </c>
      <c r="G145" s="607">
        <f t="shared" si="2"/>
        <v>18</v>
      </c>
    </row>
    <row r="146" spans="1:7" x14ac:dyDescent="0.2">
      <c r="A146" s="287" t="s">
        <v>780</v>
      </c>
      <c r="B146" s="294" t="s">
        <v>277</v>
      </c>
      <c r="C146" s="62" t="s">
        <v>15</v>
      </c>
      <c r="D146" s="62" t="s">
        <v>27</v>
      </c>
      <c r="E146" s="62">
        <v>1</v>
      </c>
      <c r="F146" s="62">
        <v>18</v>
      </c>
      <c r="G146" s="607">
        <f t="shared" si="2"/>
        <v>18</v>
      </c>
    </row>
    <row r="147" spans="1:7" x14ac:dyDescent="0.2">
      <c r="A147" s="287" t="s">
        <v>781</v>
      </c>
      <c r="B147" s="294" t="s">
        <v>278</v>
      </c>
      <c r="C147" s="62" t="s">
        <v>15</v>
      </c>
      <c r="D147" s="62" t="s">
        <v>27</v>
      </c>
      <c r="E147" s="62">
        <v>1</v>
      </c>
      <c r="F147" s="62">
        <v>18</v>
      </c>
      <c r="G147" s="607">
        <f t="shared" si="2"/>
        <v>18</v>
      </c>
    </row>
    <row r="148" spans="1:7" ht="12.75" thickBot="1" x14ac:dyDescent="0.25">
      <c r="A148" s="325" t="s">
        <v>782</v>
      </c>
      <c r="B148" s="326" t="s">
        <v>629</v>
      </c>
      <c r="C148" s="188" t="s">
        <v>36</v>
      </c>
      <c r="D148" s="188" t="s">
        <v>27</v>
      </c>
      <c r="E148" s="188">
        <v>2</v>
      </c>
      <c r="F148" s="188">
        <v>18</v>
      </c>
      <c r="G148" s="608">
        <f t="shared" si="2"/>
        <v>36</v>
      </c>
    </row>
    <row r="149" spans="1:7" x14ac:dyDescent="0.2">
      <c r="A149" s="1330" t="s">
        <v>924</v>
      </c>
      <c r="B149" s="1331"/>
      <c r="C149" s="1331"/>
      <c r="D149" s="1331"/>
      <c r="E149" s="1331"/>
      <c r="F149" s="1332"/>
      <c r="G149" s="605">
        <f>SUM(G123:G148)</f>
        <v>612</v>
      </c>
    </row>
    <row r="150" spans="1:7" ht="12.75" thickBot="1" x14ac:dyDescent="0.25">
      <c r="A150" s="1333" t="s">
        <v>925</v>
      </c>
      <c r="B150" s="1334"/>
      <c r="C150" s="1334"/>
      <c r="D150" s="1334"/>
      <c r="E150" s="1334"/>
      <c r="F150" s="1335"/>
      <c r="G150" s="977">
        <v>458</v>
      </c>
    </row>
    <row r="151" spans="1:7" ht="12.75" thickBot="1" x14ac:dyDescent="0.25">
      <c r="A151" s="1336" t="s">
        <v>933</v>
      </c>
      <c r="B151" s="1337"/>
      <c r="C151" s="1337"/>
      <c r="D151" s="1337"/>
      <c r="E151" s="1337"/>
      <c r="F151" s="1338"/>
      <c r="G151" s="609">
        <f>G149*G150</f>
        <v>280296</v>
      </c>
    </row>
    <row r="152" spans="1:7" x14ac:dyDescent="0.2">
      <c r="A152" s="288"/>
      <c r="B152" s="289"/>
      <c r="C152" s="290"/>
      <c r="D152" s="288"/>
      <c r="E152" s="288"/>
      <c r="F152" s="288"/>
      <c r="G152" s="288"/>
    </row>
    <row r="153" spans="1:7" x14ac:dyDescent="0.2">
      <c r="A153" s="288"/>
      <c r="B153" s="289"/>
      <c r="C153" s="290"/>
      <c r="D153" s="288"/>
      <c r="E153" s="288"/>
      <c r="F153" s="288"/>
      <c r="G153" s="288"/>
    </row>
    <row r="154" spans="1:7" x14ac:dyDescent="0.2">
      <c r="A154" s="288"/>
      <c r="B154" s="289"/>
      <c r="C154" s="290"/>
      <c r="D154" s="288"/>
      <c r="E154" s="288"/>
      <c r="F154" s="288"/>
      <c r="G154" s="288"/>
    </row>
    <row r="155" spans="1:7" x14ac:dyDescent="0.2">
      <c r="A155" s="288"/>
      <c r="B155" s="289"/>
      <c r="C155" s="290"/>
      <c r="D155" s="288"/>
      <c r="E155" s="288"/>
      <c r="F155" s="288"/>
      <c r="G155" s="288"/>
    </row>
    <row r="156" spans="1:7" ht="12.75" thickBot="1" x14ac:dyDescent="0.25">
      <c r="A156" s="288"/>
      <c r="B156" s="289"/>
      <c r="C156" s="290"/>
      <c r="D156" s="288"/>
      <c r="E156" s="288"/>
      <c r="F156" s="288"/>
      <c r="G156" s="288"/>
    </row>
    <row r="157" spans="1:7" ht="12.75" thickBot="1" x14ac:dyDescent="0.25">
      <c r="A157" s="1255" t="s">
        <v>955</v>
      </c>
      <c r="B157" s="1256"/>
      <c r="C157" s="1256"/>
      <c r="D157" s="1256"/>
      <c r="E157" s="1256"/>
      <c r="F157" s="1256"/>
      <c r="G157" s="807"/>
    </row>
    <row r="158" spans="1:7" x14ac:dyDescent="0.2">
      <c r="A158" s="1356" t="s">
        <v>46</v>
      </c>
      <c r="B158" s="1359" t="s">
        <v>43</v>
      </c>
      <c r="C158" s="1359"/>
      <c r="D158" s="1359"/>
      <c r="E158" s="1359"/>
      <c r="F158" s="1360"/>
      <c r="G158" s="1363" t="s">
        <v>896</v>
      </c>
    </row>
    <row r="159" spans="1:7" x14ac:dyDescent="0.2">
      <c r="A159" s="1357"/>
      <c r="B159" s="1361"/>
      <c r="C159" s="1361"/>
      <c r="D159" s="1361"/>
      <c r="E159" s="1361"/>
      <c r="F159" s="1362"/>
      <c r="G159" s="1364"/>
    </row>
    <row r="160" spans="1:7" ht="12.75" thickBot="1" x14ac:dyDescent="0.25">
      <c r="A160" s="1358"/>
      <c r="B160" s="1361"/>
      <c r="C160" s="1361"/>
      <c r="D160" s="1361"/>
      <c r="E160" s="1361"/>
      <c r="F160" s="1362"/>
      <c r="G160" s="1364"/>
    </row>
    <row r="161" spans="1:7" x14ac:dyDescent="0.2">
      <c r="A161" s="1351" t="s">
        <v>34</v>
      </c>
      <c r="B161" s="1353" t="s">
        <v>281</v>
      </c>
      <c r="C161" s="1354"/>
      <c r="D161" s="1354"/>
      <c r="E161" s="1354"/>
      <c r="F161" s="1355"/>
      <c r="G161" s="1365">
        <f>G47</f>
        <v>573416</v>
      </c>
    </row>
    <row r="162" spans="1:7" x14ac:dyDescent="0.2">
      <c r="A162" s="1352"/>
      <c r="B162" s="1345"/>
      <c r="C162" s="1346"/>
      <c r="D162" s="1346"/>
      <c r="E162" s="1346"/>
      <c r="F162" s="1347"/>
      <c r="G162" s="1364"/>
    </row>
    <row r="163" spans="1:7" x14ac:dyDescent="0.2">
      <c r="A163" s="1352"/>
      <c r="B163" s="1345"/>
      <c r="C163" s="1346"/>
      <c r="D163" s="1346"/>
      <c r="E163" s="1346"/>
      <c r="F163" s="1347"/>
      <c r="G163" s="1366"/>
    </row>
    <row r="164" spans="1:7" x14ac:dyDescent="0.2">
      <c r="A164" s="810" t="s">
        <v>35</v>
      </c>
      <c r="B164" s="1345" t="s">
        <v>44</v>
      </c>
      <c r="C164" s="1346"/>
      <c r="D164" s="1346"/>
      <c r="E164" s="1346"/>
      <c r="F164" s="1347"/>
      <c r="G164" s="737">
        <f>G62</f>
        <v>17404</v>
      </c>
    </row>
    <row r="165" spans="1:7" x14ac:dyDescent="0.2">
      <c r="A165" s="810" t="s">
        <v>37</v>
      </c>
      <c r="B165" s="1345" t="s">
        <v>225</v>
      </c>
      <c r="C165" s="1346"/>
      <c r="D165" s="1346"/>
      <c r="E165" s="1346"/>
      <c r="F165" s="1347"/>
      <c r="G165" s="737">
        <f>G75</f>
        <v>8244</v>
      </c>
    </row>
    <row r="166" spans="1:7" x14ac:dyDescent="0.2">
      <c r="A166" s="810" t="s">
        <v>38</v>
      </c>
      <c r="B166" s="1345" t="s">
        <v>282</v>
      </c>
      <c r="C166" s="1346"/>
      <c r="D166" s="1346"/>
      <c r="E166" s="1346"/>
      <c r="F166" s="1347"/>
      <c r="G166" s="737">
        <f>G90</f>
        <v>49464</v>
      </c>
    </row>
    <row r="167" spans="1:7" x14ac:dyDescent="0.2">
      <c r="A167" s="810" t="s">
        <v>40</v>
      </c>
      <c r="B167" s="1345" t="s">
        <v>45</v>
      </c>
      <c r="C167" s="1346"/>
      <c r="D167" s="1346"/>
      <c r="E167" s="1346"/>
      <c r="F167" s="1347"/>
      <c r="G167" s="737">
        <f>G101</f>
        <v>0</v>
      </c>
    </row>
    <row r="168" spans="1:7" x14ac:dyDescent="0.2">
      <c r="A168" s="810" t="s">
        <v>41</v>
      </c>
      <c r="B168" s="1345" t="s">
        <v>283</v>
      </c>
      <c r="C168" s="1346"/>
      <c r="D168" s="1346"/>
      <c r="E168" s="1346"/>
      <c r="F168" s="1347"/>
      <c r="G168" s="737">
        <f>G115</f>
        <v>126408</v>
      </c>
    </row>
    <row r="169" spans="1:7" ht="12.75" thickBot="1" x14ac:dyDescent="0.25">
      <c r="A169" s="736" t="s">
        <v>42</v>
      </c>
      <c r="B169" s="1348" t="s">
        <v>284</v>
      </c>
      <c r="C169" s="1349"/>
      <c r="D169" s="1349"/>
      <c r="E169" s="1349"/>
      <c r="F169" s="1350"/>
      <c r="G169" s="738">
        <f>G151</f>
        <v>280296</v>
      </c>
    </row>
    <row r="170" spans="1:7" ht="12.75" thickBot="1" x14ac:dyDescent="0.25">
      <c r="A170" s="1339" t="s">
        <v>954</v>
      </c>
      <c r="B170" s="1340"/>
      <c r="C170" s="1340"/>
      <c r="D170" s="1340"/>
      <c r="E170" s="1340"/>
      <c r="F170" s="1340"/>
      <c r="G170" s="739">
        <f>SUM(G161:G169)</f>
        <v>1055232</v>
      </c>
    </row>
    <row r="171" spans="1:7" ht="12.75" thickBot="1" x14ac:dyDescent="0.25">
      <c r="A171" s="288"/>
      <c r="B171" s="289"/>
      <c r="C171" s="290"/>
      <c r="D171" s="288"/>
      <c r="E171" s="288"/>
      <c r="F171" s="288"/>
      <c r="G171" s="288"/>
    </row>
    <row r="172" spans="1:7" x14ac:dyDescent="0.2">
      <c r="A172" s="1341" t="s">
        <v>49</v>
      </c>
      <c r="B172" s="1342"/>
      <c r="C172" s="1342"/>
      <c r="D172" s="1342"/>
      <c r="E172" s="1342"/>
      <c r="F172" s="1342"/>
      <c r="G172" s="792" t="s">
        <v>50</v>
      </c>
    </row>
    <row r="173" spans="1:7" ht="12.75" thickBot="1" x14ac:dyDescent="0.25">
      <c r="A173" s="1343"/>
      <c r="B173" s="1344"/>
      <c r="C173" s="1344"/>
      <c r="D173" s="1344"/>
      <c r="E173" s="1344"/>
      <c r="F173" s="1344"/>
      <c r="G173" s="793"/>
    </row>
    <row r="174" spans="1:7" x14ac:dyDescent="0.2">
      <c r="A174" s="1327" t="s">
        <v>161</v>
      </c>
      <c r="B174" s="1328"/>
      <c r="C174" s="1328"/>
      <c r="D174" s="1328"/>
      <c r="E174" s="1328"/>
      <c r="F174" s="1328"/>
      <c r="G174" s="792" t="s">
        <v>52</v>
      </c>
    </row>
    <row r="175" spans="1:7" ht="12.75" thickBot="1" x14ac:dyDescent="0.25">
      <c r="A175" s="1321"/>
      <c r="B175" s="1322"/>
      <c r="C175" s="1322"/>
      <c r="D175" s="1322"/>
      <c r="E175" s="1322"/>
      <c r="F175" s="1322"/>
      <c r="G175" s="793"/>
    </row>
    <row r="176" spans="1:7" x14ac:dyDescent="0.2">
      <c r="A176" s="1327" t="s">
        <v>53</v>
      </c>
      <c r="B176" s="1328"/>
      <c r="C176" s="1328"/>
      <c r="D176" s="1328"/>
      <c r="E176" s="1328"/>
      <c r="F176" s="1328"/>
      <c r="G176" s="1329"/>
    </row>
    <row r="177" spans="1:7" x14ac:dyDescent="0.2">
      <c r="A177" s="1324"/>
      <c r="B177" s="1325"/>
      <c r="C177" s="1325"/>
      <c r="D177" s="1325"/>
      <c r="E177" s="1325"/>
      <c r="F177" s="1325"/>
      <c r="G177" s="1326"/>
    </row>
    <row r="178" spans="1:7" x14ac:dyDescent="0.2">
      <c r="A178" s="1324"/>
      <c r="B178" s="1325"/>
      <c r="C178" s="1325"/>
      <c r="D178" s="1325"/>
      <c r="E178" s="1325"/>
      <c r="F178" s="1325"/>
      <c r="G178" s="1326"/>
    </row>
    <row r="179" spans="1:7" ht="15.75" customHeight="1" thickBot="1" x14ac:dyDescent="0.25">
      <c r="A179" s="1321"/>
      <c r="B179" s="1322"/>
      <c r="C179" s="1322"/>
      <c r="D179" s="1322"/>
      <c r="E179" s="1322"/>
      <c r="F179" s="1322"/>
      <c r="G179" s="1323"/>
    </row>
  </sheetData>
  <mergeCells count="109">
    <mergeCell ref="A77:A79"/>
    <mergeCell ref="A62:F62"/>
    <mergeCell ref="A65:A67"/>
    <mergeCell ref="B65:B67"/>
    <mergeCell ref="C65:C67"/>
    <mergeCell ref="D65:D67"/>
    <mergeCell ref="E65:E67"/>
    <mergeCell ref="F65:F67"/>
    <mergeCell ref="A3:F3"/>
    <mergeCell ref="A8:G8"/>
    <mergeCell ref="B77:B79"/>
    <mergeCell ref="C77:C79"/>
    <mergeCell ref="D77:D79"/>
    <mergeCell ref="E77:E79"/>
    <mergeCell ref="F77:F79"/>
    <mergeCell ref="A60:F60"/>
    <mergeCell ref="A61:F61"/>
    <mergeCell ref="A73:F73"/>
    <mergeCell ref="A74:F74"/>
    <mergeCell ref="A75:F75"/>
    <mergeCell ref="A1:G1"/>
    <mergeCell ref="A2:G2"/>
    <mergeCell ref="A4:G6"/>
    <mergeCell ref="F50:F52"/>
    <mergeCell ref="A45:F45"/>
    <mergeCell ref="A46:F46"/>
    <mergeCell ref="A47:F47"/>
    <mergeCell ref="A50:A52"/>
    <mergeCell ref="B50:B52"/>
    <mergeCell ref="C50:C52"/>
    <mergeCell ref="D50:D52"/>
    <mergeCell ref="E50:E52"/>
    <mergeCell ref="G11:G13"/>
    <mergeCell ref="G50:G52"/>
    <mergeCell ref="B14:G16"/>
    <mergeCell ref="A14:A16"/>
    <mergeCell ref="A11:A13"/>
    <mergeCell ref="B11:B13"/>
    <mergeCell ref="C11:C13"/>
    <mergeCell ref="D11:D13"/>
    <mergeCell ref="E11:E13"/>
    <mergeCell ref="F11:F13"/>
    <mergeCell ref="E104:E106"/>
    <mergeCell ref="A90:F90"/>
    <mergeCell ref="A93:A95"/>
    <mergeCell ref="B93:B95"/>
    <mergeCell ref="C93:C95"/>
    <mergeCell ref="D93:D95"/>
    <mergeCell ref="E93:E95"/>
    <mergeCell ref="F93:F95"/>
    <mergeCell ref="A88:F88"/>
    <mergeCell ref="A89:F89"/>
    <mergeCell ref="C104:C106"/>
    <mergeCell ref="D104:D106"/>
    <mergeCell ref="B138:G138"/>
    <mergeCell ref="B134:G134"/>
    <mergeCell ref="B125:G125"/>
    <mergeCell ref="A115:F115"/>
    <mergeCell ref="A118:A120"/>
    <mergeCell ref="B118:B120"/>
    <mergeCell ref="C118:C120"/>
    <mergeCell ref="D118:D120"/>
    <mergeCell ref="E118:E120"/>
    <mergeCell ref="F118:F120"/>
    <mergeCell ref="B122:G122"/>
    <mergeCell ref="A161:A163"/>
    <mergeCell ref="B161:F163"/>
    <mergeCell ref="A157:F157"/>
    <mergeCell ref="A158:A160"/>
    <mergeCell ref="B158:F160"/>
    <mergeCell ref="A149:F149"/>
    <mergeCell ref="A150:F150"/>
    <mergeCell ref="A151:F151"/>
    <mergeCell ref="G158:G160"/>
    <mergeCell ref="G161:G163"/>
    <mergeCell ref="A170:F170"/>
    <mergeCell ref="A172:F172"/>
    <mergeCell ref="A173:F173"/>
    <mergeCell ref="A174:F174"/>
    <mergeCell ref="B164:F164"/>
    <mergeCell ref="B165:F165"/>
    <mergeCell ref="B166:F166"/>
    <mergeCell ref="B167:F167"/>
    <mergeCell ref="B168:F168"/>
    <mergeCell ref="B169:F169"/>
    <mergeCell ref="A179:G179"/>
    <mergeCell ref="A178:G178"/>
    <mergeCell ref="A177:G177"/>
    <mergeCell ref="A176:G176"/>
    <mergeCell ref="A175:F175"/>
    <mergeCell ref="B53:G53"/>
    <mergeCell ref="B68:G68"/>
    <mergeCell ref="B80:G80"/>
    <mergeCell ref="B107:G107"/>
    <mergeCell ref="B121:G121"/>
    <mergeCell ref="B96:G96"/>
    <mergeCell ref="G65:G67"/>
    <mergeCell ref="G77:G79"/>
    <mergeCell ref="G93:G95"/>
    <mergeCell ref="G104:G106"/>
    <mergeCell ref="G118:G120"/>
    <mergeCell ref="A113:F113"/>
    <mergeCell ref="A114:F114"/>
    <mergeCell ref="F104:F106"/>
    <mergeCell ref="A99:F99"/>
    <mergeCell ref="A100:F100"/>
    <mergeCell ref="A101:F101"/>
    <mergeCell ref="A104:A106"/>
    <mergeCell ref="B104:B106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69" fitToHeight="0" orientation="portrait" horizontalDpi="4294967294" verticalDpi="4294967294" r:id="rId1"/>
  <rowBreaks count="3" manualBreakCount="3">
    <brk id="64" max="6" man="1"/>
    <brk id="117" max="6" man="1"/>
    <brk id="155" max="6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41"/>
  <sheetViews>
    <sheetView view="pageBreakPreview" topLeftCell="A10" zoomScale="90" zoomScaleNormal="100" zoomScaleSheetLayoutView="90" workbookViewId="0">
      <selection activeCell="G29" sqref="A29:G31"/>
    </sheetView>
  </sheetViews>
  <sheetFormatPr defaultRowHeight="12" x14ac:dyDescent="0.25"/>
  <cols>
    <col min="1" max="1" width="5.28515625" style="740" bestFit="1" customWidth="1"/>
    <col min="2" max="2" width="39.28515625" style="759" customWidth="1"/>
    <col min="3" max="3" width="9.140625" style="740" bestFit="1" customWidth="1"/>
    <col min="4" max="4" width="7.85546875" style="760" customWidth="1"/>
    <col min="5" max="5" width="6.7109375" style="761" customWidth="1"/>
    <col min="6" max="6" width="12.7109375" style="761" customWidth="1"/>
    <col min="7" max="8" width="12.7109375" style="760" customWidth="1"/>
    <col min="9" max="9" width="11.7109375" style="740" bestFit="1" customWidth="1"/>
    <col min="10" max="10" width="5.42578125" style="740" bestFit="1" customWidth="1"/>
    <col min="11" max="11" width="2" style="740" bestFit="1" customWidth="1"/>
    <col min="12" max="12" width="9.140625" style="740"/>
    <col min="13" max="13" width="40.7109375" style="741" customWidth="1"/>
    <col min="14" max="14" width="9" style="740" bestFit="1" customWidth="1"/>
    <col min="15" max="15" width="5.85546875" style="740" bestFit="1" customWidth="1"/>
    <col min="16" max="16" width="6.28515625" style="740" bestFit="1" customWidth="1"/>
    <col min="17" max="17" width="9.28515625" style="740" bestFit="1" customWidth="1"/>
    <col min="18" max="18" width="6" style="740" bestFit="1" customWidth="1"/>
    <col min="19" max="19" width="9.28515625" style="740" bestFit="1" customWidth="1"/>
    <col min="20" max="16384" width="9.140625" style="740"/>
  </cols>
  <sheetData>
    <row r="1" spans="1:8" x14ac:dyDescent="0.25">
      <c r="A1" s="1062" t="s">
        <v>294</v>
      </c>
      <c r="B1" s="1063"/>
      <c r="C1" s="1063"/>
      <c r="D1" s="1063"/>
      <c r="E1" s="1063"/>
      <c r="F1" s="1063"/>
      <c r="G1" s="1063"/>
      <c r="H1" s="1064"/>
    </row>
    <row r="2" spans="1:8" x14ac:dyDescent="0.25">
      <c r="A2" s="1065" t="s">
        <v>295</v>
      </c>
      <c r="B2" s="1066"/>
      <c r="C2" s="1066"/>
      <c r="D2" s="1066"/>
      <c r="E2" s="1066"/>
      <c r="F2" s="1066"/>
      <c r="G2" s="1066"/>
      <c r="H2" s="1067"/>
    </row>
    <row r="3" spans="1:8" ht="12.75" thickBot="1" x14ac:dyDescent="0.3">
      <c r="A3" s="1068"/>
      <c r="B3" s="1069"/>
      <c r="C3" s="1069"/>
      <c r="D3" s="1069"/>
      <c r="E3" s="1069"/>
      <c r="F3" s="1069"/>
      <c r="G3" s="1069"/>
      <c r="H3" s="1070"/>
    </row>
    <row r="4" spans="1:8" ht="12.75" thickBot="1" x14ac:dyDescent="0.3">
      <c r="A4" s="288"/>
      <c r="B4" s="289"/>
      <c r="C4" s="288"/>
      <c r="D4" s="290"/>
      <c r="E4" s="290"/>
      <c r="F4" s="290"/>
      <c r="G4" s="290"/>
      <c r="H4" s="290"/>
    </row>
    <row r="5" spans="1:8" x14ac:dyDescent="0.25">
      <c r="A5" s="1074" t="s">
        <v>292</v>
      </c>
      <c r="B5" s="1075"/>
      <c r="C5" s="1075"/>
      <c r="D5" s="1075"/>
      <c r="E5" s="1075"/>
      <c r="F5" s="1075"/>
      <c r="G5" s="1075"/>
      <c r="H5" s="1076"/>
    </row>
    <row r="6" spans="1:8" ht="12.75" thickBot="1" x14ac:dyDescent="0.3">
      <c r="A6" s="1080"/>
      <c r="B6" s="1081"/>
      <c r="C6" s="1081"/>
      <c r="D6" s="1081"/>
      <c r="E6" s="1081"/>
      <c r="F6" s="1081"/>
      <c r="G6" s="1081"/>
      <c r="H6" s="1082"/>
    </row>
    <row r="7" spans="1:8" ht="12.75" thickBot="1" x14ac:dyDescent="0.3">
      <c r="A7" s="288"/>
      <c r="B7" s="289"/>
      <c r="C7" s="290"/>
      <c r="D7" s="290"/>
      <c r="E7" s="290"/>
      <c r="F7" s="290"/>
      <c r="G7" s="290"/>
      <c r="H7" s="290"/>
    </row>
    <row r="8" spans="1:8" ht="12.75" thickBot="1" x14ac:dyDescent="0.3">
      <c r="A8" s="1248" t="s">
        <v>317</v>
      </c>
      <c r="B8" s="1249"/>
      <c r="C8" s="1249"/>
      <c r="D8" s="1249"/>
      <c r="E8" s="1249"/>
      <c r="F8" s="1249"/>
      <c r="G8" s="1249"/>
      <c r="H8" s="1250"/>
    </row>
    <row r="9" spans="1:8" ht="12.75" thickBot="1" x14ac:dyDescent="0.3">
      <c r="A9" s="288"/>
      <c r="B9" s="289"/>
      <c r="C9" s="290"/>
      <c r="D9" s="290"/>
      <c r="E9" s="290"/>
      <c r="F9" s="290"/>
      <c r="G9" s="290"/>
      <c r="H9" s="290"/>
    </row>
    <row r="10" spans="1:8" x14ac:dyDescent="0.25">
      <c r="A10" s="1398" t="s">
        <v>0</v>
      </c>
      <c r="B10" s="1401" t="s">
        <v>1</v>
      </c>
      <c r="C10" s="1401" t="s">
        <v>2</v>
      </c>
      <c r="D10" s="1401" t="s">
        <v>3</v>
      </c>
      <c r="E10" s="1401" t="s">
        <v>242</v>
      </c>
      <c r="F10" s="1401" t="s">
        <v>309</v>
      </c>
      <c r="G10" s="1401" t="s">
        <v>310</v>
      </c>
      <c r="H10" s="1390" t="s">
        <v>311</v>
      </c>
    </row>
    <row r="11" spans="1:8" x14ac:dyDescent="0.25">
      <c r="A11" s="1399"/>
      <c r="B11" s="1402"/>
      <c r="C11" s="1402"/>
      <c r="D11" s="1402"/>
      <c r="E11" s="1402"/>
      <c r="F11" s="1402"/>
      <c r="G11" s="1402"/>
      <c r="H11" s="1391"/>
    </row>
    <row r="12" spans="1:8" ht="12.75" thickBot="1" x14ac:dyDescent="0.3">
      <c r="A12" s="1400"/>
      <c r="B12" s="1403"/>
      <c r="C12" s="1403"/>
      <c r="D12" s="1403"/>
      <c r="E12" s="1403"/>
      <c r="F12" s="1403"/>
      <c r="G12" s="1403"/>
      <c r="H12" s="1392"/>
    </row>
    <row r="13" spans="1:8" ht="12.75" thickBot="1" x14ac:dyDescent="0.3">
      <c r="A13" s="742" t="s">
        <v>99</v>
      </c>
      <c r="B13" s="1406" t="s">
        <v>306</v>
      </c>
      <c r="C13" s="1407"/>
      <c r="D13" s="1407"/>
      <c r="E13" s="1407"/>
      <c r="F13" s="1407"/>
      <c r="G13" s="1407"/>
      <c r="H13" s="743">
        <f>SUM(H14:H17)</f>
        <v>538436.88</v>
      </c>
    </row>
    <row r="14" spans="1:8" x14ac:dyDescent="0.25">
      <c r="A14" s="2" t="s">
        <v>4</v>
      </c>
      <c r="B14" s="861" t="s">
        <v>312</v>
      </c>
      <c r="C14" s="1" t="s">
        <v>27</v>
      </c>
      <c r="D14" s="62">
        <v>4</v>
      </c>
      <c r="E14" s="744">
        <v>18</v>
      </c>
      <c r="F14" s="601">
        <f>D14*E14</f>
        <v>72</v>
      </c>
      <c r="G14" s="1008">
        <v>1707.14</v>
      </c>
      <c r="H14" s="147">
        <f>F14*G14</f>
        <v>122914.08</v>
      </c>
    </row>
    <row r="15" spans="1:8" x14ac:dyDescent="0.25">
      <c r="A15" s="3" t="s">
        <v>5</v>
      </c>
      <c r="B15" s="862" t="s">
        <v>313</v>
      </c>
      <c r="C15" s="48" t="s">
        <v>27</v>
      </c>
      <c r="D15" s="62">
        <v>2</v>
      </c>
      <c r="E15" s="590">
        <v>18</v>
      </c>
      <c r="F15" s="84">
        <f>D15*E15</f>
        <v>36</v>
      </c>
      <c r="G15" s="872">
        <v>2241.92</v>
      </c>
      <c r="H15" s="148">
        <f>F15*G15</f>
        <v>80709.119999999995</v>
      </c>
    </row>
    <row r="16" spans="1:8" x14ac:dyDescent="0.25">
      <c r="A16" s="3" t="s">
        <v>6</v>
      </c>
      <c r="B16" s="862" t="s">
        <v>307</v>
      </c>
      <c r="C16" s="48" t="s">
        <v>27</v>
      </c>
      <c r="D16" s="62">
        <f>ROUND('Mão de Obra '!U155/8,0)</f>
        <v>6</v>
      </c>
      <c r="E16" s="590">
        <v>18</v>
      </c>
      <c r="F16" s="84">
        <f>D16*E16</f>
        <v>108</v>
      </c>
      <c r="G16" s="872">
        <v>1957.98</v>
      </c>
      <c r="H16" s="148">
        <f>F16*G16</f>
        <v>211461.84</v>
      </c>
    </row>
    <row r="17" spans="1:14" ht="12.75" thickBot="1" x14ac:dyDescent="0.3">
      <c r="A17" s="4" t="s">
        <v>7</v>
      </c>
      <c r="B17" s="863" t="s">
        <v>308</v>
      </c>
      <c r="C17" s="61" t="s">
        <v>27</v>
      </c>
      <c r="D17" s="62">
        <f>ROUND('Mão de Obra '!V155/10,0)</f>
        <v>4</v>
      </c>
      <c r="E17" s="745">
        <v>18</v>
      </c>
      <c r="F17" s="86">
        <f>D17*E17</f>
        <v>72</v>
      </c>
      <c r="G17" s="1009">
        <v>1713.22</v>
      </c>
      <c r="H17" s="149">
        <f>F17*G17</f>
        <v>123351.84</v>
      </c>
    </row>
    <row r="18" spans="1:14" ht="12.75" thickBot="1" x14ac:dyDescent="0.3">
      <c r="A18" s="746" t="s">
        <v>100</v>
      </c>
      <c r="B18" s="1408" t="s">
        <v>314</v>
      </c>
      <c r="C18" s="1407"/>
      <c r="D18" s="1407"/>
      <c r="E18" s="1407"/>
      <c r="F18" s="1407"/>
      <c r="G18" s="1409"/>
      <c r="H18" s="747">
        <f>SUM(H19:H22)</f>
        <v>349713.94000000006</v>
      </c>
    </row>
    <row r="19" spans="1:14" x14ac:dyDescent="0.25">
      <c r="A19" s="2" t="s">
        <v>81</v>
      </c>
      <c r="B19" s="75" t="s">
        <v>319</v>
      </c>
      <c r="C19" s="1" t="s">
        <v>27</v>
      </c>
      <c r="D19" s="62">
        <f>D14</f>
        <v>4</v>
      </c>
      <c r="E19" s="744">
        <v>18</v>
      </c>
      <c r="F19" s="601">
        <f>D19*E19</f>
        <v>72</v>
      </c>
      <c r="G19" s="1008">
        <v>734.21</v>
      </c>
      <c r="H19" s="147">
        <f>F19*G19</f>
        <v>52863.12</v>
      </c>
    </row>
    <row r="20" spans="1:14" x14ac:dyDescent="0.25">
      <c r="A20" s="7" t="s">
        <v>82</v>
      </c>
      <c r="B20" s="55" t="s">
        <v>320</v>
      </c>
      <c r="C20" s="1" t="s">
        <v>27</v>
      </c>
      <c r="D20" s="62">
        <f>D15</f>
        <v>2</v>
      </c>
      <c r="E20" s="590">
        <v>18</v>
      </c>
      <c r="F20" s="84">
        <f>D20*E20</f>
        <v>36</v>
      </c>
      <c r="G20" s="872">
        <f>'MemCalculo (AdmManutEscritorio)'!F153</f>
        <v>4574.6961111111123</v>
      </c>
      <c r="H20" s="148">
        <f>F20*G20</f>
        <v>164689.06000000006</v>
      </c>
    </row>
    <row r="21" spans="1:14" x14ac:dyDescent="0.25">
      <c r="A21" s="7" t="s">
        <v>286</v>
      </c>
      <c r="B21" s="55" t="s">
        <v>321</v>
      </c>
      <c r="C21" s="48" t="s">
        <v>27</v>
      </c>
      <c r="D21" s="62">
        <f>D16</f>
        <v>6</v>
      </c>
      <c r="E21" s="590">
        <v>18</v>
      </c>
      <c r="F21" s="84">
        <f>D21*E21</f>
        <v>108</v>
      </c>
      <c r="G21" s="872">
        <v>611.86</v>
      </c>
      <c r="H21" s="148">
        <f>F21*G21</f>
        <v>66080.88</v>
      </c>
    </row>
    <row r="22" spans="1:14" ht="12.75" thickBot="1" x14ac:dyDescent="0.3">
      <c r="A22" s="151" t="s">
        <v>287</v>
      </c>
      <c r="B22" s="150" t="s">
        <v>322</v>
      </c>
      <c r="C22" s="61" t="s">
        <v>27</v>
      </c>
      <c r="D22" s="189">
        <f>D17</f>
        <v>4</v>
      </c>
      <c r="E22" s="745">
        <v>18</v>
      </c>
      <c r="F22" s="86">
        <f>D22*E22</f>
        <v>72</v>
      </c>
      <c r="G22" s="1009">
        <f>ROUND((G21*12)/8,2)</f>
        <v>917.79</v>
      </c>
      <c r="H22" s="149">
        <f>F22*G22</f>
        <v>66080.88</v>
      </c>
      <c r="N22" s="741"/>
    </row>
    <row r="23" spans="1:14" ht="12.75" thickBot="1" x14ac:dyDescent="0.3">
      <c r="A23" s="748" t="s">
        <v>101</v>
      </c>
      <c r="B23" s="1408" t="s">
        <v>315</v>
      </c>
      <c r="C23" s="1407"/>
      <c r="D23" s="1407"/>
      <c r="E23" s="1407"/>
      <c r="F23" s="1407"/>
      <c r="G23" s="1409"/>
      <c r="H23" s="747">
        <f>SUM(H24:H35)</f>
        <v>544711.36</v>
      </c>
    </row>
    <row r="24" spans="1:14" x14ac:dyDescent="0.25">
      <c r="A24" s="2" t="s">
        <v>83</v>
      </c>
      <c r="B24" s="1784" t="s">
        <v>68</v>
      </c>
      <c r="C24" s="87" t="s">
        <v>61</v>
      </c>
      <c r="D24" s="1785">
        <v>10</v>
      </c>
      <c r="E24" s="1786">
        <v>18</v>
      </c>
      <c r="F24" s="1787">
        <f t="shared" ref="F24:F35" si="0">D24*E24</f>
        <v>180</v>
      </c>
      <c r="G24" s="1010">
        <v>114.9</v>
      </c>
      <c r="H24" s="147">
        <f>F24*G24</f>
        <v>20682</v>
      </c>
    </row>
    <row r="25" spans="1:14" x14ac:dyDescent="0.25">
      <c r="A25" s="3" t="s">
        <v>84</v>
      </c>
      <c r="B25" s="1788" t="s">
        <v>914</v>
      </c>
      <c r="C25" s="12" t="s">
        <v>61</v>
      </c>
      <c r="D25" s="1789">
        <v>34</v>
      </c>
      <c r="E25" s="1790">
        <v>18</v>
      </c>
      <c r="F25" s="1791">
        <f t="shared" si="0"/>
        <v>612</v>
      </c>
      <c r="G25" s="1008">
        <v>84.9</v>
      </c>
      <c r="H25" s="602">
        <f>F25*G25</f>
        <v>51958.8</v>
      </c>
    </row>
    <row r="26" spans="1:14" x14ac:dyDescent="0.25">
      <c r="A26" s="3" t="s">
        <v>257</v>
      </c>
      <c r="B26" s="523" t="s">
        <v>867</v>
      </c>
      <c r="C26" s="10" t="s">
        <v>61</v>
      </c>
      <c r="D26" s="750">
        <f>D14</f>
        <v>4</v>
      </c>
      <c r="E26" s="751">
        <v>18</v>
      </c>
      <c r="F26" s="750">
        <f t="shared" si="0"/>
        <v>72</v>
      </c>
      <c r="G26" s="872">
        <v>34.450000000000003</v>
      </c>
      <c r="H26" s="524">
        <f t="shared" ref="H26:H35" si="1">F26*G26</f>
        <v>2480.4</v>
      </c>
    </row>
    <row r="27" spans="1:14" x14ac:dyDescent="0.25">
      <c r="A27" s="3" t="s">
        <v>258</v>
      </c>
      <c r="B27" s="523" t="s">
        <v>866</v>
      </c>
      <c r="C27" s="10" t="s">
        <v>61</v>
      </c>
      <c r="D27" s="750">
        <f>D15</f>
        <v>2</v>
      </c>
      <c r="E27" s="751">
        <v>18</v>
      </c>
      <c r="F27" s="750">
        <f t="shared" si="0"/>
        <v>36</v>
      </c>
      <c r="G27" s="872">
        <v>1133.4100000000001</v>
      </c>
      <c r="H27" s="524">
        <f>F27*G27</f>
        <v>40802.76</v>
      </c>
    </row>
    <row r="28" spans="1:14" x14ac:dyDescent="0.25">
      <c r="A28" s="3" t="s">
        <v>316</v>
      </c>
      <c r="B28" s="523" t="s">
        <v>865</v>
      </c>
      <c r="C28" s="10" t="s">
        <v>61</v>
      </c>
      <c r="D28" s="750">
        <f>SUM(D16:D17)</f>
        <v>10</v>
      </c>
      <c r="E28" s="751">
        <v>18</v>
      </c>
      <c r="F28" s="750">
        <f t="shared" si="0"/>
        <v>180</v>
      </c>
      <c r="G28" s="872">
        <v>672.95</v>
      </c>
      <c r="H28" s="524">
        <f>F28*G28</f>
        <v>121131.00000000001</v>
      </c>
    </row>
    <row r="29" spans="1:14" x14ac:dyDescent="0.25">
      <c r="A29" s="1014" t="s">
        <v>376</v>
      </c>
      <c r="B29" s="523" t="s">
        <v>868</v>
      </c>
      <c r="C29" s="10" t="s">
        <v>61</v>
      </c>
      <c r="D29" s="750">
        <f>D14</f>
        <v>4</v>
      </c>
      <c r="E29" s="751">
        <v>18</v>
      </c>
      <c r="F29" s="750">
        <f t="shared" si="0"/>
        <v>72</v>
      </c>
      <c r="G29" s="872">
        <v>23.4</v>
      </c>
      <c r="H29" s="524">
        <f t="shared" si="1"/>
        <v>1684.8</v>
      </c>
    </row>
    <row r="30" spans="1:14" x14ac:dyDescent="0.25">
      <c r="A30" s="1014" t="s">
        <v>377</v>
      </c>
      <c r="B30" s="523" t="s">
        <v>869</v>
      </c>
      <c r="C30" s="10" t="s">
        <v>61</v>
      </c>
      <c r="D30" s="750">
        <f>D15</f>
        <v>2</v>
      </c>
      <c r="E30" s="751">
        <v>18</v>
      </c>
      <c r="F30" s="750">
        <f t="shared" si="0"/>
        <v>36</v>
      </c>
      <c r="G30" s="872">
        <v>421.2</v>
      </c>
      <c r="H30" s="524">
        <f>F30*G30</f>
        <v>15163.199999999999</v>
      </c>
    </row>
    <row r="31" spans="1:14" x14ac:dyDescent="0.25">
      <c r="A31" s="1014" t="s">
        <v>379</v>
      </c>
      <c r="B31" s="523" t="s">
        <v>870</v>
      </c>
      <c r="C31" s="10" t="s">
        <v>61</v>
      </c>
      <c r="D31" s="750">
        <f>D16+D17</f>
        <v>10</v>
      </c>
      <c r="E31" s="751">
        <v>18</v>
      </c>
      <c r="F31" s="750">
        <f t="shared" si="0"/>
        <v>180</v>
      </c>
      <c r="G31" s="872">
        <v>374.4</v>
      </c>
      <c r="H31" s="524">
        <f>F31*G31</f>
        <v>67392</v>
      </c>
    </row>
    <row r="32" spans="1:14" x14ac:dyDescent="0.25">
      <c r="A32" s="3" t="s">
        <v>380</v>
      </c>
      <c r="B32" s="154" t="s">
        <v>355</v>
      </c>
      <c r="C32" s="10" t="s">
        <v>61</v>
      </c>
      <c r="D32" s="16">
        <f>D15</f>
        <v>2</v>
      </c>
      <c r="E32" s="590">
        <v>18</v>
      </c>
      <c r="F32" s="84">
        <f t="shared" si="0"/>
        <v>36</v>
      </c>
      <c r="G32" s="872">
        <f>'MemCalculo (AdmManutEscritorio)'!F56</f>
        <v>2436.6261111111107</v>
      </c>
      <c r="H32" s="148">
        <f t="shared" si="1"/>
        <v>87718.539999999979</v>
      </c>
    </row>
    <row r="33" spans="1:8" x14ac:dyDescent="0.25">
      <c r="A33" s="3" t="s">
        <v>381</v>
      </c>
      <c r="B33" s="154" t="s">
        <v>356</v>
      </c>
      <c r="C33" s="10" t="s">
        <v>61</v>
      </c>
      <c r="D33" s="16">
        <f>D14</f>
        <v>4</v>
      </c>
      <c r="E33" s="590">
        <v>18</v>
      </c>
      <c r="F33" s="84">
        <f t="shared" si="0"/>
        <v>72</v>
      </c>
      <c r="G33" s="872">
        <f>'MemCalculo (AdmManutEscritorio)'!F81</f>
        <v>441.08749999999981</v>
      </c>
      <c r="H33" s="148">
        <f t="shared" si="1"/>
        <v>31758.299999999985</v>
      </c>
    </row>
    <row r="34" spans="1:8" x14ac:dyDescent="0.25">
      <c r="A34" s="3" t="s">
        <v>382</v>
      </c>
      <c r="B34" s="154" t="s">
        <v>353</v>
      </c>
      <c r="C34" s="10" t="s">
        <v>61</v>
      </c>
      <c r="D34" s="16">
        <f>D15</f>
        <v>2</v>
      </c>
      <c r="E34" s="590">
        <v>18</v>
      </c>
      <c r="F34" s="84">
        <f t="shared" si="0"/>
        <v>36</v>
      </c>
      <c r="G34" s="872">
        <f>'MemCalculo (AdmManutEscritorio)'!F105</f>
        <v>2444.39</v>
      </c>
      <c r="H34" s="148">
        <f t="shared" si="1"/>
        <v>87998.04</v>
      </c>
    </row>
    <row r="35" spans="1:8" ht="12.75" thickBot="1" x14ac:dyDescent="0.3">
      <c r="A35" s="4" t="s">
        <v>383</v>
      </c>
      <c r="B35" s="154" t="s">
        <v>354</v>
      </c>
      <c r="C35" s="10" t="s">
        <v>61</v>
      </c>
      <c r="D35" s="16">
        <f>D14</f>
        <v>4</v>
      </c>
      <c r="E35" s="590">
        <v>18</v>
      </c>
      <c r="F35" s="84">
        <f t="shared" si="0"/>
        <v>72</v>
      </c>
      <c r="G35" s="872">
        <f>'MemCalculo (AdmManutEscritorio)'!F129</f>
        <v>221.41</v>
      </c>
      <c r="H35" s="148">
        <f t="shared" si="1"/>
        <v>15941.52</v>
      </c>
    </row>
    <row r="36" spans="1:8" ht="12.75" thickBot="1" x14ac:dyDescent="0.3">
      <c r="A36" s="752" t="s">
        <v>260</v>
      </c>
      <c r="B36" s="1408" t="s">
        <v>411</v>
      </c>
      <c r="C36" s="1407"/>
      <c r="D36" s="1407"/>
      <c r="E36" s="1407"/>
      <c r="F36" s="1407"/>
      <c r="G36" s="1409"/>
      <c r="H36" s="753">
        <f>SUM(H37:H40)</f>
        <v>2177599.6800000002</v>
      </c>
    </row>
    <row r="37" spans="1:8" ht="24" x14ac:dyDescent="0.25">
      <c r="A37" s="2" t="s">
        <v>85</v>
      </c>
      <c r="B37" s="152" t="s">
        <v>431</v>
      </c>
      <c r="C37" s="87" t="s">
        <v>61</v>
      </c>
      <c r="D37" s="131">
        <v>1</v>
      </c>
      <c r="E37" s="749">
        <v>18</v>
      </c>
      <c r="F37" s="127">
        <f>D37*E37</f>
        <v>18</v>
      </c>
      <c r="G37" s="1010">
        <v>2198.08</v>
      </c>
      <c r="H37" s="147">
        <f>F37*G37</f>
        <v>39565.440000000002</v>
      </c>
    </row>
    <row r="38" spans="1:8" ht="24" x14ac:dyDescent="0.25">
      <c r="A38" s="3" t="s">
        <v>86</v>
      </c>
      <c r="B38" s="153" t="s">
        <v>432</v>
      </c>
      <c r="C38" s="10" t="s">
        <v>61</v>
      </c>
      <c r="D38" s="16">
        <f>2+2+2</f>
        <v>6</v>
      </c>
      <c r="E38" s="590">
        <v>18</v>
      </c>
      <c r="F38" s="84">
        <f>D38*E38</f>
        <v>108</v>
      </c>
      <c r="G38" s="872">
        <v>2220.5</v>
      </c>
      <c r="H38" s="148">
        <f>F38*G38</f>
        <v>239814</v>
      </c>
    </row>
    <row r="39" spans="1:8" ht="24" x14ac:dyDescent="0.25">
      <c r="A39" s="3" t="s">
        <v>262</v>
      </c>
      <c r="B39" s="153" t="s">
        <v>433</v>
      </c>
      <c r="C39" s="10" t="s">
        <v>61</v>
      </c>
      <c r="D39" s="16">
        <v>2</v>
      </c>
      <c r="E39" s="590">
        <v>18</v>
      </c>
      <c r="F39" s="84">
        <f>D39*E39</f>
        <v>36</v>
      </c>
      <c r="G39" s="872">
        <v>4655.92</v>
      </c>
      <c r="H39" s="148">
        <f>F39*G39</f>
        <v>167613.12</v>
      </c>
    </row>
    <row r="40" spans="1:8" ht="24.75" thickBot="1" x14ac:dyDescent="0.3">
      <c r="A40" s="5" t="s">
        <v>393</v>
      </c>
      <c r="B40" s="339" t="s">
        <v>434</v>
      </c>
      <c r="C40" s="340" t="s">
        <v>61</v>
      </c>
      <c r="D40" s="341">
        <f>SUM('Mão de Obra '!E20:E27)/4+SUM('Mão de Obra '!E30:E34)/4+SUM('Mão de Obra '!E37:E42)/4</f>
        <v>18</v>
      </c>
      <c r="E40" s="745">
        <v>18</v>
      </c>
      <c r="F40" s="86">
        <f>D40*E40</f>
        <v>324</v>
      </c>
      <c r="G40" s="1009">
        <v>5341.38</v>
      </c>
      <c r="H40" s="342">
        <f>F40*G40</f>
        <v>1730607.12</v>
      </c>
    </row>
    <row r="41" spans="1:8" ht="12.75" thickBot="1" x14ac:dyDescent="0.3">
      <c r="A41" s="754" t="s">
        <v>265</v>
      </c>
      <c r="B41" s="1408" t="s">
        <v>776</v>
      </c>
      <c r="C41" s="1407"/>
      <c r="D41" s="1407"/>
      <c r="E41" s="1407"/>
      <c r="F41" s="1407"/>
      <c r="G41" s="1407"/>
      <c r="H41" s="743">
        <f>SUM(H42)</f>
        <v>43200</v>
      </c>
    </row>
    <row r="42" spans="1:8" ht="24.75" thickBot="1" x14ac:dyDescent="0.3">
      <c r="A42" s="2" t="s">
        <v>266</v>
      </c>
      <c r="B42" s="155" t="s">
        <v>777</v>
      </c>
      <c r="C42" s="87" t="s">
        <v>61</v>
      </c>
      <c r="D42" s="131">
        <v>2</v>
      </c>
      <c r="E42" s="749">
        <v>18</v>
      </c>
      <c r="F42" s="127">
        <f>D42*E42</f>
        <v>36</v>
      </c>
      <c r="G42" s="1010">
        <f>1000+200</f>
        <v>1200</v>
      </c>
      <c r="H42" s="147">
        <f>F42*G42</f>
        <v>43200</v>
      </c>
    </row>
    <row r="43" spans="1:8" ht="12.75" thickBot="1" x14ac:dyDescent="0.3">
      <c r="A43" s="755" t="s">
        <v>269</v>
      </c>
      <c r="B43" s="1408" t="s">
        <v>757</v>
      </c>
      <c r="C43" s="1407"/>
      <c r="D43" s="1407"/>
      <c r="E43" s="1407"/>
      <c r="F43" s="1407"/>
      <c r="G43" s="1409"/>
      <c r="H43" s="753">
        <f>SUM(H44:H46)</f>
        <v>114475.96799999999</v>
      </c>
    </row>
    <row r="44" spans="1:8" x14ac:dyDescent="0.25">
      <c r="A44" s="2" t="s">
        <v>87</v>
      </c>
      <c r="B44" s="155" t="s">
        <v>758</v>
      </c>
      <c r="C44" s="87" t="s">
        <v>61</v>
      </c>
      <c r="D44" s="131">
        <f>84</f>
        <v>84</v>
      </c>
      <c r="E44" s="749">
        <v>18</v>
      </c>
      <c r="F44" s="127" t="s">
        <v>169</v>
      </c>
      <c r="G44" s="1010">
        <f>'MemCalculo (AdmManutEscritorio)'!F184</f>
        <v>41.233166666666669</v>
      </c>
      <c r="H44" s="1011">
        <f>D44*E44*G44</f>
        <v>62344.548000000003</v>
      </c>
    </row>
    <row r="45" spans="1:8" x14ac:dyDescent="0.25">
      <c r="A45" s="3" t="s">
        <v>88</v>
      </c>
      <c r="B45" s="154" t="s">
        <v>761</v>
      </c>
      <c r="C45" s="12" t="s">
        <v>61</v>
      </c>
      <c r="D45" s="15">
        <v>4</v>
      </c>
      <c r="E45" s="744">
        <v>18</v>
      </c>
      <c r="F45" s="84" t="s">
        <v>169</v>
      </c>
      <c r="G45" s="872">
        <f>'MemCalculo (AdmManutEscritorio)'!F198</f>
        <v>13.541666666666666</v>
      </c>
      <c r="H45" s="524">
        <f>D45*E45*G45</f>
        <v>975</v>
      </c>
    </row>
    <row r="46" spans="1:8" ht="12.75" thickBot="1" x14ac:dyDescent="0.3">
      <c r="A46" s="4" t="s">
        <v>270</v>
      </c>
      <c r="B46" s="536" t="s">
        <v>762</v>
      </c>
      <c r="C46" s="12" t="s">
        <v>61</v>
      </c>
      <c r="D46" s="15">
        <v>14</v>
      </c>
      <c r="E46" s="744">
        <v>18</v>
      </c>
      <c r="F46" s="756" t="s">
        <v>169</v>
      </c>
      <c r="G46" s="1012">
        <f>'MemCalculo (AdmManutEscritorio)'!F203</f>
        <v>203.00166666666667</v>
      </c>
      <c r="H46" s="1013">
        <f>D46*E46*G46</f>
        <v>51156.42</v>
      </c>
    </row>
    <row r="47" spans="1:8" ht="12.75" thickBot="1" x14ac:dyDescent="0.3">
      <c r="A47" s="1421" t="s">
        <v>759</v>
      </c>
      <c r="B47" s="1422"/>
      <c r="C47" s="1422"/>
      <c r="D47" s="1422"/>
      <c r="E47" s="1422"/>
      <c r="F47" s="1422"/>
      <c r="G47" s="1423"/>
      <c r="H47" s="364">
        <f>H13+H18+H23+H36+'MemCalculo (AdmManutEscritorio)'!F236+H41+H43</f>
        <v>3787585.3280000002</v>
      </c>
    </row>
    <row r="48" spans="1:8" ht="12.75" thickBot="1" x14ac:dyDescent="0.3">
      <c r="A48" s="1421" t="s">
        <v>760</v>
      </c>
      <c r="B48" s="1422"/>
      <c r="C48" s="1422"/>
      <c r="D48" s="1422"/>
      <c r="E48" s="1422"/>
      <c r="F48" s="1422"/>
      <c r="G48" s="1423"/>
      <c r="H48" s="125">
        <f>H47/18</f>
        <v>210421.40711111113</v>
      </c>
    </row>
    <row r="49" spans="1:13" x14ac:dyDescent="0.25">
      <c r="A49" s="288"/>
      <c r="B49" s="289"/>
      <c r="C49" s="288"/>
      <c r="D49" s="393"/>
      <c r="E49" s="290"/>
      <c r="F49" s="290"/>
      <c r="G49" s="393"/>
      <c r="H49" s="393"/>
    </row>
    <row r="50" spans="1:13" ht="12.75" thickBot="1" x14ac:dyDescent="0.3">
      <c r="A50" s="288"/>
      <c r="B50" s="289"/>
      <c r="C50" s="288"/>
      <c r="D50" s="393"/>
      <c r="E50" s="290"/>
      <c r="F50" s="290"/>
      <c r="G50" s="393"/>
      <c r="H50" s="393"/>
    </row>
    <row r="51" spans="1:13" x14ac:dyDescent="0.25">
      <c r="A51" s="1415" t="s">
        <v>49</v>
      </c>
      <c r="B51" s="1416"/>
      <c r="C51" s="1416"/>
      <c r="D51" s="1416"/>
      <c r="E51" s="1416"/>
      <c r="F51" s="1415" t="s">
        <v>50</v>
      </c>
      <c r="G51" s="1416"/>
      <c r="H51" s="1417"/>
    </row>
    <row r="52" spans="1:13" ht="12.75" thickBot="1" x14ac:dyDescent="0.3">
      <c r="A52" s="1418"/>
      <c r="B52" s="1419"/>
      <c r="C52" s="1419"/>
      <c r="D52" s="1419"/>
      <c r="E52" s="1419"/>
      <c r="F52" s="1418"/>
      <c r="G52" s="1419"/>
      <c r="H52" s="1420"/>
    </row>
    <row r="53" spans="1:13" x14ac:dyDescent="0.25">
      <c r="A53" s="1410" t="s">
        <v>51</v>
      </c>
      <c r="B53" s="1411"/>
      <c r="C53" s="1411"/>
      <c r="D53" s="1411"/>
      <c r="E53" s="1411"/>
      <c r="F53" s="1411"/>
      <c r="G53" s="1411"/>
      <c r="H53" s="591" t="s">
        <v>52</v>
      </c>
    </row>
    <row r="54" spans="1:13" ht="12.75" thickBot="1" x14ac:dyDescent="0.3">
      <c r="A54" s="1395"/>
      <c r="B54" s="1396"/>
      <c r="C54" s="1396"/>
      <c r="D54" s="1396"/>
      <c r="E54" s="1396"/>
      <c r="F54" s="1396"/>
      <c r="G54" s="1397"/>
      <c r="H54" s="592"/>
    </row>
    <row r="55" spans="1:13" ht="12.75" thickBot="1" x14ac:dyDescent="0.3">
      <c r="A55" s="1412" t="s">
        <v>53</v>
      </c>
      <c r="B55" s="1413"/>
      <c r="C55" s="1413"/>
      <c r="D55" s="1413"/>
      <c r="E55" s="1413"/>
      <c r="F55" s="1413"/>
      <c r="G55" s="1413"/>
      <c r="H55" s="1414"/>
    </row>
    <row r="56" spans="1:13" x14ac:dyDescent="0.25">
      <c r="A56" s="780" t="s">
        <v>99</v>
      </c>
      <c r="B56" s="1393" t="s">
        <v>630</v>
      </c>
      <c r="C56" s="1393"/>
      <c r="D56" s="1393"/>
      <c r="E56" s="1393"/>
      <c r="F56" s="1393"/>
      <c r="G56" s="1393"/>
      <c r="H56" s="1394"/>
      <c r="I56" s="757"/>
      <c r="J56" s="758"/>
    </row>
    <row r="57" spans="1:13" x14ac:dyDescent="0.25">
      <c r="A57" s="781" t="s">
        <v>100</v>
      </c>
      <c r="B57" s="1386" t="s">
        <v>435</v>
      </c>
      <c r="C57" s="1386"/>
      <c r="D57" s="1386"/>
      <c r="E57" s="1386"/>
      <c r="F57" s="1386"/>
      <c r="G57" s="1386"/>
      <c r="H57" s="1387"/>
      <c r="I57" s="1385"/>
      <c r="J57" s="758"/>
    </row>
    <row r="58" spans="1:13" x14ac:dyDescent="0.25">
      <c r="A58" s="781" t="s">
        <v>101</v>
      </c>
      <c r="B58" s="1386" t="s">
        <v>436</v>
      </c>
      <c r="C58" s="1386"/>
      <c r="D58" s="1386"/>
      <c r="E58" s="1386"/>
      <c r="F58" s="1386"/>
      <c r="G58" s="1386"/>
      <c r="H58" s="1387"/>
      <c r="I58" s="1385"/>
      <c r="J58" s="758"/>
    </row>
    <row r="59" spans="1:13" ht="22.5" customHeight="1" x14ac:dyDescent="0.25">
      <c r="A59" s="781" t="s">
        <v>260</v>
      </c>
      <c r="B59" s="1388" t="s">
        <v>956</v>
      </c>
      <c r="C59" s="1388"/>
      <c r="D59" s="1388"/>
      <c r="E59" s="1388"/>
      <c r="F59" s="1388"/>
      <c r="G59" s="1388"/>
      <c r="H59" s="1389"/>
      <c r="I59" s="769"/>
      <c r="J59" s="758"/>
    </row>
    <row r="60" spans="1:13" x14ac:dyDescent="0.25">
      <c r="A60" s="781" t="s">
        <v>265</v>
      </c>
      <c r="B60" s="1388" t="s">
        <v>437</v>
      </c>
      <c r="C60" s="1388"/>
      <c r="D60" s="1388"/>
      <c r="E60" s="1388"/>
      <c r="F60" s="1388"/>
      <c r="G60" s="1388"/>
      <c r="H60" s="1389"/>
      <c r="I60" s="103"/>
      <c r="J60" s="104"/>
      <c r="M60" s="740"/>
    </row>
    <row r="61" spans="1:13" x14ac:dyDescent="0.25">
      <c r="A61" s="781" t="s">
        <v>269</v>
      </c>
      <c r="B61" s="1388" t="s">
        <v>719</v>
      </c>
      <c r="C61" s="1388"/>
      <c r="D61" s="1388"/>
      <c r="E61" s="1388"/>
      <c r="F61" s="1388"/>
      <c r="G61" s="1388"/>
      <c r="H61" s="1389"/>
      <c r="I61" s="103"/>
      <c r="J61" s="104"/>
      <c r="M61" s="740"/>
    </row>
    <row r="62" spans="1:13" ht="12.75" thickBot="1" x14ac:dyDescent="0.3">
      <c r="A62" s="782" t="s">
        <v>692</v>
      </c>
      <c r="B62" s="1404" t="s">
        <v>952</v>
      </c>
      <c r="C62" s="1404"/>
      <c r="D62" s="1404"/>
      <c r="E62" s="1404"/>
      <c r="F62" s="1404"/>
      <c r="G62" s="1404"/>
      <c r="H62" s="1405"/>
      <c r="I62" s="103"/>
      <c r="J62" s="104"/>
      <c r="M62" s="740"/>
    </row>
    <row r="63" spans="1:13" x14ac:dyDescent="0.25">
      <c r="G63" s="740"/>
      <c r="H63" s="740"/>
      <c r="I63" s="103"/>
      <c r="J63" s="104"/>
      <c r="M63" s="740"/>
    </row>
    <row r="64" spans="1:13" x14ac:dyDescent="0.25">
      <c r="G64" s="740"/>
      <c r="H64" s="740"/>
      <c r="I64" s="103"/>
      <c r="J64" s="104"/>
      <c r="M64" s="740"/>
    </row>
    <row r="65" spans="7:13" x14ac:dyDescent="0.25">
      <c r="G65" s="740"/>
      <c r="H65" s="740"/>
      <c r="I65" s="103"/>
      <c r="J65" s="104"/>
      <c r="M65" s="740"/>
    </row>
    <row r="66" spans="7:13" x14ac:dyDescent="0.25">
      <c r="G66" s="740"/>
      <c r="H66" s="740"/>
      <c r="I66" s="103"/>
      <c r="J66" s="104"/>
    </row>
    <row r="67" spans="7:13" x14ac:dyDescent="0.25">
      <c r="G67" s="740"/>
      <c r="H67" s="740"/>
      <c r="I67" s="103"/>
      <c r="J67" s="104"/>
    </row>
    <row r="68" spans="7:13" x14ac:dyDescent="0.25">
      <c r="G68" s="740"/>
      <c r="H68" s="740"/>
      <c r="I68" s="103"/>
      <c r="J68" s="104"/>
    </row>
    <row r="69" spans="7:13" x14ac:dyDescent="0.25">
      <c r="G69" s="740"/>
      <c r="H69" s="740"/>
      <c r="I69" s="103"/>
      <c r="J69" s="758"/>
    </row>
    <row r="70" spans="7:13" x14ac:dyDescent="0.25">
      <c r="G70" s="740"/>
      <c r="H70" s="740"/>
      <c r="I70" s="103"/>
      <c r="J70" s="758"/>
    </row>
    <row r="71" spans="7:13" x14ac:dyDescent="0.25">
      <c r="G71" s="740"/>
      <c r="H71" s="740"/>
      <c r="I71" s="103"/>
      <c r="J71" s="758"/>
    </row>
    <row r="72" spans="7:13" x14ac:dyDescent="0.25">
      <c r="G72" s="740"/>
      <c r="H72" s="740"/>
      <c r="I72" s="103"/>
      <c r="J72" s="758"/>
    </row>
    <row r="73" spans="7:13" x14ac:dyDescent="0.25">
      <c r="G73" s="740"/>
      <c r="H73" s="740"/>
      <c r="I73" s="103"/>
      <c r="J73" s="758"/>
    </row>
    <row r="74" spans="7:13" x14ac:dyDescent="0.25">
      <c r="G74" s="740"/>
      <c r="H74" s="740"/>
      <c r="I74" s="103"/>
      <c r="J74" s="758"/>
    </row>
    <row r="75" spans="7:13" x14ac:dyDescent="0.25">
      <c r="G75" s="740"/>
      <c r="H75" s="740"/>
      <c r="I75" s="103"/>
      <c r="J75" s="758"/>
    </row>
    <row r="76" spans="7:13" x14ac:dyDescent="0.25">
      <c r="G76" s="740"/>
      <c r="H76" s="740"/>
      <c r="I76" s="103"/>
      <c r="J76" s="758"/>
    </row>
    <row r="77" spans="7:13" x14ac:dyDescent="0.25">
      <c r="G77" s="740"/>
      <c r="H77" s="740"/>
      <c r="I77" s="103"/>
      <c r="J77" s="758"/>
    </row>
    <row r="78" spans="7:13" x14ac:dyDescent="0.25">
      <c r="G78" s="740"/>
      <c r="H78" s="740"/>
      <c r="I78" s="103"/>
      <c r="J78" s="758"/>
    </row>
    <row r="79" spans="7:13" x14ac:dyDescent="0.25">
      <c r="G79" s="740"/>
      <c r="H79" s="740"/>
      <c r="I79" s="103"/>
      <c r="J79" s="758"/>
    </row>
    <row r="80" spans="7:13" x14ac:dyDescent="0.25">
      <c r="G80" s="740"/>
      <c r="H80" s="740"/>
      <c r="I80" s="103"/>
      <c r="J80" s="758"/>
    </row>
    <row r="81" spans="7:10" x14ac:dyDescent="0.25">
      <c r="G81" s="740"/>
      <c r="H81" s="740"/>
      <c r="I81" s="103"/>
      <c r="J81" s="758"/>
    </row>
    <row r="82" spans="7:10" x14ac:dyDescent="0.25">
      <c r="G82" s="740"/>
      <c r="H82" s="740"/>
      <c r="I82" s="103"/>
      <c r="J82" s="758"/>
    </row>
    <row r="83" spans="7:10" x14ac:dyDescent="0.25">
      <c r="G83" s="740"/>
      <c r="H83" s="740"/>
      <c r="I83" s="103"/>
      <c r="J83" s="758"/>
    </row>
    <row r="84" spans="7:10" x14ac:dyDescent="0.25">
      <c r="G84" s="740"/>
      <c r="H84" s="740"/>
      <c r="I84" s="103"/>
      <c r="J84" s="758"/>
    </row>
    <row r="85" spans="7:10" x14ac:dyDescent="0.25">
      <c r="G85" s="740"/>
      <c r="H85" s="740"/>
      <c r="I85" s="103"/>
      <c r="J85" s="758"/>
    </row>
    <row r="86" spans="7:10" x14ac:dyDescent="0.25">
      <c r="G86" s="740"/>
      <c r="H86" s="740"/>
      <c r="I86" s="103"/>
      <c r="J86" s="758"/>
    </row>
    <row r="87" spans="7:10" x14ac:dyDescent="0.25">
      <c r="G87" s="740"/>
      <c r="H87" s="740"/>
      <c r="I87" s="103"/>
      <c r="J87" s="758"/>
    </row>
    <row r="88" spans="7:10" x14ac:dyDescent="0.25">
      <c r="G88" s="740"/>
      <c r="H88" s="740"/>
      <c r="I88" s="103"/>
      <c r="J88" s="758"/>
    </row>
    <row r="89" spans="7:10" x14ac:dyDescent="0.25">
      <c r="G89" s="740"/>
      <c r="H89" s="740"/>
      <c r="I89" s="103"/>
      <c r="J89" s="758"/>
    </row>
    <row r="90" spans="7:10" x14ac:dyDescent="0.25">
      <c r="G90" s="740"/>
      <c r="H90" s="740"/>
      <c r="I90" s="103"/>
      <c r="J90" s="758"/>
    </row>
    <row r="91" spans="7:10" x14ac:dyDescent="0.25">
      <c r="G91" s="740"/>
      <c r="H91" s="740"/>
      <c r="I91" s="103"/>
      <c r="J91" s="758"/>
    </row>
    <row r="92" spans="7:10" x14ac:dyDescent="0.25">
      <c r="G92" s="740"/>
      <c r="H92" s="740"/>
      <c r="I92" s="103"/>
      <c r="J92" s="758"/>
    </row>
    <row r="93" spans="7:10" x14ac:dyDescent="0.25">
      <c r="G93" s="740"/>
      <c r="H93" s="740"/>
      <c r="I93" s="103"/>
      <c r="J93" s="758"/>
    </row>
    <row r="94" spans="7:10" x14ac:dyDescent="0.25">
      <c r="G94" s="740"/>
      <c r="H94" s="740"/>
      <c r="I94" s="103"/>
      <c r="J94" s="758"/>
    </row>
    <row r="95" spans="7:10" x14ac:dyDescent="0.25">
      <c r="G95" s="740"/>
      <c r="H95" s="740"/>
      <c r="I95" s="103"/>
      <c r="J95" s="758"/>
    </row>
    <row r="96" spans="7:10" x14ac:dyDescent="0.25">
      <c r="G96" s="740"/>
      <c r="H96" s="740"/>
      <c r="I96" s="103"/>
      <c r="J96" s="758"/>
    </row>
    <row r="97" spans="7:10" x14ac:dyDescent="0.25">
      <c r="G97" s="740"/>
      <c r="H97" s="740"/>
      <c r="I97" s="103"/>
      <c r="J97" s="758"/>
    </row>
    <row r="98" spans="7:10" x14ac:dyDescent="0.25">
      <c r="G98" s="740"/>
      <c r="H98" s="740"/>
      <c r="I98" s="103"/>
      <c r="J98" s="758"/>
    </row>
    <row r="99" spans="7:10" x14ac:dyDescent="0.25">
      <c r="G99" s="740"/>
      <c r="H99" s="740"/>
      <c r="I99" s="103"/>
      <c r="J99" s="758"/>
    </row>
    <row r="100" spans="7:10" x14ac:dyDescent="0.25">
      <c r="G100" s="740"/>
      <c r="H100" s="740"/>
      <c r="I100" s="103"/>
      <c r="J100" s="758"/>
    </row>
    <row r="101" spans="7:10" x14ac:dyDescent="0.25">
      <c r="G101" s="740"/>
      <c r="H101" s="740"/>
      <c r="I101" s="103"/>
      <c r="J101" s="758"/>
    </row>
    <row r="102" spans="7:10" x14ac:dyDescent="0.25">
      <c r="G102" s="740"/>
      <c r="H102" s="740"/>
      <c r="I102" s="103"/>
      <c r="J102" s="758"/>
    </row>
    <row r="103" spans="7:10" x14ac:dyDescent="0.25">
      <c r="G103" s="740"/>
      <c r="H103" s="740"/>
      <c r="I103" s="103"/>
      <c r="J103" s="758"/>
    </row>
    <row r="104" spans="7:10" x14ac:dyDescent="0.25">
      <c r="G104" s="740"/>
      <c r="H104" s="740"/>
      <c r="I104" s="103"/>
      <c r="J104" s="758"/>
    </row>
    <row r="105" spans="7:10" x14ac:dyDescent="0.25">
      <c r="G105" s="740"/>
      <c r="H105" s="740"/>
      <c r="I105" s="103"/>
      <c r="J105" s="758"/>
    </row>
    <row r="106" spans="7:10" x14ac:dyDescent="0.25">
      <c r="G106" s="740"/>
      <c r="H106" s="740"/>
      <c r="I106" s="103"/>
      <c r="J106" s="758"/>
    </row>
    <row r="107" spans="7:10" x14ac:dyDescent="0.25">
      <c r="G107" s="740"/>
      <c r="H107" s="740"/>
      <c r="I107" s="103"/>
      <c r="J107" s="758"/>
    </row>
    <row r="108" spans="7:10" x14ac:dyDescent="0.25">
      <c r="G108" s="740"/>
      <c r="H108" s="740"/>
      <c r="I108" s="103"/>
      <c r="J108" s="758"/>
    </row>
    <row r="109" spans="7:10" x14ac:dyDescent="0.25">
      <c r="G109" s="740"/>
      <c r="H109" s="740"/>
      <c r="I109" s="103"/>
      <c r="J109" s="758"/>
    </row>
    <row r="110" spans="7:10" x14ac:dyDescent="0.25">
      <c r="G110" s="740"/>
      <c r="H110" s="740"/>
      <c r="I110" s="103"/>
      <c r="J110" s="758"/>
    </row>
    <row r="111" spans="7:10" x14ac:dyDescent="0.25">
      <c r="G111" s="740"/>
      <c r="H111" s="740"/>
      <c r="I111" s="103"/>
      <c r="J111" s="758"/>
    </row>
    <row r="112" spans="7:10" x14ac:dyDescent="0.25">
      <c r="G112" s="740"/>
      <c r="H112" s="740"/>
      <c r="I112" s="103"/>
      <c r="J112" s="758"/>
    </row>
    <row r="113" spans="7:12" x14ac:dyDescent="0.25">
      <c r="G113" s="740"/>
      <c r="H113" s="740"/>
      <c r="I113" s="103"/>
      <c r="J113" s="758"/>
    </row>
    <row r="114" spans="7:12" x14ac:dyDescent="0.25">
      <c r="G114" s="740"/>
      <c r="H114" s="740"/>
      <c r="I114" s="103"/>
      <c r="J114" s="758"/>
    </row>
    <row r="115" spans="7:12" x14ac:dyDescent="0.25">
      <c r="G115" s="740"/>
      <c r="H115" s="740"/>
      <c r="I115" s="103"/>
      <c r="J115" s="758"/>
    </row>
    <row r="116" spans="7:12" x14ac:dyDescent="0.25">
      <c r="G116" s="740"/>
      <c r="H116" s="740"/>
      <c r="I116" s="762"/>
      <c r="J116" s="762"/>
      <c r="K116" s="762"/>
      <c r="L116" s="762"/>
    </row>
    <row r="117" spans="7:12" x14ac:dyDescent="0.25">
      <c r="G117" s="740"/>
      <c r="H117" s="740"/>
      <c r="I117" s="105"/>
      <c r="J117" s="762"/>
      <c r="K117" s="762"/>
      <c r="L117" s="762"/>
    </row>
    <row r="118" spans="7:12" x14ac:dyDescent="0.25">
      <c r="G118" s="740"/>
      <c r="H118" s="740"/>
      <c r="I118" s="105"/>
      <c r="J118" s="762"/>
      <c r="K118" s="762"/>
      <c r="L118" s="762"/>
    </row>
    <row r="119" spans="7:12" x14ac:dyDescent="0.25">
      <c r="G119" s="740"/>
      <c r="H119" s="740"/>
      <c r="I119" s="105"/>
      <c r="J119" s="762"/>
      <c r="K119" s="762"/>
      <c r="L119" s="762"/>
    </row>
    <row r="120" spans="7:12" x14ac:dyDescent="0.25">
      <c r="G120" s="740"/>
      <c r="H120" s="740"/>
      <c r="I120" s="105"/>
      <c r="J120" s="762"/>
      <c r="K120" s="762"/>
      <c r="L120" s="762"/>
    </row>
    <row r="121" spans="7:12" x14ac:dyDescent="0.25">
      <c r="G121" s="740"/>
      <c r="H121" s="740"/>
      <c r="I121" s="105"/>
    </row>
    <row r="122" spans="7:12" x14ac:dyDescent="0.25">
      <c r="G122" s="740"/>
      <c r="H122" s="740"/>
      <c r="I122" s="105"/>
    </row>
    <row r="123" spans="7:12" x14ac:dyDescent="0.25">
      <c r="G123" s="740"/>
      <c r="H123" s="740"/>
      <c r="I123" s="105"/>
    </row>
    <row r="124" spans="7:12" x14ac:dyDescent="0.25">
      <c r="G124" s="740"/>
      <c r="H124" s="740"/>
      <c r="I124" s="105"/>
    </row>
    <row r="125" spans="7:12" x14ac:dyDescent="0.25">
      <c r="G125" s="740"/>
      <c r="H125" s="740"/>
      <c r="I125" s="105"/>
    </row>
    <row r="126" spans="7:12" x14ac:dyDescent="0.25">
      <c r="G126" s="740"/>
      <c r="H126" s="740"/>
      <c r="I126" s="105"/>
    </row>
    <row r="127" spans="7:12" x14ac:dyDescent="0.25">
      <c r="G127" s="740"/>
      <c r="H127" s="740"/>
      <c r="I127" s="105"/>
    </row>
    <row r="128" spans="7:12" x14ac:dyDescent="0.25">
      <c r="G128" s="740"/>
      <c r="H128" s="740"/>
      <c r="I128" s="105"/>
    </row>
    <row r="129" spans="2:13" x14ac:dyDescent="0.25">
      <c r="G129" s="740"/>
      <c r="H129" s="740"/>
      <c r="I129" s="105"/>
    </row>
    <row r="130" spans="2:13" x14ac:dyDescent="0.25">
      <c r="G130" s="740"/>
      <c r="H130" s="740"/>
      <c r="I130" s="105"/>
    </row>
    <row r="131" spans="2:13" x14ac:dyDescent="0.25">
      <c r="G131" s="740"/>
      <c r="H131" s="740"/>
      <c r="I131" s="105"/>
    </row>
    <row r="132" spans="2:13" x14ac:dyDescent="0.25">
      <c r="G132" s="740"/>
      <c r="H132" s="740"/>
      <c r="I132" s="105"/>
    </row>
    <row r="133" spans="2:13" x14ac:dyDescent="0.25">
      <c r="G133" s="740"/>
      <c r="H133" s="740"/>
      <c r="I133" s="105"/>
    </row>
    <row r="134" spans="2:13" x14ac:dyDescent="0.25">
      <c r="G134" s="740"/>
      <c r="H134" s="740"/>
      <c r="I134" s="105"/>
    </row>
    <row r="135" spans="2:13" x14ac:dyDescent="0.25">
      <c r="G135" s="740"/>
      <c r="H135" s="740"/>
      <c r="I135" s="105"/>
    </row>
    <row r="136" spans="2:13" x14ac:dyDescent="0.25">
      <c r="G136" s="740"/>
      <c r="H136" s="740"/>
      <c r="I136" s="105"/>
    </row>
    <row r="137" spans="2:13" x14ac:dyDescent="0.25">
      <c r="G137" s="740"/>
      <c r="H137" s="740"/>
      <c r="I137" s="105"/>
    </row>
    <row r="138" spans="2:13" x14ac:dyDescent="0.25">
      <c r="G138" s="740"/>
      <c r="H138" s="740"/>
      <c r="I138" s="105"/>
    </row>
    <row r="139" spans="2:13" s="758" customFormat="1" x14ac:dyDescent="0.25">
      <c r="B139" s="763"/>
      <c r="I139" s="103"/>
      <c r="M139" s="764"/>
    </row>
    <row r="140" spans="2:13" s="758" customFormat="1" x14ac:dyDescent="0.25">
      <c r="B140" s="763"/>
      <c r="I140" s="103"/>
      <c r="M140" s="764"/>
    </row>
    <row r="141" spans="2:13" s="758" customFormat="1" x14ac:dyDescent="0.25">
      <c r="B141" s="763"/>
      <c r="I141" s="103"/>
      <c r="M141" s="764"/>
    </row>
    <row r="142" spans="2:13" s="758" customFormat="1" x14ac:dyDescent="0.25">
      <c r="B142" s="763"/>
      <c r="I142" s="103"/>
      <c r="M142" s="764"/>
    </row>
    <row r="143" spans="2:13" s="758" customFormat="1" x14ac:dyDescent="0.25">
      <c r="B143" s="763"/>
      <c r="I143" s="103"/>
      <c r="M143" s="764"/>
    </row>
    <row r="144" spans="2:13" s="758" customFormat="1" x14ac:dyDescent="0.25">
      <c r="B144" s="763"/>
      <c r="I144" s="103"/>
      <c r="M144" s="764"/>
    </row>
    <row r="145" spans="2:13" s="758" customFormat="1" x14ac:dyDescent="0.25">
      <c r="B145" s="763"/>
      <c r="I145" s="103"/>
      <c r="M145" s="764"/>
    </row>
    <row r="146" spans="2:13" s="758" customFormat="1" x14ac:dyDescent="0.25">
      <c r="B146" s="763"/>
      <c r="I146" s="103"/>
      <c r="M146" s="764"/>
    </row>
    <row r="147" spans="2:13" s="758" customFormat="1" x14ac:dyDescent="0.25">
      <c r="B147" s="763"/>
      <c r="I147" s="103"/>
      <c r="M147" s="764"/>
    </row>
    <row r="148" spans="2:13" s="758" customFormat="1" x14ac:dyDescent="0.25">
      <c r="B148" s="763"/>
      <c r="I148" s="103"/>
      <c r="M148" s="764"/>
    </row>
    <row r="149" spans="2:13" s="758" customFormat="1" x14ac:dyDescent="0.25">
      <c r="B149" s="763"/>
      <c r="I149" s="103"/>
      <c r="M149" s="764"/>
    </row>
    <row r="150" spans="2:13" s="758" customFormat="1" x14ac:dyDescent="0.25">
      <c r="B150" s="763"/>
      <c r="I150" s="103"/>
      <c r="M150" s="764"/>
    </row>
    <row r="151" spans="2:13" s="758" customFormat="1" x14ac:dyDescent="0.25">
      <c r="B151" s="763"/>
      <c r="I151" s="103"/>
      <c r="M151" s="764"/>
    </row>
    <row r="152" spans="2:13" s="758" customFormat="1" x14ac:dyDescent="0.25">
      <c r="B152" s="763"/>
      <c r="I152" s="103"/>
      <c r="M152" s="764"/>
    </row>
    <row r="153" spans="2:13" s="758" customFormat="1" x14ac:dyDescent="0.25">
      <c r="B153" s="763"/>
      <c r="I153" s="103"/>
      <c r="M153" s="764"/>
    </row>
    <row r="154" spans="2:13" s="758" customFormat="1" x14ac:dyDescent="0.25">
      <c r="B154" s="763"/>
      <c r="I154" s="103"/>
      <c r="M154" s="764"/>
    </row>
    <row r="155" spans="2:13" s="758" customFormat="1" x14ac:dyDescent="0.25">
      <c r="B155" s="763"/>
      <c r="I155" s="103"/>
      <c r="M155" s="764"/>
    </row>
    <row r="156" spans="2:13" s="758" customFormat="1" x14ac:dyDescent="0.25">
      <c r="B156" s="763"/>
      <c r="I156" s="103"/>
      <c r="M156" s="764"/>
    </row>
    <row r="157" spans="2:13" s="758" customFormat="1" x14ac:dyDescent="0.25">
      <c r="B157" s="763"/>
      <c r="I157" s="103"/>
      <c r="M157" s="764"/>
    </row>
    <row r="158" spans="2:13" s="758" customFormat="1" x14ac:dyDescent="0.25">
      <c r="B158" s="763"/>
      <c r="I158" s="103"/>
      <c r="M158" s="764"/>
    </row>
    <row r="159" spans="2:13" s="758" customFormat="1" x14ac:dyDescent="0.25">
      <c r="B159" s="763"/>
      <c r="I159" s="103"/>
      <c r="M159" s="764"/>
    </row>
    <row r="160" spans="2:13" s="758" customFormat="1" x14ac:dyDescent="0.25">
      <c r="B160" s="763"/>
      <c r="I160" s="103"/>
      <c r="M160" s="764"/>
    </row>
    <row r="161" spans="2:13" s="758" customFormat="1" x14ac:dyDescent="0.25">
      <c r="B161" s="763"/>
      <c r="I161" s="103"/>
      <c r="M161" s="764"/>
    </row>
    <row r="162" spans="2:13" s="758" customFormat="1" x14ac:dyDescent="0.25">
      <c r="B162" s="763"/>
      <c r="I162" s="103"/>
      <c r="M162" s="764"/>
    </row>
    <row r="163" spans="2:13" s="758" customFormat="1" x14ac:dyDescent="0.25">
      <c r="B163" s="763"/>
      <c r="I163" s="103"/>
      <c r="M163" s="764"/>
    </row>
    <row r="164" spans="2:13" s="758" customFormat="1" x14ac:dyDescent="0.25">
      <c r="B164" s="763"/>
      <c r="I164" s="103"/>
      <c r="M164" s="764"/>
    </row>
    <row r="165" spans="2:13" s="758" customFormat="1" x14ac:dyDescent="0.25">
      <c r="B165" s="763"/>
      <c r="I165" s="103"/>
      <c r="M165" s="764"/>
    </row>
    <row r="166" spans="2:13" s="758" customFormat="1" x14ac:dyDescent="0.25">
      <c r="B166" s="763"/>
      <c r="I166" s="103"/>
      <c r="M166" s="764"/>
    </row>
    <row r="167" spans="2:13" s="758" customFormat="1" x14ac:dyDescent="0.25">
      <c r="B167" s="763"/>
      <c r="I167" s="103"/>
      <c r="M167" s="764"/>
    </row>
    <row r="168" spans="2:13" s="758" customFormat="1" x14ac:dyDescent="0.25">
      <c r="B168" s="763"/>
      <c r="I168" s="103"/>
      <c r="M168" s="764"/>
    </row>
    <row r="169" spans="2:13" s="758" customFormat="1" x14ac:dyDescent="0.25">
      <c r="B169" s="763"/>
      <c r="I169" s="103"/>
      <c r="M169" s="764"/>
    </row>
    <row r="170" spans="2:13" s="758" customFormat="1" x14ac:dyDescent="0.25">
      <c r="B170" s="763"/>
      <c r="I170" s="103"/>
      <c r="M170" s="764"/>
    </row>
    <row r="171" spans="2:13" s="758" customFormat="1" x14ac:dyDescent="0.25">
      <c r="B171" s="763"/>
      <c r="I171" s="103"/>
      <c r="M171" s="764"/>
    </row>
    <row r="172" spans="2:13" s="758" customFormat="1" x14ac:dyDescent="0.25">
      <c r="B172" s="763"/>
      <c r="I172" s="103"/>
      <c r="M172" s="764"/>
    </row>
    <row r="173" spans="2:13" s="758" customFormat="1" x14ac:dyDescent="0.25">
      <c r="B173" s="763"/>
      <c r="I173" s="103"/>
      <c r="M173" s="764"/>
    </row>
    <row r="174" spans="2:13" s="758" customFormat="1" x14ac:dyDescent="0.25">
      <c r="B174" s="763"/>
      <c r="I174" s="103"/>
      <c r="M174" s="764"/>
    </row>
    <row r="175" spans="2:13" s="758" customFormat="1" x14ac:dyDescent="0.25">
      <c r="B175" s="763"/>
      <c r="I175" s="103"/>
      <c r="M175" s="764"/>
    </row>
    <row r="176" spans="2:13" s="758" customFormat="1" x14ac:dyDescent="0.25">
      <c r="B176" s="763"/>
      <c r="I176" s="103"/>
      <c r="M176" s="764"/>
    </row>
    <row r="177" spans="1:13" s="758" customFormat="1" x14ac:dyDescent="0.25">
      <c r="B177" s="763"/>
      <c r="I177" s="103"/>
      <c r="M177" s="764"/>
    </row>
    <row r="178" spans="1:13" s="758" customFormat="1" x14ac:dyDescent="0.25">
      <c r="B178" s="763"/>
      <c r="I178" s="103"/>
      <c r="M178" s="764"/>
    </row>
    <row r="179" spans="1:13" s="758" customFormat="1" x14ac:dyDescent="0.25">
      <c r="B179" s="763"/>
      <c r="I179" s="103"/>
      <c r="M179" s="764"/>
    </row>
    <row r="180" spans="1:13" s="758" customFormat="1" x14ac:dyDescent="0.25">
      <c r="B180" s="763"/>
      <c r="I180" s="103"/>
      <c r="M180" s="764"/>
    </row>
    <row r="181" spans="1:13" s="758" customFormat="1" x14ac:dyDescent="0.25">
      <c r="B181" s="763"/>
      <c r="I181" s="103"/>
      <c r="M181" s="764"/>
    </row>
    <row r="182" spans="1:13" s="758" customFormat="1" x14ac:dyDescent="0.25">
      <c r="A182" s="120"/>
      <c r="B182" s="120"/>
      <c r="C182" s="120"/>
      <c r="D182" s="685"/>
      <c r="E182" s="685"/>
      <c r="F182" s="765"/>
      <c r="I182" s="103"/>
      <c r="M182" s="764"/>
    </row>
    <row r="183" spans="1:13" s="758" customFormat="1" x14ac:dyDescent="0.25">
      <c r="A183" s="120"/>
      <c r="B183" s="120"/>
      <c r="C183" s="120"/>
      <c r="D183" s="685"/>
      <c r="E183" s="685"/>
      <c r="F183" s="765"/>
      <c r="I183" s="103"/>
      <c r="M183" s="764"/>
    </row>
    <row r="184" spans="1:13" s="758" customFormat="1" x14ac:dyDescent="0.25">
      <c r="A184" s="120"/>
      <c r="B184" s="120"/>
      <c r="C184" s="120"/>
      <c r="D184" s="685"/>
      <c r="E184" s="685"/>
      <c r="F184" s="765"/>
      <c r="I184" s="103"/>
      <c r="M184" s="764"/>
    </row>
    <row r="185" spans="1:13" s="758" customFormat="1" x14ac:dyDescent="0.25">
      <c r="A185" s="120"/>
      <c r="B185" s="120"/>
      <c r="C185" s="120"/>
      <c r="D185" s="685"/>
      <c r="E185" s="685"/>
      <c r="F185" s="765"/>
      <c r="I185" s="103"/>
      <c r="M185" s="764"/>
    </row>
    <row r="186" spans="1:13" s="758" customFormat="1" x14ac:dyDescent="0.25">
      <c r="A186" s="120"/>
      <c r="B186" s="120"/>
      <c r="C186" s="120"/>
      <c r="D186" s="685"/>
      <c r="E186" s="685"/>
      <c r="F186" s="765"/>
      <c r="I186" s="103"/>
      <c r="M186" s="764"/>
    </row>
    <row r="187" spans="1:13" s="758" customFormat="1" x14ac:dyDescent="0.25">
      <c r="A187" s="120"/>
      <c r="B187" s="120"/>
      <c r="C187" s="120"/>
      <c r="D187" s="685"/>
      <c r="E187" s="685"/>
      <c r="F187" s="765"/>
      <c r="I187" s="103"/>
      <c r="M187" s="764"/>
    </row>
    <row r="188" spans="1:13" s="758" customFormat="1" x14ac:dyDescent="0.25">
      <c r="A188" s="120"/>
      <c r="B188" s="120"/>
      <c r="C188" s="120"/>
      <c r="D188" s="685"/>
      <c r="E188" s="685"/>
      <c r="F188" s="765"/>
      <c r="I188" s="103"/>
      <c r="M188" s="764"/>
    </row>
    <row r="189" spans="1:13" s="758" customFormat="1" x14ac:dyDescent="0.25">
      <c r="A189" s="120"/>
      <c r="B189" s="120"/>
      <c r="C189" s="120"/>
      <c r="D189" s="685"/>
      <c r="E189" s="685"/>
      <c r="F189" s="765"/>
      <c r="I189" s="103"/>
      <c r="M189" s="764"/>
    </row>
    <row r="190" spans="1:13" s="758" customFormat="1" x14ac:dyDescent="0.25">
      <c r="A190" s="120"/>
      <c r="B190" s="120"/>
      <c r="C190" s="120"/>
      <c r="D190" s="685"/>
      <c r="E190" s="685"/>
      <c r="F190" s="765"/>
      <c r="I190" s="103"/>
      <c r="M190" s="764"/>
    </row>
    <row r="191" spans="1:13" s="758" customFormat="1" x14ac:dyDescent="0.25">
      <c r="A191" s="120"/>
      <c r="B191" s="120"/>
      <c r="C191" s="120"/>
      <c r="D191" s="685"/>
      <c r="E191" s="685"/>
      <c r="F191" s="765"/>
      <c r="I191" s="103"/>
      <c r="M191" s="764"/>
    </row>
    <row r="192" spans="1:13" s="758" customFormat="1" x14ac:dyDescent="0.25">
      <c r="A192" s="120"/>
      <c r="B192" s="120"/>
      <c r="C192" s="120"/>
      <c r="D192" s="685"/>
      <c r="E192" s="685"/>
      <c r="F192" s="765"/>
      <c r="I192" s="103"/>
      <c r="M192" s="764"/>
    </row>
    <row r="193" spans="1:13" s="758" customFormat="1" x14ac:dyDescent="0.25">
      <c r="A193" s="120"/>
      <c r="B193" s="120"/>
      <c r="C193" s="120"/>
      <c r="D193" s="685"/>
      <c r="E193" s="685"/>
      <c r="F193" s="765"/>
      <c r="I193" s="103"/>
      <c r="M193" s="764"/>
    </row>
    <row r="194" spans="1:13" s="758" customFormat="1" x14ac:dyDescent="0.25">
      <c r="A194" s="120"/>
      <c r="B194" s="120"/>
      <c r="C194" s="120"/>
      <c r="D194" s="685"/>
      <c r="E194" s="685"/>
      <c r="F194" s="765"/>
      <c r="I194" s="103"/>
      <c r="M194" s="764"/>
    </row>
    <row r="195" spans="1:13" s="758" customFormat="1" x14ac:dyDescent="0.25">
      <c r="A195" s="120"/>
      <c r="B195" s="120"/>
      <c r="C195" s="120"/>
      <c r="D195" s="685"/>
      <c r="E195" s="685"/>
      <c r="F195" s="765"/>
      <c r="I195" s="103"/>
      <c r="M195" s="764"/>
    </row>
    <row r="196" spans="1:13" s="758" customFormat="1" x14ac:dyDescent="0.25">
      <c r="A196" s="120"/>
      <c r="B196" s="120"/>
      <c r="C196" s="120"/>
      <c r="D196" s="685"/>
      <c r="E196" s="685"/>
      <c r="F196" s="765"/>
      <c r="I196" s="103"/>
      <c r="M196" s="764"/>
    </row>
    <row r="197" spans="1:13" s="758" customFormat="1" x14ac:dyDescent="0.25">
      <c r="A197" s="120"/>
      <c r="B197" s="120"/>
      <c r="C197" s="120"/>
      <c r="D197" s="685"/>
      <c r="E197" s="685"/>
      <c r="F197" s="765"/>
      <c r="I197" s="103"/>
      <c r="M197" s="764"/>
    </row>
    <row r="198" spans="1:13" s="758" customFormat="1" x14ac:dyDescent="0.25">
      <c r="A198" s="120"/>
      <c r="B198" s="120"/>
      <c r="C198" s="120"/>
      <c r="D198" s="685"/>
      <c r="E198" s="685"/>
      <c r="F198" s="765"/>
      <c r="I198" s="103"/>
      <c r="M198" s="764"/>
    </row>
    <row r="199" spans="1:13" s="758" customFormat="1" x14ac:dyDescent="0.25">
      <c r="A199" s="120"/>
      <c r="B199" s="120"/>
      <c r="C199" s="120"/>
      <c r="D199" s="685"/>
      <c r="E199" s="685"/>
      <c r="F199" s="765"/>
      <c r="I199" s="103"/>
      <c r="M199" s="764"/>
    </row>
    <row r="200" spans="1:13" s="758" customFormat="1" x14ac:dyDescent="0.25">
      <c r="A200" s="120"/>
      <c r="B200" s="120"/>
      <c r="C200" s="120"/>
      <c r="D200" s="685"/>
      <c r="E200" s="685"/>
      <c r="F200" s="765"/>
      <c r="I200" s="103"/>
      <c r="M200" s="764"/>
    </row>
    <row r="201" spans="1:13" s="758" customFormat="1" x14ac:dyDescent="0.25">
      <c r="A201" s="120"/>
      <c r="B201" s="120"/>
      <c r="C201" s="120"/>
      <c r="D201" s="685"/>
      <c r="E201" s="685"/>
      <c r="F201" s="765"/>
      <c r="I201" s="103"/>
      <c r="M201" s="764"/>
    </row>
    <row r="202" spans="1:13" s="758" customFormat="1" x14ac:dyDescent="0.25">
      <c r="A202" s="120"/>
      <c r="B202" s="120"/>
      <c r="C202" s="120"/>
      <c r="D202" s="685"/>
      <c r="E202" s="685"/>
      <c r="F202" s="765"/>
      <c r="I202" s="103"/>
      <c r="M202" s="764"/>
    </row>
    <row r="203" spans="1:13" s="758" customFormat="1" x14ac:dyDescent="0.25">
      <c r="A203" s="102"/>
      <c r="B203" s="129"/>
      <c r="C203" s="98"/>
      <c r="D203" s="122"/>
      <c r="E203" s="766"/>
      <c r="F203" s="766"/>
      <c r="I203" s="103"/>
      <c r="M203" s="764"/>
    </row>
    <row r="204" spans="1:13" s="758" customFormat="1" x14ac:dyDescent="0.25">
      <c r="A204" s="102"/>
      <c r="B204" s="129"/>
      <c r="C204" s="98"/>
      <c r="D204" s="122"/>
      <c r="E204" s="766"/>
      <c r="F204" s="766"/>
      <c r="I204" s="103"/>
      <c r="M204" s="764"/>
    </row>
    <row r="205" spans="1:13" s="758" customFormat="1" x14ac:dyDescent="0.25">
      <c r="A205" s="102"/>
      <c r="B205" s="129"/>
      <c r="C205" s="98"/>
      <c r="D205" s="122"/>
      <c r="E205" s="766"/>
      <c r="F205" s="766"/>
      <c r="I205" s="103"/>
      <c r="M205" s="764"/>
    </row>
    <row r="206" spans="1:13" s="758" customFormat="1" x14ac:dyDescent="0.25">
      <c r="A206" s="102"/>
      <c r="B206" s="129"/>
      <c r="C206" s="98"/>
      <c r="D206" s="122"/>
      <c r="E206" s="766"/>
      <c r="F206" s="766"/>
      <c r="I206" s="103"/>
      <c r="M206" s="764"/>
    </row>
    <row r="207" spans="1:13" s="758" customFormat="1" x14ac:dyDescent="0.25">
      <c r="A207" s="102"/>
      <c r="B207" s="129"/>
      <c r="C207" s="98"/>
      <c r="D207" s="122"/>
      <c r="E207" s="766"/>
      <c r="F207" s="766"/>
      <c r="I207" s="103"/>
      <c r="M207" s="764"/>
    </row>
    <row r="208" spans="1:13" s="758" customFormat="1" x14ac:dyDescent="0.25">
      <c r="A208" s="102"/>
      <c r="B208" s="129"/>
      <c r="C208" s="98"/>
      <c r="D208" s="122"/>
      <c r="E208" s="766"/>
      <c r="F208" s="766"/>
      <c r="M208" s="764"/>
    </row>
    <row r="209" spans="1:13" s="758" customFormat="1" x14ac:dyDescent="0.25">
      <c r="A209" s="102"/>
      <c r="B209" s="129"/>
      <c r="C209" s="98"/>
      <c r="D209" s="122"/>
      <c r="E209" s="766"/>
      <c r="F209" s="766"/>
      <c r="M209" s="764"/>
    </row>
    <row r="210" spans="1:13" s="758" customFormat="1" x14ac:dyDescent="0.25">
      <c r="A210" s="102"/>
      <c r="B210" s="129"/>
      <c r="C210" s="98"/>
      <c r="D210" s="122"/>
      <c r="E210" s="766"/>
      <c r="F210" s="766"/>
      <c r="M210" s="764"/>
    </row>
    <row r="211" spans="1:13" s="758" customFormat="1" x14ac:dyDescent="0.25">
      <c r="A211" s="102"/>
      <c r="B211" s="129"/>
      <c r="C211" s="98"/>
      <c r="D211" s="122"/>
      <c r="E211" s="766"/>
      <c r="F211" s="766"/>
      <c r="M211" s="764"/>
    </row>
    <row r="212" spans="1:13" s="758" customFormat="1" x14ac:dyDescent="0.25">
      <c r="A212" s="102"/>
      <c r="B212" s="129"/>
      <c r="C212" s="98"/>
      <c r="D212" s="122"/>
      <c r="E212" s="766"/>
      <c r="F212" s="766"/>
      <c r="M212" s="764"/>
    </row>
    <row r="213" spans="1:13" s="758" customFormat="1" x14ac:dyDescent="0.25">
      <c r="A213" s="102"/>
      <c r="B213" s="129"/>
      <c r="C213" s="98"/>
      <c r="D213" s="122"/>
      <c r="E213" s="766"/>
      <c r="F213" s="766"/>
      <c r="M213" s="764"/>
    </row>
    <row r="214" spans="1:13" s="758" customFormat="1" x14ac:dyDescent="0.25">
      <c r="A214" s="102"/>
      <c r="B214" s="129"/>
      <c r="C214" s="98"/>
      <c r="D214" s="122"/>
      <c r="E214" s="766"/>
      <c r="F214" s="766"/>
      <c r="M214" s="764"/>
    </row>
    <row r="215" spans="1:13" s="758" customFormat="1" x14ac:dyDescent="0.25">
      <c r="A215" s="102"/>
      <c r="B215" s="129"/>
      <c r="C215" s="98"/>
      <c r="D215" s="122"/>
      <c r="E215" s="766"/>
      <c r="F215" s="766"/>
      <c r="M215" s="764"/>
    </row>
    <row r="216" spans="1:13" s="758" customFormat="1" x14ac:dyDescent="0.25">
      <c r="A216" s="102"/>
      <c r="B216" s="129"/>
      <c r="C216" s="98"/>
      <c r="D216" s="122"/>
      <c r="E216" s="766"/>
      <c r="F216" s="766"/>
      <c r="M216" s="764"/>
    </row>
    <row r="217" spans="1:13" s="758" customFormat="1" x14ac:dyDescent="0.25">
      <c r="B217" s="763"/>
      <c r="E217" s="766"/>
      <c r="F217" s="766"/>
      <c r="M217" s="764"/>
    </row>
    <row r="218" spans="1:13" s="758" customFormat="1" x14ac:dyDescent="0.25">
      <c r="B218" s="763"/>
      <c r="E218" s="766"/>
      <c r="F218" s="766"/>
      <c r="M218" s="764"/>
    </row>
    <row r="219" spans="1:13" s="758" customFormat="1" x14ac:dyDescent="0.25">
      <c r="B219" s="763"/>
      <c r="E219" s="766"/>
      <c r="F219" s="766"/>
      <c r="M219" s="764"/>
    </row>
    <row r="220" spans="1:13" s="758" customFormat="1" x14ac:dyDescent="0.25">
      <c r="B220" s="763"/>
      <c r="E220" s="766"/>
      <c r="F220" s="766"/>
      <c r="M220" s="764"/>
    </row>
    <row r="221" spans="1:13" s="758" customFormat="1" x14ac:dyDescent="0.25">
      <c r="B221" s="763"/>
      <c r="E221" s="766"/>
      <c r="F221" s="766"/>
      <c r="M221" s="764"/>
    </row>
    <row r="222" spans="1:13" s="758" customFormat="1" x14ac:dyDescent="0.25">
      <c r="B222" s="763"/>
      <c r="E222" s="766"/>
      <c r="F222" s="766"/>
      <c r="M222" s="764"/>
    </row>
    <row r="223" spans="1:13" s="758" customFormat="1" x14ac:dyDescent="0.25">
      <c r="B223" s="763"/>
      <c r="E223" s="766"/>
      <c r="F223" s="766"/>
      <c r="M223" s="764"/>
    </row>
    <row r="224" spans="1:13" s="758" customFormat="1" x14ac:dyDescent="0.25">
      <c r="B224" s="763"/>
      <c r="E224" s="766"/>
      <c r="F224" s="766"/>
      <c r="M224" s="764"/>
    </row>
    <row r="225" spans="1:13" s="758" customFormat="1" x14ac:dyDescent="0.25">
      <c r="B225" s="763"/>
      <c r="E225" s="766"/>
      <c r="F225" s="766"/>
      <c r="M225" s="764"/>
    </row>
    <row r="226" spans="1:13" s="758" customFormat="1" x14ac:dyDescent="0.25">
      <c r="B226" s="763"/>
      <c r="E226" s="766"/>
      <c r="F226" s="766"/>
      <c r="M226" s="764"/>
    </row>
    <row r="227" spans="1:13" s="758" customFormat="1" x14ac:dyDescent="0.25">
      <c r="B227" s="763"/>
      <c r="E227" s="766"/>
      <c r="F227" s="766"/>
      <c r="M227" s="764"/>
    </row>
    <row r="228" spans="1:13" s="758" customFormat="1" x14ac:dyDescent="0.25">
      <c r="B228" s="763"/>
      <c r="E228" s="766"/>
      <c r="F228" s="766"/>
      <c r="M228" s="764"/>
    </row>
    <row r="229" spans="1:13" s="758" customFormat="1" x14ac:dyDescent="0.25">
      <c r="B229" s="767"/>
      <c r="C229" s="97"/>
      <c r="D229" s="98"/>
      <c r="E229" s="766"/>
      <c r="F229" s="766"/>
      <c r="M229" s="764"/>
    </row>
    <row r="230" spans="1:13" s="758" customFormat="1" x14ac:dyDescent="0.25">
      <c r="A230" s="767"/>
      <c r="B230" s="129"/>
      <c r="C230" s="98"/>
      <c r="D230" s="122"/>
      <c r="E230" s="98"/>
      <c r="F230" s="766"/>
      <c r="M230" s="764"/>
    </row>
    <row r="231" spans="1:13" s="758" customFormat="1" x14ac:dyDescent="0.25">
      <c r="B231" s="763"/>
      <c r="C231" s="768"/>
      <c r="D231" s="766"/>
      <c r="E231" s="766"/>
      <c r="F231" s="766"/>
      <c r="G231" s="768"/>
      <c r="H231" s="768"/>
      <c r="M231" s="764"/>
    </row>
    <row r="232" spans="1:13" s="758" customFormat="1" x14ac:dyDescent="0.25">
      <c r="B232" s="763"/>
      <c r="C232" s="768"/>
      <c r="D232" s="766"/>
      <c r="E232" s="766"/>
      <c r="F232" s="766"/>
      <c r="G232" s="768"/>
      <c r="H232" s="768"/>
      <c r="M232" s="764"/>
    </row>
    <row r="233" spans="1:13" s="758" customFormat="1" x14ac:dyDescent="0.25">
      <c r="B233" s="763"/>
      <c r="C233" s="768"/>
      <c r="D233" s="766"/>
      <c r="E233" s="766"/>
      <c r="F233" s="766"/>
      <c r="G233" s="768"/>
      <c r="H233" s="768"/>
      <c r="M233" s="764"/>
    </row>
    <row r="234" spans="1:13" s="758" customFormat="1" x14ac:dyDescent="0.25">
      <c r="B234" s="763"/>
      <c r="D234" s="768"/>
      <c r="E234" s="766"/>
      <c r="F234" s="766"/>
      <c r="G234" s="768"/>
      <c r="H234" s="768"/>
      <c r="M234" s="764"/>
    </row>
    <row r="235" spans="1:13" s="758" customFormat="1" x14ac:dyDescent="0.25">
      <c r="B235" s="763"/>
      <c r="D235" s="768"/>
      <c r="E235" s="766"/>
      <c r="F235" s="766"/>
      <c r="G235" s="768"/>
      <c r="H235" s="768"/>
      <c r="M235" s="764"/>
    </row>
    <row r="236" spans="1:13" s="758" customFormat="1" x14ac:dyDescent="0.25">
      <c r="B236" s="763"/>
      <c r="D236" s="768"/>
      <c r="E236" s="766"/>
      <c r="F236" s="766"/>
      <c r="G236" s="768"/>
      <c r="H236" s="768"/>
      <c r="M236" s="764"/>
    </row>
    <row r="237" spans="1:13" s="758" customFormat="1" x14ac:dyDescent="0.25">
      <c r="B237" s="763"/>
      <c r="D237" s="768"/>
      <c r="E237" s="766"/>
      <c r="F237" s="766"/>
      <c r="G237" s="768"/>
      <c r="H237" s="768"/>
      <c r="M237" s="764"/>
    </row>
    <row r="238" spans="1:13" s="758" customFormat="1" x14ac:dyDescent="0.25">
      <c r="B238" s="763"/>
      <c r="D238" s="768"/>
      <c r="E238" s="766"/>
      <c r="F238" s="766"/>
      <c r="G238" s="768"/>
      <c r="H238" s="768"/>
      <c r="M238" s="764"/>
    </row>
    <row r="239" spans="1:13" s="758" customFormat="1" x14ac:dyDescent="0.25">
      <c r="B239" s="763"/>
      <c r="D239" s="768"/>
      <c r="E239" s="766"/>
      <c r="F239" s="766"/>
      <c r="G239" s="768"/>
      <c r="H239" s="768"/>
      <c r="M239" s="764"/>
    </row>
    <row r="240" spans="1:13" s="758" customFormat="1" x14ac:dyDescent="0.25">
      <c r="B240" s="763"/>
      <c r="D240" s="768"/>
      <c r="E240" s="766"/>
      <c r="F240" s="766"/>
      <c r="G240" s="768"/>
      <c r="H240" s="768"/>
      <c r="M240" s="764"/>
    </row>
    <row r="241" spans="2:13" s="758" customFormat="1" x14ac:dyDescent="0.25">
      <c r="B241" s="763"/>
      <c r="D241" s="768"/>
      <c r="E241" s="766"/>
      <c r="F241" s="766"/>
      <c r="G241" s="768"/>
      <c r="H241" s="768"/>
      <c r="M241" s="764"/>
    </row>
  </sheetData>
  <mergeCells count="36">
    <mergeCell ref="B62:H62"/>
    <mergeCell ref="B13:G13"/>
    <mergeCell ref="B18:G18"/>
    <mergeCell ref="B23:G23"/>
    <mergeCell ref="B36:G36"/>
    <mergeCell ref="B41:G41"/>
    <mergeCell ref="B61:H61"/>
    <mergeCell ref="A53:G53"/>
    <mergeCell ref="A55:H55"/>
    <mergeCell ref="F51:H51"/>
    <mergeCell ref="F52:H52"/>
    <mergeCell ref="A51:E51"/>
    <mergeCell ref="A52:E52"/>
    <mergeCell ref="A47:G47"/>
    <mergeCell ref="A48:G48"/>
    <mergeCell ref="B43:G43"/>
    <mergeCell ref="I57:I58"/>
    <mergeCell ref="B58:H58"/>
    <mergeCell ref="B60:H60"/>
    <mergeCell ref="H10:H12"/>
    <mergeCell ref="B56:H56"/>
    <mergeCell ref="B57:H57"/>
    <mergeCell ref="A54:G54"/>
    <mergeCell ref="A10:A12"/>
    <mergeCell ref="B10:B12"/>
    <mergeCell ref="C10:C12"/>
    <mergeCell ref="D10:D12"/>
    <mergeCell ref="E10:E12"/>
    <mergeCell ref="F10:F12"/>
    <mergeCell ref="G10:G12"/>
    <mergeCell ref="B59:H59"/>
    <mergeCell ref="A1:H1"/>
    <mergeCell ref="A2:H2"/>
    <mergeCell ref="A3:H3"/>
    <mergeCell ref="A5:H6"/>
    <mergeCell ref="A8:H8"/>
  </mergeCells>
  <printOptions horizontalCentered="1"/>
  <pageMargins left="0.98425196850393704" right="0.39370078740157483" top="0.98425196850393704" bottom="0.39370078740157483" header="0.31496062992125984" footer="0.31496062992125984"/>
  <pageSetup paperSize="9" scale="82" fitToHeight="0" orientation="portrait" horizontalDpi="4294967294" verticalDpi="4294967294" r:id="rId1"/>
  <ignoredErrors>
    <ignoredError sqref="G33:G35 H41 H36 H18:H23 H26:H27" formula="1"/>
  </ignoredError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5"/>
  <sheetViews>
    <sheetView view="pageBreakPreview" topLeftCell="A16" zoomScale="110" zoomScaleNormal="100" zoomScaleSheetLayoutView="110" workbookViewId="0">
      <selection activeCell="P69" sqref="P69"/>
    </sheetView>
  </sheetViews>
  <sheetFormatPr defaultRowHeight="12.75" x14ac:dyDescent="0.25"/>
  <cols>
    <col min="1" max="1" width="5.5703125" style="52" bestFit="1" customWidth="1"/>
    <col min="2" max="2" width="16.140625" style="64" bestFit="1" customWidth="1"/>
    <col min="3" max="3" width="9.140625" style="51" bestFit="1" customWidth="1"/>
    <col min="4" max="4" width="14.140625" style="53" bestFit="1" customWidth="1"/>
    <col min="5" max="5" width="12.7109375" style="74" bestFit="1" customWidth="1"/>
    <col min="6" max="7" width="12.7109375" style="53" bestFit="1" customWidth="1"/>
    <col min="8" max="8" width="14.42578125" style="53" bestFit="1" customWidth="1"/>
    <col min="9" max="9" width="18.5703125" style="51" bestFit="1" customWidth="1"/>
    <col min="10" max="10" width="9.140625" style="51"/>
    <col min="11" max="11" width="8.5703125" style="51" bestFit="1" customWidth="1"/>
    <col min="12" max="13" width="8.42578125" style="51" bestFit="1" customWidth="1"/>
    <col min="14" max="16384" width="9.140625" style="51"/>
  </cols>
  <sheetData>
    <row r="1" spans="1:9" x14ac:dyDescent="0.25">
      <c r="A1" s="1101" t="s">
        <v>294</v>
      </c>
      <c r="B1" s="1102"/>
      <c r="C1" s="1102"/>
      <c r="D1" s="1102"/>
      <c r="E1" s="1102"/>
      <c r="F1" s="1102"/>
      <c r="G1" s="1102"/>
      <c r="H1" s="1102"/>
      <c r="I1" s="1103"/>
    </row>
    <row r="2" spans="1:9" x14ac:dyDescent="0.25">
      <c r="A2" s="1121" t="s">
        <v>295</v>
      </c>
      <c r="B2" s="1122"/>
      <c r="C2" s="1122"/>
      <c r="D2" s="1122"/>
      <c r="E2" s="1122"/>
      <c r="F2" s="1122"/>
      <c r="G2" s="1122"/>
      <c r="H2" s="1122"/>
      <c r="I2" s="1123"/>
    </row>
    <row r="3" spans="1:9" ht="13.5" thickBot="1" x14ac:dyDescent="0.3">
      <c r="A3" s="1170"/>
      <c r="B3" s="1171"/>
      <c r="C3" s="1171"/>
      <c r="D3" s="1171"/>
      <c r="E3" s="1171"/>
      <c r="F3" s="1171"/>
      <c r="G3" s="1171"/>
      <c r="H3" s="1171"/>
      <c r="I3" s="1172"/>
    </row>
    <row r="4" spans="1:9" ht="13.5" thickBot="1" x14ac:dyDescent="0.25">
      <c r="A4" s="80"/>
      <c r="B4" s="81"/>
      <c r="C4" s="80"/>
      <c r="D4" s="79"/>
      <c r="E4" s="79"/>
      <c r="F4" s="79"/>
      <c r="G4" s="79"/>
      <c r="H4" s="79"/>
    </row>
    <row r="5" spans="1:9" x14ac:dyDescent="0.25">
      <c r="A5" s="1104" t="s">
        <v>292</v>
      </c>
      <c r="B5" s="1105"/>
      <c r="C5" s="1105"/>
      <c r="D5" s="1105"/>
      <c r="E5" s="1105"/>
      <c r="F5" s="1105"/>
      <c r="G5" s="1105"/>
      <c r="H5" s="1105"/>
      <c r="I5" s="1106"/>
    </row>
    <row r="6" spans="1:9" ht="13.5" thickBot="1" x14ac:dyDescent="0.3">
      <c r="A6" s="1107"/>
      <c r="B6" s="1108"/>
      <c r="C6" s="1108"/>
      <c r="D6" s="1108"/>
      <c r="E6" s="1108"/>
      <c r="F6" s="1108"/>
      <c r="G6" s="1108"/>
      <c r="H6" s="1108"/>
      <c r="I6" s="1109"/>
    </row>
    <row r="7" spans="1:9" ht="13.5" thickBot="1" x14ac:dyDescent="0.25">
      <c r="A7" s="76"/>
      <c r="B7" s="77"/>
      <c r="C7" s="78"/>
      <c r="D7" s="78"/>
      <c r="E7" s="78"/>
      <c r="F7" s="78"/>
      <c r="G7" s="78"/>
      <c r="H7" s="79"/>
    </row>
    <row r="8" spans="1:9" ht="13.5" thickBot="1" x14ac:dyDescent="0.3">
      <c r="A8" s="1110" t="s">
        <v>704</v>
      </c>
      <c r="B8" s="1111"/>
      <c r="C8" s="1111"/>
      <c r="D8" s="1111"/>
      <c r="E8" s="1111"/>
      <c r="F8" s="1111"/>
      <c r="G8" s="1111"/>
      <c r="H8" s="1111"/>
      <c r="I8" s="1112"/>
    </row>
    <row r="9" spans="1:9" x14ac:dyDescent="0.2">
      <c r="A9" s="76"/>
      <c r="B9" s="77"/>
      <c r="C9" s="78"/>
      <c r="D9" s="78"/>
      <c r="E9" s="78"/>
      <c r="F9" s="78"/>
      <c r="G9" s="78"/>
      <c r="H9" s="79"/>
      <c r="I9" s="76"/>
    </row>
    <row r="10" spans="1:9" ht="13.5" thickBot="1" x14ac:dyDescent="0.3">
      <c r="A10" s="1427"/>
      <c r="B10" s="1427"/>
      <c r="C10" s="1427"/>
      <c r="D10" s="1427"/>
      <c r="E10" s="1427"/>
      <c r="F10" s="1427"/>
      <c r="G10" s="1427"/>
      <c r="H10" s="1427"/>
      <c r="I10" s="76"/>
    </row>
    <row r="11" spans="1:9" ht="51.75" thickBot="1" x14ac:dyDescent="0.3">
      <c r="A11" s="65" t="s">
        <v>0</v>
      </c>
      <c r="B11" s="66" t="s">
        <v>1</v>
      </c>
      <c r="C11" s="67" t="s">
        <v>55</v>
      </c>
      <c r="D11" s="69" t="s">
        <v>647</v>
      </c>
      <c r="E11" s="68" t="s">
        <v>698</v>
      </c>
      <c r="F11" s="69" t="s">
        <v>299</v>
      </c>
      <c r="G11" s="69" t="s">
        <v>301</v>
      </c>
      <c r="H11" s="69" t="s">
        <v>303</v>
      </c>
      <c r="I11" s="70" t="s">
        <v>302</v>
      </c>
    </row>
    <row r="12" spans="1:9" ht="13.5" thickBot="1" x14ac:dyDescent="0.3">
      <c r="A12" s="72" t="s">
        <v>99</v>
      </c>
      <c r="B12" s="1428" t="s">
        <v>304</v>
      </c>
      <c r="C12" s="1429"/>
      <c r="D12" s="1429"/>
      <c r="E12" s="1429"/>
      <c r="F12" s="1429"/>
      <c r="G12" s="1429"/>
      <c r="H12" s="1429"/>
      <c r="I12" s="1432"/>
    </row>
    <row r="13" spans="1:9" ht="13.5" thickBot="1" x14ac:dyDescent="0.3">
      <c r="A13" s="240" t="s">
        <v>4</v>
      </c>
      <c r="B13" s="241" t="s">
        <v>645</v>
      </c>
      <c r="C13" s="239" t="s">
        <v>80</v>
      </c>
      <c r="D13" s="242">
        <v>25</v>
      </c>
      <c r="E13" s="74">
        <v>2</v>
      </c>
      <c r="F13" s="243">
        <v>18</v>
      </c>
      <c r="G13" s="244">
        <f>D13*E13*F13</f>
        <v>900</v>
      </c>
      <c r="H13" s="1002">
        <f>'MemCalculo (Trecho Aéreo)'!$J$19</f>
        <v>461.51</v>
      </c>
      <c r="I13" s="1003">
        <f>G13*H13</f>
        <v>415359</v>
      </c>
    </row>
    <row r="14" spans="1:9" ht="13.5" thickBot="1" x14ac:dyDescent="0.3">
      <c r="A14" s="1424" t="s">
        <v>699</v>
      </c>
      <c r="B14" s="1425"/>
      <c r="C14" s="1425"/>
      <c r="D14" s="1425"/>
      <c r="E14" s="1425"/>
      <c r="F14" s="1425"/>
      <c r="G14" s="1425"/>
      <c r="H14" s="1426"/>
      <c r="I14" s="73">
        <f>SUM(I13:I13)</f>
        <v>415359</v>
      </c>
    </row>
    <row r="15" spans="1:9" x14ac:dyDescent="0.25">
      <c r="A15" s="259"/>
      <c r="B15" s="260"/>
      <c r="C15" s="208"/>
      <c r="D15" s="207"/>
      <c r="E15" s="207"/>
      <c r="F15" s="207"/>
      <c r="G15" s="207"/>
      <c r="H15" s="207"/>
      <c r="I15" s="208"/>
    </row>
    <row r="16" spans="1:9" x14ac:dyDescent="0.25">
      <c r="A16" s="259"/>
      <c r="B16" s="260"/>
      <c r="C16" s="208"/>
      <c r="D16" s="207"/>
      <c r="E16" s="207"/>
      <c r="F16" s="207"/>
      <c r="G16" s="207"/>
      <c r="H16" s="207"/>
      <c r="I16" s="208"/>
    </row>
    <row r="17" spans="1:9" ht="13.5" thickBot="1" x14ac:dyDescent="0.3">
      <c r="A17" s="259"/>
      <c r="B17" s="260"/>
      <c r="C17" s="208"/>
      <c r="D17" s="207"/>
      <c r="E17" s="207"/>
      <c r="F17" s="207"/>
      <c r="G17" s="207"/>
      <c r="H17" s="207"/>
      <c r="I17" s="208"/>
    </row>
    <row r="18" spans="1:9" ht="39" thickBot="1" x14ac:dyDescent="0.3">
      <c r="A18" s="65" t="s">
        <v>0</v>
      </c>
      <c r="B18" s="66" t="s">
        <v>1</v>
      </c>
      <c r="C18" s="67" t="s">
        <v>55</v>
      </c>
      <c r="D18" s="69" t="s">
        <v>647</v>
      </c>
      <c r="E18" s="69" t="s">
        <v>299</v>
      </c>
      <c r="F18" s="69" t="s">
        <v>648</v>
      </c>
      <c r="G18" s="69" t="s">
        <v>646</v>
      </c>
      <c r="H18" s="69" t="s">
        <v>305</v>
      </c>
      <c r="I18" s="70" t="s">
        <v>302</v>
      </c>
    </row>
    <row r="19" spans="1:9" ht="13.5" thickBot="1" x14ac:dyDescent="0.3">
      <c r="A19" s="72" t="s">
        <v>100</v>
      </c>
      <c r="B19" s="1428" t="s">
        <v>918</v>
      </c>
      <c r="C19" s="1429"/>
      <c r="D19" s="1429"/>
      <c r="E19" s="1430"/>
      <c r="F19" s="1430"/>
      <c r="G19" s="1430"/>
      <c r="H19" s="1430"/>
      <c r="I19" s="1431"/>
    </row>
    <row r="20" spans="1:9" x14ac:dyDescent="0.25">
      <c r="A20" s="245" t="s">
        <v>81</v>
      </c>
      <c r="B20" s="246" t="s">
        <v>919</v>
      </c>
      <c r="C20" s="71" t="s">
        <v>80</v>
      </c>
      <c r="D20" s="247">
        <f>D13</f>
        <v>25</v>
      </c>
      <c r="E20" s="248">
        <v>18</v>
      </c>
      <c r="F20" s="249">
        <v>4</v>
      </c>
      <c r="G20" s="249">
        <f>D20*E20*F20</f>
        <v>1800</v>
      </c>
      <c r="H20" s="1004">
        <v>152</v>
      </c>
      <c r="I20" s="1005">
        <f>G20*H20</f>
        <v>273600</v>
      </c>
    </row>
    <row r="21" spans="1:9" ht="13.5" thickBot="1" x14ac:dyDescent="0.3">
      <c r="A21" s="252" t="s">
        <v>82</v>
      </c>
      <c r="B21" s="253" t="s">
        <v>920</v>
      </c>
      <c r="C21" s="254" t="s">
        <v>80</v>
      </c>
      <c r="D21" s="255">
        <f>'Mão de Obra '!U18+'Mão de Obra '!V18+'Mão de Obra '!U54+'Mão de Obra '!U70+'Mão de Obra '!U82+'Mão de Obra '!U109+'Mão de Obra '!U123</f>
        <v>87</v>
      </c>
      <c r="E21" s="256">
        <v>18</v>
      </c>
      <c r="F21" s="257">
        <v>8</v>
      </c>
      <c r="G21" s="250">
        <f>D21*E21*F21</f>
        <v>12528</v>
      </c>
      <c r="H21" s="1006">
        <v>152</v>
      </c>
      <c r="I21" s="1007">
        <f>G21*H21</f>
        <v>1904256</v>
      </c>
    </row>
    <row r="22" spans="1:9" ht="13.5" thickBot="1" x14ac:dyDescent="0.3">
      <c r="A22" s="1424" t="s">
        <v>700</v>
      </c>
      <c r="B22" s="1425"/>
      <c r="C22" s="1425"/>
      <c r="D22" s="1425"/>
      <c r="E22" s="1425"/>
      <c r="F22" s="1425"/>
      <c r="G22" s="1425"/>
      <c r="H22" s="1425"/>
      <c r="I22" s="73">
        <f>SUM(I20:I21)</f>
        <v>2177856</v>
      </c>
    </row>
    <row r="23" spans="1:9" x14ac:dyDescent="0.25">
      <c r="A23" s="259"/>
      <c r="B23" s="260"/>
      <c r="C23" s="208"/>
      <c r="D23" s="207"/>
      <c r="E23" s="207"/>
      <c r="F23" s="207"/>
      <c r="G23" s="207"/>
      <c r="H23" s="207"/>
      <c r="I23" s="208"/>
    </row>
    <row r="24" spans="1:9" x14ac:dyDescent="0.25">
      <c r="A24" s="259"/>
      <c r="B24" s="260"/>
      <c r="C24" s="208"/>
      <c r="D24" s="207"/>
      <c r="E24" s="207"/>
      <c r="F24" s="207"/>
      <c r="G24" s="207"/>
      <c r="H24" s="207"/>
      <c r="I24" s="208"/>
    </row>
    <row r="25" spans="1:9" ht="13.5" thickBot="1" x14ac:dyDescent="0.3">
      <c r="A25" s="259"/>
      <c r="B25" s="260"/>
      <c r="C25" s="208"/>
      <c r="D25" s="207"/>
      <c r="E25" s="207"/>
      <c r="F25" s="207"/>
      <c r="G25" s="207"/>
      <c r="H25" s="207"/>
      <c r="I25" s="208"/>
    </row>
    <row r="26" spans="1:9" x14ac:dyDescent="0.25">
      <c r="A26" s="1436" t="s">
        <v>49</v>
      </c>
      <c r="B26" s="1437"/>
      <c r="C26" s="1437"/>
      <c r="D26" s="1437"/>
      <c r="E26" s="1437"/>
      <c r="F26" s="1438"/>
      <c r="G26" s="1436" t="s">
        <v>50</v>
      </c>
      <c r="H26" s="1437"/>
      <c r="I26" s="1438"/>
    </row>
    <row r="27" spans="1:9" ht="13.5" thickBot="1" x14ac:dyDescent="0.3">
      <c r="A27" s="1433"/>
      <c r="B27" s="1434"/>
      <c r="C27" s="1434"/>
      <c r="D27" s="1434"/>
      <c r="E27" s="1434"/>
      <c r="F27" s="1435"/>
      <c r="G27" s="1433"/>
      <c r="H27" s="1434"/>
      <c r="I27" s="1435"/>
    </row>
    <row r="28" spans="1:9" x14ac:dyDescent="0.25">
      <c r="A28" s="1436" t="s">
        <v>51</v>
      </c>
      <c r="B28" s="1437"/>
      <c r="C28" s="1437"/>
      <c r="D28" s="1437"/>
      <c r="E28" s="1437"/>
      <c r="F28" s="1437"/>
      <c r="G28" s="1437"/>
      <c r="H28" s="1438"/>
      <c r="I28" s="251" t="s">
        <v>52</v>
      </c>
    </row>
    <row r="29" spans="1:9" ht="13.5" thickBot="1" x14ac:dyDescent="0.3">
      <c r="A29" s="1439"/>
      <c r="B29" s="1440"/>
      <c r="C29" s="1440"/>
      <c r="D29" s="1440"/>
      <c r="E29" s="1440"/>
      <c r="F29" s="1440"/>
      <c r="G29" s="1440"/>
      <c r="H29" s="1441"/>
      <c r="I29" s="258"/>
    </row>
    <row r="30" spans="1:9" x14ac:dyDescent="0.25">
      <c r="A30" s="1442" t="s">
        <v>53</v>
      </c>
      <c r="B30" s="1443"/>
      <c r="C30" s="1443"/>
      <c r="D30" s="1443"/>
      <c r="E30" s="1443"/>
      <c r="F30" s="1443"/>
      <c r="G30" s="1443"/>
      <c r="H30" s="1443"/>
      <c r="I30" s="1444"/>
    </row>
    <row r="31" spans="1:9" x14ac:dyDescent="0.25">
      <c r="A31" s="1439" t="s">
        <v>701</v>
      </c>
      <c r="B31" s="1440"/>
      <c r="C31" s="1440"/>
      <c r="D31" s="1440"/>
      <c r="E31" s="1440"/>
      <c r="F31" s="1440"/>
      <c r="G31" s="1440"/>
      <c r="H31" s="1440"/>
      <c r="I31" s="1441"/>
    </row>
    <row r="32" spans="1:9" x14ac:dyDescent="0.25">
      <c r="A32" s="1439" t="s">
        <v>702</v>
      </c>
      <c r="B32" s="1440"/>
      <c r="C32" s="1440"/>
      <c r="D32" s="1440"/>
      <c r="E32" s="1440"/>
      <c r="F32" s="1440"/>
      <c r="G32" s="1440"/>
      <c r="H32" s="1440"/>
      <c r="I32" s="1441"/>
    </row>
    <row r="33" spans="1:9" x14ac:dyDescent="0.25">
      <c r="A33" s="1439" t="s">
        <v>917</v>
      </c>
      <c r="B33" s="1440"/>
      <c r="C33" s="1440"/>
      <c r="D33" s="1440"/>
      <c r="E33" s="1440"/>
      <c r="F33" s="1440"/>
      <c r="G33" s="1440"/>
      <c r="H33" s="1440"/>
      <c r="I33" s="1441"/>
    </row>
    <row r="34" spans="1:9" x14ac:dyDescent="0.25">
      <c r="A34" s="1439" t="s">
        <v>703</v>
      </c>
      <c r="B34" s="1440"/>
      <c r="C34" s="1440"/>
      <c r="D34" s="1440"/>
      <c r="E34" s="1440"/>
      <c r="F34" s="1440"/>
      <c r="G34" s="1440"/>
      <c r="H34" s="1440"/>
      <c r="I34" s="1441"/>
    </row>
    <row r="35" spans="1:9" ht="13.5" thickBot="1" x14ac:dyDescent="0.3">
      <c r="A35" s="1433" t="s">
        <v>916</v>
      </c>
      <c r="B35" s="1434"/>
      <c r="C35" s="1434"/>
      <c r="D35" s="1434"/>
      <c r="E35" s="1434"/>
      <c r="F35" s="1434"/>
      <c r="G35" s="1434"/>
      <c r="H35" s="1434"/>
      <c r="I35" s="1435"/>
    </row>
  </sheetData>
  <mergeCells count="22">
    <mergeCell ref="B19:I19"/>
    <mergeCell ref="A22:H22"/>
    <mergeCell ref="B12:I12"/>
    <mergeCell ref="A35:I35"/>
    <mergeCell ref="G26:I26"/>
    <mergeCell ref="G27:I27"/>
    <mergeCell ref="A28:H28"/>
    <mergeCell ref="A29:H29"/>
    <mergeCell ref="A26:F26"/>
    <mergeCell ref="A27:F27"/>
    <mergeCell ref="A30:I30"/>
    <mergeCell ref="A31:I31"/>
    <mergeCell ref="A32:I32"/>
    <mergeCell ref="A33:I33"/>
    <mergeCell ref="A34:I34"/>
    <mergeCell ref="A1:I1"/>
    <mergeCell ref="A14:H14"/>
    <mergeCell ref="A10:H10"/>
    <mergeCell ref="A8:I8"/>
    <mergeCell ref="A5:I6"/>
    <mergeCell ref="A3:I3"/>
    <mergeCell ref="A2:I2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70" orientation="portrait" horizontalDpi="4294967294" verticalDpi="4294967294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view="pageBreakPreview" zoomScale="60" zoomScaleNormal="100" workbookViewId="0">
      <selection activeCell="I18" sqref="I18"/>
    </sheetView>
  </sheetViews>
  <sheetFormatPr defaultRowHeight="12.75" x14ac:dyDescent="0.2"/>
  <cols>
    <col min="1" max="1" width="2" style="156" bestFit="1" customWidth="1"/>
    <col min="2" max="2" width="56" style="156" customWidth="1"/>
    <col min="3" max="3" width="4.7109375" style="156" bestFit="1" customWidth="1"/>
    <col min="4" max="4" width="11.7109375" style="156" bestFit="1" customWidth="1"/>
    <col min="5" max="16384" width="9.140625" style="156"/>
  </cols>
  <sheetData>
    <row r="1" spans="1:4" x14ac:dyDescent="0.2">
      <c r="A1" s="1101" t="s">
        <v>294</v>
      </c>
      <c r="B1" s="1102"/>
      <c r="C1" s="1102"/>
      <c r="D1" s="1103"/>
    </row>
    <row r="2" spans="1:4" x14ac:dyDescent="0.2">
      <c r="A2" s="1121" t="s">
        <v>295</v>
      </c>
      <c r="B2" s="1122"/>
      <c r="C2" s="1122"/>
      <c r="D2" s="1123"/>
    </row>
    <row r="3" spans="1:4" ht="13.5" thickBot="1" x14ac:dyDescent="0.25">
      <c r="A3" s="1170"/>
      <c r="B3" s="1171"/>
      <c r="C3" s="1171"/>
      <c r="D3" s="1172"/>
    </row>
    <row r="4" spans="1:4" ht="13.5" thickBot="1" x14ac:dyDescent="0.25">
      <c r="A4" s="80"/>
      <c r="B4" s="81"/>
      <c r="C4" s="79"/>
      <c r="D4" s="79"/>
    </row>
    <row r="5" spans="1:4" x14ac:dyDescent="0.2">
      <c r="A5" s="1104" t="s">
        <v>292</v>
      </c>
      <c r="B5" s="1105"/>
      <c r="C5" s="1105"/>
      <c r="D5" s="1106"/>
    </row>
    <row r="6" spans="1:4" x14ac:dyDescent="0.2">
      <c r="A6" s="1464"/>
      <c r="B6" s="1465"/>
      <c r="C6" s="1465"/>
      <c r="D6" s="1466"/>
    </row>
    <row r="7" spans="1:4" ht="13.5" thickBot="1" x14ac:dyDescent="0.25">
      <c r="A7" s="1107"/>
      <c r="B7" s="1108"/>
      <c r="C7" s="1108"/>
      <c r="D7" s="1109"/>
    </row>
    <row r="8" spans="1:4" ht="13.5" thickBot="1" x14ac:dyDescent="0.25">
      <c r="A8" s="76"/>
      <c r="B8" s="77"/>
      <c r="C8" s="78"/>
      <c r="D8" s="78"/>
    </row>
    <row r="9" spans="1:4" ht="13.5" thickBot="1" x14ac:dyDescent="0.25">
      <c r="A9" s="1110" t="s">
        <v>527</v>
      </c>
      <c r="B9" s="1111"/>
      <c r="C9" s="1111"/>
      <c r="D9" s="1112"/>
    </row>
    <row r="12" spans="1:4" ht="13.5" thickBot="1" x14ac:dyDescent="0.25"/>
    <row r="13" spans="1:4" ht="13.5" thickBot="1" x14ac:dyDescent="0.25">
      <c r="A13" s="1445" t="s">
        <v>1</v>
      </c>
      <c r="B13" s="1446"/>
      <c r="C13" s="1449" t="s">
        <v>519</v>
      </c>
      <c r="D13" s="1450"/>
    </row>
    <row r="14" spans="1:4" ht="13.5" thickBot="1" x14ac:dyDescent="0.25">
      <c r="A14" s="1447"/>
      <c r="B14" s="1448"/>
      <c r="C14" s="594" t="s">
        <v>439</v>
      </c>
      <c r="D14" s="595" t="s">
        <v>520</v>
      </c>
    </row>
    <row r="15" spans="1:4" x14ac:dyDescent="0.2">
      <c r="A15" s="1469">
        <v>1</v>
      </c>
      <c r="B15" s="1467" t="s">
        <v>521</v>
      </c>
      <c r="C15" s="1477">
        <v>0.15</v>
      </c>
      <c r="D15" s="1479">
        <f>C15*'(Resumo - Calculo)'!$B$16</f>
        <v>3435509.4450000012</v>
      </c>
    </row>
    <row r="16" spans="1:4" x14ac:dyDescent="0.2">
      <c r="A16" s="1470"/>
      <c r="B16" s="1468"/>
      <c r="C16" s="1475"/>
      <c r="D16" s="1479"/>
    </row>
    <row r="17" spans="1:4" x14ac:dyDescent="0.2">
      <c r="A17" s="1470"/>
      <c r="B17" s="1468"/>
      <c r="C17" s="1478"/>
      <c r="D17" s="1479"/>
    </row>
    <row r="18" spans="1:4" x14ac:dyDescent="0.2">
      <c r="A18" s="1470">
        <v>2</v>
      </c>
      <c r="B18" s="1471" t="s">
        <v>522</v>
      </c>
      <c r="C18" s="1474">
        <v>0.03</v>
      </c>
      <c r="D18" s="1479">
        <f>C18*'(Resumo - Calculo)'!$B$16</f>
        <v>687101.8890000002</v>
      </c>
    </row>
    <row r="19" spans="1:4" x14ac:dyDescent="0.2">
      <c r="A19" s="1470"/>
      <c r="B19" s="1471"/>
      <c r="C19" s="1475"/>
      <c r="D19" s="1479"/>
    </row>
    <row r="20" spans="1:4" x14ac:dyDescent="0.2">
      <c r="A20" s="1470"/>
      <c r="B20" s="1471"/>
      <c r="C20" s="1478"/>
      <c r="D20" s="1479"/>
    </row>
    <row r="21" spans="1:4" x14ac:dyDescent="0.2">
      <c r="A21" s="1470">
        <v>3</v>
      </c>
      <c r="B21" s="1471" t="s">
        <v>523</v>
      </c>
      <c r="C21" s="1474">
        <v>0.02</v>
      </c>
      <c r="D21" s="1479">
        <f>C21*'(Resumo - Calculo)'!$B$16</f>
        <v>458067.92600000015</v>
      </c>
    </row>
    <row r="22" spans="1:4" x14ac:dyDescent="0.2">
      <c r="A22" s="1470"/>
      <c r="B22" s="1471"/>
      <c r="C22" s="1475"/>
      <c r="D22" s="1479"/>
    </row>
    <row r="23" spans="1:4" ht="13.5" thickBot="1" x14ac:dyDescent="0.25">
      <c r="A23" s="1473"/>
      <c r="B23" s="1472"/>
      <c r="C23" s="1476"/>
      <c r="D23" s="1479"/>
    </row>
    <row r="24" spans="1:4" ht="13.5" thickBot="1" x14ac:dyDescent="0.25">
      <c r="A24" s="1462" t="s">
        <v>524</v>
      </c>
      <c r="B24" s="1463"/>
      <c r="C24" s="596">
        <f>SUM(C15:C22)</f>
        <v>0.19999999999999998</v>
      </c>
      <c r="D24" s="597">
        <f>SUM(D15:D21)</f>
        <v>4580679.2600000016</v>
      </c>
    </row>
    <row r="25" spans="1:4" ht="13.5" thickBot="1" x14ac:dyDescent="0.25"/>
    <row r="26" spans="1:4" x14ac:dyDescent="0.2">
      <c r="A26" s="1457" t="s">
        <v>49</v>
      </c>
      <c r="B26" s="1461"/>
      <c r="C26" s="1457" t="s">
        <v>50</v>
      </c>
      <c r="D26" s="1458"/>
    </row>
    <row r="27" spans="1:4" ht="13.5" thickBot="1" x14ac:dyDescent="0.25">
      <c r="A27" s="1454"/>
      <c r="B27" s="1455"/>
      <c r="C27" s="1454"/>
      <c r="D27" s="1456"/>
    </row>
    <row r="28" spans="1:4" x14ac:dyDescent="0.2">
      <c r="A28" s="1451" t="s">
        <v>51</v>
      </c>
      <c r="B28" s="1452"/>
      <c r="C28" s="1457" t="s">
        <v>52</v>
      </c>
      <c r="D28" s="1458"/>
    </row>
    <row r="29" spans="1:4" ht="13.5" thickBot="1" x14ac:dyDescent="0.25">
      <c r="A29" s="1451"/>
      <c r="B29" s="1452"/>
      <c r="C29" s="1459"/>
      <c r="D29" s="1460"/>
    </row>
    <row r="30" spans="1:4" x14ac:dyDescent="0.2">
      <c r="A30" s="1457" t="s">
        <v>525</v>
      </c>
      <c r="B30" s="1461"/>
      <c r="C30" s="1461"/>
      <c r="D30" s="1458"/>
    </row>
    <row r="31" spans="1:4" x14ac:dyDescent="0.2">
      <c r="A31" s="1451"/>
      <c r="B31" s="1452"/>
      <c r="C31" s="1452"/>
      <c r="D31" s="1453"/>
    </row>
    <row r="32" spans="1:4" x14ac:dyDescent="0.2">
      <c r="A32" s="1451"/>
      <c r="B32" s="1452"/>
      <c r="C32" s="1452"/>
      <c r="D32" s="1453"/>
    </row>
    <row r="33" spans="1:4" ht="13.5" thickBot="1" x14ac:dyDescent="0.25">
      <c r="A33" s="1454"/>
      <c r="B33" s="1455"/>
      <c r="C33" s="1455"/>
      <c r="D33" s="1456"/>
    </row>
  </sheetData>
  <mergeCells count="32">
    <mergeCell ref="A24:B24"/>
    <mergeCell ref="A5:D7"/>
    <mergeCell ref="B15:B17"/>
    <mergeCell ref="A15:A17"/>
    <mergeCell ref="A31:D31"/>
    <mergeCell ref="A18:A20"/>
    <mergeCell ref="B18:B20"/>
    <mergeCell ref="B21:B23"/>
    <mergeCell ref="A21:A23"/>
    <mergeCell ref="C21:C23"/>
    <mergeCell ref="C15:C17"/>
    <mergeCell ref="C18:C20"/>
    <mergeCell ref="D15:D17"/>
    <mergeCell ref="D18:D20"/>
    <mergeCell ref="D21:D23"/>
    <mergeCell ref="A32:D32"/>
    <mergeCell ref="A33:D33"/>
    <mergeCell ref="C26:D26"/>
    <mergeCell ref="C27:D27"/>
    <mergeCell ref="A27:B27"/>
    <mergeCell ref="A28:B28"/>
    <mergeCell ref="A29:B29"/>
    <mergeCell ref="C28:D28"/>
    <mergeCell ref="C29:D29"/>
    <mergeCell ref="A30:D30"/>
    <mergeCell ref="A26:B26"/>
    <mergeCell ref="A1:D1"/>
    <mergeCell ref="A2:D2"/>
    <mergeCell ref="A3:D3"/>
    <mergeCell ref="A9:D9"/>
    <mergeCell ref="A13:B14"/>
    <mergeCell ref="C13:D13"/>
  </mergeCells>
  <printOptions horizontalCentered="1"/>
  <pageMargins left="0.98425196850393704" right="0.59055118110236227" top="0.98425196850393704" bottom="0.59055118110236227" header="0.31496062992125984" footer="0.31496062992125984"/>
  <pageSetup paperSize="9" orientation="portrait" horizontalDpi="4294967294" verticalDpi="4294967294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view="pageBreakPreview" zoomScale="60" zoomScaleNormal="100" workbookViewId="0">
      <selection activeCell="E13" sqref="E13"/>
    </sheetView>
  </sheetViews>
  <sheetFormatPr defaultRowHeight="14.25" x14ac:dyDescent="0.25"/>
  <cols>
    <col min="1" max="1" width="2" style="24" bestFit="1" customWidth="1"/>
    <col min="2" max="2" width="43" style="24" customWidth="1"/>
    <col min="3" max="4" width="10.7109375" style="24" customWidth="1"/>
    <col min="5" max="5" width="13.28515625" style="24" bestFit="1" customWidth="1"/>
    <col min="6" max="16384" width="9.140625" style="24"/>
  </cols>
  <sheetData>
    <row r="1" spans="1:5" x14ac:dyDescent="0.25">
      <c r="A1" s="1062" t="s">
        <v>294</v>
      </c>
      <c r="B1" s="1063"/>
      <c r="C1" s="1063"/>
      <c r="D1" s="1063"/>
      <c r="E1" s="1064"/>
    </row>
    <row r="2" spans="1:5" x14ac:dyDescent="0.25">
      <c r="A2" s="1480" t="s">
        <v>295</v>
      </c>
      <c r="B2" s="1481"/>
      <c r="C2" s="1481"/>
      <c r="D2" s="1481"/>
      <c r="E2" s="1482"/>
    </row>
    <row r="3" spans="1:5" ht="15" thickBot="1" x14ac:dyDescent="0.3">
      <c r="A3" s="1068"/>
      <c r="B3" s="1069"/>
      <c r="C3" s="1069"/>
      <c r="D3" s="1069"/>
      <c r="E3" s="1070"/>
    </row>
    <row r="4" spans="1:5" ht="15" thickBot="1" x14ac:dyDescent="0.3">
      <c r="A4" s="373"/>
      <c r="B4" s="373"/>
      <c r="C4" s="373"/>
      <c r="D4" s="373"/>
      <c r="E4" s="373"/>
    </row>
    <row r="5" spans="1:5" x14ac:dyDescent="0.25">
      <c r="A5" s="1074" t="s">
        <v>292</v>
      </c>
      <c r="B5" s="1075"/>
      <c r="C5" s="1075"/>
      <c r="D5" s="1075"/>
      <c r="E5" s="1076"/>
    </row>
    <row r="6" spans="1:5" x14ac:dyDescent="0.25">
      <c r="A6" s="1077"/>
      <c r="B6" s="1078"/>
      <c r="C6" s="1078"/>
      <c r="D6" s="1078"/>
      <c r="E6" s="1079"/>
    </row>
    <row r="7" spans="1:5" ht="15" thickBot="1" x14ac:dyDescent="0.3">
      <c r="A7" s="1080"/>
      <c r="B7" s="1081"/>
      <c r="C7" s="1081"/>
      <c r="D7" s="1081"/>
      <c r="E7" s="1082"/>
    </row>
    <row r="8" spans="1:5" ht="15" thickBot="1" x14ac:dyDescent="0.3">
      <c r="A8" s="1492"/>
      <c r="B8" s="1492"/>
      <c r="C8" s="1492"/>
      <c r="D8" s="1492"/>
      <c r="E8" s="1492"/>
    </row>
    <row r="9" spans="1:5" ht="15" thickBot="1" x14ac:dyDescent="0.3">
      <c r="A9" s="1071" t="s">
        <v>975</v>
      </c>
      <c r="B9" s="1072"/>
      <c r="C9" s="1072"/>
      <c r="D9" s="1072"/>
      <c r="E9" s="1073"/>
    </row>
    <row r="10" spans="1:5" ht="15" thickBot="1" x14ac:dyDescent="0.3">
      <c r="A10" s="372"/>
      <c r="B10" s="372"/>
      <c r="C10" s="372"/>
      <c r="D10" s="372"/>
      <c r="E10" s="372"/>
    </row>
    <row r="11" spans="1:5" x14ac:dyDescent="0.25">
      <c r="A11" s="1507" t="s">
        <v>1</v>
      </c>
      <c r="B11" s="1508"/>
      <c r="C11" s="1511" t="s">
        <v>519</v>
      </c>
      <c r="D11" s="1512"/>
      <c r="E11" s="1513"/>
    </row>
    <row r="12" spans="1:5" ht="15" thickBot="1" x14ac:dyDescent="0.3">
      <c r="A12" s="1509"/>
      <c r="B12" s="1510"/>
      <c r="C12" s="176" t="s">
        <v>528</v>
      </c>
      <c r="D12" s="173" t="s">
        <v>529</v>
      </c>
      <c r="E12" s="174" t="s">
        <v>520</v>
      </c>
    </row>
    <row r="13" spans="1:5" ht="15" thickTop="1" x14ac:dyDescent="0.25">
      <c r="A13" s="171">
        <v>1</v>
      </c>
      <c r="B13" s="175" t="s">
        <v>530</v>
      </c>
      <c r="C13" s="368">
        <v>5</v>
      </c>
      <c r="D13" s="169">
        <f>(1/(1-$C$16/100))*C13</f>
        <v>5.8309037900874632</v>
      </c>
      <c r="E13" s="172">
        <f>C13/($C$13+$C$14+$C$15)*$E$16</f>
        <v>2758721.0368711879</v>
      </c>
    </row>
    <row r="14" spans="1:5" x14ac:dyDescent="0.25">
      <c r="A14" s="170">
        <v>2</v>
      </c>
      <c r="B14" s="143" t="s">
        <v>531</v>
      </c>
      <c r="C14" s="368">
        <v>1.65</v>
      </c>
      <c r="D14" s="169">
        <f>(1/(1-$C$16/100))*C14</f>
        <v>1.9241982507288626</v>
      </c>
      <c r="E14" s="172">
        <f>C14/($C$13+$C$14+$C$15)*$E$16</f>
        <v>910377.942167492</v>
      </c>
    </row>
    <row r="15" spans="1:5" ht="15" thickBot="1" x14ac:dyDescent="0.3">
      <c r="A15" s="179">
        <v>3</v>
      </c>
      <c r="B15" s="180" t="s">
        <v>532</v>
      </c>
      <c r="C15" s="369">
        <v>7.6</v>
      </c>
      <c r="D15" s="370">
        <f>(1/(1-$C$16/100))*C15</f>
        <v>8.8629737609329435</v>
      </c>
      <c r="E15" s="371">
        <f>C15/($C$13+$C$14+$C$15)*$E$16</f>
        <v>4193255.9760442059</v>
      </c>
    </row>
    <row r="16" spans="1:5" ht="15" thickBot="1" x14ac:dyDescent="0.3">
      <c r="A16" s="1505" t="s">
        <v>533</v>
      </c>
      <c r="B16" s="1506"/>
      <c r="C16" s="181">
        <f>C13+C14+C15</f>
        <v>14.25</v>
      </c>
      <c r="D16" s="182">
        <f>D13+D14+D15</f>
        <v>16.618075801749271</v>
      </c>
      <c r="E16" s="183">
        <f>'Resumo Total'!C42</f>
        <v>7862354.9550828859</v>
      </c>
    </row>
    <row r="17" spans="1:5" x14ac:dyDescent="0.25">
      <c r="A17" s="374"/>
      <c r="B17" s="374"/>
      <c r="C17" s="374"/>
      <c r="D17" s="374"/>
      <c r="E17" s="375"/>
    </row>
    <row r="18" spans="1:5" ht="15" thickBot="1" x14ac:dyDescent="0.3">
      <c r="A18" s="374"/>
      <c r="B18" s="374"/>
      <c r="C18" s="374"/>
      <c r="D18" s="374"/>
      <c r="E18" s="374"/>
    </row>
    <row r="19" spans="1:5" x14ac:dyDescent="0.25">
      <c r="A19" s="1493" t="s">
        <v>49</v>
      </c>
      <c r="B19" s="1494"/>
      <c r="C19" s="1495"/>
      <c r="D19" s="1493" t="s">
        <v>50</v>
      </c>
      <c r="E19" s="1495"/>
    </row>
    <row r="20" spans="1:5" ht="15" thickBot="1" x14ac:dyDescent="0.3">
      <c r="A20" s="1496"/>
      <c r="B20" s="1497"/>
      <c r="C20" s="1498"/>
      <c r="D20" s="1496"/>
      <c r="E20" s="1498"/>
    </row>
    <row r="21" spans="1:5" x14ac:dyDescent="0.25">
      <c r="A21" s="1502" t="s">
        <v>51</v>
      </c>
      <c r="B21" s="1503"/>
      <c r="C21" s="1504"/>
      <c r="D21" s="1502" t="s">
        <v>52</v>
      </c>
      <c r="E21" s="1504"/>
    </row>
    <row r="22" spans="1:5" ht="15" thickBot="1" x14ac:dyDescent="0.3">
      <c r="A22" s="1499"/>
      <c r="B22" s="1500"/>
      <c r="C22" s="1501"/>
      <c r="D22" s="1486"/>
      <c r="E22" s="1488"/>
    </row>
    <row r="23" spans="1:5" x14ac:dyDescent="0.25">
      <c r="A23" s="1483" t="s">
        <v>525</v>
      </c>
      <c r="B23" s="1484"/>
      <c r="C23" s="1484"/>
      <c r="D23" s="1484"/>
      <c r="E23" s="1485"/>
    </row>
    <row r="24" spans="1:5" x14ac:dyDescent="0.25">
      <c r="A24" s="1486"/>
      <c r="B24" s="1487"/>
      <c r="C24" s="1487"/>
      <c r="D24" s="1487"/>
      <c r="E24" s="1488"/>
    </row>
    <row r="25" spans="1:5" ht="15" thickBot="1" x14ac:dyDescent="0.3">
      <c r="A25" s="1489"/>
      <c r="B25" s="1490"/>
      <c r="C25" s="1490"/>
      <c r="D25" s="1490"/>
      <c r="E25" s="1491"/>
    </row>
  </sheetData>
  <mergeCells count="20">
    <mergeCell ref="A23:E23"/>
    <mergeCell ref="A24:E24"/>
    <mergeCell ref="A25:E25"/>
    <mergeCell ref="A8:E8"/>
    <mergeCell ref="A19:C19"/>
    <mergeCell ref="A20:C20"/>
    <mergeCell ref="A22:C22"/>
    <mergeCell ref="A21:C21"/>
    <mergeCell ref="D22:E22"/>
    <mergeCell ref="D19:E19"/>
    <mergeCell ref="D20:E20"/>
    <mergeCell ref="D21:E21"/>
    <mergeCell ref="A16:B16"/>
    <mergeCell ref="A11:B12"/>
    <mergeCell ref="C11:E11"/>
    <mergeCell ref="A5:E7"/>
    <mergeCell ref="A1:E1"/>
    <mergeCell ref="A2:E2"/>
    <mergeCell ref="A3:E3"/>
    <mergeCell ref="A9:E9"/>
  </mergeCells>
  <printOptions horizontalCentered="1"/>
  <pageMargins left="0.98425196850393704" right="0.59055118110236227" top="0.98425196850393704" bottom="0.59055118110236227" header="0.31496062992125984" footer="0.31496062992125984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22</vt:i4>
      </vt:variant>
    </vt:vector>
  </HeadingPairs>
  <TitlesOfParts>
    <vt:vector size="40" baseType="lpstr">
      <vt:lpstr>Resumo Total</vt:lpstr>
      <vt:lpstr>Preco por Produto</vt:lpstr>
      <vt:lpstr>Mobilizacao_Desmobilizacao</vt:lpstr>
      <vt:lpstr>Mão de Obra </vt:lpstr>
      <vt:lpstr>Alimentação</vt:lpstr>
      <vt:lpstr>Escritorios (Adm_Manut)</vt:lpstr>
      <vt:lpstr>Viagens e Diárias (Por Demanda)</vt:lpstr>
      <vt:lpstr>Custo de Adminstração</vt:lpstr>
      <vt:lpstr>Despesas Fiscais</vt:lpstr>
      <vt:lpstr>Encargos Sociais</vt:lpstr>
      <vt:lpstr>Cronograma Físico</vt:lpstr>
      <vt:lpstr>Cronograma Físico-Financeiro</vt:lpstr>
      <vt:lpstr>Cronograma Físico - RELATORIOS</vt:lpstr>
      <vt:lpstr>MemCalculo (Trecho Aéreo)</vt:lpstr>
      <vt:lpstr>MemCalculo (AdmManutEscritorio)</vt:lpstr>
      <vt:lpstr>MemCalculo (Salários)</vt:lpstr>
      <vt:lpstr>(Resumo - Calculo)</vt:lpstr>
      <vt:lpstr>Resumo Total (%)</vt:lpstr>
      <vt:lpstr>Alimentação!Area_de_impressao</vt:lpstr>
      <vt:lpstr>'Cronograma Físico'!Area_de_impressao</vt:lpstr>
      <vt:lpstr>'Cronograma Físico - RELATORIOS'!Area_de_impressao</vt:lpstr>
      <vt:lpstr>'Cronograma Físico-Financeiro'!Area_de_impressao</vt:lpstr>
      <vt:lpstr>'Custo de Adminstração'!Area_de_impressao</vt:lpstr>
      <vt:lpstr>'Despesas Fiscais'!Area_de_impressao</vt:lpstr>
      <vt:lpstr>'Encargos Sociais'!Area_de_impressao</vt:lpstr>
      <vt:lpstr>'Escritorios (Adm_Manut)'!Area_de_impressao</vt:lpstr>
      <vt:lpstr>'Mão de Obra '!Area_de_impressao</vt:lpstr>
      <vt:lpstr>'MemCalculo (AdmManutEscritorio)'!Area_de_impressao</vt:lpstr>
      <vt:lpstr>'MemCalculo (Salários)'!Area_de_impressao</vt:lpstr>
      <vt:lpstr>'MemCalculo (Trecho Aéreo)'!Area_de_impressao</vt:lpstr>
      <vt:lpstr>Mobilizacao_Desmobilizacao!Area_de_impressao</vt:lpstr>
      <vt:lpstr>'Preco por Produto'!Area_de_impressao</vt:lpstr>
      <vt:lpstr>'Resumo Total'!Area_de_impressao</vt:lpstr>
      <vt:lpstr>'Resumo Total (%)'!Area_de_impressao</vt:lpstr>
      <vt:lpstr>'Viagens e Diárias (Por Demanda)'!Area_de_impressao</vt:lpstr>
      <vt:lpstr>Alimentação!Titulos_de_impressao</vt:lpstr>
      <vt:lpstr>'Mão de Obra '!Titulos_de_impressao</vt:lpstr>
      <vt:lpstr>'MemCalculo (AdmManutEscritorio)'!Titulos_de_impressao</vt:lpstr>
      <vt:lpstr>'Preco por Produto'!Titulos_de_impressao</vt:lpstr>
      <vt:lpstr>'Viagens e Diárias (Por Demanda)'!Titulos_de_impressao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Alcantara Dutra Ribeiro</dc:creator>
  <cp:lastModifiedBy>Zênia Maria de Oliveira Macedo</cp:lastModifiedBy>
  <cp:lastPrinted>2018-01-12T20:32:44Z</cp:lastPrinted>
  <dcterms:created xsi:type="dcterms:W3CDTF">2017-06-26T18:50:28Z</dcterms:created>
  <dcterms:modified xsi:type="dcterms:W3CDTF">2018-01-12T20:36:25Z</dcterms:modified>
</cp:coreProperties>
</file>