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omments4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omments5.xml" ContentType="application/vnd.openxmlformats-officedocument.spreadsheetml.comments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\\srv19\AD.GOI\PISF\Termo de Referencia APOIO Tecnico - PISF\TR Final\ARQUIVOS FINAIS REVISADOS\"/>
    </mc:Choice>
  </mc:AlternateContent>
  <xr:revisionPtr revIDLastSave="0" documentId="12_ncr:500000_{4BA1922B-7404-4F47-A15B-A13EDF7FCA3D}" xr6:coauthVersionLast="31" xr6:coauthVersionMax="31" xr10:uidLastSave="{00000000-0000-0000-0000-000000000000}"/>
  <bookViews>
    <workbookView xWindow="5580" yWindow="0" windowWidth="24000" windowHeight="9720" tabRatio="813" xr2:uid="{00000000-000D-0000-FFFF-FFFF00000000}"/>
  </bookViews>
  <sheets>
    <sheet name="Resumo Total" sheetId="20" r:id="rId1"/>
    <sheet name="Mao de Obra" sheetId="41" r:id="rId2"/>
    <sheet name="Mão de Obra  (Detalhamento)" sheetId="24" r:id="rId3"/>
    <sheet name="Alimentação (Detalhamento)" sheetId="37" r:id="rId4"/>
    <sheet name="Mobilizacao_Desmobilizacao" sheetId="13" r:id="rId5"/>
    <sheet name="Outras Despesas (Adm_Manut)" sheetId="40" r:id="rId6"/>
    <sheet name="Viagens e Diárias (Por Demanda)" sheetId="6" r:id="rId7"/>
    <sheet name="Custo Adminstração (Detalham)" sheetId="25" r:id="rId8"/>
    <sheet name="Despesas Fiscais" sheetId="26" r:id="rId9"/>
    <sheet name="Encargos Sociais" sheetId="35" r:id="rId10"/>
    <sheet name="Cronograma Físico" sheetId="32" state="hidden" r:id="rId11"/>
    <sheet name="Cronograma Físico-Financeiro" sheetId="36" state="hidden" r:id="rId12"/>
    <sheet name="Cronograma Físico - RELATORIOS" sheetId="33" state="hidden" r:id="rId13"/>
    <sheet name="MemCalculo (Trecho Aéreo)" sheetId="15" r:id="rId14"/>
    <sheet name="MemCalculo (AdmManutEscritorio)" sheetId="21" r:id="rId15"/>
    <sheet name="Base de Preço (Salários)" sheetId="28" r:id="rId16"/>
    <sheet name="(Resumo - Calculo)" sheetId="38" state="hidden" r:id="rId17"/>
    <sheet name="Resumo Total (%)" sheetId="39" state="hidden" r:id="rId18"/>
  </sheets>
  <definedNames>
    <definedName name="_xlnm._FilterDatabase" localSheetId="3" hidden="1">'Alimentação (Detalhamento)'!$B$11:$G$179</definedName>
    <definedName name="_xlnm._FilterDatabase" localSheetId="2" hidden="1">'Mão de Obra  (Detalhamento)'!$B$11:$Q$191</definedName>
    <definedName name="_xlnm.Print_Area" localSheetId="3">'Alimentação (Detalhamento)'!$A$1:$G$179</definedName>
    <definedName name="_xlnm.Print_Area" localSheetId="15">'Base de Preço (Salários)'!$A$1:$D$59</definedName>
    <definedName name="_xlnm.Print_Area" localSheetId="10">'Cronograma Físico'!$A$1:$W$48</definedName>
    <definedName name="_xlnm.Print_Area" localSheetId="12">'Cronograma Físico - RELATORIOS'!$A$1:$X$54</definedName>
    <definedName name="_xlnm.Print_Area" localSheetId="11">'Cronograma Físico-Financeiro'!$A$1:$X$73</definedName>
    <definedName name="_xlnm.Print_Area" localSheetId="7">'Custo Adminstração (Detalham)'!$A$1:$C$31</definedName>
    <definedName name="_xlnm.Print_Area" localSheetId="8">'Despesas Fiscais'!$A$1:$D$33</definedName>
    <definedName name="_xlnm.Print_Area" localSheetId="9">'Encargos Sociais'!$A$1:$G$67</definedName>
    <definedName name="_xlnm.Print_Area" localSheetId="1">'Mao de Obra'!$A$1:$D$191</definedName>
    <definedName name="_xlnm.Print_Area" localSheetId="2">'Mão de Obra  (Detalhamento)'!$A$1:$N$192</definedName>
    <definedName name="_xlnm.Print_Area" localSheetId="14">'MemCalculo (AdmManutEscritorio)'!$A$1:$F$251</definedName>
    <definedName name="_xlnm.Print_Area" localSheetId="13">'MemCalculo (Trecho Aéreo)'!$B$1:$J$70</definedName>
    <definedName name="_xlnm.Print_Area" localSheetId="4">Mobilizacao_Desmobilizacao!$A$1:$I$57</definedName>
    <definedName name="_xlnm.Print_Area" localSheetId="5">'Outras Despesas (Adm_Manut)'!$A$1:$K$82</definedName>
    <definedName name="_xlnm.Print_Area" localSheetId="0">'Resumo Total'!$A$1:$C$45</definedName>
    <definedName name="_xlnm.Print_Area" localSheetId="17">'Resumo Total (%)'!$A$1:$C$51</definedName>
    <definedName name="_xlnm.Print_Area" localSheetId="6">'Viagens e Diárias (Por Demanda)'!$A$1:$I$34</definedName>
    <definedName name="_xlnm.Print_Titles" localSheetId="3">'Alimentação (Detalhamento)'!$1:$10</definedName>
    <definedName name="_xlnm.Print_Titles" localSheetId="1">'Mao de Obra'!$1:$11</definedName>
    <definedName name="_xlnm.Print_Titles" localSheetId="2">'Mão de Obra  (Detalhamento)'!$1:$7</definedName>
    <definedName name="_xlnm.Print_Titles" localSheetId="14">'MemCalculo (AdmManutEscritorio)'!$1:$11</definedName>
    <definedName name="_xlnm.Print_Titles" localSheetId="6">'Viagens e Diárias (Por Demanda)'!$1:$11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5" l="1"/>
  <c r="E30" i="15" s="1"/>
  <c r="D31" i="15"/>
  <c r="E31" i="15" s="1"/>
  <c r="D32" i="15"/>
  <c r="E32" i="15"/>
  <c r="D33" i="15"/>
  <c r="E33" i="15" s="1"/>
  <c r="D34" i="15"/>
  <c r="E34" i="15" s="1"/>
  <c r="D35" i="15"/>
  <c r="E35" i="15" s="1"/>
  <c r="D36" i="15"/>
  <c r="E36" i="15" s="1"/>
  <c r="D37" i="15"/>
  <c r="E37" i="15" s="1"/>
  <c r="D38" i="15"/>
  <c r="E38" i="15"/>
  <c r="D39" i="15"/>
  <c r="E39" i="15" s="1"/>
  <c r="D40" i="15"/>
  <c r="E40" i="15" s="1"/>
  <c r="D41" i="15"/>
  <c r="E41" i="15" s="1"/>
  <c r="D42" i="15"/>
  <c r="E42" i="15" s="1"/>
  <c r="D43" i="15"/>
  <c r="E43" i="15" s="1"/>
  <c r="D44" i="15"/>
  <c r="E44" i="15"/>
  <c r="D45" i="15"/>
  <c r="E45" i="15" s="1"/>
  <c r="D46" i="15"/>
  <c r="E46" i="15"/>
  <c r="D47" i="15"/>
  <c r="E47" i="15" s="1"/>
  <c r="D48" i="15"/>
  <c r="E48" i="15" s="1"/>
  <c r="D49" i="15"/>
  <c r="E49" i="15" s="1"/>
  <c r="D50" i="15"/>
  <c r="E50" i="15"/>
  <c r="D51" i="15"/>
  <c r="E51" i="15" s="1"/>
  <c r="D52" i="15"/>
  <c r="E52" i="15"/>
  <c r="D53" i="15"/>
  <c r="E53" i="15" s="1"/>
  <c r="D54" i="15"/>
  <c r="E54" i="15"/>
  <c r="D55" i="15"/>
  <c r="E55" i="15" s="1"/>
  <c r="D56" i="15"/>
  <c r="E56" i="15" s="1"/>
  <c r="D57" i="15"/>
  <c r="E57" i="15" s="1"/>
  <c r="D58" i="15"/>
  <c r="E58" i="15"/>
  <c r="D59" i="15"/>
  <c r="E59" i="15" s="1"/>
  <c r="D60" i="15"/>
  <c r="E60" i="15"/>
  <c r="D61" i="15"/>
  <c r="E61" i="15" s="1"/>
  <c r="D62" i="15"/>
  <c r="E62" i="15" s="1"/>
  <c r="D63" i="15"/>
  <c r="E63" i="15" s="1"/>
  <c r="D64" i="15"/>
  <c r="E64" i="15" s="1"/>
  <c r="D65" i="15"/>
  <c r="E65" i="15" s="1"/>
  <c r="D66" i="15"/>
  <c r="E66" i="15"/>
  <c r="D67" i="15"/>
  <c r="E67" i="15" s="1"/>
  <c r="D68" i="15"/>
  <c r="E68" i="15" s="1"/>
  <c r="D69" i="15"/>
  <c r="E69" i="15" s="1"/>
  <c r="H14" i="24"/>
  <c r="E70" i="15" l="1"/>
  <c r="V153" i="24"/>
  <c r="D49" i="41" l="1"/>
  <c r="E28" i="13" l="1"/>
  <c r="E35" i="13"/>
  <c r="E33" i="13"/>
  <c r="E30" i="13"/>
  <c r="E31" i="13"/>
  <c r="E32" i="13"/>
  <c r="E29" i="13"/>
  <c r="E22" i="13"/>
  <c r="E20" i="13"/>
  <c r="E19" i="13"/>
  <c r="E17" i="13"/>
  <c r="E18" i="13"/>
  <c r="E16" i="13"/>
  <c r="E15" i="13"/>
  <c r="C158" i="41" l="1"/>
  <c r="C165" i="41" s="1"/>
  <c r="C111" i="41"/>
  <c r="C68" i="41"/>
  <c r="C72" i="41" s="1"/>
  <c r="C47" i="41"/>
  <c r="D44" i="41"/>
  <c r="D43" i="41"/>
  <c r="D48" i="41" s="1"/>
  <c r="C43" i="41"/>
  <c r="C48" i="41" s="1"/>
  <c r="D44" i="40"/>
  <c r="F42" i="40"/>
  <c r="D40" i="40"/>
  <c r="F40" i="40" s="1"/>
  <c r="H40" i="40" s="1"/>
  <c r="F39" i="40"/>
  <c r="H39" i="40" s="1"/>
  <c r="D38" i="40"/>
  <c r="F38" i="40" s="1"/>
  <c r="H38" i="40" s="1"/>
  <c r="F37" i="40"/>
  <c r="H37" i="40" s="1"/>
  <c r="D35" i="40"/>
  <c r="F35" i="40" s="1"/>
  <c r="D34" i="40"/>
  <c r="F34" i="40" s="1"/>
  <c r="D33" i="40"/>
  <c r="F33" i="40" s="1"/>
  <c r="D32" i="40"/>
  <c r="F32" i="40" s="1"/>
  <c r="D30" i="40"/>
  <c r="F30" i="40" s="1"/>
  <c r="H30" i="40" s="1"/>
  <c r="I30" i="40" s="1"/>
  <c r="D29" i="40"/>
  <c r="F29" i="40" s="1"/>
  <c r="H29" i="40" s="1"/>
  <c r="D27" i="40"/>
  <c r="F27" i="40" s="1"/>
  <c r="H27" i="40" s="1"/>
  <c r="D26" i="40"/>
  <c r="F26" i="40" s="1"/>
  <c r="H26" i="40" s="1"/>
  <c r="F25" i="40"/>
  <c r="H25" i="40" s="1"/>
  <c r="F24" i="40"/>
  <c r="H24" i="40" s="1"/>
  <c r="D20" i="40"/>
  <c r="F20" i="40" s="1"/>
  <c r="D19" i="40"/>
  <c r="F19" i="40" s="1"/>
  <c r="H19" i="40" s="1"/>
  <c r="F15" i="40"/>
  <c r="H15" i="40" s="1"/>
  <c r="I15" i="40" s="1"/>
  <c r="J15" i="40" s="1"/>
  <c r="F14" i="40"/>
  <c r="H14" i="40" s="1"/>
  <c r="I14" i="40" l="1"/>
  <c r="E23" i="13"/>
  <c r="E36" i="13"/>
  <c r="H42" i="40"/>
  <c r="I42" i="40" s="1"/>
  <c r="J42" i="40" s="1"/>
  <c r="K42" i="40" s="1"/>
  <c r="I26" i="40"/>
  <c r="J26" i="40" s="1"/>
  <c r="I38" i="40"/>
  <c r="J38" i="40" s="1"/>
  <c r="K38" i="40" s="1"/>
  <c r="I19" i="40"/>
  <c r="J19" i="40" s="1"/>
  <c r="I39" i="40"/>
  <c r="J39" i="40" s="1"/>
  <c r="I27" i="40"/>
  <c r="J27" i="40" s="1"/>
  <c r="I24" i="40"/>
  <c r="J24" i="40" s="1"/>
  <c r="I40" i="40"/>
  <c r="J40" i="40" s="1"/>
  <c r="K15" i="40"/>
  <c r="J30" i="40"/>
  <c r="K30" i="40" s="1"/>
  <c r="I37" i="40"/>
  <c r="I29" i="40"/>
  <c r="J29" i="40" s="1"/>
  <c r="I25" i="40"/>
  <c r="J25" i="40" s="1"/>
  <c r="J14" i="40" l="1"/>
  <c r="K14" i="40" s="1"/>
  <c r="K24" i="40"/>
  <c r="K39" i="40"/>
  <c r="K41" i="40"/>
  <c r="C29" i="20" s="1"/>
  <c r="K19" i="40"/>
  <c r="K29" i="40"/>
  <c r="J37" i="40"/>
  <c r="K37" i="40" s="1"/>
  <c r="K27" i="40"/>
  <c r="K26" i="40"/>
  <c r="K40" i="40"/>
  <c r="K25" i="40"/>
  <c r="K36" i="40" l="1"/>
  <c r="C28" i="20" s="1"/>
  <c r="T16" i="24" l="1"/>
  <c r="L16" i="24" l="1"/>
  <c r="G20" i="37" l="1"/>
  <c r="G21" i="37"/>
  <c r="G22" i="37"/>
  <c r="G23" i="37"/>
  <c r="G24" i="37"/>
  <c r="G25" i="37"/>
  <c r="G26" i="37"/>
  <c r="G27" i="37"/>
  <c r="G28" i="37"/>
  <c r="G29" i="37"/>
  <c r="G30" i="37"/>
  <c r="G31" i="37"/>
  <c r="G32" i="37"/>
  <c r="G33" i="37"/>
  <c r="G34" i="37"/>
  <c r="G35" i="37"/>
  <c r="G36" i="37"/>
  <c r="G37" i="37"/>
  <c r="G38" i="37"/>
  <c r="G39" i="37"/>
  <c r="G40" i="37"/>
  <c r="G41" i="37"/>
  <c r="G42" i="37"/>
  <c r="G43" i="37"/>
  <c r="G44" i="37"/>
  <c r="T17" i="24"/>
  <c r="U16" i="24"/>
  <c r="U17" i="24" s="1"/>
  <c r="X16" i="24"/>
  <c r="V16" i="24"/>
  <c r="V17" i="24" s="1"/>
  <c r="L15" i="24" l="1"/>
  <c r="L43" i="24" s="1"/>
  <c r="U121" i="24"/>
  <c r="T53" i="24"/>
  <c r="T52" i="24"/>
  <c r="E124" i="37"/>
  <c r="G133" i="37"/>
  <c r="G17" i="37"/>
  <c r="G45" i="37" s="1"/>
  <c r="G47" i="37" s="1"/>
  <c r="L41" i="24"/>
  <c r="L40" i="24"/>
  <c r="G161" i="37" l="1"/>
  <c r="C26" i="41" s="1"/>
  <c r="C25" i="41" s="1"/>
  <c r="D145" i="21"/>
  <c r="D143" i="21"/>
  <c r="E110" i="37" l="1"/>
  <c r="F110" i="37"/>
  <c r="E111" i="37"/>
  <c r="F111" i="37"/>
  <c r="E112" i="37"/>
  <c r="F112" i="37"/>
  <c r="F109" i="37"/>
  <c r="E109" i="37"/>
  <c r="F82" i="37"/>
  <c r="E83" i="37"/>
  <c r="F83" i="37"/>
  <c r="E84" i="37"/>
  <c r="F84" i="37"/>
  <c r="E85" i="37"/>
  <c r="F85" i="37"/>
  <c r="E86" i="37"/>
  <c r="F86" i="37"/>
  <c r="E87" i="37"/>
  <c r="F87" i="37"/>
  <c r="F81" i="37"/>
  <c r="F70" i="37"/>
  <c r="F71" i="37"/>
  <c r="F72" i="37"/>
  <c r="F69" i="37"/>
  <c r="E70" i="37"/>
  <c r="E71" i="37"/>
  <c r="E72" i="37"/>
  <c r="E69" i="37"/>
  <c r="F55" i="37"/>
  <c r="F58" i="37"/>
  <c r="F54" i="37"/>
  <c r="E55" i="37"/>
  <c r="E58" i="37"/>
  <c r="E54" i="37"/>
  <c r="G129" i="37" l="1"/>
  <c r="G128" i="37"/>
  <c r="G127" i="37"/>
  <c r="G126" i="37"/>
  <c r="G123" i="37"/>
  <c r="G112" i="37"/>
  <c r="G111" i="37"/>
  <c r="G110" i="37"/>
  <c r="G109" i="37"/>
  <c r="G140" i="37"/>
  <c r="G141" i="37"/>
  <c r="G142" i="37"/>
  <c r="G143" i="37"/>
  <c r="G144" i="37"/>
  <c r="G145" i="37"/>
  <c r="G146" i="37"/>
  <c r="G147" i="37"/>
  <c r="G148" i="37"/>
  <c r="G139" i="37"/>
  <c r="G137" i="37"/>
  <c r="G136" i="37"/>
  <c r="G135" i="37"/>
  <c r="G132" i="37"/>
  <c r="G131" i="37"/>
  <c r="G130" i="37"/>
  <c r="G99" i="37"/>
  <c r="G101" i="37" s="1"/>
  <c r="G87" i="37"/>
  <c r="G86" i="37"/>
  <c r="G85" i="37"/>
  <c r="G84" i="37"/>
  <c r="G83" i="37"/>
  <c r="G72" i="37"/>
  <c r="G71" i="37"/>
  <c r="G70" i="37"/>
  <c r="G69" i="37"/>
  <c r="G58" i="37"/>
  <c r="G55" i="37"/>
  <c r="G54" i="37"/>
  <c r="D146" i="21"/>
  <c r="G88" i="37" l="1"/>
  <c r="G90" i="37" s="1"/>
  <c r="G60" i="37"/>
  <c r="G62" i="37" s="1"/>
  <c r="G73" i="37"/>
  <c r="G75" i="37" s="1"/>
  <c r="G167" i="37"/>
  <c r="C118" i="41"/>
  <c r="C117" i="41" s="1"/>
  <c r="G113" i="37"/>
  <c r="G115" i="37" s="1"/>
  <c r="G149" i="37"/>
  <c r="G151" i="37" s="1"/>
  <c r="D13" i="38"/>
  <c r="D10" i="38"/>
  <c r="E10" i="38"/>
  <c r="C25" i="38" l="1"/>
  <c r="G165" i="37"/>
  <c r="G168" i="37"/>
  <c r="G169" i="37"/>
  <c r="G166" i="37"/>
  <c r="D15" i="38" l="1"/>
  <c r="C167" i="41"/>
  <c r="C166" i="41" s="1"/>
  <c r="D12" i="38"/>
  <c r="C95" i="41"/>
  <c r="C94" i="41" s="1"/>
  <c r="D11" i="38"/>
  <c r="C74" i="41"/>
  <c r="C73" i="41" s="1"/>
  <c r="D14" i="38"/>
  <c r="C139" i="41"/>
  <c r="C138" i="41" s="1"/>
  <c r="D8" i="38"/>
  <c r="G164" i="37"/>
  <c r="C50" i="41" s="1"/>
  <c r="C49" i="41" s="1"/>
  <c r="F23" i="35"/>
  <c r="F53" i="35" s="1"/>
  <c r="G23" i="35"/>
  <c r="G48" i="35" s="1"/>
  <c r="F36" i="35"/>
  <c r="F54" i="35" s="1"/>
  <c r="G36" i="35"/>
  <c r="G54" i="35" s="1"/>
  <c r="F44" i="35"/>
  <c r="F55" i="35" s="1"/>
  <c r="G44" i="35"/>
  <c r="G55" i="35" s="1"/>
  <c r="I106" i="24"/>
  <c r="I95" i="24"/>
  <c r="I80" i="24"/>
  <c r="I79" i="24"/>
  <c r="D55" i="28"/>
  <c r="D54" i="28"/>
  <c r="D53" i="28"/>
  <c r="D52" i="28"/>
  <c r="D51" i="28"/>
  <c r="D50" i="28"/>
  <c r="D49" i="28"/>
  <c r="D48" i="28"/>
  <c r="D47" i="28"/>
  <c r="D46" i="28"/>
  <c r="D45" i="28"/>
  <c r="D44" i="28"/>
  <c r="D43" i="28"/>
  <c r="D42" i="28"/>
  <c r="I84" i="24" s="1"/>
  <c r="D41" i="28"/>
  <c r="D40" i="28"/>
  <c r="D39" i="28"/>
  <c r="I50" i="24" s="1"/>
  <c r="D38" i="28"/>
  <c r="D44" i="35"/>
  <c r="D55" i="35" s="1"/>
  <c r="C44" i="35"/>
  <c r="C55" i="35" s="1"/>
  <c r="D36" i="35"/>
  <c r="D54" i="35" s="1"/>
  <c r="C36" i="35"/>
  <c r="C54" i="35" s="1"/>
  <c r="D23" i="35"/>
  <c r="C23" i="35"/>
  <c r="C53" i="35" s="1"/>
  <c r="G53" i="35" l="1"/>
  <c r="K95" i="24"/>
  <c r="I67" i="24"/>
  <c r="M67" i="24" s="1"/>
  <c r="J67" i="24"/>
  <c r="N67" i="24" s="1"/>
  <c r="I96" i="24"/>
  <c r="M96" i="24" s="1"/>
  <c r="K96" i="24"/>
  <c r="F48" i="35"/>
  <c r="D53" i="35"/>
  <c r="D48" i="35"/>
  <c r="D47" i="35"/>
  <c r="G170" i="37"/>
  <c r="K135" i="24"/>
  <c r="I135" i="24"/>
  <c r="J135" i="24" s="1"/>
  <c r="N135" i="24" s="1"/>
  <c r="K137" i="24"/>
  <c r="I137" i="24"/>
  <c r="J137" i="24" s="1"/>
  <c r="N137" i="24" s="1"/>
  <c r="K70" i="24"/>
  <c r="I70" i="24"/>
  <c r="J70" i="24" s="1"/>
  <c r="N70" i="24" s="1"/>
  <c r="H146" i="24"/>
  <c r="I146" i="24" s="1"/>
  <c r="K85" i="24"/>
  <c r="I85" i="24"/>
  <c r="J85" i="24" s="1"/>
  <c r="N85" i="24" s="1"/>
  <c r="K110" i="24"/>
  <c r="I110" i="24"/>
  <c r="J110" i="24" s="1"/>
  <c r="N110" i="24" s="1"/>
  <c r="K67" i="24"/>
  <c r="K108" i="24"/>
  <c r="I108" i="24"/>
  <c r="J108" i="24" s="1"/>
  <c r="N108" i="24" s="1"/>
  <c r="K109" i="24"/>
  <c r="I109" i="24"/>
  <c r="J109" i="24" s="1"/>
  <c r="N109" i="24" s="1"/>
  <c r="J50" i="24"/>
  <c r="N50" i="24" s="1"/>
  <c r="K50" i="24"/>
  <c r="I69" i="24"/>
  <c r="I81" i="24"/>
  <c r="I107" i="24"/>
  <c r="I124" i="24"/>
  <c r="I52" i="24"/>
  <c r="J52" i="24" s="1"/>
  <c r="D9" i="38"/>
  <c r="D16" i="38" s="1"/>
  <c r="I55" i="24"/>
  <c r="J55" i="24" s="1"/>
  <c r="I53" i="24"/>
  <c r="J53" i="24" s="1"/>
  <c r="G47" i="35"/>
  <c r="G49" i="35" s="1"/>
  <c r="G56" i="35" s="1"/>
  <c r="G57" i="35" s="1"/>
  <c r="F47" i="35"/>
  <c r="F49" i="35" s="1"/>
  <c r="F56" i="35" s="1"/>
  <c r="F57" i="35" s="1"/>
  <c r="C47" i="35"/>
  <c r="C48" i="35"/>
  <c r="H144" i="24" l="1"/>
  <c r="I144" i="24" s="1"/>
  <c r="K81" i="24"/>
  <c r="J81" i="24"/>
  <c r="N81" i="24" s="1"/>
  <c r="K143" i="24"/>
  <c r="H143" i="24"/>
  <c r="L143" i="24" s="1"/>
  <c r="H145" i="24"/>
  <c r="I145" i="24" s="1"/>
  <c r="I140" i="24"/>
  <c r="J140" i="24" s="1"/>
  <c r="N140" i="24" s="1"/>
  <c r="K140" i="24"/>
  <c r="K139" i="24"/>
  <c r="I139" i="24"/>
  <c r="J139" i="24" s="1"/>
  <c r="N139" i="24" s="1"/>
  <c r="K141" i="24"/>
  <c r="H141" i="24"/>
  <c r="L141" i="24" s="1"/>
  <c r="K51" i="24"/>
  <c r="I51" i="24"/>
  <c r="J51" i="24" s="1"/>
  <c r="N51" i="24" s="1"/>
  <c r="J107" i="24"/>
  <c r="N107" i="24" s="1"/>
  <c r="K107" i="24"/>
  <c r="K54" i="24"/>
  <c r="I54" i="24"/>
  <c r="J54" i="24" s="1"/>
  <c r="N54" i="24" s="1"/>
  <c r="I83" i="24"/>
  <c r="J83" i="24" s="1"/>
  <c r="N83" i="24" s="1"/>
  <c r="K83" i="24"/>
  <c r="H142" i="24"/>
  <c r="L142" i="24" s="1"/>
  <c r="K142" i="24"/>
  <c r="K136" i="24"/>
  <c r="I136" i="24"/>
  <c r="J136" i="24" s="1"/>
  <c r="N136" i="24" s="1"/>
  <c r="H148" i="24"/>
  <c r="L148" i="24" s="1"/>
  <c r="K148" i="24"/>
  <c r="I82" i="24"/>
  <c r="K82" i="24"/>
  <c r="H147" i="24"/>
  <c r="I147" i="24" s="1"/>
  <c r="K68" i="24"/>
  <c r="I68" i="24"/>
  <c r="J68" i="24" s="1"/>
  <c r="N68" i="24" s="1"/>
  <c r="D49" i="35"/>
  <c r="D56" i="35" s="1"/>
  <c r="D57" i="35" s="1"/>
  <c r="C49" i="35"/>
  <c r="C56" i="35" s="1"/>
  <c r="C57" i="35" s="1"/>
  <c r="I148" i="24" l="1"/>
  <c r="J148" i="24" s="1"/>
  <c r="N56" i="24"/>
  <c r="I142" i="24"/>
  <c r="J142" i="24"/>
  <c r="K56" i="24"/>
  <c r="C41" i="41" s="1"/>
  <c r="I143" i="24"/>
  <c r="I141" i="24"/>
  <c r="J141" i="24" s="1"/>
  <c r="M135" i="24"/>
  <c r="M137" i="24"/>
  <c r="M139" i="24"/>
  <c r="M136" i="24"/>
  <c r="M140" i="24"/>
  <c r="F177" i="21"/>
  <c r="F176" i="21"/>
  <c r="F171" i="21"/>
  <c r="F167" i="21"/>
  <c r="F166" i="21" s="1"/>
  <c r="E233" i="21" s="1"/>
  <c r="F233" i="21" s="1"/>
  <c r="H53" i="40" s="1"/>
  <c r="F164" i="21"/>
  <c r="F161" i="21"/>
  <c r="C223" i="21"/>
  <c r="I53" i="40" l="1"/>
  <c r="J53" i="40" s="1"/>
  <c r="K53" i="40" s="1"/>
  <c r="F175" i="21"/>
  <c r="E237" i="21" s="1"/>
  <c r="F237" i="21" s="1"/>
  <c r="H57" i="40" s="1"/>
  <c r="F174" i="21"/>
  <c r="F173" i="21" s="1"/>
  <c r="E236" i="21" s="1"/>
  <c r="F236" i="21" s="1"/>
  <c r="H56" i="40" s="1"/>
  <c r="F172" i="21"/>
  <c r="F170" i="21" s="1"/>
  <c r="F165" i="21"/>
  <c r="F169" i="21"/>
  <c r="F168" i="21" s="1"/>
  <c r="C30" i="38"/>
  <c r="I56" i="40" l="1"/>
  <c r="J56" i="40" s="1"/>
  <c r="I57" i="40"/>
  <c r="J57" i="40" s="1"/>
  <c r="K57" i="40" s="1"/>
  <c r="E235" i="21"/>
  <c r="F162" i="21"/>
  <c r="F159" i="21" s="1"/>
  <c r="E231" i="21" s="1"/>
  <c r="E234" i="21"/>
  <c r="C29" i="38"/>
  <c r="E14" i="38"/>
  <c r="F163" i="21"/>
  <c r="J124" i="24"/>
  <c r="K144" i="24"/>
  <c r="K145" i="24"/>
  <c r="K146" i="24"/>
  <c r="K147" i="24"/>
  <c r="L39" i="24"/>
  <c r="L36" i="24"/>
  <c r="L35" i="24"/>
  <c r="L34" i="24"/>
  <c r="L137" i="24"/>
  <c r="L136" i="24"/>
  <c r="L135" i="24"/>
  <c r="L127" i="24"/>
  <c r="L128" i="24"/>
  <c r="L129" i="24"/>
  <c r="L130" i="24"/>
  <c r="L131" i="24"/>
  <c r="L132" i="24"/>
  <c r="L133" i="24"/>
  <c r="L126" i="24"/>
  <c r="L123" i="24"/>
  <c r="L110" i="24"/>
  <c r="L109" i="24"/>
  <c r="L108" i="24"/>
  <c r="L107" i="24"/>
  <c r="M107" i="24"/>
  <c r="L106" i="24"/>
  <c r="L112" i="24" s="1"/>
  <c r="K106" i="24"/>
  <c r="J106" i="24"/>
  <c r="N106" i="24" s="1"/>
  <c r="N112" i="24" s="1"/>
  <c r="L96" i="24"/>
  <c r="J96" i="24"/>
  <c r="N96" i="24" s="1"/>
  <c r="L95" i="24"/>
  <c r="J95" i="24"/>
  <c r="N95" i="24" s="1"/>
  <c r="J80" i="24"/>
  <c r="N80" i="24" s="1"/>
  <c r="M79" i="24"/>
  <c r="L80" i="24"/>
  <c r="K80" i="24"/>
  <c r="L79" i="24"/>
  <c r="K79" i="24"/>
  <c r="L85" i="24"/>
  <c r="M85" i="24"/>
  <c r="L84" i="24"/>
  <c r="K84" i="24"/>
  <c r="J84" i="24"/>
  <c r="N84" i="24" s="1"/>
  <c r="L83" i="24"/>
  <c r="L82" i="24"/>
  <c r="J82" i="24"/>
  <c r="N82" i="24" s="1"/>
  <c r="L81" i="24"/>
  <c r="L70" i="24"/>
  <c r="L69" i="24"/>
  <c r="K69" i="24"/>
  <c r="K71" i="24" s="1"/>
  <c r="J69" i="24"/>
  <c r="N69" i="24" s="1"/>
  <c r="L68" i="24"/>
  <c r="L67" i="24"/>
  <c r="L50" i="24"/>
  <c r="M50" i="24" s="1"/>
  <c r="L54" i="24"/>
  <c r="M54" i="24" s="1"/>
  <c r="L51" i="24"/>
  <c r="M51" i="24" s="1"/>
  <c r="L25" i="24"/>
  <c r="L26" i="24"/>
  <c r="L32" i="24"/>
  <c r="L33" i="24"/>
  <c r="F212" i="21"/>
  <c r="D195" i="21"/>
  <c r="F195" i="21" s="1"/>
  <c r="F194" i="21"/>
  <c r="F211" i="21"/>
  <c r="D210" i="21"/>
  <c r="F210" i="21" s="1"/>
  <c r="F186" i="21"/>
  <c r="F188" i="21"/>
  <c r="F189" i="21"/>
  <c r="F190" i="21"/>
  <c r="F191" i="21"/>
  <c r="F192" i="21"/>
  <c r="F193" i="21"/>
  <c r="F209" i="21"/>
  <c r="F208" i="21"/>
  <c r="F203" i="21"/>
  <c r="F204" i="21"/>
  <c r="F205" i="21"/>
  <c r="F206" i="21"/>
  <c r="F207" i="21"/>
  <c r="F202" i="21"/>
  <c r="F184" i="21"/>
  <c r="F197" i="21"/>
  <c r="F198" i="21"/>
  <c r="D200" i="21"/>
  <c r="F200" i="21" s="1"/>
  <c r="D199" i="21"/>
  <c r="F199" i="21" s="1"/>
  <c r="D187" i="21"/>
  <c r="F187" i="21" s="1"/>
  <c r="F183" i="21"/>
  <c r="F185" i="21"/>
  <c r="W154" i="24"/>
  <c r="V94" i="24"/>
  <c r="V93" i="24"/>
  <c r="U93" i="24"/>
  <c r="U94" i="24" s="1"/>
  <c r="T94" i="24"/>
  <c r="T93" i="24"/>
  <c r="K56" i="40" l="1"/>
  <c r="K150" i="24"/>
  <c r="K98" i="24"/>
  <c r="C112" i="41" s="1"/>
  <c r="K87" i="24"/>
  <c r="C89" i="41" s="1"/>
  <c r="C93" i="41" s="1"/>
  <c r="C156" i="41"/>
  <c r="F201" i="21"/>
  <c r="H46" i="40" s="1"/>
  <c r="F182" i="21"/>
  <c r="H44" i="40" s="1"/>
  <c r="K112" i="24"/>
  <c r="C133" i="41" s="1"/>
  <c r="K86" i="24"/>
  <c r="K111" i="24"/>
  <c r="C132" i="41" s="1"/>
  <c r="F234" i="21"/>
  <c r="H54" i="40" s="1"/>
  <c r="F235" i="21"/>
  <c r="H55" i="40" s="1"/>
  <c r="F178" i="21"/>
  <c r="E232" i="21"/>
  <c r="F232" i="21" s="1"/>
  <c r="H52" i="40" s="1"/>
  <c r="L149" i="24"/>
  <c r="C159" i="41" s="1"/>
  <c r="M56" i="24"/>
  <c r="C46" i="41" s="1"/>
  <c r="C45" i="41" s="1"/>
  <c r="L146" i="24"/>
  <c r="M142" i="24"/>
  <c r="N142" i="24" s="1"/>
  <c r="J145" i="24"/>
  <c r="L145" i="24"/>
  <c r="L144" i="24"/>
  <c r="J147" i="24"/>
  <c r="L147" i="24"/>
  <c r="M147" i="24" s="1"/>
  <c r="N147" i="24" s="1"/>
  <c r="M143" i="24"/>
  <c r="N143" i="24" s="1"/>
  <c r="L56" i="24"/>
  <c r="D41" i="41" s="1"/>
  <c r="J79" i="24"/>
  <c r="N79" i="24" s="1"/>
  <c r="N87" i="24" s="1"/>
  <c r="K99" i="24"/>
  <c r="G175" i="24" s="1"/>
  <c r="L87" i="24"/>
  <c r="N86" i="24"/>
  <c r="M80" i="24"/>
  <c r="M87" i="24" s="1"/>
  <c r="N111" i="24"/>
  <c r="N113" i="24" s="1"/>
  <c r="M176" i="24" s="1"/>
  <c r="L98" i="24"/>
  <c r="L99" i="24" s="1"/>
  <c r="C113" i="41" s="1"/>
  <c r="C115" i="41" s="1"/>
  <c r="L140" i="24"/>
  <c r="L139" i="24"/>
  <c r="M110" i="24"/>
  <c r="M109" i="24"/>
  <c r="M108" i="24"/>
  <c r="M106" i="24"/>
  <c r="M112" i="24" s="1"/>
  <c r="C137" i="41" s="1"/>
  <c r="N98" i="24"/>
  <c r="N99" i="24" s="1"/>
  <c r="M175" i="24" s="1"/>
  <c r="M95" i="24"/>
  <c r="L86" i="24"/>
  <c r="M84" i="24"/>
  <c r="M83" i="24"/>
  <c r="M82" i="24"/>
  <c r="M81" i="24"/>
  <c r="M70" i="24"/>
  <c r="M69" i="24"/>
  <c r="M68" i="24"/>
  <c r="L111" i="24"/>
  <c r="L113" i="24" s="1"/>
  <c r="C134" i="41" s="1"/>
  <c r="N71" i="24"/>
  <c r="N73" i="24" s="1"/>
  <c r="M173" i="24" s="1"/>
  <c r="L71" i="24"/>
  <c r="L73" i="24" s="1"/>
  <c r="C69" i="41" s="1"/>
  <c r="F196" i="21"/>
  <c r="H45" i="40" s="1"/>
  <c r="D151" i="21"/>
  <c r="F151" i="21" s="1"/>
  <c r="D150" i="21"/>
  <c r="F150" i="21" s="1"/>
  <c r="D149" i="21"/>
  <c r="F149" i="21" s="1"/>
  <c r="D148" i="21"/>
  <c r="F148" i="21" s="1"/>
  <c r="D147" i="21"/>
  <c r="F147" i="21" s="1"/>
  <c r="F146" i="21"/>
  <c r="F145" i="21"/>
  <c r="D144" i="21"/>
  <c r="F144" i="21" s="1"/>
  <c r="F143" i="21"/>
  <c r="D139" i="21"/>
  <c r="D138" i="21"/>
  <c r="D137" i="21"/>
  <c r="D136" i="21"/>
  <c r="D134" i="21"/>
  <c r="D133" i="21"/>
  <c r="D132" i="21"/>
  <c r="D131" i="21"/>
  <c r="F15" i="21"/>
  <c r="F16" i="21"/>
  <c r="F19" i="21"/>
  <c r="F20" i="21"/>
  <c r="F21" i="21"/>
  <c r="F22" i="21"/>
  <c r="F23" i="21"/>
  <c r="F24" i="21"/>
  <c r="G13" i="6"/>
  <c r="D19" i="6"/>
  <c r="G19" i="6" s="1"/>
  <c r="D14" i="28"/>
  <c r="D15" i="28"/>
  <c r="D16" i="28"/>
  <c r="D17" i="28"/>
  <c r="D18" i="28"/>
  <c r="D19" i="28"/>
  <c r="D20" i="28"/>
  <c r="D21" i="28"/>
  <c r="D22" i="28"/>
  <c r="D23" i="28"/>
  <c r="D24" i="28"/>
  <c r="D25" i="28"/>
  <c r="D26" i="28"/>
  <c r="D27" i="28"/>
  <c r="D28" i="28"/>
  <c r="D29" i="28"/>
  <c r="D30" i="28"/>
  <c r="D13" i="28"/>
  <c r="F35" i="13"/>
  <c r="F33" i="13"/>
  <c r="F30" i="13"/>
  <c r="G30" i="13" s="1"/>
  <c r="H30" i="13" s="1"/>
  <c r="I30" i="13" s="1"/>
  <c r="F31" i="13"/>
  <c r="F32" i="13"/>
  <c r="F29" i="13"/>
  <c r="F28" i="13"/>
  <c r="L150" i="24" l="1"/>
  <c r="I52" i="40"/>
  <c r="J52" i="40" s="1"/>
  <c r="I54" i="40"/>
  <c r="J54" i="40" s="1"/>
  <c r="K54" i="40" s="1"/>
  <c r="I44" i="40"/>
  <c r="J44" i="40" s="1"/>
  <c r="I55" i="40"/>
  <c r="J55" i="40" s="1"/>
  <c r="D46" i="41"/>
  <c r="C131" i="41"/>
  <c r="C141" i="41" s="1"/>
  <c r="I46" i="40"/>
  <c r="J46" i="40" s="1"/>
  <c r="I45" i="40"/>
  <c r="J45" i="40" s="1"/>
  <c r="K127" i="24"/>
  <c r="I127" i="24"/>
  <c r="M127" i="24" s="1"/>
  <c r="I123" i="24"/>
  <c r="I126" i="24"/>
  <c r="M126" i="24" s="1"/>
  <c r="K126" i="24"/>
  <c r="K36" i="24"/>
  <c r="I36" i="24"/>
  <c r="J36" i="24" s="1"/>
  <c r="N36" i="24" s="1"/>
  <c r="K41" i="24"/>
  <c r="M41" i="24" s="1"/>
  <c r="I41" i="24"/>
  <c r="J41" i="24" s="1"/>
  <c r="N41" i="24" s="1"/>
  <c r="K88" i="24"/>
  <c r="G174" i="24" s="1"/>
  <c r="C88" i="41"/>
  <c r="I15" i="24"/>
  <c r="M15" i="24" s="1"/>
  <c r="M43" i="24" s="1"/>
  <c r="C24" i="41" s="1"/>
  <c r="K15" i="24"/>
  <c r="K43" i="24" s="1"/>
  <c r="K40" i="24"/>
  <c r="I40" i="24"/>
  <c r="J40" i="24" s="1"/>
  <c r="N40" i="24" s="1"/>
  <c r="K73" i="24"/>
  <c r="G173" i="24" s="1"/>
  <c r="C67" i="41"/>
  <c r="C66" i="41" s="1"/>
  <c r="K128" i="24"/>
  <c r="I128" i="24"/>
  <c r="M128" i="24" s="1"/>
  <c r="K30" i="24"/>
  <c r="H30" i="24"/>
  <c r="L30" i="24" s="1"/>
  <c r="K14" i="24"/>
  <c r="L14" i="24"/>
  <c r="C110" i="41"/>
  <c r="D48" i="40"/>
  <c r="G32" i="13"/>
  <c r="H32" i="13" s="1"/>
  <c r="I32" i="13" s="1"/>
  <c r="G35" i="13"/>
  <c r="H35" i="13" s="1"/>
  <c r="I35" i="13" s="1"/>
  <c r="G31" i="13"/>
  <c r="H31" i="13" s="1"/>
  <c r="I31" i="13" s="1"/>
  <c r="G28" i="13"/>
  <c r="H28" i="13" s="1"/>
  <c r="I28" i="13" s="1"/>
  <c r="G29" i="13"/>
  <c r="H29" i="13" s="1"/>
  <c r="I29" i="13" s="1"/>
  <c r="G33" i="13"/>
  <c r="H33" i="13" s="1"/>
  <c r="I33" i="13" s="1"/>
  <c r="F231" i="21"/>
  <c r="C24" i="38"/>
  <c r="M141" i="24"/>
  <c r="N141" i="24" s="1"/>
  <c r="C40" i="38"/>
  <c r="C35" i="39"/>
  <c r="C26" i="38"/>
  <c r="E11" i="38"/>
  <c r="E12" i="38"/>
  <c r="C27" i="38"/>
  <c r="E13" i="38"/>
  <c r="C28" i="38"/>
  <c r="L88" i="24"/>
  <c r="M148" i="24"/>
  <c r="N148" i="24" s="1"/>
  <c r="M145" i="24"/>
  <c r="N145" i="24" s="1"/>
  <c r="M146" i="24"/>
  <c r="M144" i="24"/>
  <c r="N144" i="24" s="1"/>
  <c r="N88" i="24"/>
  <c r="M174" i="24" s="1"/>
  <c r="I176" i="24"/>
  <c r="M98" i="24"/>
  <c r="M86" i="24"/>
  <c r="I175" i="24"/>
  <c r="I173" i="24"/>
  <c r="K113" i="24"/>
  <c r="G176" i="24" s="1"/>
  <c r="J146" i="24"/>
  <c r="J144" i="24"/>
  <c r="J143" i="24"/>
  <c r="M111" i="24"/>
  <c r="M71" i="24"/>
  <c r="F22" i="13"/>
  <c r="F18" i="13"/>
  <c r="W122" i="24"/>
  <c r="V122" i="24"/>
  <c r="T121" i="24"/>
  <c r="W121" i="24" s="1"/>
  <c r="T122" i="24"/>
  <c r="V121" i="24"/>
  <c r="U122" i="24"/>
  <c r="V108" i="24"/>
  <c r="V107" i="24"/>
  <c r="U108" i="24"/>
  <c r="U107" i="24"/>
  <c r="T107" i="24"/>
  <c r="T108" i="24"/>
  <c r="V81" i="24"/>
  <c r="V80" i="24"/>
  <c r="U80" i="24"/>
  <c r="U81" i="24"/>
  <c r="T81" i="24"/>
  <c r="T80" i="24"/>
  <c r="U69" i="24"/>
  <c r="U68" i="24"/>
  <c r="U52" i="24"/>
  <c r="V52" i="24"/>
  <c r="V53" i="24"/>
  <c r="U53" i="24"/>
  <c r="T69" i="24"/>
  <c r="V69" i="24" s="1"/>
  <c r="T68" i="24"/>
  <c r="V68" i="24"/>
  <c r="K44" i="40" l="1"/>
  <c r="U154" i="24"/>
  <c r="I30" i="24"/>
  <c r="K45" i="40"/>
  <c r="K52" i="40"/>
  <c r="K55" i="40"/>
  <c r="J128" i="24"/>
  <c r="N128" i="24" s="1"/>
  <c r="J15" i="24"/>
  <c r="N15" i="24" s="1"/>
  <c r="N43" i="24" s="1"/>
  <c r="M73" i="24"/>
  <c r="K173" i="24" s="1"/>
  <c r="C71" i="41"/>
  <c r="C70" i="41" s="1"/>
  <c r="C65" i="41" s="1"/>
  <c r="M88" i="24"/>
  <c r="K174" i="24" s="1"/>
  <c r="C92" i="41"/>
  <c r="C91" i="41" s="1"/>
  <c r="I174" i="24"/>
  <c r="C90" i="41"/>
  <c r="F230" i="21"/>
  <c r="C34" i="39" s="1"/>
  <c r="H51" i="40"/>
  <c r="C120" i="41"/>
  <c r="C87" i="41"/>
  <c r="I14" i="24"/>
  <c r="J14" i="24" s="1"/>
  <c r="N14" i="24" s="1"/>
  <c r="M113" i="24"/>
  <c r="K176" i="24" s="1"/>
  <c r="C136" i="41"/>
  <c r="C135" i="41" s="1"/>
  <c r="C130" i="41" s="1"/>
  <c r="C142" i="41" s="1"/>
  <c r="C143" i="41" s="1"/>
  <c r="M99" i="24"/>
  <c r="K175" i="24" s="1"/>
  <c r="C116" i="41"/>
  <c r="C114" i="41" s="1"/>
  <c r="C109" i="41" s="1"/>
  <c r="M30" i="24"/>
  <c r="O30" i="24" s="1"/>
  <c r="K46" i="40"/>
  <c r="K43" i="40" s="1"/>
  <c r="C30" i="20" s="1"/>
  <c r="M14" i="24"/>
  <c r="H20" i="24"/>
  <c r="L20" i="24" s="1"/>
  <c r="K20" i="24"/>
  <c r="I25" i="24"/>
  <c r="J25" i="24" s="1"/>
  <c r="N25" i="24" s="1"/>
  <c r="K25" i="24"/>
  <c r="H19" i="24"/>
  <c r="L19" i="24" s="1"/>
  <c r="K19" i="24"/>
  <c r="K23" i="24"/>
  <c r="H23" i="24"/>
  <c r="L23" i="24" s="1"/>
  <c r="I26" i="24"/>
  <c r="J26" i="24" s="1"/>
  <c r="N26" i="24" s="1"/>
  <c r="K26" i="24"/>
  <c r="K35" i="24"/>
  <c r="I35" i="24"/>
  <c r="J35" i="24" s="1"/>
  <c r="N35" i="24" s="1"/>
  <c r="J126" i="24"/>
  <c r="N126" i="24" s="1"/>
  <c r="K133" i="24"/>
  <c r="I133" i="24"/>
  <c r="M133" i="24" s="1"/>
  <c r="I131" i="24"/>
  <c r="M131" i="24" s="1"/>
  <c r="K131" i="24"/>
  <c r="K32" i="24"/>
  <c r="I32" i="24"/>
  <c r="J32" i="24" s="1"/>
  <c r="N32" i="24" s="1"/>
  <c r="H18" i="24"/>
  <c r="L18" i="24" s="1"/>
  <c r="K18" i="24"/>
  <c r="K34" i="24"/>
  <c r="I34" i="24"/>
  <c r="J34" i="24" s="1"/>
  <c r="N34" i="24" s="1"/>
  <c r="H28" i="24"/>
  <c r="L28" i="24" s="1"/>
  <c r="K28" i="24"/>
  <c r="K27" i="24"/>
  <c r="H27" i="24"/>
  <c r="L27" i="24" s="1"/>
  <c r="K31" i="24"/>
  <c r="H31" i="24"/>
  <c r="L31" i="24" s="1"/>
  <c r="C160" i="41"/>
  <c r="K132" i="24"/>
  <c r="I132" i="24"/>
  <c r="M132" i="24" s="1"/>
  <c r="K17" i="24"/>
  <c r="H17" i="24"/>
  <c r="L17" i="24" s="1"/>
  <c r="H22" i="24"/>
  <c r="K22" i="24"/>
  <c r="H38" i="24"/>
  <c r="L38" i="24" s="1"/>
  <c r="K38" i="24"/>
  <c r="M40" i="24"/>
  <c r="O40" i="24" s="1"/>
  <c r="K39" i="24"/>
  <c r="I39" i="24"/>
  <c r="J39" i="24" s="1"/>
  <c r="N39" i="24" s="1"/>
  <c r="K24" i="24"/>
  <c r="H24" i="24"/>
  <c r="L24" i="24" s="1"/>
  <c r="K130" i="24"/>
  <c r="I130" i="24"/>
  <c r="M130" i="24" s="1"/>
  <c r="M123" i="24"/>
  <c r="K123" i="24"/>
  <c r="J127" i="24"/>
  <c r="N127" i="24" s="1"/>
  <c r="J30" i="24"/>
  <c r="N30" i="24" s="1"/>
  <c r="H21" i="24"/>
  <c r="L21" i="24" s="1"/>
  <c r="K21" i="24"/>
  <c r="K37" i="24"/>
  <c r="H37" i="24"/>
  <c r="L37" i="24" s="1"/>
  <c r="K16" i="24"/>
  <c r="I16" i="24"/>
  <c r="J16" i="24" s="1"/>
  <c r="N16" i="24" s="1"/>
  <c r="O15" i="24"/>
  <c r="H29" i="24"/>
  <c r="L29" i="24" s="1"/>
  <c r="K29" i="24"/>
  <c r="K33" i="24"/>
  <c r="I33" i="24"/>
  <c r="J33" i="24" s="1"/>
  <c r="N33" i="24" s="1"/>
  <c r="O41" i="24"/>
  <c r="M36" i="24"/>
  <c r="O36" i="24" s="1"/>
  <c r="I129" i="24"/>
  <c r="M129" i="24" s="1"/>
  <c r="K129" i="24"/>
  <c r="G22" i="13"/>
  <c r="H22" i="13" s="1"/>
  <c r="I22" i="13" s="1"/>
  <c r="G18" i="13"/>
  <c r="H18" i="13" s="1"/>
  <c r="E9" i="38"/>
  <c r="U153" i="24"/>
  <c r="D16" i="40" s="1"/>
  <c r="M150" i="24"/>
  <c r="C163" i="41" s="1"/>
  <c r="C41" i="38"/>
  <c r="C36" i="39"/>
  <c r="N146" i="24"/>
  <c r="N150" i="24" s="1"/>
  <c r="D17" i="40"/>
  <c r="X154" i="24"/>
  <c r="T153" i="24"/>
  <c r="T154" i="24"/>
  <c r="D20" i="6"/>
  <c r="G20" i="6" s="1"/>
  <c r="V154" i="24"/>
  <c r="F17" i="13"/>
  <c r="F16" i="13"/>
  <c r="F20" i="13"/>
  <c r="F15" i="13"/>
  <c r="F19" i="13"/>
  <c r="K42" i="24" l="1"/>
  <c r="K44" i="24" s="1"/>
  <c r="G169" i="24" s="1"/>
  <c r="I29" i="24"/>
  <c r="J29" i="24" s="1"/>
  <c r="N29" i="24" s="1"/>
  <c r="I27" i="24"/>
  <c r="I18" i="24"/>
  <c r="J18" i="24" s="1"/>
  <c r="N18" i="24" s="1"/>
  <c r="J131" i="24"/>
  <c r="N131" i="24" s="1"/>
  <c r="C121" i="41"/>
  <c r="C122" i="41" s="1"/>
  <c r="D21" i="40"/>
  <c r="F21" i="40" s="1"/>
  <c r="H21" i="40" s="1"/>
  <c r="F16" i="40"/>
  <c r="H16" i="40" s="1"/>
  <c r="D28" i="40"/>
  <c r="F28" i="40" s="1"/>
  <c r="H28" i="40" s="1"/>
  <c r="D31" i="40"/>
  <c r="F31" i="40" s="1"/>
  <c r="H31" i="40" s="1"/>
  <c r="C86" i="41"/>
  <c r="C97" i="41"/>
  <c r="K149" i="24"/>
  <c r="J132" i="24"/>
  <c r="N132" i="24" s="1"/>
  <c r="M31" i="24"/>
  <c r="O31" i="24" s="1"/>
  <c r="D22" i="40"/>
  <c r="F22" i="40" s="1"/>
  <c r="H22" i="40" s="1"/>
  <c r="I22" i="40" s="1"/>
  <c r="J22" i="40" s="1"/>
  <c r="K22" i="40" s="1"/>
  <c r="F17" i="40"/>
  <c r="H17" i="40" s="1"/>
  <c r="I51" i="40"/>
  <c r="J51" i="40" s="1"/>
  <c r="C144" i="41"/>
  <c r="C146" i="41" s="1"/>
  <c r="C76" i="41"/>
  <c r="C19" i="41"/>
  <c r="M149" i="24"/>
  <c r="C162" i="41" s="1"/>
  <c r="M38" i="24"/>
  <c r="N38" i="24" s="1"/>
  <c r="J27" i="24"/>
  <c r="N27" i="24" s="1"/>
  <c r="M28" i="24"/>
  <c r="J133" i="24"/>
  <c r="N133" i="24" s="1"/>
  <c r="I23" i="24"/>
  <c r="J23" i="24" s="1"/>
  <c r="N23" i="24" s="1"/>
  <c r="M19" i="24"/>
  <c r="O19" i="24" s="1"/>
  <c r="M20" i="24"/>
  <c r="O20" i="24" s="1"/>
  <c r="M21" i="24"/>
  <c r="O21" i="24" s="1"/>
  <c r="M39" i="24"/>
  <c r="O39" i="24" s="1"/>
  <c r="C123" i="41"/>
  <c r="C125" i="41" s="1"/>
  <c r="I31" i="24"/>
  <c r="J31" i="24" s="1"/>
  <c r="N31" i="24" s="1"/>
  <c r="M35" i="24"/>
  <c r="O35" i="24" s="1"/>
  <c r="J129" i="24"/>
  <c r="N129" i="24" s="1"/>
  <c r="M33" i="24"/>
  <c r="O33" i="24" s="1"/>
  <c r="C20" i="41"/>
  <c r="M16" i="24"/>
  <c r="O16" i="24" s="1"/>
  <c r="M37" i="24"/>
  <c r="N37" i="24" s="1"/>
  <c r="I21" i="24"/>
  <c r="J123" i="24"/>
  <c r="N123" i="24" s="1"/>
  <c r="J130" i="24"/>
  <c r="N130" i="24" s="1"/>
  <c r="M24" i="24"/>
  <c r="O24" i="24" s="1"/>
  <c r="L22" i="24"/>
  <c r="L42" i="24" s="1"/>
  <c r="M17" i="24"/>
  <c r="O17" i="24" s="1"/>
  <c r="O28" i="24"/>
  <c r="M32" i="24"/>
  <c r="O32" i="24" s="1"/>
  <c r="M25" i="24"/>
  <c r="O25" i="24" s="1"/>
  <c r="I20" i="24"/>
  <c r="M29" i="24"/>
  <c r="O29" i="24" s="1"/>
  <c r="I37" i="24"/>
  <c r="J37" i="24" s="1"/>
  <c r="J21" i="24"/>
  <c r="N21" i="24" s="1"/>
  <c r="I24" i="24"/>
  <c r="J24" i="24" s="1"/>
  <c r="N24" i="24" s="1"/>
  <c r="I38" i="24"/>
  <c r="J38" i="24" s="1"/>
  <c r="I22" i="24"/>
  <c r="J22" i="24" s="1"/>
  <c r="N22" i="24" s="1"/>
  <c r="I17" i="24"/>
  <c r="J17" i="24" s="1"/>
  <c r="N17" i="24" s="1"/>
  <c r="M27" i="24"/>
  <c r="O27" i="24" s="1"/>
  <c r="I28" i="24"/>
  <c r="J28" i="24" s="1"/>
  <c r="N28" i="24" s="1"/>
  <c r="M34" i="24"/>
  <c r="O34" i="24" s="1"/>
  <c r="M18" i="24"/>
  <c r="O18" i="24" s="1"/>
  <c r="M26" i="24"/>
  <c r="O26" i="24" s="1"/>
  <c r="M23" i="24"/>
  <c r="O23" i="24" s="1"/>
  <c r="I19" i="24"/>
  <c r="J19" i="24" s="1"/>
  <c r="N19" i="24" s="1"/>
  <c r="J20" i="24"/>
  <c r="N20" i="24" s="1"/>
  <c r="O14" i="24"/>
  <c r="I20" i="6"/>
  <c r="D49" i="40"/>
  <c r="H49" i="40" s="1"/>
  <c r="G19" i="13"/>
  <c r="H19" i="13" s="1"/>
  <c r="G16" i="13"/>
  <c r="H16" i="13" s="1"/>
  <c r="I18" i="13"/>
  <c r="G17" i="13"/>
  <c r="G15" i="13"/>
  <c r="G20" i="13"/>
  <c r="C23" i="38"/>
  <c r="C31" i="38" s="1"/>
  <c r="E8" i="38"/>
  <c r="E16" i="38" s="1"/>
  <c r="X153" i="24"/>
  <c r="W153" i="24"/>
  <c r="T155" i="24"/>
  <c r="O38" i="24" l="1"/>
  <c r="C98" i="41"/>
  <c r="C99" i="41" s="1"/>
  <c r="K51" i="40"/>
  <c r="K50" i="40" s="1"/>
  <c r="C31" i="20" s="1"/>
  <c r="N42" i="24"/>
  <c r="N44" i="24" s="1"/>
  <c r="M169" i="24" s="1"/>
  <c r="I49" i="40"/>
  <c r="J49" i="40" s="1"/>
  <c r="N149" i="24"/>
  <c r="I17" i="40"/>
  <c r="J17" i="40" s="1"/>
  <c r="I31" i="40"/>
  <c r="J31" i="40" s="1"/>
  <c r="I21" i="40"/>
  <c r="J21" i="40" s="1"/>
  <c r="K21" i="40" s="1"/>
  <c r="I28" i="40"/>
  <c r="J28" i="40" s="1"/>
  <c r="C100" i="41"/>
  <c r="C102" i="41" s="1"/>
  <c r="C18" i="20" s="1"/>
  <c r="I16" i="40"/>
  <c r="J16" i="40" s="1"/>
  <c r="C19" i="20"/>
  <c r="C77" i="41"/>
  <c r="C78" i="41" s="1"/>
  <c r="C79" i="41" s="1"/>
  <c r="C81" i="41" s="1"/>
  <c r="C20" i="20"/>
  <c r="O37" i="24"/>
  <c r="L44" i="24"/>
  <c r="M22" i="24"/>
  <c r="O22" i="24" s="1"/>
  <c r="C155" i="41"/>
  <c r="H15" i="13"/>
  <c r="I15" i="13" s="1"/>
  <c r="H17" i="13"/>
  <c r="I17" i="13" s="1"/>
  <c r="I16" i="13"/>
  <c r="H20" i="13"/>
  <c r="I20" i="13" s="1"/>
  <c r="I19" i="13"/>
  <c r="E124" i="24"/>
  <c r="K17" i="40" l="1"/>
  <c r="M42" i="24"/>
  <c r="M44" i="24" s="1"/>
  <c r="K169" i="24" s="1"/>
  <c r="K28" i="40"/>
  <c r="K31" i="40"/>
  <c r="K49" i="40"/>
  <c r="M124" i="24"/>
  <c r="K124" i="24"/>
  <c r="K151" i="24" s="1"/>
  <c r="N124" i="24"/>
  <c r="K16" i="40"/>
  <c r="K13" i="40" s="1"/>
  <c r="C17" i="20"/>
  <c r="I169" i="24"/>
  <c r="C21" i="41"/>
  <c r="C18" i="41" s="1"/>
  <c r="L124" i="24"/>
  <c r="L151" i="24" s="1"/>
  <c r="L153" i="24" s="1"/>
  <c r="E52" i="24"/>
  <c r="E55" i="24"/>
  <c r="N55" i="24" s="1"/>
  <c r="E53" i="24"/>
  <c r="C15" i="26"/>
  <c r="D13" i="26" s="1"/>
  <c r="C22" i="25"/>
  <c r="C23" i="41" l="1"/>
  <c r="C22" i="41" s="1"/>
  <c r="C17" i="41" s="1"/>
  <c r="C28" i="41"/>
  <c r="C25" i="20"/>
  <c r="C157" i="41"/>
  <c r="C154" i="41" s="1"/>
  <c r="K153" i="24"/>
  <c r="N52" i="24"/>
  <c r="K52" i="24"/>
  <c r="N53" i="24"/>
  <c r="K53" i="24"/>
  <c r="M151" i="24"/>
  <c r="C164" i="41" s="1"/>
  <c r="C161" i="41" s="1"/>
  <c r="N151" i="24"/>
  <c r="N153" i="24" s="1"/>
  <c r="L52" i="24"/>
  <c r="L53" i="24"/>
  <c r="I177" i="24"/>
  <c r="K55" i="24"/>
  <c r="L55" i="24"/>
  <c r="D12" i="26"/>
  <c r="D14" i="26"/>
  <c r="C14" i="38"/>
  <c r="B14" i="38"/>
  <c r="N57" i="24" l="1"/>
  <c r="N59" i="24" s="1"/>
  <c r="M172" i="24" s="1"/>
  <c r="C169" i="41"/>
  <c r="C153" i="41"/>
  <c r="C29" i="41"/>
  <c r="D15" i="26"/>
  <c r="K57" i="24"/>
  <c r="M52" i="24"/>
  <c r="M55" i="24"/>
  <c r="M53" i="24"/>
  <c r="J40" i="38"/>
  <c r="F14" i="38"/>
  <c r="G14" i="38"/>
  <c r="J14" i="38"/>
  <c r="C24" i="39"/>
  <c r="D29" i="38"/>
  <c r="B15" i="38"/>
  <c r="C15" i="38"/>
  <c r="M153" i="24"/>
  <c r="K177" i="24" s="1"/>
  <c r="M177" i="24"/>
  <c r="G177" i="24"/>
  <c r="L57" i="24"/>
  <c r="L59" i="24" s="1"/>
  <c r="C44" i="41" s="1"/>
  <c r="C40" i="41" s="1"/>
  <c r="C11" i="38"/>
  <c r="B11" i="38"/>
  <c r="C12" i="38"/>
  <c r="B12" i="38"/>
  <c r="M178" i="24" l="1"/>
  <c r="C170" i="41"/>
  <c r="C171" i="41" s="1"/>
  <c r="C39" i="41"/>
  <c r="C53" i="41"/>
  <c r="K59" i="24"/>
  <c r="G172" i="24" s="1"/>
  <c r="G178" i="24" s="1"/>
  <c r="D42" i="41"/>
  <c r="D40" i="41" s="1"/>
  <c r="M57" i="24"/>
  <c r="G12" i="38"/>
  <c r="J15" i="38"/>
  <c r="J41" i="38"/>
  <c r="G15" i="38"/>
  <c r="B29" i="38"/>
  <c r="J37" i="38"/>
  <c r="J11" i="38"/>
  <c r="F11" i="38"/>
  <c r="F15" i="38"/>
  <c r="G11" i="38"/>
  <c r="J38" i="38"/>
  <c r="J12" i="38"/>
  <c r="F12" i="38"/>
  <c r="C10" i="38"/>
  <c r="B10" i="38"/>
  <c r="E29" i="38"/>
  <c r="C22" i="39"/>
  <c r="C21" i="39"/>
  <c r="D30" i="38"/>
  <c r="D27" i="38"/>
  <c r="C9" i="38"/>
  <c r="B9" i="38"/>
  <c r="D26" i="38"/>
  <c r="I172" i="24"/>
  <c r="I178" i="24" s="1"/>
  <c r="C13" i="38"/>
  <c r="B13" i="38"/>
  <c r="C172" i="41" l="1"/>
  <c r="C174" i="41" s="1"/>
  <c r="C21" i="20" s="1"/>
  <c r="M59" i="24"/>
  <c r="K172" i="24" s="1"/>
  <c r="K178" i="24" s="1"/>
  <c r="D47" i="41"/>
  <c r="D45" i="41" s="1"/>
  <c r="D39" i="41" s="1"/>
  <c r="D53" i="41"/>
  <c r="C54" i="41"/>
  <c r="C55" i="41" s="1"/>
  <c r="C56" i="41" s="1"/>
  <c r="C58" i="41" s="1"/>
  <c r="C30" i="41"/>
  <c r="C31" i="41" s="1"/>
  <c r="C33" i="41" s="1"/>
  <c r="B8" i="38"/>
  <c r="B16" i="38" s="1"/>
  <c r="B30" i="38"/>
  <c r="K41" i="38" s="1"/>
  <c r="C25" i="39"/>
  <c r="I13" i="38"/>
  <c r="I39" i="38"/>
  <c r="G10" i="38"/>
  <c r="J35" i="38"/>
  <c r="F9" i="38"/>
  <c r="J9" i="38"/>
  <c r="G9" i="38"/>
  <c r="H9" i="38" s="1"/>
  <c r="E26" i="38"/>
  <c r="B26" i="38"/>
  <c r="B27" i="38"/>
  <c r="F13" i="38"/>
  <c r="J13" i="38"/>
  <c r="J39" i="38"/>
  <c r="G13" i="38"/>
  <c r="J36" i="38"/>
  <c r="F10" i="38"/>
  <c r="J10" i="38"/>
  <c r="K40" i="38"/>
  <c r="E27" i="38"/>
  <c r="C23" i="39"/>
  <c r="D23" i="38"/>
  <c r="D25" i="38"/>
  <c r="D24" i="38"/>
  <c r="D28" i="38"/>
  <c r="F29" i="38"/>
  <c r="G29" i="38" s="1"/>
  <c r="D54" i="41" l="1"/>
  <c r="C15" i="20"/>
  <c r="B24" i="38"/>
  <c r="K35" i="38" s="1"/>
  <c r="C20" i="39"/>
  <c r="I11" i="38"/>
  <c r="K37" i="38"/>
  <c r="D31" i="38"/>
  <c r="C38" i="39" s="1"/>
  <c r="B25" i="38"/>
  <c r="K38" i="38"/>
  <c r="B28" i="38"/>
  <c r="K39" i="38" s="1"/>
  <c r="I37" i="38"/>
  <c r="I36" i="38"/>
  <c r="I10" i="38"/>
  <c r="I40" i="38"/>
  <c r="I14" i="38"/>
  <c r="I15" i="38"/>
  <c r="E28" i="38"/>
  <c r="E24" i="38"/>
  <c r="D34" i="36"/>
  <c r="F26" i="38"/>
  <c r="G26" i="38" s="1"/>
  <c r="F27" i="38"/>
  <c r="G27" i="38" s="1"/>
  <c r="D142" i="21"/>
  <c r="F142" i="21" s="1"/>
  <c r="D141" i="21"/>
  <c r="F141" i="21" s="1"/>
  <c r="D140" i="21"/>
  <c r="F140" i="21" s="1"/>
  <c r="F139" i="21"/>
  <c r="F138" i="21"/>
  <c r="F137" i="21"/>
  <c r="F136" i="21"/>
  <c r="D135" i="21"/>
  <c r="F135" i="21" s="1"/>
  <c r="F134" i="21"/>
  <c r="F133" i="21"/>
  <c r="F132" i="21"/>
  <c r="F131" i="21"/>
  <c r="F127" i="21"/>
  <c r="F126" i="21"/>
  <c r="F125" i="21"/>
  <c r="F124" i="21"/>
  <c r="F123" i="21"/>
  <c r="F122" i="21"/>
  <c r="F121" i="21"/>
  <c r="D120" i="21"/>
  <c r="F120" i="21" s="1"/>
  <c r="D119" i="21"/>
  <c r="F119" i="21" s="1"/>
  <c r="F118" i="21"/>
  <c r="F117" i="21"/>
  <c r="F116" i="21"/>
  <c r="F115" i="21"/>
  <c r="F114" i="21"/>
  <c r="F113" i="21"/>
  <c r="F112" i="21"/>
  <c r="F111" i="21"/>
  <c r="F110" i="21"/>
  <c r="F109" i="21"/>
  <c r="F108" i="21"/>
  <c r="F107" i="21"/>
  <c r="F103" i="21"/>
  <c r="F102" i="21"/>
  <c r="F101" i="21"/>
  <c r="D100" i="21"/>
  <c r="F100" i="21" s="1"/>
  <c r="D99" i="21"/>
  <c r="F99" i="21" s="1"/>
  <c r="F98" i="21"/>
  <c r="F97" i="21"/>
  <c r="F96" i="21"/>
  <c r="F95" i="21"/>
  <c r="F94" i="21"/>
  <c r="D93" i="21"/>
  <c r="F93" i="21" s="1"/>
  <c r="D92" i="21"/>
  <c r="F92" i="21" s="1"/>
  <c r="D91" i="21"/>
  <c r="F91" i="21" s="1"/>
  <c r="D90" i="21"/>
  <c r="F90" i="21" s="1"/>
  <c r="F89" i="21"/>
  <c r="F88" i="21"/>
  <c r="D87" i="21"/>
  <c r="F87" i="21" s="1"/>
  <c r="D86" i="21"/>
  <c r="F86" i="21" s="1"/>
  <c r="D85" i="21"/>
  <c r="F85" i="21" s="1"/>
  <c r="D84" i="21"/>
  <c r="F84" i="21" s="1"/>
  <c r="D83" i="21"/>
  <c r="F83" i="21" s="1"/>
  <c r="F79" i="21"/>
  <c r="F78" i="21"/>
  <c r="F77" i="21"/>
  <c r="F76" i="21"/>
  <c r="D75" i="21"/>
  <c r="F75" i="21" s="1"/>
  <c r="F74" i="21"/>
  <c r="D73" i="21"/>
  <c r="F73" i="21" s="1"/>
  <c r="D72" i="21"/>
  <c r="F72" i="21" s="1"/>
  <c r="F71" i="21"/>
  <c r="F70" i="21"/>
  <c r="F69" i="21"/>
  <c r="F68" i="21"/>
  <c r="F67" i="21"/>
  <c r="F66" i="21"/>
  <c r="F65" i="21"/>
  <c r="F64" i="21"/>
  <c r="F63" i="21"/>
  <c r="F62" i="21"/>
  <c r="F61" i="21"/>
  <c r="F60" i="21"/>
  <c r="D59" i="21"/>
  <c r="F59" i="21" s="1"/>
  <c r="D58" i="21"/>
  <c r="F58" i="21" s="1"/>
  <c r="F54" i="21"/>
  <c r="D53" i="21"/>
  <c r="F52" i="21"/>
  <c r="D51" i="21"/>
  <c r="F50" i="21"/>
  <c r="F49" i="21"/>
  <c r="F48" i="21"/>
  <c r="F47" i="21"/>
  <c r="F46" i="21"/>
  <c r="F45" i="21"/>
  <c r="F44" i="21"/>
  <c r="F43" i="21"/>
  <c r="F42" i="21"/>
  <c r="F41" i="21"/>
  <c r="F40" i="21"/>
  <c r="D39" i="21"/>
  <c r="F38" i="21"/>
  <c r="D37" i="21"/>
  <c r="D36" i="21"/>
  <c r="D35" i="21"/>
  <c r="D34" i="21"/>
  <c r="D33" i="21"/>
  <c r="F32" i="21"/>
  <c r="F31" i="21"/>
  <c r="F30" i="21"/>
  <c r="F29" i="21"/>
  <c r="F28" i="21"/>
  <c r="F27" i="21"/>
  <c r="F26" i="21"/>
  <c r="F25" i="21"/>
  <c r="D18" i="21"/>
  <c r="D17" i="21"/>
  <c r="D14" i="21"/>
  <c r="D55" i="41" l="1"/>
  <c r="D56" i="41" s="1"/>
  <c r="D58" i="41" s="1"/>
  <c r="C59" i="41" s="1"/>
  <c r="C16" i="20" s="1"/>
  <c r="F34" i="21"/>
  <c r="F17" i="21"/>
  <c r="F39" i="21"/>
  <c r="F18" i="21"/>
  <c r="F36" i="21"/>
  <c r="F14" i="21"/>
  <c r="F35" i="21"/>
  <c r="F51" i="21"/>
  <c r="F33" i="21"/>
  <c r="F37" i="21"/>
  <c r="F53" i="21"/>
  <c r="I12" i="38"/>
  <c r="I38" i="38"/>
  <c r="K36" i="38"/>
  <c r="F30" i="38"/>
  <c r="E30" i="38"/>
  <c r="I35" i="36"/>
  <c r="U35" i="36"/>
  <c r="J35" i="36"/>
  <c r="H35" i="36"/>
  <c r="G35" i="36"/>
  <c r="T35" i="36"/>
  <c r="S35" i="36"/>
  <c r="E25" i="38"/>
  <c r="D28" i="36"/>
  <c r="W35" i="36"/>
  <c r="F35" i="36"/>
  <c r="V35" i="36"/>
  <c r="R35" i="36"/>
  <c r="K35" i="36"/>
  <c r="F28" i="38"/>
  <c r="G28" i="38" s="1"/>
  <c r="D31" i="36"/>
  <c r="F36" i="13"/>
  <c r="F23" i="13"/>
  <c r="F152" i="21"/>
  <c r="F80" i="21"/>
  <c r="H33" i="40" s="1"/>
  <c r="F104" i="21"/>
  <c r="H34" i="40" s="1"/>
  <c r="F128" i="21"/>
  <c r="H35" i="40" s="1"/>
  <c r="I9" i="38" l="1"/>
  <c r="C14" i="20"/>
  <c r="I35" i="38"/>
  <c r="I34" i="40"/>
  <c r="J34" i="40" s="1"/>
  <c r="K34" i="40" s="1"/>
  <c r="E21" i="13"/>
  <c r="E34" i="13"/>
  <c r="H20" i="40"/>
  <c r="I35" i="40"/>
  <c r="J35" i="40" s="1"/>
  <c r="I33" i="40"/>
  <c r="J33" i="40" s="1"/>
  <c r="K33" i="40" s="1"/>
  <c r="G36" i="13"/>
  <c r="H36" i="13" s="1"/>
  <c r="I36" i="13" s="1"/>
  <c r="G23" i="13"/>
  <c r="F55" i="21"/>
  <c r="H32" i="40" s="1"/>
  <c r="C38" i="38"/>
  <c r="C33" i="39"/>
  <c r="F24" i="38"/>
  <c r="G24" i="38" s="1"/>
  <c r="G30" i="38"/>
  <c r="F25" i="38"/>
  <c r="G25" i="38" s="1"/>
  <c r="R29" i="36"/>
  <c r="Q29" i="36"/>
  <c r="P29" i="36"/>
  <c r="C58" i="36"/>
  <c r="W32" i="36"/>
  <c r="I32" i="36"/>
  <c r="F32" i="36"/>
  <c r="H32" i="36"/>
  <c r="G32" i="36"/>
  <c r="R32" i="36"/>
  <c r="V32" i="36"/>
  <c r="T32" i="36"/>
  <c r="J32" i="36"/>
  <c r="K32" i="36"/>
  <c r="U32" i="36"/>
  <c r="S32" i="36"/>
  <c r="F21" i="13"/>
  <c r="I20" i="40" l="1"/>
  <c r="I32" i="40"/>
  <c r="J32" i="40" s="1"/>
  <c r="K35" i="40"/>
  <c r="G21" i="13"/>
  <c r="H21" i="13" s="1"/>
  <c r="I21" i="13" s="1"/>
  <c r="H23" i="13"/>
  <c r="I23" i="13" s="1"/>
  <c r="C57" i="36"/>
  <c r="I24" i="38"/>
  <c r="F34" i="13"/>
  <c r="G34" i="13" s="1"/>
  <c r="H34" i="13" s="1"/>
  <c r="I34" i="13" s="1"/>
  <c r="K32" i="40" l="1"/>
  <c r="K23" i="40" s="1"/>
  <c r="C27" i="20" s="1"/>
  <c r="J20" i="40"/>
  <c r="C35" i="38"/>
  <c r="C30" i="39"/>
  <c r="C36" i="38"/>
  <c r="C31" i="39"/>
  <c r="D37" i="36"/>
  <c r="W38" i="36" s="1"/>
  <c r="K20" i="40" l="1"/>
  <c r="K18" i="40" s="1"/>
  <c r="V38" i="36"/>
  <c r="L38" i="36"/>
  <c r="N38" i="36"/>
  <c r="G38" i="36"/>
  <c r="F38" i="36"/>
  <c r="R38" i="36"/>
  <c r="O38" i="36"/>
  <c r="K38" i="36"/>
  <c r="H38" i="36"/>
  <c r="S38" i="36"/>
  <c r="I38" i="36"/>
  <c r="U38" i="36"/>
  <c r="P38" i="36"/>
  <c r="T38" i="36"/>
  <c r="M38" i="36"/>
  <c r="Q38" i="36"/>
  <c r="J38" i="36"/>
  <c r="C26" i="20" l="1"/>
  <c r="E14" i="13"/>
  <c r="F14" i="13" s="1"/>
  <c r="F24" i="13" s="1"/>
  <c r="J19" i="15"/>
  <c r="E27" i="13"/>
  <c r="F27" i="13" s="1"/>
  <c r="F37" i="13" s="1"/>
  <c r="H40" i="13" l="1"/>
  <c r="G14" i="13"/>
  <c r="G24" i="13" s="1"/>
  <c r="I13" i="6"/>
  <c r="I14" i="6" s="1"/>
  <c r="C27" i="39" s="1"/>
  <c r="H48" i="40"/>
  <c r="G27" i="13"/>
  <c r="G37" i="13" s="1"/>
  <c r="C60" i="36" l="1"/>
  <c r="I48" i="40"/>
  <c r="I58" i="40" s="1"/>
  <c r="H58" i="40"/>
  <c r="H14" i="13"/>
  <c r="H27" i="13"/>
  <c r="H37" i="13" s="1"/>
  <c r="D43" i="36"/>
  <c r="X44" i="36" s="1"/>
  <c r="X47" i="36" s="1"/>
  <c r="H41" i="13"/>
  <c r="H42" i="13" s="1"/>
  <c r="C17" i="39"/>
  <c r="H61" i="40" l="1"/>
  <c r="H62" i="40" s="1"/>
  <c r="J48" i="40"/>
  <c r="J58" i="40" s="1"/>
  <c r="I14" i="13"/>
  <c r="I24" i="13" s="1"/>
  <c r="H24" i="13"/>
  <c r="I27" i="13"/>
  <c r="C37" i="38"/>
  <c r="C42" i="38" s="1"/>
  <c r="D40" i="36" s="1"/>
  <c r="I37" i="13" l="1"/>
  <c r="C24" i="20" s="1"/>
  <c r="K48" i="40"/>
  <c r="K47" i="40" s="1"/>
  <c r="K58" i="40" s="1"/>
  <c r="H63" i="40"/>
  <c r="C23" i="20"/>
  <c r="C15" i="39"/>
  <c r="D19" i="36"/>
  <c r="E20" i="36" s="1"/>
  <c r="E47" i="36" s="1"/>
  <c r="C32" i="39"/>
  <c r="P41" i="36"/>
  <c r="C32" i="20" l="1"/>
  <c r="C22" i="20" s="1"/>
  <c r="G41" i="36"/>
  <c r="W41" i="36"/>
  <c r="S41" i="36"/>
  <c r="V41" i="36"/>
  <c r="M41" i="36"/>
  <c r="T41" i="36"/>
  <c r="O41" i="36"/>
  <c r="F41" i="36"/>
  <c r="I41" i="36"/>
  <c r="H41" i="36"/>
  <c r="K41" i="36"/>
  <c r="L41" i="36"/>
  <c r="J41" i="36"/>
  <c r="U41" i="36"/>
  <c r="Q41" i="36"/>
  <c r="R41" i="36"/>
  <c r="N41" i="36"/>
  <c r="I19" i="6"/>
  <c r="I21" i="6" s="1"/>
  <c r="C34" i="20" l="1"/>
  <c r="C61" i="36"/>
  <c r="C62" i="36" s="1"/>
  <c r="C72" i="36" s="1"/>
  <c r="C28" i="39"/>
  <c r="D25" i="36" l="1"/>
  <c r="O26" i="36" l="1"/>
  <c r="W26" i="36"/>
  <c r="K26" i="36"/>
  <c r="G26" i="36"/>
  <c r="N26" i="36"/>
  <c r="J26" i="36"/>
  <c r="P26" i="36"/>
  <c r="L26" i="36"/>
  <c r="U26" i="36"/>
  <c r="Q26" i="36"/>
  <c r="M26" i="36"/>
  <c r="I26" i="36"/>
  <c r="T26" i="36"/>
  <c r="H26" i="36"/>
  <c r="F26" i="36" l="1"/>
  <c r="V26" i="36"/>
  <c r="S26" i="36"/>
  <c r="R26" i="36"/>
  <c r="C8" i="38" l="1"/>
  <c r="J46" i="38" l="1"/>
  <c r="C19" i="39"/>
  <c r="C16" i="38"/>
  <c r="G8" i="38"/>
  <c r="J34" i="38"/>
  <c r="J8" i="38"/>
  <c r="F8" i="38"/>
  <c r="F16" i="38" s="1"/>
  <c r="E23" i="38"/>
  <c r="E31" i="38" s="1"/>
  <c r="B23" i="38"/>
  <c r="I34" i="38" s="1"/>
  <c r="I8" i="38" l="1"/>
  <c r="C39" i="39"/>
  <c r="B31" i="38"/>
  <c r="K34" i="38"/>
  <c r="J42" i="38"/>
  <c r="J16" i="38"/>
  <c r="G16" i="38"/>
  <c r="F23" i="38"/>
  <c r="F31" i="38" s="1"/>
  <c r="C40" i="39" l="1"/>
  <c r="C41" i="39"/>
  <c r="K42" i="38"/>
  <c r="G23" i="38"/>
  <c r="G31" i="38" s="1"/>
  <c r="E39" i="39" l="1"/>
  <c r="E19" i="39"/>
  <c r="E38" i="39"/>
  <c r="E28" i="39"/>
  <c r="E20" i="39"/>
  <c r="E25" i="39"/>
  <c r="E22" i="39"/>
  <c r="E21" i="39"/>
  <c r="E24" i="39"/>
  <c r="E34" i="39"/>
  <c r="E30" i="39"/>
  <c r="E32" i="39"/>
  <c r="E41" i="39"/>
  <c r="E35" i="39"/>
  <c r="E17" i="39"/>
  <c r="E15" i="39"/>
  <c r="E40" i="39"/>
  <c r="E33" i="39"/>
  <c r="E23" i="39"/>
  <c r="E36" i="39"/>
  <c r="E27" i="39"/>
  <c r="E31" i="39"/>
  <c r="J44" i="38"/>
  <c r="D22" i="36"/>
  <c r="D46" i="36" l="1"/>
  <c r="C71" i="36" s="1"/>
  <c r="C73" i="36" s="1"/>
  <c r="J23" i="36"/>
  <c r="J47" i="36" s="1"/>
  <c r="N23" i="36"/>
  <c r="N47" i="36" s="1"/>
  <c r="M23" i="36"/>
  <c r="M47" i="36" s="1"/>
  <c r="L23" i="36"/>
  <c r="L47" i="36" s="1"/>
  <c r="R23" i="36"/>
  <c r="R47" i="36" s="1"/>
  <c r="S23" i="36"/>
  <c r="S47" i="36" s="1"/>
  <c r="G23" i="36"/>
  <c r="G47" i="36" s="1"/>
  <c r="Q23" i="36"/>
  <c r="Q47" i="36" s="1"/>
  <c r="O23" i="36"/>
  <c r="O47" i="36" s="1"/>
  <c r="H23" i="36"/>
  <c r="H47" i="36" s="1"/>
  <c r="I23" i="36"/>
  <c r="I47" i="36" s="1"/>
  <c r="U23" i="36"/>
  <c r="U47" i="36" s="1"/>
  <c r="W23" i="36"/>
  <c r="W47" i="36" s="1"/>
  <c r="F23" i="36"/>
  <c r="V23" i="36"/>
  <c r="V47" i="36" s="1"/>
  <c r="K23" i="36"/>
  <c r="K47" i="36" s="1"/>
  <c r="T23" i="36"/>
  <c r="T47" i="36" s="1"/>
  <c r="P23" i="36"/>
  <c r="P47" i="36" s="1"/>
  <c r="F47" i="3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8</author>
    <author>Camila Alcantara Dutra Ribeiro</author>
  </authors>
  <commentList>
    <comment ref="B18" authorId="0" shapeId="0" xr:uid="{00000000-0006-0000-0200-000001000000}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>- 4 profissionais para Campo</t>
        </r>
      </text>
    </comment>
    <comment ref="B19" authorId="0" shapeId="0" xr:uid="{00000000-0006-0000-0200-000002000000}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>- 4 profissionais para Campo</t>
        </r>
      </text>
    </comment>
    <comment ref="B20" authorId="0" shapeId="0" xr:uid="{00000000-0006-0000-0200-000003000000}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 xml:space="preserve">
- 2 profissionais para Campo</t>
        </r>
      </text>
    </comment>
    <comment ref="B21" authorId="0" shapeId="0" xr:uid="{00000000-0006-0000-0200-000004000000}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- 2 pra Campo
</t>
        </r>
      </text>
    </comment>
    <comment ref="B22" authorId="0" shapeId="0" xr:uid="{00000000-0006-0000-0200-000005000000}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 xml:space="preserve">
- 2 pra Campo</t>
        </r>
      </text>
    </comment>
    <comment ref="B23" authorId="0" shapeId="0" xr:uid="{00000000-0006-0000-0200-000006000000}">
      <text>
        <r>
          <rPr>
            <b/>
            <sz val="9"/>
            <color indexed="81"/>
            <rFont val="Segoe UI"/>
            <family val="2"/>
          </rPr>
          <t xml:space="preserve">Profissionais para Campo
</t>
        </r>
        <r>
          <rPr>
            <sz val="9"/>
            <color indexed="81"/>
            <rFont val="Segoe UI"/>
            <family val="2"/>
          </rPr>
          <t xml:space="preserve">- 2 Hidráulica
- 2 Hidromecânica
- 2 Elétrica
</t>
        </r>
      </text>
    </comment>
    <comment ref="B24" authorId="0" shapeId="0" xr:uid="{00000000-0006-0000-0200-000007000000}">
      <text>
        <r>
          <rPr>
            <b/>
            <sz val="9"/>
            <color indexed="81"/>
            <rFont val="Segoe UI"/>
            <family val="2"/>
          </rPr>
          <t>Previsão de Profissionais:</t>
        </r>
        <r>
          <rPr>
            <sz val="9"/>
            <color indexed="81"/>
            <rFont val="Segoe UI"/>
            <family val="2"/>
          </rPr>
          <t xml:space="preserve">
4 hidráulica
4 Hidromecânica
4 Elétrica
2 Automação
2 Telecomunicação
2 Ambiental
6 - Acom. Apoio Campo</t>
        </r>
      </text>
    </comment>
    <comment ref="B31" authorId="1" shapeId="0" xr:uid="{00000000-0006-0000-0200-000008000000}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Cada Técnico irá acompanhar um engenheiro (Civil, Mecânica, Eletricista)</t>
        </r>
      </text>
    </comment>
    <comment ref="B40" authorId="1" shapeId="0" xr:uid="{00000000-0006-0000-0200-000009000000}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Profissional Especial - Nível Médio Especializado</t>
        </r>
      </text>
    </comment>
    <comment ref="B41" authorId="1" shapeId="0" xr:uid="{00000000-0006-0000-0200-00000A000000}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Técninco Auxiliar - Nivel Elementar</t>
        </r>
      </text>
    </comment>
    <comment ref="E52" authorId="1" shapeId="0" xr:uid="{00000000-0006-0000-0200-00000B000000}">
      <text>
        <r>
          <rPr>
            <b/>
            <sz val="9"/>
            <color indexed="81"/>
            <rFont val="Segoe UI"/>
            <family val="2"/>
          </rPr>
          <t xml:space="preserve">* </t>
        </r>
        <r>
          <rPr>
            <sz val="9"/>
            <color indexed="81"/>
            <rFont val="Segoe UI"/>
            <family val="2"/>
          </rPr>
          <t xml:space="preserve">6 Profissionais com previsão de 52 h / mês
</t>
        </r>
      </text>
    </comment>
    <comment ref="E53" authorId="1" shapeId="0" xr:uid="{00000000-0006-0000-0200-00000C000000}">
      <text>
        <r>
          <rPr>
            <b/>
            <sz val="9"/>
            <color indexed="81"/>
            <rFont val="Segoe UI"/>
            <family val="2"/>
          </rPr>
          <t xml:space="preserve">* </t>
        </r>
        <r>
          <rPr>
            <sz val="9"/>
            <color indexed="81"/>
            <rFont val="Segoe UI"/>
            <family val="2"/>
          </rPr>
          <t xml:space="preserve">6 Profissionais com previsão de 74h / mês
</t>
        </r>
      </text>
    </comment>
    <comment ref="E55" authorId="1" shapeId="0" xr:uid="{00000000-0006-0000-0200-00000D000000}">
      <text>
        <r>
          <rPr>
            <sz val="9"/>
            <color indexed="81"/>
            <rFont val="Segoe UI"/>
            <family val="2"/>
          </rPr>
          <t xml:space="preserve">* 3 Profissionais com previsão de 74h / mês
</t>
        </r>
      </text>
    </comment>
    <comment ref="E79" authorId="1" shapeId="0" xr:uid="{00000000-0006-0000-0200-00000E000000}">
      <text>
        <r>
          <rPr>
            <sz val="9"/>
            <color indexed="81"/>
            <rFont val="Segoe UI"/>
            <family val="2"/>
          </rPr>
          <t>* Previsão de 64 horas / mês</t>
        </r>
      </text>
    </comment>
    <comment ref="E80" authorId="1" shapeId="0" xr:uid="{00000000-0006-0000-0200-00000F000000}">
      <text>
        <r>
          <rPr>
            <sz val="9"/>
            <color indexed="81"/>
            <rFont val="Segoe UI"/>
            <family val="2"/>
          </rPr>
          <t>* Previsão de 64 horas / mês</t>
        </r>
      </text>
    </comment>
    <comment ref="E95" authorId="1" shapeId="0" xr:uid="{00000000-0006-0000-0200-000010000000}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Previsão de 64 horas / mês</t>
        </r>
      </text>
    </comment>
    <comment ref="E96" authorId="1" shapeId="0" xr:uid="{00000000-0006-0000-0200-000011000000}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Previsão de 64 horas / mês</t>
        </r>
      </text>
    </comment>
    <comment ref="E106" authorId="1" shapeId="0" xr:uid="{00000000-0006-0000-0200-000012000000}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Previsão de 44 horas / mês</t>
        </r>
      </text>
    </comment>
    <comment ref="B107" authorId="1" shapeId="0" xr:uid="{00000000-0006-0000-0200-000013000000}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- 1 Eng. Civil
- 1 Eng. Mecânico
- 1 Eng. Eletricista
</t>
        </r>
      </text>
    </comment>
    <comment ref="B108" authorId="1" shapeId="0" xr:uid="{00000000-0006-0000-0200-000014000000}">
      <text>
        <r>
          <rPr>
            <b/>
            <sz val="9"/>
            <color indexed="81"/>
            <rFont val="Segoe UI"/>
            <family val="2"/>
          </rPr>
          <t xml:space="preserve">Previsão:
 </t>
        </r>
        <r>
          <rPr>
            <sz val="9"/>
            <color indexed="81"/>
            <rFont val="Segoe UI"/>
            <family val="2"/>
          </rPr>
          <t xml:space="preserve">- Civil (2)
- Mecânico (2)
- Elétrica (2)
- Automação (1)
- Telecomunicações (1)
</t>
        </r>
      </text>
    </comment>
    <comment ref="B109" authorId="1" shapeId="0" xr:uid="{00000000-0006-0000-0200-000015000000}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Civil (1)
- Mecânico (1)
- Elétrica (2)
- Automação (1)
- Telecomunicações (1)</t>
        </r>
      </text>
    </comment>
    <comment ref="B110" authorId="1" shapeId="0" xr:uid="{00000000-0006-0000-0200-000016000000}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- Civil (1)
- Mecânico (1)
- Elétrica (2)
- Automação (1)
- Telecomunicações (1)</t>
        </r>
      </text>
    </comment>
    <comment ref="E124" authorId="1" shapeId="0" xr:uid="{00000000-0006-0000-0200-000017000000}">
      <text>
        <r>
          <rPr>
            <b/>
            <sz val="9"/>
            <color indexed="81"/>
            <rFont val="Segoe UI"/>
            <family val="2"/>
          </rPr>
          <t>*</t>
        </r>
        <r>
          <rPr>
            <sz val="9"/>
            <color indexed="81"/>
            <rFont val="Segoe UI"/>
            <family val="2"/>
          </rPr>
          <t xml:space="preserve"> Previsão de 8 h/ de serviço por semana (1 diária por semana)
32 h/ mês x 4 Escritórios</t>
        </r>
      </text>
    </comment>
    <comment ref="B142" authorId="1" shapeId="0" xr:uid="{00000000-0006-0000-0200-000019000000}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SE: 1
- LT/LD: 1
- Acionamentos: 1</t>
        </r>
      </text>
    </comment>
    <comment ref="B148" authorId="1" shapeId="0" xr:uid="{00000000-0006-0000-0200-000020000000}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- 1 Civil
- 1 Eletricista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Camila Alcantara Dutra Ribeiro</author>
    <author>windows 8</author>
  </authors>
  <commentList>
    <comment ref="E18" authorId="0" shapeId="0" xr:uid="{00000000-0006-0000-0300-000001000000}">
      <text>
        <r>
          <rPr>
            <b/>
            <sz val="9"/>
            <color indexed="81"/>
            <rFont val="Segoe UI"/>
            <family val="2"/>
          </rPr>
          <t xml:space="preserve">Previsão: </t>
        </r>
        <r>
          <rPr>
            <sz val="9"/>
            <color indexed="81"/>
            <rFont val="Segoe UI"/>
            <family val="2"/>
          </rPr>
          <t xml:space="preserve">
Previsão de 80  horas / mês</t>
        </r>
      </text>
    </comment>
    <comment ref="E19" authorId="0" shapeId="0" xr:uid="{00000000-0006-0000-0300-000002000000}">
      <text>
        <r>
          <rPr>
            <b/>
            <sz val="9"/>
            <color indexed="81"/>
            <rFont val="Segoe UI"/>
            <family val="2"/>
          </rPr>
          <t xml:space="preserve">Previsão: </t>
        </r>
        <r>
          <rPr>
            <sz val="9"/>
            <color indexed="81"/>
            <rFont val="Segoe UI"/>
            <family val="2"/>
          </rPr>
          <t xml:space="preserve">
Previsão de 80  horas / mês</t>
        </r>
      </text>
    </comment>
    <comment ref="B21" authorId="1" shapeId="0" xr:uid="{00000000-0006-0000-0300-000003000000}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>- 4 profissionais para Campo</t>
        </r>
      </text>
    </comment>
    <comment ref="B22" authorId="1" shapeId="0" xr:uid="{00000000-0006-0000-0300-000004000000}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>- 4 profissionais para Campo</t>
        </r>
      </text>
    </comment>
    <comment ref="B23" authorId="1" shapeId="0" xr:uid="{00000000-0006-0000-0300-000005000000}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 xml:space="preserve">
- 2 profissionais para Campo</t>
        </r>
      </text>
    </comment>
    <comment ref="B24" authorId="1" shapeId="0" xr:uid="{00000000-0006-0000-0300-000006000000}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- 2 pra Campo
</t>
        </r>
      </text>
    </comment>
    <comment ref="B25" authorId="1" shapeId="0" xr:uid="{00000000-0006-0000-0300-000007000000}">
      <text>
        <r>
          <rPr>
            <b/>
            <sz val="9"/>
            <color indexed="81"/>
            <rFont val="Segoe UI"/>
            <family val="2"/>
          </rPr>
          <t xml:space="preserve">Previsão:
</t>
        </r>
        <r>
          <rPr>
            <sz val="9"/>
            <color indexed="81"/>
            <rFont val="Segoe UI"/>
            <family val="2"/>
          </rPr>
          <t xml:space="preserve">
- 2 pra Campo</t>
        </r>
      </text>
    </comment>
    <comment ref="B26" authorId="1" shapeId="0" xr:uid="{00000000-0006-0000-0300-000008000000}">
      <text>
        <r>
          <rPr>
            <b/>
            <sz val="9"/>
            <color indexed="81"/>
            <rFont val="Segoe UI"/>
            <family val="2"/>
          </rPr>
          <t xml:space="preserve">Profissionais para Campo
</t>
        </r>
        <r>
          <rPr>
            <sz val="9"/>
            <color indexed="81"/>
            <rFont val="Segoe UI"/>
            <family val="2"/>
          </rPr>
          <t xml:space="preserve">- 2 Hidráulica
- 2 Hidromecânica
- 2 Elétrica
</t>
        </r>
      </text>
    </comment>
    <comment ref="B27" authorId="1" shapeId="0" xr:uid="{00000000-0006-0000-0300-000009000000}">
      <text>
        <r>
          <rPr>
            <b/>
            <sz val="9"/>
            <color indexed="81"/>
            <rFont val="Segoe UI"/>
            <family val="2"/>
          </rPr>
          <t>Previsão de Profissionais:</t>
        </r>
        <r>
          <rPr>
            <sz val="9"/>
            <color indexed="81"/>
            <rFont val="Segoe UI"/>
            <family val="2"/>
          </rPr>
          <t xml:space="preserve">
4 hidráulica
4 Hidromecânica
4 Elétrica
2 Automação
2 Telecomunicação
2 Ambiental
6 - Acom. Apoio Campo</t>
        </r>
      </text>
    </comment>
    <comment ref="B34" authorId="0" shapeId="0" xr:uid="{00000000-0006-0000-0300-00000A000000}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Cada Técnico irá acompanhar um engenheiro (Civil, Mecânica, Eletricista)</t>
        </r>
      </text>
    </comment>
    <comment ref="B43" authorId="0" shapeId="0" xr:uid="{00000000-0006-0000-0300-00000B000000}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Profissional Especial - Nível Médio Especializado</t>
        </r>
      </text>
    </comment>
    <comment ref="B44" authorId="0" shapeId="0" xr:uid="{00000000-0006-0000-0300-00000C000000}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Técninco Auxiliar - Nivel Elementar</t>
        </r>
      </text>
    </comment>
    <comment ref="B109" authorId="0" shapeId="0" xr:uid="{00000000-0006-0000-0300-00000D000000}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- 1 Eng. Civil
- 1 Eng. Mecânico
- 1 Eng. Eletricista
</t>
        </r>
      </text>
    </comment>
    <comment ref="B110" authorId="0" shapeId="0" xr:uid="{00000000-0006-0000-0300-00000E000000}">
      <text>
        <r>
          <rPr>
            <b/>
            <sz val="9"/>
            <color indexed="81"/>
            <rFont val="Segoe UI"/>
            <family val="2"/>
          </rPr>
          <t xml:space="preserve">Estimativa:
 </t>
        </r>
        <r>
          <rPr>
            <sz val="9"/>
            <color indexed="81"/>
            <rFont val="Segoe UI"/>
            <family val="2"/>
          </rPr>
          <t xml:space="preserve">- Civil (2)
- Mecânico (2)
- Elétrica (2)
- Automação (1)
- Telecomunicações (1)
</t>
        </r>
      </text>
    </comment>
    <comment ref="B111" authorId="0" shapeId="0" xr:uid="{00000000-0006-0000-0300-00000F000000}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Civil (1)
- Mecânico (1)
- Elétrica (2)
- Automação (1)
- Telecomunicações (1)</t>
        </r>
      </text>
    </comment>
    <comment ref="B112" authorId="0" shapeId="0" xr:uid="{00000000-0006-0000-0300-000010000000}">
      <text>
        <r>
          <rPr>
            <b/>
            <sz val="9"/>
            <color indexed="81"/>
            <rFont val="Segoe UI"/>
            <family val="2"/>
          </rPr>
          <t xml:space="preserve">Estimativa:
</t>
        </r>
        <r>
          <rPr>
            <sz val="9"/>
            <color indexed="81"/>
            <rFont val="Segoe UI"/>
            <family val="2"/>
          </rPr>
          <t>- Civil (1)
- Mecânico (1)
- Elétrica (2)
- Automação (1)
- Telecomunicações (1)</t>
        </r>
      </text>
    </comment>
    <comment ref="E124" authorId="0" shapeId="0" xr:uid="{00000000-0006-0000-0300-000011000000}">
      <text>
        <r>
          <rPr>
            <b/>
            <sz val="9"/>
            <color indexed="81"/>
            <rFont val="Segoe UI"/>
            <family val="2"/>
          </rPr>
          <t>*</t>
        </r>
        <r>
          <rPr>
            <sz val="9"/>
            <color indexed="81"/>
            <rFont val="Segoe UI"/>
            <family val="2"/>
          </rPr>
          <t xml:space="preserve"> Previsão de 8 h/ de serviço por semana (1 diária por semana)
32 h/ mês x 4 Escritórios</t>
        </r>
      </text>
    </comment>
    <comment ref="B142" authorId="0" shapeId="0" xr:uid="{00000000-0006-0000-0300-000012000000}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SE: 1
- LT/LD: 1
- Acionamentos: 1</t>
        </r>
      </text>
    </comment>
    <comment ref="B148" authorId="0" shapeId="0" xr:uid="{00000000-0006-0000-0300-000013000000}">
      <text>
        <r>
          <rPr>
            <b/>
            <sz val="9"/>
            <color indexed="81"/>
            <rFont val="Segoe UI"/>
            <family val="2"/>
          </rPr>
          <t>Estimativa:</t>
        </r>
        <r>
          <rPr>
            <sz val="9"/>
            <color indexed="81"/>
            <rFont val="Segoe UI"/>
            <family val="2"/>
          </rPr>
          <t xml:space="preserve">
- 1 Civil
- 1 Eletricista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Camila Alcantara Dutra Ribeiro</author>
    <author>Zênia Maria de Oliveira Macedo</author>
  </authors>
  <commentList>
    <comment ref="B14" authorId="0" shapeId="0" xr:uid="{00000000-0006-0000-0500-000001000000}">
      <text>
        <r>
          <rPr>
            <b/>
            <sz val="9"/>
            <color indexed="81"/>
            <rFont val="Segoe UI"/>
            <family val="2"/>
          </rPr>
          <t xml:space="preserve">Aluguel de 4 escritórios de apoio logístico para todo o período do contrato:
</t>
        </r>
        <r>
          <rPr>
            <sz val="9"/>
            <color indexed="81"/>
            <rFont val="Segoe UI"/>
            <family val="2"/>
          </rPr>
          <t>- 2 Escritórios no Eixo Norte
- 2 Escritórios no Eixo Leste</t>
        </r>
      </text>
    </comment>
    <comment ref="B15" authorId="0" shapeId="0" xr:uid="{00000000-0006-0000-0500-000003000000}">
      <text>
        <r>
          <rPr>
            <sz val="9"/>
            <color indexed="81"/>
            <rFont val="Segoe UI"/>
            <family val="2"/>
          </rPr>
          <t>Aluguel de 2 escritórios para todo o período do contrato:
- 1 Escritório em Brasília/DF
- 1 Escritório em Salgueiro/PE</t>
        </r>
      </text>
    </comment>
    <comment ref="B16" authorId="0" shapeId="0" xr:uid="{00000000-0006-0000-0500-000005000000}">
      <text>
        <r>
          <rPr>
            <b/>
            <sz val="9"/>
            <color indexed="81"/>
            <rFont val="Segoe UI"/>
            <family val="2"/>
          </rPr>
          <t xml:space="preserve">Capacidade da casa:
</t>
        </r>
        <r>
          <rPr>
            <sz val="9"/>
            <color indexed="81"/>
            <rFont val="Segoe UI"/>
            <family val="2"/>
          </rPr>
          <t>Parâmetro: Cada casa deve comportar no mínimo 8 engenheiros.</t>
        </r>
      </text>
    </comment>
    <comment ref="D16" authorId="0" shapeId="0" xr:uid="{00000000-0006-0000-0500-000006000000}">
      <text>
        <r>
          <rPr>
            <b/>
            <sz val="9"/>
            <color indexed="81"/>
            <rFont val="Segoe UI"/>
            <family val="2"/>
          </rPr>
          <t xml:space="preserve">Capacidade da casa:
</t>
        </r>
        <r>
          <rPr>
            <sz val="9"/>
            <color indexed="81"/>
            <rFont val="Segoe UI"/>
            <family val="2"/>
          </rPr>
          <t>Parâmetro: Cada casa deve comportar uma média de 8 engenheiros.</t>
        </r>
      </text>
    </comment>
    <comment ref="B17" authorId="0" shapeId="0" xr:uid="{00000000-0006-0000-0500-000008000000}">
      <text>
        <r>
          <rPr>
            <b/>
            <sz val="9"/>
            <color indexed="81"/>
            <rFont val="Segoe UI"/>
            <family val="2"/>
          </rPr>
          <t xml:space="preserve">Capacidade d Alojamento:
</t>
        </r>
        <r>
          <rPr>
            <sz val="9"/>
            <color indexed="81"/>
            <rFont val="Segoe UI"/>
            <family val="2"/>
          </rPr>
          <t xml:space="preserve">
Cada alojamento deve comportar no mínimo</t>
        </r>
        <r>
          <rPr>
            <b/>
            <sz val="9"/>
            <color indexed="81"/>
            <rFont val="Segoe UI"/>
            <family val="2"/>
          </rPr>
          <t xml:space="preserve"> 1</t>
        </r>
        <r>
          <rPr>
            <sz val="9"/>
            <color indexed="81"/>
            <rFont val="Segoe UI"/>
            <family val="2"/>
          </rPr>
          <t>2 pessoas</t>
        </r>
      </text>
    </comment>
    <comment ref="D17" authorId="0" shapeId="0" xr:uid="{00000000-0006-0000-0500-000009000000}">
      <text>
        <r>
          <rPr>
            <b/>
            <sz val="9"/>
            <color indexed="81"/>
            <rFont val="Segoe UI"/>
            <family val="2"/>
          </rPr>
          <t xml:space="preserve">Capacidade d Alojamento:
</t>
        </r>
        <r>
          <rPr>
            <sz val="9"/>
            <color indexed="81"/>
            <rFont val="Segoe UI"/>
            <family val="2"/>
          </rPr>
          <t xml:space="preserve">
Cada alojamento deve comportar uma média de </t>
        </r>
        <r>
          <rPr>
            <b/>
            <sz val="9"/>
            <color indexed="81"/>
            <rFont val="Segoe UI"/>
            <family val="2"/>
          </rPr>
          <t xml:space="preserve">10 </t>
        </r>
        <r>
          <rPr>
            <sz val="9"/>
            <color indexed="81"/>
            <rFont val="Segoe UI"/>
            <family val="2"/>
          </rPr>
          <t xml:space="preserve"> pessoas</t>
        </r>
      </text>
    </comment>
    <comment ref="B19" authorId="0" shapeId="0" xr:uid="{00000000-0006-0000-0500-00000B000000}">
      <text>
        <r>
          <rPr>
            <b/>
            <sz val="9"/>
            <color indexed="81"/>
            <rFont val="Segoe UI"/>
            <family val="2"/>
          </rPr>
          <t xml:space="preserve">Aluguel de 4 escritórios de apoio logístico para todo o período do contrato:
</t>
        </r>
        <r>
          <rPr>
            <sz val="9"/>
            <color indexed="81"/>
            <rFont val="Segoe UI"/>
            <family val="2"/>
          </rPr>
          <t>- 2 Escritórios no Eixo Norte
- 2 Escritórios no Eixo Leste</t>
        </r>
      </text>
    </comment>
    <comment ref="B20" authorId="0" shapeId="0" xr:uid="{00000000-0006-0000-0500-00000D000000}">
      <text>
        <r>
          <rPr>
            <sz val="9"/>
            <color indexed="81"/>
            <rFont val="Segoe UI"/>
            <family val="2"/>
          </rPr>
          <t>Aluguel de 2 escritórios para todo o período do contrato:
- 1 Escritório em Brasília/DF
- 1 Escritório em Salgueiro/PE</t>
        </r>
      </text>
    </comment>
    <comment ref="D21" authorId="0" shapeId="0" xr:uid="{00000000-0006-0000-0500-00000E000000}">
      <text>
        <r>
          <rPr>
            <b/>
            <sz val="9"/>
            <color indexed="81"/>
            <rFont val="Segoe UI"/>
            <family val="2"/>
          </rPr>
          <t xml:space="preserve">Capacidade da casa:
</t>
        </r>
        <r>
          <rPr>
            <sz val="9"/>
            <color indexed="81"/>
            <rFont val="Segoe UI"/>
            <family val="2"/>
          </rPr>
          <t>Parâmetro: Cada casa deve comportar no mínimo 8 engenheiros.</t>
        </r>
      </text>
    </comment>
    <comment ref="D22" authorId="0" shapeId="0" xr:uid="{00000000-0006-0000-0500-00000F000000}">
      <text>
        <r>
          <rPr>
            <b/>
            <sz val="9"/>
            <color indexed="81"/>
            <rFont val="Segoe UI"/>
            <family val="2"/>
          </rPr>
          <t xml:space="preserve">Capacidade d Alojamento:
</t>
        </r>
        <r>
          <rPr>
            <sz val="9"/>
            <color indexed="81"/>
            <rFont val="Segoe UI"/>
            <family val="2"/>
          </rPr>
          <t xml:space="preserve">
Cada alojamento deve comportar no mínimo</t>
        </r>
        <r>
          <rPr>
            <b/>
            <sz val="9"/>
            <color indexed="81"/>
            <rFont val="Segoe UI"/>
            <family val="2"/>
          </rPr>
          <t xml:space="preserve"> 1</t>
        </r>
        <r>
          <rPr>
            <sz val="9"/>
            <color indexed="81"/>
            <rFont val="Segoe UI"/>
            <family val="2"/>
          </rPr>
          <t>2 pessoas</t>
        </r>
      </text>
    </comment>
    <comment ref="B24" authorId="0" shapeId="0" xr:uid="{00000000-0006-0000-0500-000010000000}">
      <text>
        <r>
          <rPr>
            <b/>
            <sz val="9"/>
            <color indexed="81"/>
            <rFont val="Segoe UI"/>
            <family val="2"/>
          </rPr>
          <t xml:space="preserve">Contrato de Telefone e Rede corporativa com no mínimo:
- </t>
        </r>
        <r>
          <rPr>
            <sz val="9"/>
            <color indexed="81"/>
            <rFont val="Segoe UI"/>
            <family val="2"/>
          </rPr>
          <t>8 Linhas  no Campo
- 2 Linhas na sede</t>
        </r>
      </text>
    </comment>
    <comment ref="B25" authorId="0" shapeId="0" xr:uid="{00000000-0006-0000-0500-000011000000}">
      <text>
        <r>
          <rPr>
            <b/>
            <sz val="9"/>
            <color indexed="81"/>
            <rFont val="Segoe UI"/>
            <family val="2"/>
          </rPr>
          <t xml:space="preserve">Manter no mínimo:
- 30 </t>
        </r>
        <r>
          <rPr>
            <sz val="9"/>
            <color indexed="81"/>
            <rFont val="Segoe UI"/>
            <family val="2"/>
          </rPr>
          <t xml:space="preserve"> Celulares no Campo
- 4 Celulares na Sede</t>
        </r>
      </text>
    </comment>
    <comment ref="D37" authorId="0" shapeId="0" xr:uid="{00000000-0006-0000-0500-000012000000}">
      <text>
        <r>
          <rPr>
            <b/>
            <sz val="9"/>
            <color indexed="81"/>
            <rFont val="Segoe UI"/>
            <family val="2"/>
          </rPr>
          <t>- BSB: 1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38" authorId="0" shapeId="0" xr:uid="{00000000-0006-0000-0500-000013000000}">
      <text>
        <r>
          <rPr>
            <b/>
            <sz val="9"/>
            <color indexed="81"/>
            <rFont val="Segoe UI"/>
            <family val="2"/>
          </rPr>
          <t>SALGUEIRO:
- Escritório: 2
- Topografia: 2
- Segurança do Trabalho: 2</t>
        </r>
      </text>
    </comment>
    <comment ref="D39" authorId="0" shapeId="0" xr:uid="{00000000-0006-0000-0500-000014000000}">
      <text>
        <r>
          <rPr>
            <b/>
            <sz val="9"/>
            <color indexed="81"/>
            <rFont val="Segoe UI"/>
            <family val="2"/>
          </rPr>
          <t>Salgueiro:
- Transp. Material: 01
- Gerente: 01</t>
        </r>
      </text>
    </comment>
    <comment ref="D40" authorId="0" shapeId="0" xr:uid="{00000000-0006-0000-0500-000015000000}">
      <text>
        <r>
          <rPr>
            <b/>
            <sz val="9"/>
            <color indexed="81"/>
            <rFont val="Segoe UI"/>
            <family val="2"/>
          </rPr>
          <t>Veículos para atender as equipes de campo</t>
        </r>
      </text>
    </comment>
    <comment ref="D42" authorId="0" shapeId="0" xr:uid="{00000000-0006-0000-0500-000016000000}">
      <text>
        <r>
          <rPr>
            <b/>
            <sz val="9"/>
            <color indexed="81"/>
            <rFont val="Segoe UI"/>
            <family val="2"/>
          </rPr>
          <t>- 2 Equipes de Topografia (1 por eixo)</t>
        </r>
      </text>
    </comment>
    <comment ref="D44" authorId="1" shapeId="0" xr:uid="{00000000-0006-0000-0500-000017000000}">
      <text>
        <r>
          <rPr>
            <sz val="9"/>
            <color indexed="81"/>
            <rFont val="Segoe UI"/>
            <family val="2"/>
          </rPr>
          <t xml:space="preserve">Valor alterado de 0 para 84 conforme e-mail enviado dia 26/12/2017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Camila Alcantara Dutra Ribeiro</author>
  </authors>
  <commentList>
    <comment ref="D19" authorId="0" shapeId="0" xr:uid="{00000000-0006-0000-0600-000001000000}">
      <text>
        <r>
          <rPr>
            <b/>
            <sz val="9"/>
            <color indexed="81"/>
            <rFont val="Segoe UI"/>
            <family val="2"/>
          </rPr>
          <t>Quantidade de viagens Sede - Campo</t>
        </r>
      </text>
    </comment>
    <comment ref="D20" authorId="0" shapeId="0" xr:uid="{00000000-0006-0000-0600-000002000000}">
      <text>
        <r>
          <rPr>
            <sz val="9"/>
            <color indexed="81"/>
            <rFont val="Segoe UI"/>
            <family val="2"/>
          </rPr>
          <t xml:space="preserve">Quant. de profissionais nível superior e médio que estão no campo e farão viagens para os trechos.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Camila Alcantara Dutra Ribeiro</author>
  </authors>
  <commentList>
    <comment ref="B58" authorId="0" shapeId="0" xr:uid="{00000000-0006-0000-0E00-000001000000}">
      <text>
        <r>
          <rPr>
            <b/>
            <sz val="9"/>
            <color indexed="81"/>
            <rFont val="Segoe UI"/>
            <family val="2"/>
          </rPr>
          <t>- 1 Computador / Escritório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B59" authorId="0" shapeId="0" xr:uid="{00000000-0006-0000-0E00-000002000000}">
      <text>
        <r>
          <rPr>
            <b/>
            <sz val="9"/>
            <color indexed="81"/>
            <rFont val="Segoe UI"/>
            <family val="2"/>
          </rPr>
          <t>- 1 Impressora / Escritório</t>
        </r>
      </text>
    </comment>
    <comment ref="B143" authorId="0" shapeId="0" xr:uid="{00000000-0006-0000-0E00-000003000000}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- 18  computadores de mesa
</t>
        </r>
      </text>
    </comment>
    <comment ref="B144" authorId="0" shapeId="0" xr:uid="{00000000-0006-0000-0E00-000004000000}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 Data show por escritorio</t>
        </r>
      </text>
    </comment>
    <comment ref="B145" authorId="0" shapeId="0" xr:uid="{00000000-0006-0000-0E00-000005000000}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- 10 Notebooks para equipes remotas
</t>
        </r>
      </text>
    </comment>
    <comment ref="B146" authorId="0" shapeId="0" xr:uid="{00000000-0006-0000-0E00-000006000000}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- 8 impressoras por escritorio</t>
        </r>
      </text>
    </comment>
    <comment ref="B147" authorId="0" shapeId="0" xr:uid="{00000000-0006-0000-0E00-000007000000}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 impressora por escritorio</t>
        </r>
      </text>
    </comment>
    <comment ref="B148" authorId="0" shapeId="0" xr:uid="{00000000-0006-0000-0E00-000008000000}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 impressora por escritorio</t>
        </r>
      </text>
    </comment>
    <comment ref="B150" authorId="0" shapeId="0" xr:uid="{00000000-0006-0000-0E00-000009000000}">
      <text>
        <r>
          <rPr>
            <b/>
            <sz val="9"/>
            <color indexed="81"/>
            <rFont val="Segoe UI"/>
            <family val="2"/>
          </rPr>
          <t>Previsão:</t>
        </r>
        <r>
          <rPr>
            <sz val="9"/>
            <color indexed="81"/>
            <rFont val="Segoe UI"/>
            <family val="2"/>
          </rPr>
          <t xml:space="preserve">
- 10 câmeras para atender as equipes</t>
        </r>
      </text>
    </comment>
  </commentList>
</comments>
</file>

<file path=xl/sharedStrings.xml><?xml version="1.0" encoding="utf-8"?>
<sst xmlns="http://schemas.openxmlformats.org/spreadsheetml/2006/main" count="3437" uniqueCount="1028">
  <si>
    <t>ITEM</t>
  </si>
  <si>
    <t>DISCRIMINAÇÃO</t>
  </si>
  <si>
    <t>UND</t>
  </si>
  <si>
    <t>QTD</t>
  </si>
  <si>
    <t>1.1</t>
  </si>
  <si>
    <t>1.2</t>
  </si>
  <si>
    <t>1.3</t>
  </si>
  <si>
    <t>1.4</t>
  </si>
  <si>
    <t>1.5</t>
  </si>
  <si>
    <t>1.6</t>
  </si>
  <si>
    <t>Técnico Pleno</t>
  </si>
  <si>
    <t>1.7</t>
  </si>
  <si>
    <t>1.8</t>
  </si>
  <si>
    <t>C</t>
  </si>
  <si>
    <t>P0</t>
  </si>
  <si>
    <t>P1</t>
  </si>
  <si>
    <t>Eng. Médio - Engenheiro de Apoio de Campo</t>
  </si>
  <si>
    <t>P2</t>
  </si>
  <si>
    <t>Técnico Sênior Campo</t>
  </si>
  <si>
    <t>T0</t>
  </si>
  <si>
    <t>T1</t>
  </si>
  <si>
    <t>Topógrafo</t>
  </si>
  <si>
    <t>TS</t>
  </si>
  <si>
    <t>Auxiliar de Topografia</t>
  </si>
  <si>
    <t>T3</t>
  </si>
  <si>
    <t>SALÁRIOS MENSAL (R$)</t>
  </si>
  <si>
    <t>Encargos Sociais</t>
  </si>
  <si>
    <t>Und/Mês</t>
  </si>
  <si>
    <t>1.9</t>
  </si>
  <si>
    <t>1.10</t>
  </si>
  <si>
    <t>1.11</t>
  </si>
  <si>
    <t>1.12</t>
  </si>
  <si>
    <t>1.13</t>
  </si>
  <si>
    <t>1.14</t>
  </si>
  <si>
    <t>01</t>
  </si>
  <si>
    <t>02</t>
  </si>
  <si>
    <t>P4</t>
  </si>
  <si>
    <t>03</t>
  </si>
  <si>
    <t>04</t>
  </si>
  <si>
    <t>Técnico Sênior</t>
  </si>
  <si>
    <t>05</t>
  </si>
  <si>
    <t>06</t>
  </si>
  <si>
    <t>07</t>
  </si>
  <si>
    <t>PRODUTO</t>
  </si>
  <si>
    <t>Planejamento de Ações e Marcos Estratégicos</t>
  </si>
  <si>
    <t>Estudos e Simulações Elétricas - Incluindo Automação Elétrica e de Processo</t>
  </si>
  <si>
    <t>Equipe</t>
  </si>
  <si>
    <t>TOTAL - Salários equipe (R$):</t>
  </si>
  <si>
    <t>TOTAL</t>
  </si>
  <si>
    <t>NOME DO INFORMANTE:</t>
  </si>
  <si>
    <t>QUALIFICAÇÃO:</t>
  </si>
  <si>
    <t>ASSINATURA:</t>
  </si>
  <si>
    <t>DATA:</t>
  </si>
  <si>
    <t>OBSERVAÇÃO:</t>
  </si>
  <si>
    <t xml:space="preserve"> COMPOSIÇÃO DE PREÇO UNITÁRIO</t>
  </si>
  <si>
    <t>UNIDADE</t>
  </si>
  <si>
    <t>QUANT.</t>
  </si>
  <si>
    <t>MÃO DE OBRA</t>
  </si>
  <si>
    <t>Conjunto Microcomputador</t>
  </si>
  <si>
    <t>Impressora A3</t>
  </si>
  <si>
    <t>Plotter</t>
  </si>
  <si>
    <t>und x mês</t>
  </si>
  <si>
    <t>Notebook</t>
  </si>
  <si>
    <t>Mês</t>
  </si>
  <si>
    <t>Prazo (Mês):</t>
  </si>
  <si>
    <t>A1</t>
  </si>
  <si>
    <t>A4</t>
  </si>
  <si>
    <t>Assistente Administrativo</t>
  </si>
  <si>
    <t>Telefone / Internet</t>
  </si>
  <si>
    <t>Impressora Multifuncional (Impressora+Scanner+copiadora)</t>
  </si>
  <si>
    <t>Mesa Escritório</t>
  </si>
  <si>
    <t>Mesa reunião 8 Lugares</t>
  </si>
  <si>
    <t>Gaveteiro</t>
  </si>
  <si>
    <t>Armário para escritório Baixo</t>
  </si>
  <si>
    <t>Armário Estante para escritório</t>
  </si>
  <si>
    <t>Cadeira Giratória com Braço para Escritório</t>
  </si>
  <si>
    <t>Condicionador de Ar - 9.000 Btus</t>
  </si>
  <si>
    <t>Filtro Purificador de água</t>
  </si>
  <si>
    <t>Cadeira p/ escritório giratória com regulagem por pistão à gás (Sala Reunião)</t>
  </si>
  <si>
    <t>Cafeteira</t>
  </si>
  <si>
    <t>und</t>
  </si>
  <si>
    <t>2.1</t>
  </si>
  <si>
    <t>2.2</t>
  </si>
  <si>
    <t>3.1</t>
  </si>
  <si>
    <t>3.2</t>
  </si>
  <si>
    <t>4.1</t>
  </si>
  <si>
    <t>4.2</t>
  </si>
  <si>
    <t>6.1</t>
  </si>
  <si>
    <t>6.2</t>
  </si>
  <si>
    <t>Secretária</t>
  </si>
  <si>
    <t>1.15</t>
  </si>
  <si>
    <t>1.16</t>
  </si>
  <si>
    <t>Profissional em TI - Nível Médio</t>
  </si>
  <si>
    <t>Profissional em TI - Pleno</t>
  </si>
  <si>
    <t>Motorista</t>
  </si>
  <si>
    <t>AS</t>
  </si>
  <si>
    <t>A0</t>
  </si>
  <si>
    <t>A3</t>
  </si>
  <si>
    <t>Geladeira</t>
  </si>
  <si>
    <t>1.</t>
  </si>
  <si>
    <t>2.</t>
  </si>
  <si>
    <t>3.</t>
  </si>
  <si>
    <t>Unid.</t>
  </si>
  <si>
    <t>Açucar</t>
  </si>
  <si>
    <t>kg</t>
  </si>
  <si>
    <t>Água Mineral (20 litros)</t>
  </si>
  <si>
    <t>garraf</t>
  </si>
  <si>
    <t>Água Sanitária 1000 ml</t>
  </si>
  <si>
    <t>Café torrado e moído</t>
  </si>
  <si>
    <t>Caneta esfereográfica Azul</t>
  </si>
  <si>
    <t>Capa para encadernação Azul</t>
  </si>
  <si>
    <t>Capa para encadernação Transparente</t>
  </si>
  <si>
    <t>Cartucho colorido para impressora</t>
  </si>
  <si>
    <t>Cartucho preto para impressora</t>
  </si>
  <si>
    <t>CD RW</t>
  </si>
  <si>
    <t>Cera líquida 1000 ml</t>
  </si>
  <si>
    <t>Classificador elástico</t>
  </si>
  <si>
    <t>Cola tenaz</t>
  </si>
  <si>
    <t>Corretivo a base d'agua 18 ml</t>
  </si>
  <si>
    <t>Desinfetante</t>
  </si>
  <si>
    <t>Alcool</t>
  </si>
  <si>
    <t>Detergente 500ml</t>
  </si>
  <si>
    <t>Envelope de papel tamanho grande - 40 cm</t>
  </si>
  <si>
    <t>Envelope de papel tamanho médio - 35 cm</t>
  </si>
  <si>
    <t>Espiral 7mm</t>
  </si>
  <si>
    <t>Espiral 9mm</t>
  </si>
  <si>
    <t>Esponja de prato</t>
  </si>
  <si>
    <t>Estilete</t>
  </si>
  <si>
    <t>Fita adesiva</t>
  </si>
  <si>
    <t>Fita adesiva transparente</t>
  </si>
  <si>
    <t>Fita crepe branca 45 x 50m</t>
  </si>
  <si>
    <t>Flanela</t>
  </si>
  <si>
    <t>Lápis grafite</t>
  </si>
  <si>
    <t>Livro de ata com 100 páginas numeradas</t>
  </si>
  <si>
    <t>Livro de ocorrência 50 páginas (três vias)</t>
  </si>
  <si>
    <t>Marca texto</t>
  </si>
  <si>
    <t>Mina grafite 05mm c 12 unidades</t>
  </si>
  <si>
    <t>Mina grafite 07mm c 12 unidades</t>
  </si>
  <si>
    <t>Pacote de lã de aço 60 g</t>
  </si>
  <si>
    <t>Pano de chão</t>
  </si>
  <si>
    <t>Papel Toalha</t>
  </si>
  <si>
    <t>rolo</t>
  </si>
  <si>
    <t>Pano de prato</t>
  </si>
  <si>
    <t>Pasta arquivo</t>
  </si>
  <si>
    <t>Pasta suspensa</t>
  </si>
  <si>
    <t>Régua 30 cm</t>
  </si>
  <si>
    <t>Resma papel A4</t>
  </si>
  <si>
    <t>Bobina papel para ploter A0</t>
  </si>
  <si>
    <t>Rolos de papel higiênico</t>
  </si>
  <si>
    <t>Sabão em pó 500g</t>
  </si>
  <si>
    <t>Rodo de borracha</t>
  </si>
  <si>
    <t>Vassoura</t>
  </si>
  <si>
    <t>Sabonetes 90 g</t>
  </si>
  <si>
    <t>Tinta para carimbo</t>
  </si>
  <si>
    <t>Bota de couro solado de borracha vulcanizado</t>
  </si>
  <si>
    <t>Boné árabe em helanca malha fria na cor azul</t>
  </si>
  <si>
    <t>Boné simples</t>
  </si>
  <si>
    <t>Bota CA4721 Eletricista/Mecânico/Operadores</t>
  </si>
  <si>
    <t>Capa de Chuva</t>
  </si>
  <si>
    <t>Cinto de segurança para Eletricista</t>
  </si>
  <si>
    <t>Uniforme Eletricista Retardante A Chama Nr10 Sem Refletivo</t>
  </si>
  <si>
    <t>ASSINTATURA:</t>
  </si>
  <si>
    <t>DESCRIÇÃO</t>
  </si>
  <si>
    <t>Processo:</t>
  </si>
  <si>
    <t>Data da Pesquisa:</t>
  </si>
  <si>
    <t>Período Pesquisado:</t>
  </si>
  <si>
    <t>TRECHO</t>
  </si>
  <si>
    <t>Taxas</t>
  </si>
  <si>
    <t>Valor  Unitário</t>
  </si>
  <si>
    <t>-</t>
  </si>
  <si>
    <t>Taxas Aeroportuárias:</t>
  </si>
  <si>
    <t>Valor da Taxa</t>
  </si>
  <si>
    <t>Juazeiro do Norte (JDO)</t>
  </si>
  <si>
    <t>Brasília (BSB)</t>
  </si>
  <si>
    <t>São Paulo (GRU)</t>
  </si>
  <si>
    <t>Rio de Janeiro (GIG)</t>
  </si>
  <si>
    <t>Curitiba (CWB)</t>
  </si>
  <si>
    <t>Salvador (SSA)</t>
  </si>
  <si>
    <t>Porto Alegre (POA)</t>
  </si>
  <si>
    <t>Recife (REC)</t>
  </si>
  <si>
    <t>Petrolina (PNZ)</t>
  </si>
  <si>
    <t>Cidade/Aeroporto</t>
  </si>
  <si>
    <t>REC - BSB</t>
  </si>
  <si>
    <t>REC - GRU</t>
  </si>
  <si>
    <t>REC - GIG</t>
  </si>
  <si>
    <t>REC - CWB</t>
  </si>
  <si>
    <t>REC - SSA</t>
  </si>
  <si>
    <t>REC - POA</t>
  </si>
  <si>
    <t>BSB - REC</t>
  </si>
  <si>
    <t>GRU - REC</t>
  </si>
  <si>
    <t>GIG - REC</t>
  </si>
  <si>
    <t>CWB - REC</t>
  </si>
  <si>
    <t>SSA - REC</t>
  </si>
  <si>
    <t>POA - REC</t>
  </si>
  <si>
    <t>BSB - PNZ</t>
  </si>
  <si>
    <t>GRU - PNZ</t>
  </si>
  <si>
    <t>GIG - PNZ</t>
  </si>
  <si>
    <t>CWB - PNZ</t>
  </si>
  <si>
    <t>SSA - PNZ</t>
  </si>
  <si>
    <t>POA - PNZ</t>
  </si>
  <si>
    <t>REC - PNZ</t>
  </si>
  <si>
    <t>PNZ - BSB</t>
  </si>
  <si>
    <t>PNZ - GRU</t>
  </si>
  <si>
    <t>PNZ - GIG</t>
  </si>
  <si>
    <t>PNZ - CWB</t>
  </si>
  <si>
    <t>PNZ - SSA</t>
  </si>
  <si>
    <t>PNZ - POA</t>
  </si>
  <si>
    <t>PNZ - REC</t>
  </si>
  <si>
    <t>JDO - BSB</t>
  </si>
  <si>
    <t>JDO - GRU</t>
  </si>
  <si>
    <t>JDO - GIG</t>
  </si>
  <si>
    <t>JDO - CWB</t>
  </si>
  <si>
    <t>JDO - SSA</t>
  </si>
  <si>
    <t>JDO - POA</t>
  </si>
  <si>
    <t>JDO - REC</t>
  </si>
  <si>
    <t>BSB - JDO</t>
  </si>
  <si>
    <t>GRU - JDO</t>
  </si>
  <si>
    <t>GIG - JDO</t>
  </si>
  <si>
    <t>CWB - JDO</t>
  </si>
  <si>
    <t>SSA - JDO</t>
  </si>
  <si>
    <t>POA - JDO</t>
  </si>
  <si>
    <t>REC - JDO</t>
  </si>
  <si>
    <t>2ª Semana de Janeiro/2018</t>
  </si>
  <si>
    <t>Pré Operação PISF</t>
  </si>
  <si>
    <t>COTAÇÕES DE PASSAGENS AÉREAS</t>
  </si>
  <si>
    <t>Plano de Comunicação Social</t>
  </si>
  <si>
    <t>Publicitário</t>
  </si>
  <si>
    <t>P3</t>
  </si>
  <si>
    <t xml:space="preserve">Jornalista </t>
  </si>
  <si>
    <t>Revisor (Nivel Superior - Letras)</t>
  </si>
  <si>
    <t>Chefe de Escritório</t>
  </si>
  <si>
    <t>1.17</t>
  </si>
  <si>
    <t>1.18</t>
  </si>
  <si>
    <t>1.19</t>
  </si>
  <si>
    <t>Gestor em Comunicação (Superior em Comunicação)</t>
  </si>
  <si>
    <t>h</t>
  </si>
  <si>
    <t>PLANO DE COMUNICAÇÃO SOCIAL</t>
  </si>
  <si>
    <t>GESTÃO DE ATIVOS PATRIMONIAIS</t>
  </si>
  <si>
    <t>Engenheiro Hidráulico (Civil ou Mecânica)</t>
  </si>
  <si>
    <t>Engenheiro Hidrologia</t>
  </si>
  <si>
    <t>Engenheiro Hidráulica</t>
  </si>
  <si>
    <t>Técnico Esecializado - Informática</t>
  </si>
  <si>
    <t>Prazo (Mês)</t>
  </si>
  <si>
    <t>Eng. Pleno - Telecomunicações</t>
  </si>
  <si>
    <t>Eng. Pleno - Automação</t>
  </si>
  <si>
    <t>Eng. Pleno - Ambiental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</si>
  <si>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</si>
  <si>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</si>
  <si>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</si>
  <si>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</si>
  <si>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</si>
  <si>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</si>
  <si>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</si>
  <si>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</si>
  <si>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</si>
  <si>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</si>
  <si>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TOTAL GERAL - Salário Equipe PRODUTO 01 (R$):</t>
  </si>
  <si>
    <t>3.3</t>
  </si>
  <si>
    <t>3.4</t>
  </si>
  <si>
    <t>TOTAL GERAL - Salário Equipe PRODUTO 03 (R$):</t>
  </si>
  <si>
    <t>4.</t>
  </si>
  <si>
    <t>4.3</t>
  </si>
  <si>
    <t>4.4</t>
  </si>
  <si>
    <t>4.5</t>
  </si>
  <si>
    <t>TOTAL GERAL - Salário Equipe PRODUTO 04 (R$):</t>
  </si>
  <si>
    <t>5.</t>
  </si>
  <si>
    <t>5.1</t>
  </si>
  <si>
    <t>5.2</t>
  </si>
  <si>
    <t>TOTAL GERAL - Salário Equipe PRODUTO 05 (R$):</t>
  </si>
  <si>
    <t>6.</t>
  </si>
  <si>
    <t>6.3</t>
  </si>
  <si>
    <t>TOTAL GERAL - Salário Equipe PRODUTO 06 (R$):</t>
  </si>
  <si>
    <t>Serviços Gerais (Limpeza)</t>
  </si>
  <si>
    <t>Técnico em TI (Pleno)</t>
  </si>
  <si>
    <t>Vigilância</t>
  </si>
  <si>
    <t>Engenheiro Eletricista</t>
  </si>
  <si>
    <t>Engenheiro Mecânico</t>
  </si>
  <si>
    <t>Engenheiro Telecomunicações</t>
  </si>
  <si>
    <t>Engenheiro Automação</t>
  </si>
  <si>
    <t>Geólogo</t>
  </si>
  <si>
    <t>Gerente de Contrato - Engenheiro Senior</t>
  </si>
  <si>
    <t>Apoio a gestão e atividades técnicas especializadas, acompanhamento de comissionamentos, testes e pré-operação / Estudo e coleta de dados da implantação do Projeto / Plano de Segurança e saúde do Trabalho</t>
  </si>
  <si>
    <t>Estratégias de oferta e Demanda</t>
  </si>
  <si>
    <t>Gestão de Ativos Patrimoniais</t>
  </si>
  <si>
    <t>Administração Central</t>
  </si>
  <si>
    <t>TOTAL GERAL - Salário Equipe PRODUTO 02 (R$):</t>
  </si>
  <si>
    <t>2.3</t>
  </si>
  <si>
    <t>2.4</t>
  </si>
  <si>
    <t>2.5</t>
  </si>
  <si>
    <t>2.6</t>
  </si>
  <si>
    <t>2.7</t>
  </si>
  <si>
    <t>2.8</t>
  </si>
  <si>
    <t>CONTRATAÇÃO DE APOIO TÉCNICO PARA ACOMPANHAMENTO DAS ATIVIDADES DA GESTÃO DO PROJETO DE INTEGRAÇÃO DO RIO SÃO FRANCISCO COM AS BACIAS HIDROGRÁFICAS DO NORDESTE SETENTRIONAL – PISF</t>
  </si>
  <si>
    <t>COM Encargo</t>
  </si>
  <si>
    <t xml:space="preserve">Ministério da Integração Nacional - MI
</t>
  </si>
  <si>
    <t xml:space="preserve">Companhia de Desenvolvimento dos Vales do São Francisco e do Parnaíba
</t>
  </si>
  <si>
    <t>SEM Encargo</t>
  </si>
  <si>
    <t>CODIGO</t>
  </si>
  <si>
    <t>RESUMO - MÃO-DE-OBRA</t>
  </si>
  <si>
    <t>Nº de Meses</t>
  </si>
  <si>
    <t>VALOR POR TRECHO AÉREO:</t>
  </si>
  <si>
    <t>Quant. De Trechos durante Contrato</t>
  </si>
  <si>
    <t>Previsão Total (R$)</t>
  </si>
  <si>
    <t>Valor Unitário por TRECHO AÉREO (R$)</t>
  </si>
  <si>
    <t>VIAGENS - Trechos Aéreos e Terrestres</t>
  </si>
  <si>
    <t>Valor da Diária (R$)</t>
  </si>
  <si>
    <t>Aluguel - Casa para Engenheiro</t>
  </si>
  <si>
    <t>Aluguel - Alojamento para Pessoal</t>
  </si>
  <si>
    <t>Qnt total de Meses</t>
  </si>
  <si>
    <t>Valor Total (R$)</t>
  </si>
  <si>
    <t>Aluguel  - Escritório Apoio logístico</t>
  </si>
  <si>
    <t xml:space="preserve">Aluguel  - Escritório Central </t>
  </si>
  <si>
    <t>Mobiliário</t>
  </si>
  <si>
    <t>3.5</t>
  </si>
  <si>
    <t>TOTAL (R$):</t>
  </si>
  <si>
    <t>Escritório Apoio logístico</t>
  </si>
  <si>
    <t xml:space="preserve"> Escritório Central </t>
  </si>
  <si>
    <t>Casa para Engenheiro</t>
  </si>
  <si>
    <t>Alojamento para Pessoal</t>
  </si>
  <si>
    <t>Lapiseira 0,5mm</t>
  </si>
  <si>
    <t>Lapiseira 0,7mm</t>
  </si>
  <si>
    <t>Valor Unitário</t>
  </si>
  <si>
    <t>Grampo tipo trilho (caixa)</t>
  </si>
  <si>
    <t>Grampo 26/6 (caixa)</t>
  </si>
  <si>
    <t>Clips nº 08 (caixa)</t>
  </si>
  <si>
    <t>Clips nº 06 (caixa)</t>
  </si>
  <si>
    <t>Clips nº 02 (caixa)</t>
  </si>
  <si>
    <t>Clips nº 04 (caixa)</t>
  </si>
  <si>
    <t>Clips nº 00 (caixa)</t>
  </si>
  <si>
    <t>Valor Total</t>
  </si>
  <si>
    <t>MATERIAL DE ESCRITÓRIO CENTRAL - VALOR MENSAL (R$):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</si>
  <si>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</si>
  <si>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</si>
  <si>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</si>
  <si>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</si>
  <si>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</si>
  <si>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</si>
  <si>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</si>
  <si>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</si>
  <si>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</si>
  <si>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</si>
  <si>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</si>
  <si>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</si>
  <si>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</si>
  <si>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</si>
  <si>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</si>
  <si>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</si>
  <si>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Copo descartável 200 ml (pacote 50und)</t>
  </si>
  <si>
    <t>Copo descartável 50 ml (Pacote 50 und)</t>
  </si>
  <si>
    <t>Material de limpeza / higiene - Central</t>
  </si>
  <si>
    <t>Material de limpeza / higiene - Apoio</t>
  </si>
  <si>
    <t>Material de escritório - Central</t>
  </si>
  <si>
    <t>Material de escritório - Apoio</t>
  </si>
  <si>
    <t>Grampeador 26/6</t>
  </si>
  <si>
    <t>1.46</t>
  </si>
  <si>
    <t>Grampeador 23/6</t>
  </si>
  <si>
    <t>Material de Escritório - Central</t>
  </si>
  <si>
    <t>1.47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</si>
  <si>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</si>
  <si>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</si>
  <si>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</si>
  <si>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</si>
  <si>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</si>
  <si>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</si>
  <si>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</si>
  <si>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</si>
  <si>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</si>
  <si>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</si>
  <si>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</si>
  <si>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</si>
  <si>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</si>
  <si>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</si>
  <si>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3.6</t>
  </si>
  <si>
    <t>3.7</t>
  </si>
  <si>
    <t>Material Higiene / Limpeza - Escritorio Central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</si>
  <si>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</si>
  <si>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</si>
  <si>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</si>
  <si>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</si>
  <si>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</si>
  <si>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</si>
  <si>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</si>
  <si>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</si>
  <si>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</si>
  <si>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</si>
  <si>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</si>
  <si>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</si>
  <si>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</si>
  <si>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</si>
  <si>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</si>
  <si>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</si>
  <si>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</si>
  <si>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</si>
  <si>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</si>
  <si>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</si>
  <si>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</si>
  <si>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</si>
  <si>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</si>
  <si>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</si>
  <si>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</si>
  <si>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</si>
  <si>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</si>
  <si>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</si>
  <si>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</si>
  <si>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</si>
  <si>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Desinfetante 500ml</t>
  </si>
  <si>
    <t>Administração e Manutenção de Escritórios</t>
  </si>
  <si>
    <t>Veículos</t>
  </si>
  <si>
    <t>Serviços Gráficos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</si>
  <si>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</si>
  <si>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</si>
  <si>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</si>
  <si>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</si>
  <si>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</si>
  <si>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</si>
  <si>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</si>
  <si>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</si>
  <si>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</si>
  <si>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</si>
  <si>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MOBILIÁRIO DO ESCRITÓRIO CENTRAL - VALOR MENSAL (R$):</t>
  </si>
  <si>
    <t>5.13</t>
  </si>
  <si>
    <t>5.14</t>
  </si>
  <si>
    <t>5.15</t>
  </si>
  <si>
    <t>5.16</t>
  </si>
  <si>
    <t>MEMORIAL DE CÁLCULO - PASSAGENS AÉREAS</t>
  </si>
  <si>
    <t>MEMORIAL DE CÁLCULO - ADMINSITRAÇÃO E EMANUTENÇÃO DE ESCRITÓRIOS</t>
  </si>
  <si>
    <t>Aluguel de veículo leve  tipo Hatch 1.4 Flex (5.000Km/mês)</t>
  </si>
  <si>
    <t>Aluguel de veículo leve  tipo Hatch 1.4 Flex (7.000Km/mês)</t>
  </si>
  <si>
    <t>Aluguel de veículo tipo pick-up cabine simples 4x4  (7.000Km/mês)</t>
  </si>
  <si>
    <t>Aluguel de veículo tipo pick-up cabine dupla 4x4  (7.000Km/mês)</t>
  </si>
  <si>
    <t>Fonte do Preço do Mobiliário: Tabela de Consutoria SICRO/DNIT e Preços de mercado</t>
  </si>
  <si>
    <t>Fonte do Quantitativo/Valor Manutenção: Baseado nos contratos existentes do PISF/Codevasf e Preços de Mercado</t>
  </si>
  <si>
    <t>Fonte do preço Aluguel de Veículos: Tabela consultiva Codevasf (Já incluem combustível e manutenção)</t>
  </si>
  <si>
    <t>GRUPO "A"</t>
  </si>
  <si>
    <t>%</t>
  </si>
  <si>
    <t xml:space="preserve">INSS (Art. 22 inciso I da Lei 8.212/91) </t>
  </si>
  <si>
    <t>FGTS (Art. 15 da Lei 8030/90 art. 7° inciso III CF/88)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</si>
  <si>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</si>
  <si>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</si>
  <si>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</si>
  <si>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</si>
  <si>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INCRA  (Lei 7787 de 30/06/890e DL 1146/70)</t>
  </si>
  <si>
    <t>TOTAL - Grupo A:</t>
  </si>
  <si>
    <t>GRUPO "B"</t>
  </si>
  <si>
    <t>Aviso Prévio Trabalhado</t>
  </si>
  <si>
    <t>13º Salário</t>
  </si>
  <si>
    <t>TOTAL - Grupo B:</t>
  </si>
  <si>
    <t>GRUPO "C"</t>
  </si>
  <si>
    <t>Aviso Prévio Indenizado</t>
  </si>
  <si>
    <t>Indenização Adicional</t>
  </si>
  <si>
    <t>TOTAL - Grupo C:</t>
  </si>
  <si>
    <t>GRUPO "D"</t>
  </si>
  <si>
    <t>TOTAL - Grupo D:</t>
  </si>
  <si>
    <t>TOTAL - Encargos Sociais e Trabalhistas:</t>
  </si>
  <si>
    <t xml:space="preserve"> ENCARGOS SOCIAIS E TRABALHISTAS</t>
  </si>
  <si>
    <t>Fonte: CAIXA ECONÔMICA FEDERAL</t>
  </si>
  <si>
    <t xml:space="preserve">Seguro contra Acidentes de Trabalho  (Decreto 3.048/1999, Anexo V e Decreto 6.957/2009)  </t>
  </si>
  <si>
    <t>A2</t>
  </si>
  <si>
    <t>A5</t>
  </si>
  <si>
    <t>A6</t>
  </si>
  <si>
    <t>A7</t>
  </si>
  <si>
    <t>A8</t>
  </si>
  <si>
    <t>Repouso semanal remunerado</t>
  </si>
  <si>
    <t>Feriados</t>
  </si>
  <si>
    <t>Auxílio Enfermidade</t>
  </si>
  <si>
    <t>Licença Paternidade Faltas justificadas</t>
  </si>
  <si>
    <t>Dias de Chuva</t>
  </si>
  <si>
    <t>Auxílio Acidente de Trabalho</t>
  </si>
  <si>
    <t>Férias Gozadas</t>
  </si>
  <si>
    <t>Salário Maternidade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</si>
  <si>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</si>
  <si>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</si>
  <si>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</si>
  <si>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</si>
  <si>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</si>
  <si>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</si>
  <si>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</si>
  <si>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</si>
  <si>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</si>
  <si>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</si>
  <si>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C1</t>
  </si>
  <si>
    <t>C2</t>
  </si>
  <si>
    <t>C3</t>
  </si>
  <si>
    <t>C4</t>
  </si>
  <si>
    <t>C5</t>
  </si>
  <si>
    <t>Férias Indenizadas</t>
  </si>
  <si>
    <t>Depósito Rescisão sem Justa Causa</t>
  </si>
  <si>
    <t>D1</t>
  </si>
  <si>
    <t>D2</t>
  </si>
  <si>
    <t>Reincidência de Grupo A sobre Grupo B</t>
  </si>
  <si>
    <t>Reincidência de Grupo A sobre C2 e Reincidência de A8 sobre C1</t>
  </si>
  <si>
    <t>QUADRO-RESUMO: ENCARGOS SOCIAIS E TRABALHISTAS</t>
  </si>
  <si>
    <t>Os percentuais dos encargos previdenciários e FGTS, a serem preenchidos na coluna %, são aqueles estabelecidos pela legislação vigente, incidentes sobre a remuneração</t>
  </si>
  <si>
    <t>Relatório Final</t>
  </si>
  <si>
    <t>CUSTOS DIRETOS</t>
  </si>
  <si>
    <t>PLANILHA DE PREÇOS POR PRODUTO</t>
  </si>
  <si>
    <t>A</t>
  </si>
  <si>
    <t>B</t>
  </si>
  <si>
    <t>Com Vínculo</t>
  </si>
  <si>
    <t>Consultoria</t>
  </si>
  <si>
    <t>Total Geral - Equipe com Vínculo (R$):</t>
  </si>
  <si>
    <t>Total Geral - Equipe sem Vínculo - CONSULTORIA (R$):</t>
  </si>
  <si>
    <t>EQUIPE</t>
  </si>
  <si>
    <t>Outros Custos (PERICULOSIDADE)</t>
  </si>
  <si>
    <t>ENCARGOS SOCIAIS</t>
  </si>
  <si>
    <t>D</t>
  </si>
  <si>
    <t>E</t>
  </si>
  <si>
    <t>F</t>
  </si>
  <si>
    <t>CUSTOS INDIRETOS - Total (R$):</t>
  </si>
  <si>
    <t>Apoio a Gestão e Atividades Técnicas Especializadas, Acompanhamento de Comissionamentos, Testes e Pré-operação / Estudo e Coleta de Dados da Implantação do Projeto / Plano de Segurança e Saúde do Trabalho</t>
  </si>
  <si>
    <t>Custos da equipe da administração central da empresa consultora ( 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</si>
  <si>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</si>
  <si>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</si>
  <si>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TOTAIS DO CUSTO DE ADMINISTRAÇÃO</t>
  </si>
  <si>
    <t>OBSERVAÇAO:</t>
  </si>
  <si>
    <t>SALÁRIO TOTAL (R$)</t>
  </si>
  <si>
    <t>CUSTOS ADMINISTRAÇÃO - DETALHAMENTO</t>
  </si>
  <si>
    <t>DF %</t>
  </si>
  <si>
    <t>DF' %</t>
  </si>
  <si>
    <t>1 - ISS</t>
  </si>
  <si>
    <t>2 - PIS</t>
  </si>
  <si>
    <t>3 - COFINS</t>
  </si>
  <si>
    <t>CUSTOS INDIRETOS</t>
  </si>
  <si>
    <t>Especialista em Planejamento Organizacional, Gerenciamento de Portifolio, Programa, Projetos e Processos (Produto 2)</t>
  </si>
  <si>
    <t>Especialista em Planejamento Organizacional - Plano de Ação (Etapa 6)</t>
  </si>
  <si>
    <t>Especialista em Planejamento Organizacional, Gerenciamento de portfólio, Programas, Projetos e Processos (Etapa 1 / 2 / 3)</t>
  </si>
  <si>
    <t>Especialista em Soluções de Tecnologia da Informação (Etapa 7)</t>
  </si>
  <si>
    <t>ADMINISTRATIVO (Escritório - APOIO LOGISTICO)</t>
  </si>
  <si>
    <t>ADMINISTRATIVO (Escritório Central - CAMPO)</t>
  </si>
  <si>
    <t>7.1</t>
  </si>
  <si>
    <t>7.2</t>
  </si>
  <si>
    <t>7.1.1</t>
  </si>
  <si>
    <t>7.1.2</t>
  </si>
  <si>
    <t>7.2.1</t>
  </si>
  <si>
    <t>7.2.2</t>
  </si>
  <si>
    <t>7.2.3</t>
  </si>
  <si>
    <t>7.2.4</t>
  </si>
  <si>
    <t>7.2.5</t>
  </si>
  <si>
    <t>7.2.6</t>
  </si>
  <si>
    <t>7.2.7</t>
  </si>
  <si>
    <t>7.3</t>
  </si>
  <si>
    <t>7.4</t>
  </si>
  <si>
    <t>7.4.1</t>
  </si>
  <si>
    <t>7.4.2</t>
  </si>
  <si>
    <t>7.4.3</t>
  </si>
  <si>
    <t>7.4.4</t>
  </si>
  <si>
    <t>7.4.5</t>
  </si>
  <si>
    <t>7.4.6</t>
  </si>
  <si>
    <t>7.4.7</t>
  </si>
  <si>
    <t>EQUIPE TÉCNICA (Escritório Central - SEDE BSB)</t>
  </si>
  <si>
    <t>Técnico Sênior - Segurança do Trabalho</t>
  </si>
  <si>
    <t>Apoio a Gestão e Atividades Técnicas Especializadas, Acompanhamento de Comissinamentos, Recebimento, Testes e Pré-Operação / Estudo e Coleta de Dados da Implantação do Projeto / Plano de Segurança e Saúde do Trabalho</t>
  </si>
  <si>
    <t>Eng. Pleno - Civil</t>
  </si>
  <si>
    <t>Eng. Pleno - Mecânica</t>
  </si>
  <si>
    <t>Eng. Pleno - Eletricista</t>
  </si>
  <si>
    <t>Auxiliar Administrativo</t>
  </si>
  <si>
    <t>7.2.8</t>
  </si>
  <si>
    <t>Serviços Gerais (Limpeza / Copa)</t>
  </si>
  <si>
    <t>ADMINISTRATIVO (Escritório Central - SEDE)</t>
  </si>
  <si>
    <t>7.3.1</t>
  </si>
  <si>
    <t>7.3.2</t>
  </si>
  <si>
    <t>7.3.3</t>
  </si>
  <si>
    <t>Consultor - Sistemas Elétricos</t>
  </si>
  <si>
    <t>Consultor - Sistemas de Automação</t>
  </si>
  <si>
    <t>Consultor - Hidrologia</t>
  </si>
  <si>
    <t>Consultor - Hidráulica</t>
  </si>
  <si>
    <t>Engenheiro Médio</t>
  </si>
  <si>
    <t>Técnico Junior</t>
  </si>
  <si>
    <t>T2</t>
  </si>
  <si>
    <t>Consultoria - Gestão de Ativos Patrimoniais</t>
  </si>
  <si>
    <t xml:space="preserve">1.1.  APOIO A GESTÃO E ATIVIDADES TÉCNICAS ESPECIALIZADAS, ACOMPANHAMENTO DE COMISSIONAMENTOS, TESTES E PRÉ-OPERAÇÃO / ESTUDO E COLETA DE DADOS DA IMPLANTAÇÃO DO PROJETO / PLANO DE SEGURANÇA E SAÚDE DO TRABALHO </t>
  </si>
  <si>
    <t>5.1.1</t>
  </si>
  <si>
    <t>5.1.2</t>
  </si>
  <si>
    <t>APOIO À GESTÃO E ATIVIDADES TÉCNICAS ESPECIALIZADAS</t>
  </si>
  <si>
    <t>5.1.3</t>
  </si>
  <si>
    <t xml:space="preserve">ACOMPANHAMENTO DE TESTES, COMISSIONAMENTOS E PRÉ-OPERAÇÃO E APOIO AO RECEBIMENTO </t>
  </si>
  <si>
    <t>5.1.4</t>
  </si>
  <si>
    <t>PLANO DE SAÚDE E SEGURANÇA DO TRABALHO</t>
  </si>
  <si>
    <t>PLANEJAMENTO DE AÇÕES E MARCOS ESTRATÉGICOS</t>
  </si>
  <si>
    <t>ESTRATÉGIA DE OFERTA E DEMANDA </t>
  </si>
  <si>
    <t>MOBILIZAÇÃO</t>
  </si>
  <si>
    <t>CRONOGRAMA FÍSICO</t>
  </si>
  <si>
    <t>Duração (meses)</t>
  </si>
  <si>
    <t>1º</t>
  </si>
  <si>
    <t>2º</t>
  </si>
  <si>
    <t>3º</t>
  </si>
  <si>
    <t>4º</t>
  </si>
  <si>
    <t>5º</t>
  </si>
  <si>
    <t>6º</t>
  </si>
  <si>
    <t>7º</t>
  </si>
  <si>
    <t>8º</t>
  </si>
  <si>
    <t>9º</t>
  </si>
  <si>
    <t>10º</t>
  </si>
  <si>
    <t>11º</t>
  </si>
  <si>
    <t>12º</t>
  </si>
  <si>
    <t>13º</t>
  </si>
  <si>
    <t>14º</t>
  </si>
  <si>
    <t>15º</t>
  </si>
  <si>
    <t>16º</t>
  </si>
  <si>
    <t>17º</t>
  </si>
  <si>
    <t>18º</t>
  </si>
  <si>
    <t>19º</t>
  </si>
  <si>
    <t>ESTUDO E COLETA DE DADOS DA IMPLANTAÇÃO DO PROJETO</t>
  </si>
  <si>
    <t>5.2.1</t>
  </si>
  <si>
    <t>5.2.2</t>
  </si>
  <si>
    <t>5.2.3</t>
  </si>
  <si>
    <t>5.2.4</t>
  </si>
  <si>
    <t>5.2.5</t>
  </si>
  <si>
    <t>5.2.7</t>
  </si>
  <si>
    <t>5.2.6</t>
  </si>
  <si>
    <t>1m10d</t>
  </si>
  <si>
    <t>20d</t>
  </si>
  <si>
    <t>DESMOBILIZAÇÃO</t>
  </si>
  <si>
    <t>Eng. Planejamento (O&amp;M)</t>
  </si>
  <si>
    <t>Técnico de Planejamento (O&amp;M)</t>
  </si>
  <si>
    <t>Engenheiro Hidrólogo (Civil)</t>
  </si>
  <si>
    <t>Engenheiro Civil</t>
  </si>
  <si>
    <t>Engenheiro Trainee</t>
  </si>
  <si>
    <t>Fonte do Preço dos aluguéis: Tabela de Consutoria SICRO/DNIT e Contratos PISF/Codevasf ( nº 0.143.00/2013 )</t>
  </si>
  <si>
    <t>Locação (campo ou sede?)</t>
  </si>
  <si>
    <t>Nível (médio ou superior?)</t>
  </si>
  <si>
    <t>campo</t>
  </si>
  <si>
    <t>superior</t>
  </si>
  <si>
    <t>médio</t>
  </si>
  <si>
    <t>sede</t>
  </si>
  <si>
    <t>Qtd</t>
  </si>
  <si>
    <t>Superior</t>
  </si>
  <si>
    <t>Médio</t>
  </si>
  <si>
    <t>Aluguel</t>
  </si>
  <si>
    <t>externo</t>
  </si>
  <si>
    <t>operacional</t>
  </si>
  <si>
    <t>---</t>
  </si>
  <si>
    <t>Operacional</t>
  </si>
  <si>
    <t>Trechos aéreos</t>
  </si>
  <si>
    <t>Nº de Diárias</t>
  </si>
  <si>
    <t>Nº de Viagens</t>
  </si>
  <si>
    <t>Quant. De Diárias Previstas</t>
  </si>
  <si>
    <t>Mobiliário - Escritório Apoio logístico</t>
  </si>
  <si>
    <t xml:space="preserve">Mobiliário - Escritório Central </t>
  </si>
  <si>
    <t>Mobiliário - Casa para Engenheiro</t>
  </si>
  <si>
    <t>Mobiliário - Alojamento para Pessoal</t>
  </si>
  <si>
    <t>MOBILIZAÇÃO / DESMOBILIZAÇAO</t>
  </si>
  <si>
    <t>MOBILIZAÇÃO DA EQUIPE</t>
  </si>
  <si>
    <t>Passagem Aérea (Trecho)</t>
  </si>
  <si>
    <t>DESMOBILIZAÇÃO DA EQUIPE</t>
  </si>
  <si>
    <t>Total - Mobilização da Equipe (R$):</t>
  </si>
  <si>
    <t>Total - Desmobilização da Equipe (R$):</t>
  </si>
  <si>
    <t xml:space="preserve">                                                                    Ministério da Integração Nacional - MI
</t>
  </si>
  <si>
    <t>1. Considerou na Mobilizaçao a ida de equipe administrativa e do coordenador geral do contato para alugar e instalar os escritório e as moradias.</t>
  </si>
  <si>
    <t>2. Considerou na Desmbilização que a equipe adminsitrativa irá desmontar e entregar os imóveis.</t>
  </si>
  <si>
    <t>Categoria Profissional adotado Sal. Mensal (R$) Sociais c/ Encargos Sociais</t>
  </si>
  <si>
    <t>Categoria</t>
  </si>
  <si>
    <t>Profissional</t>
  </si>
  <si>
    <t>Hora</t>
  </si>
  <si>
    <t>Mensal</t>
  </si>
  <si>
    <t>Salário</t>
  </si>
  <si>
    <t>T4</t>
  </si>
  <si>
    <t>Engenheiro - Profissional Sênior (N. Superior - Formação: T &gt; 15 anos)</t>
  </si>
  <si>
    <t>Engenheiro - Profissional Junior (N. Superior - Formação: 4 &lt; T &lt; 8 anos)</t>
  </si>
  <si>
    <t>Engenheiro - Profissional Pleno (N. Superior - Formação: 10 &lt; T &lt; 15 anos)</t>
  </si>
  <si>
    <t>Engenheiro - Profissional Médio (N. Superior - Formação: 8 &lt; T &lt; 10 anos)</t>
  </si>
  <si>
    <t>Engenheiro - Profissional Trainee (N. Superior - Formação: T &lt; 4 anos)</t>
  </si>
  <si>
    <t>Técnico - Profissional Especials (N. Médio/Especializado - Formação: T &gt; 10 anos)</t>
  </si>
  <si>
    <t>Técnico - Profissional Sênior (N. Médio/Especializado - Formação: 5 &lt; T &lt; 10 anos)</t>
  </si>
  <si>
    <t>Técnico - Profissional Pleno (N. Médio/Especializado - Formação: 5 &lt; 10 &lt; anos)</t>
  </si>
  <si>
    <t>Técnico - Profissional Junior (N. Médio/Especializado - Formação: T &lt; 5 anos)</t>
  </si>
  <si>
    <t>Técnico - Auxiliar (N. Elementar)</t>
  </si>
  <si>
    <t>Servente / Contínuos</t>
  </si>
  <si>
    <t>Chefe de Escritório (Nível Superior - Formação: T &gt; 15 anos)</t>
  </si>
  <si>
    <t>Secretária (N. Médio - Formação: 8 &lt; T &lt; 15 anos)</t>
  </si>
  <si>
    <t>Ajudante Administrativo (N. Médio - Formação:  T &lt; 8 anos)</t>
  </si>
  <si>
    <t>Assistente Administrativo (N. Médio - Formação:  T &gt; 8 anos)</t>
  </si>
  <si>
    <t>Auxiliar Administrativo / Motorista  (N. Elementar)</t>
  </si>
  <si>
    <t>Serviços Gerais / Vigia (N. Elementar)</t>
  </si>
  <si>
    <t>CUSTO DE ADMINISTRAÇÃO   (TAXA DE 20% DO ITEM 'A')</t>
  </si>
  <si>
    <t>PREÇO TOTAL DO PRODUTO 01 (R$):</t>
  </si>
  <si>
    <t>PREÇO TOTAL DO PRODUTO 02 (R$):</t>
  </si>
  <si>
    <t>Estratégias de Oferta e Demanda</t>
  </si>
  <si>
    <t>Estudos e Simulações Elétricas</t>
  </si>
  <si>
    <t>7.</t>
  </si>
  <si>
    <t>Com Vínculo - Horista</t>
  </si>
  <si>
    <t>Com Vínculo - Mensalista</t>
  </si>
  <si>
    <t>Total Geral - Equipe com Vínculo Mensalista (R$):</t>
  </si>
  <si>
    <t>Total Geral - Equipe com Vínculo Horista (R$):</t>
  </si>
  <si>
    <t>20,00% INCIDENTE SOBRE O ITEM  A2</t>
  </si>
  <si>
    <t>Número de Trechos por Viagem</t>
  </si>
  <si>
    <t>Sub-Total Viagens - Passagens Aéreas (R$):</t>
  </si>
  <si>
    <t>Sub-Total Diárias Nacionais (R$):</t>
  </si>
  <si>
    <t>1. Os produtos serão pagos por demans (Conforme forem sendo utilizados, mediante autorização da fiscalização)</t>
  </si>
  <si>
    <t>2. O valor estimado para as passagens aéreas foi calculado conforme "MemCalculo (Trecho Aéreo)"</t>
  </si>
  <si>
    <t>4. Os quantitativos foram estimados de acordo com a quantidae de pessoal lotada no campo, e baseadas na quantidade de viagens que a equipe da Codevasf utiliza.</t>
  </si>
  <si>
    <t>VIAGENS / DIÁRIAS</t>
  </si>
  <si>
    <t>Projetor Multimidia (Data-Show)</t>
  </si>
  <si>
    <t>1.48</t>
  </si>
  <si>
    <t>Máquina fotográfica digital</t>
  </si>
  <si>
    <t>GPS com cabo e software</t>
  </si>
  <si>
    <t>1.49</t>
  </si>
  <si>
    <t>1.50</t>
  </si>
  <si>
    <t>Observações:</t>
  </si>
  <si>
    <t>5.17</t>
  </si>
  <si>
    <t>5.18</t>
  </si>
  <si>
    <t>5.19</t>
  </si>
  <si>
    <t>5.20</t>
  </si>
  <si>
    <t>5.21</t>
  </si>
  <si>
    <t>Condicionador de Ar - 22.000 Btus</t>
  </si>
  <si>
    <t>Valor médio do Trecho da Passagem Aérea:</t>
  </si>
  <si>
    <t>72,27% INCIDENTE SOBRE O ITEM  A1 + A3</t>
  </si>
  <si>
    <r>
      <t xml:space="preserve">Especialista em Soluções Microsoft - </t>
    </r>
    <r>
      <rPr>
        <b/>
        <sz val="9"/>
        <rFont val="Arial"/>
        <family val="2"/>
      </rPr>
      <t xml:space="preserve">DEMANDA </t>
    </r>
    <r>
      <rPr>
        <sz val="9"/>
        <rFont val="Arial"/>
        <family val="2"/>
      </rPr>
      <t>(Etapa 4)</t>
    </r>
  </si>
  <si>
    <r>
      <t xml:space="preserve">Especialista em Soluções Microsoft - </t>
    </r>
    <r>
      <rPr>
        <b/>
        <sz val="9"/>
        <rFont val="Arial"/>
        <family val="2"/>
      </rPr>
      <t>DEMANDA</t>
    </r>
    <r>
      <rPr>
        <sz val="9"/>
        <rFont val="Arial"/>
        <family val="2"/>
      </rPr>
      <t xml:space="preserve"> (Etapa 5)</t>
    </r>
  </si>
  <si>
    <r>
      <t xml:space="preserve">Especialista em Soluções de Tecnologia da Informação - </t>
    </r>
    <r>
      <rPr>
        <b/>
        <sz val="9"/>
        <rFont val="Arial"/>
        <family val="2"/>
      </rPr>
      <t>DEMANDA</t>
    </r>
    <r>
      <rPr>
        <sz val="9"/>
        <rFont val="Arial"/>
        <family val="2"/>
      </rPr>
      <t xml:space="preserve"> (Etapa 7)</t>
    </r>
  </si>
  <si>
    <t>QUANTITATIVOS (MÃO-DE-OBRA)</t>
  </si>
  <si>
    <t>Unidade</t>
  </si>
  <si>
    <t>Periodiciadde da troca</t>
  </si>
  <si>
    <t>TOTAL - Profissionais</t>
  </si>
  <si>
    <t>Eletricista</t>
  </si>
  <si>
    <t>Campo</t>
  </si>
  <si>
    <t>Campo Eventual</t>
  </si>
  <si>
    <t>EPI - Mensalista</t>
  </si>
  <si>
    <t xml:space="preserve">Custo </t>
  </si>
  <si>
    <t>EPI - Eletricista</t>
  </si>
  <si>
    <t>Horista (PE):</t>
  </si>
  <si>
    <t>Horista (DF):</t>
  </si>
  <si>
    <t>Uniforme Brim (Camisa/Calça)</t>
  </si>
  <si>
    <t>Protetor Auricular tipo Plug</t>
  </si>
  <si>
    <t>Protetor Auricular tipo concha c/ abafador</t>
  </si>
  <si>
    <t>par</t>
  </si>
  <si>
    <t>SERVIÇOS GERAIS</t>
  </si>
  <si>
    <t>Bota PVC</t>
  </si>
  <si>
    <t>Luva Látex</t>
  </si>
  <si>
    <t>Bota Couro sem biqueira</t>
  </si>
  <si>
    <t>Máscara proteção poeira (respirador)</t>
  </si>
  <si>
    <t>Bota de Segurança com biqueira</t>
  </si>
  <si>
    <t>Luva raspa de Couro</t>
  </si>
  <si>
    <t>Protetor Solar (100ml)</t>
  </si>
  <si>
    <t>Óculos Proteção</t>
  </si>
  <si>
    <t>Capacete de Segurança completo</t>
  </si>
  <si>
    <t>Campo - Convencional</t>
  </si>
  <si>
    <t>Luva de borracha Isolante para alta tensão</t>
  </si>
  <si>
    <t>Cinto Segurança Paraquedista Eletricista</t>
  </si>
  <si>
    <t>Óculos Segurança</t>
  </si>
  <si>
    <t>Cinto Sinalizador Tipo X</t>
  </si>
  <si>
    <t>Mácara Poeira</t>
  </si>
  <si>
    <t>EPI</t>
  </si>
  <si>
    <t>EPI - Campo Mensalista</t>
  </si>
  <si>
    <t>EPI - Serviços Gerais</t>
  </si>
  <si>
    <t>EPI - Campo Eletricista</t>
  </si>
  <si>
    <t>Mobilização da Equipe</t>
  </si>
  <si>
    <t>Mobilização (pagamento no primeiro mês do contrato)</t>
  </si>
  <si>
    <t>Desmobilização da Equipe</t>
  </si>
  <si>
    <t>Desmobilização (pagamento no último mês do contrato)</t>
  </si>
  <si>
    <t>Viagens e Diárias</t>
  </si>
  <si>
    <t>Viagens (Pagas por demanda)</t>
  </si>
  <si>
    <t>Diárias (Pagas por Demanda)</t>
  </si>
  <si>
    <t>Imóveis</t>
  </si>
  <si>
    <t>Manutenção</t>
  </si>
  <si>
    <t>Custos Indiretos</t>
  </si>
  <si>
    <t>Despesas Fiscais</t>
  </si>
  <si>
    <t>Custo de Administração</t>
  </si>
  <si>
    <t>Remuneração de escritório</t>
  </si>
  <si>
    <t>Equipamentos Diversos</t>
  </si>
  <si>
    <t>Instrumental de topografia (Estação total classe III + Nível classe 2)</t>
  </si>
  <si>
    <t>Periculosidade</t>
  </si>
  <si>
    <t>Periculosidade (30%)</t>
  </si>
  <si>
    <t>7.4.8</t>
  </si>
  <si>
    <t>7.4.9</t>
  </si>
  <si>
    <t>7.4.10</t>
  </si>
  <si>
    <t>SALÁRIOS TOTAL (R$)</t>
  </si>
  <si>
    <t xml:space="preserve">SALÁRIO </t>
  </si>
  <si>
    <t>PERICULOSIDADE</t>
  </si>
  <si>
    <t>SALÁRIO COM ENCARGOS SOCIAIS</t>
  </si>
  <si>
    <t>20,00% INCIDENTE SOBRE O ITEM  A3</t>
  </si>
  <si>
    <t>Relatório Parcial</t>
  </si>
  <si>
    <t>Relatório Específico</t>
  </si>
  <si>
    <t>Mensalista (DF):</t>
  </si>
  <si>
    <t>Mensalista (PE):</t>
  </si>
  <si>
    <t>Total Geral - Equipe com Vínculo Mensalista - Campo (R$):</t>
  </si>
  <si>
    <t>Total Geral - Equipe com Vínculo Mensalista - Sede (R$):</t>
  </si>
  <si>
    <t>Total Geral - Equipe com Vínculo Horista - Campo (R$):</t>
  </si>
  <si>
    <t>Com Vínculo - Mensalista Campo</t>
  </si>
  <si>
    <t>Com Vínculo - Mensalista Sede</t>
  </si>
  <si>
    <t>Com Vínculo - Horista Campo</t>
  </si>
  <si>
    <t>Outros Custos (PERICULOSIDADE - Campo)</t>
  </si>
  <si>
    <t>Outros Custos (PERICULOSIDADE - Sede)</t>
  </si>
  <si>
    <t>72,27% INCIDENTE SOBRE O ITEM  A1 + A5</t>
  </si>
  <si>
    <t>72,72% INCIDENTE SOBRE O ITEM  A2 + A6</t>
  </si>
  <si>
    <t>117,18% INCIDENTE SOBRE O ITEM  A3</t>
  </si>
  <si>
    <t>B2 -  20,00% INCIDENTE SOBRE O ITEM  A4</t>
  </si>
  <si>
    <t>DESCRIÇÃO - PRODUTOS</t>
  </si>
  <si>
    <t>20º</t>
  </si>
  <si>
    <t>X</t>
  </si>
  <si>
    <t>Etapa 1 - Elaborar metodologia de planejamento e monitoramento</t>
  </si>
  <si>
    <t xml:space="preserve">Etapa 2 - Elaborar metodologia de gerenciamento de portfólio, programas e projetos </t>
  </si>
  <si>
    <t xml:space="preserve">Etapa - Elaboração do plano de ação, portfólio, programas e projetos </t>
  </si>
  <si>
    <t>Etapa 4 - Configurar e customizar os softwares de apoio à gestão (Atividade por Demanda)</t>
  </si>
  <si>
    <t>Etapa 5 - Realizar a manutenção preventiva, corretiva e evolutiva dos softwares de apoio à gestão (Atividade por Demanda)</t>
  </si>
  <si>
    <t>Etapa 6 - Apoiar o monitoramento e avaliação do plano de ação, portfólio, programas e projetos</t>
  </si>
  <si>
    <t>Etapa 7 - Elaborar projeto de solução integrada de tecnologia da informação</t>
  </si>
  <si>
    <t>APOIO TÉCNICO-ADMINISTRATIVO</t>
  </si>
  <si>
    <t>LEGENDA:</t>
  </si>
  <si>
    <t>Itemização conforme Anexo II - Especificações Técnicas</t>
  </si>
  <si>
    <t>Quantidade de Relatórios</t>
  </si>
  <si>
    <t>Não gera Relatório</t>
  </si>
  <si>
    <t xml:space="preserve">APOIO A GESTÃO E ATIVIDADES TÉCNICAS ESPECIALIZADAS, ACOMPANHAMENTO DE COMISSIONAMENTOS, TESTES E PRÉ-OPERAÇÃO / ESTUDO E COLETA DE DADOS DA IMPLANTAÇÃO DO PROJETO / PLANO DE SEGURANÇA E SAÚDE DO TRABALHO </t>
  </si>
  <si>
    <t>RF</t>
  </si>
  <si>
    <t>1 - RF</t>
  </si>
  <si>
    <t>RP</t>
  </si>
  <si>
    <t>1 - RP / 1 - RF</t>
  </si>
  <si>
    <t>18 - RP / 1 - RF</t>
  </si>
  <si>
    <t>ESTUDOS E SIMULAÇÕES ELÉTRICAS (Atividade por Demanda)</t>
  </si>
  <si>
    <t>2 - RF</t>
  </si>
  <si>
    <t>RA</t>
  </si>
  <si>
    <t>RA / RS</t>
  </si>
  <si>
    <t>18 RA / 1 - RS</t>
  </si>
  <si>
    <t>Observação:</t>
  </si>
  <si>
    <t xml:space="preserve">RP = </t>
  </si>
  <si>
    <t>Relatório Parcial (Durante a execução)</t>
  </si>
  <si>
    <t xml:space="preserve">RF = </t>
  </si>
  <si>
    <t>Relatório Final (Quando acabar o Sub-produto)</t>
  </si>
  <si>
    <t xml:space="preserve">RA = </t>
  </si>
  <si>
    <t>Relatório de Andamento - (Mensal - Caráter Administrativo)</t>
  </si>
  <si>
    <t xml:space="preserve">RE = </t>
  </si>
  <si>
    <t>Relatório Específico (Caráter eventual - quando for solicitado)</t>
  </si>
  <si>
    <t xml:space="preserve">RS = </t>
  </si>
  <si>
    <t>Relatório Síntese (Relatório Final - Entrega Geral do Trabalho)</t>
  </si>
  <si>
    <t>5 - RP / 1 - RF</t>
  </si>
  <si>
    <t>6.1.1</t>
  </si>
  <si>
    <t>6.1.2</t>
  </si>
  <si>
    <t>6.2.1</t>
  </si>
  <si>
    <t>6.2.2</t>
  </si>
  <si>
    <t>6.4</t>
  </si>
  <si>
    <t>6.5</t>
  </si>
  <si>
    <t>6.7</t>
  </si>
  <si>
    <t>Apoio Técnico-Administrativo</t>
  </si>
  <si>
    <t>6.3.1</t>
  </si>
  <si>
    <t>6.4.1</t>
  </si>
  <si>
    <t>1 - RS</t>
  </si>
  <si>
    <t>Relatório Síntese (Produto PLANO)</t>
  </si>
  <si>
    <t>6.5.1</t>
  </si>
  <si>
    <t>5 RE / 1-RF</t>
  </si>
  <si>
    <t>6.5.2</t>
  </si>
  <si>
    <t>6.7.1</t>
  </si>
  <si>
    <t>6.6</t>
  </si>
  <si>
    <t>6.6.1</t>
  </si>
  <si>
    <t>6.7.2</t>
  </si>
  <si>
    <t>Relatório Andamento</t>
  </si>
  <si>
    <t>Relatório Síntese</t>
  </si>
  <si>
    <t>SECONCI</t>
  </si>
  <si>
    <t>Faltas Justificadas</t>
  </si>
  <si>
    <t>Energia elétrica - Residências</t>
  </si>
  <si>
    <t>Energia elétrica - Escritórios Centrais</t>
  </si>
  <si>
    <t>Energia elétrica - Escritórios Apoio Logistico</t>
  </si>
  <si>
    <t>Água e esgoto - Escritórios Apoio Logistico</t>
  </si>
  <si>
    <t>Água e esgoto - Escritórios Centrais</t>
  </si>
  <si>
    <t>Água e esgoto - Residências</t>
  </si>
  <si>
    <t>Preços da Tabela de Engenharia Consultiva Codevasf</t>
  </si>
  <si>
    <t>Material Higiene / Limpeza - Escritorio Apoio Logistico</t>
  </si>
  <si>
    <t>MEMORIAL DE CÁLCULO - SALÁRIOS - Pernambuco</t>
  </si>
  <si>
    <t>MEMORIAL DE CÁLCULO - SALÁRIOS - Distrito Federal</t>
  </si>
  <si>
    <t>PERNAMBUCO</t>
  </si>
  <si>
    <t>DISTRITO FEDERAL</t>
  </si>
  <si>
    <t>Aquisição de Software pela CONTRATANTE</t>
  </si>
  <si>
    <t>PREÇO TOTAL DO PRODUTO 07 (R$):</t>
  </si>
  <si>
    <t>PREÇO TOTAL DO PRODUTO 06 (R$):</t>
  </si>
  <si>
    <t>PREÇO TOTAL DO PRODUTO 05 (R$):</t>
  </si>
  <si>
    <t>PREÇO TOTAL DO PRODUTO 04 (R$):</t>
  </si>
  <si>
    <t>PREÇO TOTAL DO PRODUTO 03 (R$):</t>
  </si>
  <si>
    <t>Mão-de-Obra</t>
  </si>
  <si>
    <t>Remuneração de Escritório</t>
  </si>
  <si>
    <t>Outras Despesas (Relatórios</t>
  </si>
  <si>
    <t>RESUMO GERAL</t>
  </si>
  <si>
    <t>1RP</t>
  </si>
  <si>
    <t>1RF / 1RP</t>
  </si>
  <si>
    <t>2RP / 1RF</t>
  </si>
  <si>
    <t>RP / RF</t>
  </si>
  <si>
    <t>RESUMO POR PRODUTO</t>
  </si>
  <si>
    <t>1RF</t>
  </si>
  <si>
    <t>2RP</t>
  </si>
  <si>
    <t>Total:                   8 - RP                          7- RF</t>
  </si>
  <si>
    <t>RS</t>
  </si>
  <si>
    <t>VALOR (R$)</t>
  </si>
  <si>
    <t>PRAZO (mês)</t>
  </si>
  <si>
    <t>TOTAL MENSAL (R$):</t>
  </si>
  <si>
    <t>CRONOGRAMA FÍSICO-FINANCEIRO</t>
  </si>
  <si>
    <t>MÊS</t>
  </si>
  <si>
    <t>PAGAMENTOS MENSAIS</t>
  </si>
  <si>
    <t>PAGAMENTOS POR DEMANDA</t>
  </si>
  <si>
    <t>ADMINISTRAÇÃO / MANUTENÇÃO DE ESCRITÓRIO</t>
  </si>
  <si>
    <t>Produtos pagos por DEMANDA</t>
  </si>
  <si>
    <t>VALOR TOTAL A SER PAGO POR DEMANDA (R$):</t>
  </si>
  <si>
    <t>Pagamentos - Mensal</t>
  </si>
  <si>
    <t>TOTAL GERL (R$):</t>
  </si>
  <si>
    <t>Demanda</t>
  </si>
  <si>
    <t>2 (Mensal)</t>
  </si>
  <si>
    <t>2 (Demanda)</t>
  </si>
  <si>
    <t>113,83% INCIDENTE SOBRE O ITEM  A2</t>
  </si>
  <si>
    <t>SALÁRIO</t>
  </si>
  <si>
    <t>ENCARGOS</t>
  </si>
  <si>
    <t>Telefone Celular</t>
  </si>
  <si>
    <t>Prazo</t>
  </si>
  <si>
    <t>5. Os valores previstos são o máximo que serão pagos pela Codevasf durante todo o período do contrato.</t>
  </si>
  <si>
    <t>Pagamentos - Por Demanda</t>
  </si>
  <si>
    <t>Total de Meses</t>
  </si>
  <si>
    <t>Total de Meses:</t>
  </si>
  <si>
    <t>TOTAL GERAL - Auxílio Alimentação Equipe PRODUTO 01 (R$):</t>
  </si>
  <si>
    <t>AUXÍLIO ALIMENTAÇÃO - MÃO DE OBRA</t>
  </si>
  <si>
    <t>TOTAL GERAL - Auxílio Alimentação Equipe PRODUTO 02 (R$):</t>
  </si>
  <si>
    <t>TOTAL GERAL - Auxílio Alimentação Equipe PRODUTO 03 (R$):</t>
  </si>
  <si>
    <t>TOTAL GERAL - Auxílio Alimentação Equipe PRODUTO 04 (R$):</t>
  </si>
  <si>
    <t>TOTAL GERAL - Auxílio Alimentação Equipe PRODUTO 05 (R$):</t>
  </si>
  <si>
    <t>TOTAL GERAL - Auxílio Alimentação Equipe PRODUTO 06 (R$):</t>
  </si>
  <si>
    <t>TOTAL GERAL - Auxílio Alimentação Equipe PRODUTO 07 (R$):</t>
  </si>
  <si>
    <t>AUXÍLIO ALIMENTAÇÃO</t>
  </si>
  <si>
    <t>Auxílio Alimentação Mensal (Valor Total)</t>
  </si>
  <si>
    <t>Custos Diretos (Mão-de-Obra / Encargos Sociais e Benefícios)</t>
  </si>
  <si>
    <t>Viagens (Pagas por Demanda)</t>
  </si>
  <si>
    <t>72,72% INCIDENTE SOBRE O ITEM  A1 + A4</t>
  </si>
  <si>
    <t>Eng. Médio - Civil</t>
  </si>
  <si>
    <t>Eng. Médio  - Mecânica</t>
  </si>
  <si>
    <t>Eng. Médio - Eletricista</t>
  </si>
  <si>
    <t xml:space="preserve">Engenheiro - Trainee </t>
  </si>
  <si>
    <t>Engenheiro Pleno (Engenheiro Segurança do Trabalho)</t>
  </si>
  <si>
    <t>TOTAL DO CONTRATO</t>
  </si>
  <si>
    <t xml:space="preserve">Valor Total do Contrato </t>
  </si>
  <si>
    <t>6 - RP / 1 - RF</t>
  </si>
  <si>
    <t>1RP / 1RF</t>
  </si>
  <si>
    <t>2RP / 2RF</t>
  </si>
  <si>
    <t>* Os serviços gráficos são contabilizados no preço por produto</t>
  </si>
  <si>
    <t>Fonte do preço dos relatórios: Tabela Engenharia Consultiva Codevasf 2017</t>
  </si>
  <si>
    <t>3. Considerou-se um veículo para o coordenador do contrato se locomover.</t>
  </si>
  <si>
    <t>TOTAL - Alimentação Equipe (R$):</t>
  </si>
  <si>
    <t>RESUMO - Alimentação</t>
  </si>
  <si>
    <t>Sem Vínculo</t>
  </si>
  <si>
    <t>Consultor</t>
  </si>
  <si>
    <t>Mobiliário/Equipamentos - Escritorio Central</t>
  </si>
  <si>
    <t>Equipamentos / Material de Escritório - Apoio logístico</t>
  </si>
  <si>
    <t>Profissional em Planejamento de Segurança</t>
  </si>
  <si>
    <t>Especialista em Soluções Microsoft - ATIVIDADE POR DEMANDA (Etapa 4)</t>
  </si>
  <si>
    <t>Especialista em Soluções Microsoft - ATIVIDADE POR DEMANDA (Etapa 5)</t>
  </si>
  <si>
    <t>Especialista em Soluções de Tecnologia da Informação - ATIVIDADE POR DEMANDA (Etapa 7)</t>
  </si>
  <si>
    <t>Estudos e Simulações Elétricas - ATIVIDADE POR DEMANDA</t>
  </si>
  <si>
    <t>PLANO DE SEGURANÇA DO PISF</t>
  </si>
  <si>
    <t>5.1.5</t>
  </si>
  <si>
    <t>Total:                   24 - RP                          5- RF</t>
  </si>
  <si>
    <t xml:space="preserve">Softwares Específicos ( No mínimo: Pacote Office 2016; Microsoft Visio Professional Open 2016; Microsoft Project Professional Open 2016; AutoCAD LT; ArcGis Basic com extensão "Spatial Analyst" e 3D Analyst") </t>
  </si>
  <si>
    <t>Consultor em Segurança Pública</t>
  </si>
  <si>
    <t>Apoio a Gestão e Atividades Técnicas Especializadas, Acompanhamento de Comissinamentos, Recebimento, Testes e Pré-Operação / Estudo e Coleta de Dados da Implantação do Projeto / Plano de Segurança e Saúde do Trabalho / Plano de segurança do PISF</t>
  </si>
  <si>
    <t>Profissional em Planejamento de Segurança Pública</t>
  </si>
  <si>
    <t>DESPESAS FISCAIS - DETALHAMENTO</t>
  </si>
  <si>
    <t>Escritórios de Apoio Logístico / Escritórios Centrais (BSB-SLZ)</t>
  </si>
  <si>
    <t>Previsão Custo - Mensal</t>
  </si>
  <si>
    <t>Descrição</t>
  </si>
  <si>
    <t>Passagens Aéreas</t>
  </si>
  <si>
    <t>Menor Valor</t>
  </si>
  <si>
    <t>14/12/2017 (www.decolar.com para vizualizar menores preços e companhias aéreas para registro do preço)</t>
  </si>
  <si>
    <t>Grampo 23/6 (caixa)</t>
  </si>
  <si>
    <t>IDA: Base de Pesquisa Jan/2018</t>
  </si>
  <si>
    <t>Mobilização da Equipe (pagamento no primeiro mês do contrato)</t>
  </si>
  <si>
    <t>Imóveis (Instalação da Equipe)</t>
  </si>
  <si>
    <t>Viagens/Diárias (Pagos por Demanda)</t>
  </si>
  <si>
    <t>IMÓVEIS (Instalação da Equipe)</t>
  </si>
  <si>
    <t>Manutenção Imóveis</t>
  </si>
  <si>
    <t>Diárias</t>
  </si>
  <si>
    <t>8.</t>
  </si>
  <si>
    <t>SERVIÇOS GRÁFICOS</t>
  </si>
  <si>
    <t>8.1</t>
  </si>
  <si>
    <t>OUTRAS DESPESAS - ADMINISTRAÇÃO / MANUTENÇÃO DOS ESCRITORIOS</t>
  </si>
  <si>
    <t>TOTAL(custos diretos) - OUTRAS DESPESAS (R$):</t>
  </si>
  <si>
    <t>1 - DISCRIMINAR OS TRIBUTOS QUE INCIDEM SOBRE OS CUSTOS DA PRESTAÇÃO DOS SERVIÇOS</t>
  </si>
  <si>
    <t>3 - AS DESPESAS FISCAIS (DF) INCIDEM SOBRE O TOTAL DA FATURA E NÃO SOBRE OS CUSTOS INCORRIDOS, DEVENDO SER CALCULADO O DF' APLICANDO-SE A SEGUINTE FÓRMULA:</t>
  </si>
  <si>
    <t>REMUNERAÇÃO DE ESCRITÓRIO (TAXA DE 5% DOS ITENS - OUTRAS DESPESAS):</t>
  </si>
  <si>
    <r>
      <t>DESPESAS FISCAIS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( 16,62% DOS ITENS Outras Despesas + Remuneração escritório):</t>
    </r>
  </si>
  <si>
    <t>Outras Despesas (Incluindo Despesas Indiretas)</t>
  </si>
  <si>
    <t xml:space="preserve">8. </t>
  </si>
  <si>
    <t>Total Geral (R$):</t>
  </si>
  <si>
    <t>Mão-de-Obra (Incluindo Encargos Sociais, Benefícios e Despesas Indiretas)</t>
  </si>
  <si>
    <t>REMUNERAÇÃO DE ESCRITÓRIO (TAXA DE 5% DOS ITENS (A + B + C + D)</t>
  </si>
  <si>
    <r>
      <t>DESPESAS FISCAIS</t>
    </r>
    <r>
      <rPr>
        <b/>
        <sz val="10"/>
        <rFont val="Arial"/>
        <family val="2"/>
      </rPr>
      <t xml:space="preserve"> </t>
    </r>
    <r>
      <rPr>
        <sz val="10"/>
        <color indexed="8"/>
        <rFont val="Arial"/>
        <family val="2"/>
      </rPr>
      <t>( 16,62% DOS ITENS A + B + C + D + E)</t>
    </r>
  </si>
  <si>
    <t>Fonte do preço de energia e água das residencias/escritorios: Baseado no valor das faturas mensais dos contratos existentes atualmente</t>
  </si>
  <si>
    <r>
      <t>2 -</t>
    </r>
    <r>
      <rPr>
        <b/>
        <sz val="9"/>
        <rFont val="Arial"/>
        <family val="2"/>
      </rPr>
      <t xml:space="preserve"> DF</t>
    </r>
    <r>
      <rPr>
        <sz val="9"/>
        <rFont val="Arial"/>
        <family val="2"/>
      </rPr>
      <t xml:space="preserve"> = INDICAR O % DE CADA TRIBUTO E A SOMA DOS MESMOS (ex: ISS 5% + PIS 1,65% + COFINS 7,60% = 14,25%)</t>
    </r>
  </si>
  <si>
    <r>
      <t xml:space="preserve">     DF'</t>
    </r>
    <r>
      <rPr>
        <sz val="9"/>
        <rFont val="Arial"/>
        <family val="2"/>
      </rPr>
      <t xml:space="preserve"> = { [ 1 / ( 1 - DF) ] - 1 } x 100</t>
    </r>
  </si>
  <si>
    <r>
      <t xml:space="preserve">     DF'</t>
    </r>
    <r>
      <rPr>
        <sz val="9"/>
        <rFont val="Arial"/>
        <family val="2"/>
      </rPr>
      <t xml:space="preserve"> = { [ 1 / ( 1 - 0,1425 ) ] - 1 } x 100</t>
    </r>
  </si>
  <si>
    <t xml:space="preserve">TOTAIS DE DESPESAS FISCAIS: </t>
  </si>
  <si>
    <r>
      <t xml:space="preserve">     DF' = 0,1662  ou  16,62%. </t>
    </r>
    <r>
      <rPr>
        <sz val="9"/>
        <rFont val="Arial"/>
        <family val="2"/>
      </rPr>
      <t xml:space="preserve"> APLICAR O %  P/ CALCULAR AS DESPESAS FISCAIS</t>
    </r>
  </si>
  <si>
    <t>Horista</t>
  </si>
  <si>
    <t>Mensalista</t>
  </si>
  <si>
    <t>Fonte do preço dos Salários: Tabela Engenharia Consultiva Codevasf 2017</t>
  </si>
  <si>
    <t>Fonte: Tabela Engenharia Consultiva Codevasf 2017</t>
  </si>
  <si>
    <t>Preço Total (R$)</t>
  </si>
  <si>
    <t>Remuneração de Escritório: Taxa de 5% incindindo sobre Salários, Encargos, Auxílio Alimentação e Custo de Administração</t>
  </si>
  <si>
    <t>Despesas Fiscais: Taxa de 16,62% incindindo sobre Salários, Encargos, Auxílio Alimentação , Custo de Administração e Remuneração de Escritório</t>
  </si>
  <si>
    <t>Custo de Administração: Taxa de 20% incindindo sobre Salários, Encargos e Auxílio Alimentação</t>
  </si>
  <si>
    <t>Custo Unitário (R$)</t>
  </si>
  <si>
    <t>Custo Total (R$)</t>
  </si>
  <si>
    <t>REMUNERAÇÃO DE ESCRITÓRIO (Taxa de 5% incindindo sobre o Custo Total)</t>
  </si>
  <si>
    <t>Remuneração de Escritório (R$)</t>
  </si>
  <si>
    <t>Despesas Fiscais (R$)</t>
  </si>
  <si>
    <t>Despesas Fiscais: Taxa de 16,62% incindindo sobre Custo Total e Remuneração de Escritório</t>
  </si>
  <si>
    <t>PREÇO TOTAL (R$)</t>
  </si>
  <si>
    <t>Preço Total =  Custo total (Despesas Diretas) + Remuneração de Escritório e Despesas Fiscais (Despesas Indiretas)</t>
  </si>
  <si>
    <t>Serviços Gráficos (Equipe Produto 01)</t>
  </si>
  <si>
    <t>Serviços Gráficos (Equipe Produto 02)</t>
  </si>
  <si>
    <t>Serviços Gráficos (Equipe Produto 03)</t>
  </si>
  <si>
    <t>Serviços Gráficos (Equipe Produto 04)</t>
  </si>
  <si>
    <t>Serviços Gráficos (Equipe Produto 05)</t>
  </si>
  <si>
    <t>Serviços Gráficos (Equipe Produto 06)</t>
  </si>
  <si>
    <t>Serviços Gráficos (Equipe Produto 07)</t>
  </si>
  <si>
    <t>8.2</t>
  </si>
  <si>
    <t>8.3</t>
  </si>
  <si>
    <t>8.4</t>
  </si>
  <si>
    <t>8.5</t>
  </si>
  <si>
    <t>8.6</t>
  </si>
  <si>
    <t>8.7</t>
  </si>
  <si>
    <t>9.</t>
  </si>
  <si>
    <t>4. Remuneração de Escritório: Taxa de 5% incindindo sobre Custo Total</t>
  </si>
  <si>
    <t>5. Despesas Fiscais: Taxa de 16,62% incindindo sobre Custo Total e Remuneração de Escritório</t>
  </si>
  <si>
    <t>6. Preço Total =  Custo total (Despesas Diretas) + Remuneração de Escritório e Despesas Fiscais (Despesas Indiretas)</t>
  </si>
  <si>
    <t>Locação</t>
  </si>
  <si>
    <t xml:space="preserve"> </t>
  </si>
  <si>
    <t>72,72% INCIDENTE SOBRE O ITEM  A1 + A3</t>
  </si>
  <si>
    <t>,</t>
  </si>
  <si>
    <t>Viagens (trecho aéreos)</t>
  </si>
  <si>
    <t>DIÁRIAS</t>
  </si>
  <si>
    <t>Diárias - Sede</t>
  </si>
  <si>
    <t>Diárias - Campo</t>
  </si>
  <si>
    <t>3. O valor adotado para a diária é o valor praticado pela Codevasf para localidades que não são Capitais</t>
  </si>
  <si>
    <t>QTD / cada troca</t>
  </si>
  <si>
    <t>RESUMO</t>
  </si>
  <si>
    <t>Valor Mensal do Auxilio Alimentação  (R$):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</si>
</sst>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General_)"/>
    <numFmt numFmtId="167" formatCode="0_)"/>
    <numFmt numFmtId="168" formatCode="#,##0.0000"/>
    <numFmt numFmtId="169" formatCode="0.00000"/>
    <numFmt numFmtId="170" formatCode="#,##0.00;[Red]#,##0.00"/>
    <numFmt numFmtId="171" formatCode="&quot;R$&quot;\ #,##0.00"/>
  </numFmts>
  <fonts count="3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indexed="8"/>
      <name val="Calibri"/>
      <family val="2"/>
    </font>
    <font>
      <sz val="8"/>
      <name val="Helv"/>
      <family val="2"/>
    </font>
    <font>
      <sz val="10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1"/>
      <color rgb="FF000000"/>
      <name val="Calibri"/>
      <family val="2"/>
    </font>
    <font>
      <sz val="9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MS Sans Serif"/>
      <family val="2"/>
    </font>
    <font>
      <b/>
      <sz val="10"/>
      <color theme="1"/>
      <name val="Arial"/>
      <family val="2"/>
    </font>
    <font>
      <b/>
      <sz val="9"/>
      <color rgb="FFFF0000"/>
      <name val="Arial"/>
      <family val="2"/>
    </font>
    <font>
      <i/>
      <sz val="9"/>
      <name val="Arial"/>
      <family val="2"/>
    </font>
    <font>
      <sz val="10"/>
      <color indexed="8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b/>
      <u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16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C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/>
        <bgColor rgb="FFFFFFC0"/>
      </patternFill>
    </fill>
    <fill>
      <patternFill patternType="solid">
        <fgColor theme="0"/>
        <bgColor indexed="26"/>
      </patternFill>
    </fill>
    <fill>
      <patternFill patternType="solid">
        <fgColor theme="1"/>
        <bgColor indexed="64"/>
      </patternFill>
    </fill>
  </fills>
  <borders count="1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8"/>
      </bottom>
      <diagonal/>
    </border>
    <border>
      <left/>
      <right style="medium">
        <color indexed="64"/>
      </right>
      <top style="double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</borders>
  <cellStyleXfs count="14">
    <xf numFmtId="0" fontId="0" fillId="0" borderId="0"/>
    <xf numFmtId="165" fontId="5" fillId="0" borderId="0" applyFont="0" applyFill="0" applyBorder="0" applyAlignment="0" applyProtection="0"/>
    <xf numFmtId="166" fontId="6" fillId="0" borderId="0"/>
    <xf numFmtId="0" fontId="7" fillId="0" borderId="0"/>
    <xf numFmtId="0" fontId="7" fillId="0" borderId="0"/>
    <xf numFmtId="3" fontId="7" fillId="0" borderId="0"/>
    <xf numFmtId="0" fontId="13" fillId="0" borderId="0"/>
    <xf numFmtId="3" fontId="7" fillId="0" borderId="0"/>
    <xf numFmtId="0" fontId="10" fillId="0" borderId="0"/>
    <xf numFmtId="0" fontId="7" fillId="0" borderId="0"/>
    <xf numFmtId="0" fontId="17" fillId="0" borderId="0"/>
    <xf numFmtId="43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913">
    <xf numFmtId="0" fontId="0" fillId="0" borderId="0" xfId="0"/>
    <xf numFmtId="0" fontId="2" fillId="0" borderId="34" xfId="0" applyFont="1" applyBorder="1" applyAlignment="1" applyProtection="1">
      <alignment horizontal="right" vertical="center"/>
    </xf>
    <xf numFmtId="0" fontId="2" fillId="0" borderId="23" xfId="0" applyFont="1" applyBorder="1" applyAlignment="1" applyProtection="1">
      <alignment horizontal="right" vertical="center"/>
    </xf>
    <xf numFmtId="0" fontId="2" fillId="0" borderId="24" xfId="0" applyFont="1" applyBorder="1" applyAlignment="1" applyProtection="1">
      <alignment horizontal="right" vertical="center"/>
    </xf>
    <xf numFmtId="0" fontId="2" fillId="0" borderId="40" xfId="0" applyFont="1" applyBorder="1" applyAlignment="1" applyProtection="1">
      <alignment horizontal="right" vertical="center"/>
    </xf>
    <xf numFmtId="0" fontId="3" fillId="0" borderId="0" xfId="0" applyFont="1"/>
    <xf numFmtId="0" fontId="2" fillId="0" borderId="41" xfId="0" applyFont="1" applyBorder="1" applyAlignment="1" applyProtection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2" fillId="0" borderId="9" xfId="7" applyFont="1" applyFill="1" applyBorder="1" applyAlignment="1">
      <alignment horizontal="center" vertical="center"/>
    </xf>
    <xf numFmtId="4" fontId="2" fillId="0" borderId="9" xfId="7" applyNumberFormat="1" applyFont="1" applyFill="1" applyBorder="1" applyAlignment="1">
      <alignment horizontal="center" vertical="center"/>
    </xf>
    <xf numFmtId="3" fontId="2" fillId="0" borderId="6" xfId="7" applyFont="1" applyFill="1" applyBorder="1" applyAlignment="1">
      <alignment horizontal="center" vertical="center"/>
    </xf>
    <xf numFmtId="4" fontId="2" fillId="0" borderId="6" xfId="7" applyNumberFormat="1" applyFont="1" applyFill="1" applyBorder="1" applyAlignment="1">
      <alignment horizontal="center" vertical="center"/>
    </xf>
    <xf numFmtId="3" fontId="2" fillId="0" borderId="50" xfId="7" applyFont="1" applyFill="1" applyBorder="1" applyAlignment="1">
      <alignment horizontal="center" vertical="center"/>
    </xf>
    <xf numFmtId="4" fontId="2" fillId="6" borderId="9" xfId="5" applyNumberFormat="1" applyFont="1" applyFill="1" applyBorder="1" applyAlignment="1">
      <alignment horizontal="center" vertical="center"/>
    </xf>
    <xf numFmtId="4" fontId="2" fillId="6" borderId="50" xfId="5" applyNumberFormat="1" applyFont="1" applyFill="1" applyBorder="1" applyAlignment="1">
      <alignment horizontal="center" vertical="center"/>
    </xf>
    <xf numFmtId="4" fontId="3" fillId="0" borderId="46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2" borderId="14" xfId="0" applyFont="1" applyFill="1" applyBorder="1" applyAlignment="1" applyProtection="1">
      <alignment horizontal="left" vertical="center"/>
    </xf>
    <xf numFmtId="0" fontId="2" fillId="0" borderId="48" xfId="0" applyFont="1" applyBorder="1" applyAlignment="1" applyProtection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2" borderId="0" xfId="0" applyFont="1" applyFill="1"/>
    <xf numFmtId="0" fontId="3" fillId="2" borderId="4" xfId="0" applyFont="1" applyFill="1" applyBorder="1"/>
    <xf numFmtId="0" fontId="3" fillId="2" borderId="30" xfId="0" applyFont="1" applyFill="1" applyBorder="1"/>
    <xf numFmtId="14" fontId="3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31" xfId="0" applyFont="1" applyFill="1" applyBorder="1" applyAlignment="1">
      <alignment horizontal="left"/>
    </xf>
    <xf numFmtId="0" fontId="3" fillId="2" borderId="32" xfId="0" applyFont="1" applyFill="1" applyBorder="1"/>
    <xf numFmtId="0" fontId="3" fillId="2" borderId="20" xfId="0" applyFont="1" applyFill="1" applyBorder="1"/>
    <xf numFmtId="0" fontId="3" fillId="2" borderId="21" xfId="0" applyFont="1" applyFill="1" applyBorder="1"/>
    <xf numFmtId="0" fontId="2" fillId="2" borderId="0" xfId="10" applyFont="1" applyFill="1" applyAlignment="1">
      <alignment vertical="center"/>
    </xf>
    <xf numFmtId="4" fontId="2" fillId="2" borderId="0" xfId="10" applyNumberFormat="1" applyFont="1" applyFill="1" applyAlignment="1">
      <alignment vertical="center"/>
    </xf>
    <xf numFmtId="4" fontId="2" fillId="2" borderId="0" xfId="10" applyNumberFormat="1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4" fontId="1" fillId="2" borderId="61" xfId="10" applyNumberFormat="1" applyFont="1" applyFill="1" applyBorder="1" applyAlignment="1">
      <alignment horizontal="center" vertical="center"/>
    </xf>
    <xf numFmtId="4" fontId="2" fillId="2" borderId="26" xfId="10" applyNumberFormat="1" applyFont="1" applyFill="1" applyBorder="1" applyAlignment="1">
      <alignment horizontal="left" vertical="center"/>
    </xf>
    <xf numFmtId="4" fontId="2" fillId="2" borderId="14" xfId="10" applyNumberFormat="1" applyFont="1" applyFill="1" applyBorder="1" applyAlignment="1">
      <alignment horizontal="left" vertical="center"/>
    </xf>
    <xf numFmtId="4" fontId="1" fillId="5" borderId="52" xfId="10" applyNumberFormat="1" applyFont="1" applyFill="1" applyBorder="1" applyAlignment="1">
      <alignment horizontal="center" vertical="center"/>
    </xf>
    <xf numFmtId="0" fontId="2" fillId="0" borderId="14" xfId="10" applyFont="1" applyBorder="1" applyAlignment="1">
      <alignment vertical="center"/>
    </xf>
    <xf numFmtId="0" fontId="2" fillId="0" borderId="19" xfId="10" applyFont="1" applyBorder="1" applyAlignment="1">
      <alignment vertical="center"/>
    </xf>
    <xf numFmtId="0" fontId="2" fillId="0" borderId="13" xfId="10" applyFont="1" applyBorder="1" applyAlignment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2" borderId="8" xfId="0" quotePrefix="1" applyFont="1" applyFill="1" applyBorder="1" applyAlignment="1">
      <alignment vertical="center" wrapText="1"/>
    </xf>
    <xf numFmtId="0" fontId="2" fillId="2" borderId="16" xfId="0" applyFont="1" applyFill="1" applyBorder="1" applyAlignment="1" applyProtection="1">
      <alignment horizontal="center" vertical="center"/>
    </xf>
    <xf numFmtId="0" fontId="2" fillId="2" borderId="12" xfId="0" applyFont="1" applyFill="1" applyBorder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 vertical="center"/>
    </xf>
    <xf numFmtId="4" fontId="3" fillId="0" borderId="50" xfId="0" applyNumberFormat="1" applyFont="1" applyBorder="1" applyAlignment="1">
      <alignment horizontal="center" vertical="center"/>
    </xf>
    <xf numFmtId="0" fontId="2" fillId="2" borderId="15" xfId="0" quotePrefix="1" applyFont="1" applyFill="1" applyBorder="1" applyAlignment="1">
      <alignment vertical="center" wrapText="1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vertical="center" wrapText="1"/>
    </xf>
    <xf numFmtId="0" fontId="15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center"/>
    </xf>
    <xf numFmtId="0" fontId="15" fillId="2" borderId="0" xfId="0" applyFont="1" applyFill="1"/>
    <xf numFmtId="0" fontId="15" fillId="2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3" fontId="2" fillId="0" borderId="46" xfId="7" applyFont="1" applyFill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4" fontId="2" fillId="0" borderId="12" xfId="7" applyNumberFormat="1" applyFont="1" applyFill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4" fontId="2" fillId="0" borderId="33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7" fontId="14" fillId="0" borderId="0" xfId="0" applyNumberFormat="1" applyFont="1" applyFill="1" applyBorder="1" applyAlignment="1" applyProtection="1">
      <alignment vertical="center" wrapText="1"/>
      <protection locked="0"/>
    </xf>
    <xf numFmtId="3" fontId="2" fillId="0" borderId="0" xfId="7" applyFont="1" applyFill="1" applyBorder="1" applyAlignment="1">
      <alignment horizontal="center" vertical="center"/>
    </xf>
    <xf numFmtId="4" fontId="2" fillId="0" borderId="0" xfId="7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3" fontId="1" fillId="7" borderId="45" xfId="5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1" fillId="3" borderId="3" xfId="5" applyNumberFormat="1" applyFont="1" applyFill="1" applyBorder="1" applyAlignment="1">
      <alignment horizontal="center" vertical="center"/>
    </xf>
    <xf numFmtId="4" fontId="4" fillId="5" borderId="39" xfId="0" applyNumberFormat="1" applyFont="1" applyFill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4" fillId="5" borderId="43" xfId="0" applyNumberFormat="1" applyFont="1" applyFill="1" applyBorder="1" applyAlignment="1">
      <alignment horizontal="center" vertical="center"/>
    </xf>
    <xf numFmtId="0" fontId="4" fillId="5" borderId="38" xfId="0" applyFont="1" applyFill="1" applyBorder="1" applyAlignment="1">
      <alignment vertical="center"/>
    </xf>
    <xf numFmtId="0" fontId="4" fillId="5" borderId="61" xfId="0" applyFont="1" applyFill="1" applyBorder="1" applyAlignment="1">
      <alignment vertical="center"/>
    </xf>
    <xf numFmtId="0" fontId="2" fillId="0" borderId="7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4" fontId="4" fillId="0" borderId="0" xfId="0" applyNumberFormat="1" applyFont="1" applyFill="1" applyBorder="1" applyAlignment="1">
      <alignment horizontal="center" vertical="center"/>
    </xf>
    <xf numFmtId="169" fontId="2" fillId="0" borderId="0" xfId="7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168" fontId="1" fillId="3" borderId="1" xfId="5" applyNumberFormat="1" applyFont="1" applyFill="1" applyBorder="1" applyAlignment="1">
      <alignment horizontal="center" vertical="center"/>
    </xf>
    <xf numFmtId="4" fontId="2" fillId="0" borderId="46" xfId="0" applyNumberFormat="1" applyFont="1" applyBorder="1" applyAlignment="1">
      <alignment horizontal="center" vertical="center"/>
    </xf>
    <xf numFmtId="4" fontId="2" fillId="0" borderId="27" xfId="0" applyNumberFormat="1" applyFont="1" applyBorder="1" applyAlignment="1">
      <alignment horizontal="center" vertical="center"/>
    </xf>
    <xf numFmtId="3" fontId="2" fillId="0" borderId="0" xfId="7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" fontId="2" fillId="6" borderId="46" xfId="5" applyNumberFormat="1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left"/>
    </xf>
    <xf numFmtId="0" fontId="1" fillId="10" borderId="82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 wrapText="1"/>
    </xf>
    <xf numFmtId="0" fontId="2" fillId="0" borderId="74" xfId="0" applyFont="1" applyBorder="1" applyAlignment="1">
      <alignment horizontal="center" vertical="center"/>
    </xf>
    <xf numFmtId="0" fontId="1" fillId="10" borderId="8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9" borderId="39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1" fillId="10" borderId="9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93" xfId="0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" fontId="2" fillId="0" borderId="34" xfId="1" applyNumberFormat="1" applyFont="1" applyBorder="1" applyAlignment="1" applyProtection="1">
      <alignment horizontal="center" vertical="center"/>
    </xf>
    <xf numFmtId="4" fontId="2" fillId="0" borderId="23" xfId="1" applyNumberFormat="1" applyFont="1" applyBorder="1" applyAlignment="1" applyProtection="1">
      <alignment horizontal="center" vertical="center"/>
    </xf>
    <xf numFmtId="4" fontId="2" fillId="0" borderId="24" xfId="1" applyNumberFormat="1" applyFont="1" applyBorder="1" applyAlignment="1" applyProtection="1">
      <alignment horizontal="center" vertical="center"/>
    </xf>
    <xf numFmtId="0" fontId="15" fillId="0" borderId="0" xfId="0" applyFont="1"/>
    <xf numFmtId="4" fontId="18" fillId="7" borderId="35" xfId="0" applyNumberFormat="1" applyFont="1" applyFill="1" applyBorder="1" applyAlignment="1" applyProtection="1">
      <alignment vertical="top"/>
    </xf>
    <xf numFmtId="4" fontId="16" fillId="7" borderId="43" xfId="0" applyNumberFormat="1" applyFont="1" applyFill="1" applyBorder="1" applyAlignment="1" applyProtection="1">
      <alignment horizontal="center" vertical="top" wrapText="1"/>
    </xf>
    <xf numFmtId="0" fontId="15" fillId="2" borderId="0" xfId="0" applyFont="1" applyFill="1" applyBorder="1"/>
    <xf numFmtId="0" fontId="7" fillId="2" borderId="0" xfId="0" applyFont="1" applyFill="1" applyBorder="1" applyAlignment="1" applyProtection="1">
      <alignment horizontal="left" vertical="top" wrapText="1"/>
    </xf>
    <xf numFmtId="4" fontId="15" fillId="2" borderId="0" xfId="0" applyNumberFormat="1" applyFont="1" applyFill="1" applyBorder="1" applyAlignment="1" applyProtection="1">
      <alignment vertical="top"/>
    </xf>
    <xf numFmtId="0" fontId="15" fillId="0" borderId="34" xfId="0" applyFont="1" applyBorder="1"/>
    <xf numFmtId="0" fontId="15" fillId="0" borderId="24" xfId="0" applyFont="1" applyBorder="1"/>
    <xf numFmtId="0" fontId="15" fillId="2" borderId="23" xfId="0" applyFont="1" applyFill="1" applyBorder="1"/>
    <xf numFmtId="0" fontId="15" fillId="2" borderId="24" xfId="0" applyFont="1" applyFill="1" applyBorder="1"/>
    <xf numFmtId="0" fontId="18" fillId="2" borderId="34" xfId="0" applyFont="1" applyFill="1" applyBorder="1"/>
    <xf numFmtId="0" fontId="18" fillId="2" borderId="23" xfId="0" applyFont="1" applyFill="1" applyBorder="1"/>
    <xf numFmtId="0" fontId="15" fillId="0" borderId="23" xfId="0" applyFont="1" applyBorder="1" applyAlignment="1"/>
    <xf numFmtId="0" fontId="3" fillId="0" borderId="23" xfId="0" applyFont="1" applyBorder="1" applyAlignment="1">
      <alignment horizontal="right" vertical="center"/>
    </xf>
    <xf numFmtId="0" fontId="2" fillId="2" borderId="46" xfId="0" applyFont="1" applyFill="1" applyBorder="1" applyAlignment="1" applyProtection="1">
      <alignment horizontal="center" vertical="center"/>
    </xf>
    <xf numFmtId="0" fontId="3" fillId="2" borderId="0" xfId="0" applyFont="1" applyFill="1" applyAlignment="1">
      <alignment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 applyProtection="1">
      <alignment vertical="center" wrapText="1"/>
    </xf>
    <xf numFmtId="0" fontId="3" fillId="0" borderId="24" xfId="0" applyFont="1" applyBorder="1" applyAlignment="1">
      <alignment horizontal="right" vertical="center"/>
    </xf>
    <xf numFmtId="0" fontId="2" fillId="2" borderId="50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4" fillId="7" borderId="43" xfId="0" applyFont="1" applyFill="1" applyBorder="1" applyAlignment="1">
      <alignment vertical="center"/>
    </xf>
    <xf numFmtId="0" fontId="15" fillId="2" borderId="0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0" fontId="11" fillId="2" borderId="35" xfId="4" applyFont="1" applyFill="1" applyBorder="1" applyAlignment="1">
      <alignment horizontal="left" vertical="top"/>
    </xf>
    <xf numFmtId="0" fontId="11" fillId="2" borderId="77" xfId="4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center" vertical="center"/>
    </xf>
    <xf numFmtId="0" fontId="2" fillId="2" borderId="24" xfId="0" applyFont="1" applyFill="1" applyBorder="1" applyAlignment="1" applyProtection="1">
      <alignment horizontal="center" vertical="center"/>
    </xf>
    <xf numFmtId="0" fontId="2" fillId="2" borderId="49" xfId="0" applyFont="1" applyFill="1" applyBorder="1" applyAlignment="1" applyProtection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4" fontId="18" fillId="5" borderId="3" xfId="0" applyNumberFormat="1" applyFont="1" applyFill="1" applyBorder="1" applyAlignment="1" applyProtection="1">
      <alignment vertical="top"/>
    </xf>
    <xf numFmtId="0" fontId="18" fillId="7" borderId="43" xfId="0" quotePrefix="1" applyFont="1" applyFill="1" applyBorder="1" applyAlignment="1">
      <alignment horizontal="left" vertical="center"/>
    </xf>
    <xf numFmtId="0" fontId="15" fillId="2" borderId="40" xfId="0" applyFont="1" applyFill="1" applyBorder="1"/>
    <xf numFmtId="0" fontId="11" fillId="2" borderId="35" xfId="4" applyFont="1" applyFill="1" applyBorder="1" applyAlignment="1">
      <alignment vertical="top"/>
    </xf>
    <xf numFmtId="0" fontId="2" fillId="0" borderId="17" xfId="0" applyFont="1" applyBorder="1" applyAlignment="1">
      <alignment horizontal="left" vertical="center" wrapText="1"/>
    </xf>
    <xf numFmtId="0" fontId="2" fillId="0" borderId="68" xfId="0" applyFont="1" applyBorder="1" applyAlignment="1">
      <alignment horizontal="right" vertical="center" wrapText="1"/>
    </xf>
    <xf numFmtId="0" fontId="2" fillId="0" borderId="48" xfId="0" applyFont="1" applyBorder="1" applyAlignment="1">
      <alignment horizontal="right" vertical="center" wrapText="1"/>
    </xf>
    <xf numFmtId="0" fontId="2" fillId="0" borderId="73" xfId="0" applyFont="1" applyBorder="1" applyAlignment="1">
      <alignment horizontal="right" vertical="center" wrapText="1"/>
    </xf>
    <xf numFmtId="167" fontId="14" fillId="0" borderId="14" xfId="0" applyNumberFormat="1" applyFont="1" applyFill="1" applyBorder="1" applyAlignment="1" applyProtection="1">
      <alignment vertical="center" wrapText="1"/>
      <protection locked="0"/>
    </xf>
    <xf numFmtId="167" fontId="14" fillId="0" borderId="14" xfId="0" applyNumberFormat="1" applyFont="1" applyFill="1" applyBorder="1" applyAlignment="1" applyProtection="1">
      <alignment vertical="center"/>
      <protection locked="0"/>
    </xf>
    <xf numFmtId="167" fontId="14" fillId="0" borderId="19" xfId="0" applyNumberFormat="1" applyFont="1" applyFill="1" applyBorder="1" applyAlignment="1" applyProtection="1">
      <alignment vertical="center" wrapText="1"/>
      <protection locked="0"/>
    </xf>
    <xf numFmtId="4" fontId="2" fillId="0" borderId="50" xfId="7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4" fontId="1" fillId="3" borderId="35" xfId="10" applyNumberFormat="1" applyFont="1" applyFill="1" applyBorder="1" applyAlignment="1">
      <alignment horizontal="center"/>
    </xf>
    <xf numFmtId="4" fontId="2" fillId="3" borderId="36" xfId="1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0" fontId="2" fillId="2" borderId="6" xfId="0" applyFont="1" applyFill="1" applyBorder="1" applyAlignment="1" applyProtection="1">
      <alignment horizontal="center" vertical="center"/>
    </xf>
    <xf numFmtId="0" fontId="2" fillId="2" borderId="8" xfId="0" applyFont="1" applyFill="1" applyBorder="1" applyAlignment="1" applyProtection="1">
      <alignment horizontal="left" vertical="center" wrapText="1"/>
    </xf>
    <xf numFmtId="0" fontId="2" fillId="2" borderId="41" xfId="0" applyFont="1" applyFill="1" applyBorder="1" applyAlignment="1" applyProtection="1">
      <alignment horizontal="right" vertical="center"/>
    </xf>
    <xf numFmtId="0" fontId="2" fillId="2" borderId="80" xfId="0" applyFont="1" applyFill="1" applyBorder="1" applyAlignment="1" applyProtection="1">
      <alignment horizontal="left" vertical="center" wrapText="1"/>
    </xf>
    <xf numFmtId="0" fontId="2" fillId="2" borderId="8" xfId="0" applyFont="1" applyFill="1" applyBorder="1" applyAlignment="1">
      <alignment wrapText="1"/>
    </xf>
    <xf numFmtId="0" fontId="2" fillId="2" borderId="80" xfId="0" applyFont="1" applyFill="1" applyBorder="1" applyAlignment="1">
      <alignment wrapText="1"/>
    </xf>
    <xf numFmtId="0" fontId="2" fillId="2" borderId="23" xfId="0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8" xfId="0" applyFont="1" applyFill="1" applyBorder="1" applyAlignment="1">
      <alignment vertical="center" wrapText="1"/>
    </xf>
    <xf numFmtId="0" fontId="2" fillId="2" borderId="34" xfId="0" applyFont="1" applyFill="1" applyBorder="1" applyAlignment="1">
      <alignment horizontal="right" vertical="center"/>
    </xf>
    <xf numFmtId="0" fontId="2" fillId="2" borderId="79" xfId="0" applyFont="1" applyFill="1" applyBorder="1" applyAlignment="1" applyProtection="1">
      <alignment vertical="center" wrapText="1"/>
    </xf>
    <xf numFmtId="0" fontId="2" fillId="2" borderId="46" xfId="0" applyFont="1" applyFill="1" applyBorder="1" applyAlignment="1">
      <alignment horizontal="center" vertical="center"/>
    </xf>
    <xf numFmtId="0" fontId="2" fillId="2" borderId="17" xfId="0" applyFont="1" applyFill="1" applyBorder="1" applyAlignment="1" applyProtection="1">
      <alignment vertical="center" wrapText="1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4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2" borderId="0" xfId="0" applyFont="1" applyFill="1" applyAlignment="1">
      <alignment wrapText="1"/>
    </xf>
    <xf numFmtId="0" fontId="2" fillId="2" borderId="34" xfId="0" applyFont="1" applyFill="1" applyBorder="1" applyAlignment="1" applyProtection="1">
      <alignment horizontal="right" vertical="center"/>
    </xf>
    <xf numFmtId="0" fontId="2" fillId="2" borderId="15" xfId="0" applyFont="1" applyFill="1" applyBorder="1" applyAlignment="1" applyProtection="1">
      <alignment horizontal="left" vertical="center" wrapText="1"/>
    </xf>
    <xf numFmtId="0" fontId="2" fillId="2" borderId="23" xfId="0" applyFont="1" applyFill="1" applyBorder="1" applyAlignment="1" applyProtection="1">
      <alignment horizontal="right" vertical="center"/>
    </xf>
    <xf numFmtId="0" fontId="2" fillId="2" borderId="24" xfId="0" applyFont="1" applyFill="1" applyBorder="1" applyAlignment="1" applyProtection="1">
      <alignment horizontal="right" vertical="center"/>
    </xf>
    <xf numFmtId="0" fontId="2" fillId="2" borderId="14" xfId="0" applyFont="1" applyFill="1" applyBorder="1" applyAlignment="1" applyProtection="1">
      <alignment vertical="center" wrapText="1"/>
    </xf>
    <xf numFmtId="0" fontId="2" fillId="2" borderId="42" xfId="0" applyFont="1" applyFill="1" applyBorder="1" applyAlignment="1" applyProtection="1">
      <alignment vertical="center" wrapText="1"/>
    </xf>
    <xf numFmtId="0" fontId="2" fillId="2" borderId="40" xfId="0" applyFont="1" applyFill="1" applyBorder="1" applyAlignment="1" applyProtection="1">
      <alignment horizontal="right" vertical="center"/>
    </xf>
    <xf numFmtId="0" fontId="2" fillId="2" borderId="11" xfId="0" applyFont="1" applyFill="1" applyBorder="1" applyAlignment="1" applyProtection="1">
      <alignment vertical="center" wrapText="1"/>
    </xf>
    <xf numFmtId="0" fontId="2" fillId="2" borderId="25" xfId="0" applyFont="1" applyFill="1" applyBorder="1" applyAlignment="1" applyProtection="1">
      <alignment horizontal="center" vertical="center"/>
    </xf>
    <xf numFmtId="0" fontId="2" fillId="2" borderId="14" xfId="0" applyFont="1" applyFill="1" applyBorder="1" applyAlignment="1" applyProtection="1">
      <alignment horizontal="left" vertical="center" wrapText="1"/>
    </xf>
    <xf numFmtId="0" fontId="2" fillId="2" borderId="40" xfId="0" applyFont="1" applyFill="1" applyBorder="1" applyAlignment="1">
      <alignment horizontal="right" vertical="center"/>
    </xf>
    <xf numFmtId="0" fontId="2" fillId="2" borderId="17" xfId="0" applyFont="1" applyFill="1" applyBorder="1" applyAlignment="1">
      <alignment vertical="center" wrapText="1"/>
    </xf>
    <xf numFmtId="0" fontId="2" fillId="2" borderId="79" xfId="0" applyFont="1" applyFill="1" applyBorder="1" applyAlignment="1">
      <alignment vertical="center" wrapText="1"/>
    </xf>
    <xf numFmtId="0" fontId="2" fillId="2" borderId="24" xfId="0" applyFont="1" applyFill="1" applyBorder="1" applyAlignment="1">
      <alignment horizontal="right" vertical="center"/>
    </xf>
    <xf numFmtId="0" fontId="2" fillId="2" borderId="80" xfId="0" applyFont="1" applyFill="1" applyBorder="1" applyAlignment="1">
      <alignment vertical="center" wrapText="1"/>
    </xf>
    <xf numFmtId="0" fontId="2" fillId="2" borderId="41" xfId="0" applyFont="1" applyFill="1" applyBorder="1" applyAlignment="1" applyProtection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51" xfId="0" applyFont="1" applyFill="1" applyBorder="1" applyAlignment="1">
      <alignment horizontal="center" vertical="center"/>
    </xf>
    <xf numFmtId="3" fontId="2" fillId="0" borderId="18" xfId="7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1" fontId="2" fillId="0" borderId="9" xfId="0" applyNumberFormat="1" applyFont="1" applyFill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170" fontId="2" fillId="0" borderId="9" xfId="0" applyNumberFormat="1" applyFont="1" applyBorder="1" applyAlignment="1">
      <alignment horizontal="center" vertical="center"/>
    </xf>
    <xf numFmtId="170" fontId="2" fillId="8" borderId="9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46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4" fillId="5" borderId="38" xfId="0" applyFont="1" applyFill="1" applyBorder="1" applyAlignment="1">
      <alignment horizontal="center" vertical="center"/>
    </xf>
    <xf numFmtId="0" fontId="4" fillId="5" borderId="45" xfId="0" applyFont="1" applyFill="1" applyBorder="1" applyAlignment="1">
      <alignment horizontal="center" vertical="center"/>
    </xf>
    <xf numFmtId="0" fontId="4" fillId="5" borderId="45" xfId="0" applyFont="1" applyFill="1" applyBorder="1" applyAlignment="1">
      <alignment horizontal="center" vertical="center" wrapText="1"/>
    </xf>
    <xf numFmtId="0" fontId="4" fillId="5" borderId="39" xfId="0" applyFont="1" applyFill="1" applyBorder="1" applyAlignment="1">
      <alignment horizontal="center" vertical="center" wrapText="1"/>
    </xf>
    <xf numFmtId="0" fontId="3" fillId="0" borderId="46" xfId="0" applyFont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4" fillId="7" borderId="35" xfId="0" applyFont="1" applyFill="1" applyBorder="1" applyAlignment="1">
      <alignment vertical="center"/>
    </xf>
    <xf numFmtId="4" fontId="1" fillId="3" borderId="43" xfId="5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2" borderId="13" xfId="0" applyFont="1" applyFill="1" applyBorder="1" applyAlignment="1" applyProtection="1">
      <alignment vertical="center" wrapText="1"/>
    </xf>
    <xf numFmtId="0" fontId="2" fillId="2" borderId="70" xfId="0" applyFont="1" applyFill="1" applyBorder="1" applyAlignment="1" applyProtection="1">
      <alignment horizontal="center" vertical="center"/>
    </xf>
    <xf numFmtId="0" fontId="2" fillId="2" borderId="10" xfId="0" applyFont="1" applyFill="1" applyBorder="1" applyAlignment="1" applyProtection="1">
      <alignment vertical="center" wrapText="1"/>
    </xf>
    <xf numFmtId="0" fontId="2" fillId="2" borderId="10" xfId="0" applyFont="1" applyFill="1" applyBorder="1" applyAlignment="1" applyProtection="1">
      <alignment horizontal="left" vertical="center" wrapText="1"/>
    </xf>
    <xf numFmtId="4" fontId="2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4" fontId="2" fillId="0" borderId="34" xfId="1" applyNumberFormat="1" applyFont="1" applyBorder="1" applyAlignment="1" applyProtection="1">
      <alignment horizontal="right" vertical="center"/>
    </xf>
    <xf numFmtId="4" fontId="2" fillId="0" borderId="23" xfId="1" applyNumberFormat="1" applyFont="1" applyBorder="1" applyAlignment="1" applyProtection="1">
      <alignment horizontal="right" vertical="center"/>
    </xf>
    <xf numFmtId="4" fontId="2" fillId="0" borderId="24" xfId="1" applyNumberFormat="1" applyFont="1" applyBorder="1" applyAlignment="1" applyProtection="1">
      <alignment horizontal="right" vertical="center"/>
    </xf>
    <xf numFmtId="4" fontId="1" fillId="3" borderId="43" xfId="5" applyNumberFormat="1" applyFont="1" applyFill="1" applyBorder="1" applyAlignment="1">
      <alignment horizontal="right" vertical="center"/>
    </xf>
    <xf numFmtId="4" fontId="2" fillId="0" borderId="40" xfId="1" applyNumberFormat="1" applyFont="1" applyBorder="1" applyAlignment="1" applyProtection="1">
      <alignment horizontal="right" vertical="center"/>
    </xf>
    <xf numFmtId="0" fontId="3" fillId="0" borderId="7" xfId="0" applyFont="1" applyBorder="1" applyAlignment="1">
      <alignment vertical="center" wrapText="1"/>
    </xf>
    <xf numFmtId="43" fontId="2" fillId="2" borderId="34" xfId="0" applyNumberFormat="1" applyFont="1" applyFill="1" applyBorder="1" applyAlignment="1">
      <alignment horizontal="right" vertical="center" wrapText="1"/>
    </xf>
    <xf numFmtId="0" fontId="2" fillId="2" borderId="28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43" fontId="2" fillId="2" borderId="23" xfId="0" applyNumberFormat="1" applyFont="1" applyFill="1" applyBorder="1" applyAlignment="1">
      <alignment horizontal="right" vertical="center" wrapText="1"/>
    </xf>
    <xf numFmtId="43" fontId="2" fillId="2" borderId="24" xfId="0" applyNumberFormat="1" applyFont="1" applyFill="1" applyBorder="1" applyAlignment="1">
      <alignment horizontal="right" vertical="center" wrapText="1"/>
    </xf>
    <xf numFmtId="43" fontId="2" fillId="2" borderId="43" xfId="0" applyNumberFormat="1" applyFont="1" applyFill="1" applyBorder="1" applyAlignment="1">
      <alignment horizontal="right" vertical="center" wrapText="1"/>
    </xf>
    <xf numFmtId="4" fontId="15" fillId="0" borderId="0" xfId="0" applyNumberFormat="1" applyFont="1"/>
    <xf numFmtId="0" fontId="4" fillId="7" borderId="36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8" fillId="2" borderId="0" xfId="0" applyFont="1" applyFill="1" applyAlignment="1">
      <alignment horizontal="center" vertical="center" wrapText="1"/>
    </xf>
    <xf numFmtId="0" fontId="18" fillId="0" borderId="38" xfId="0" applyFont="1" applyBorder="1" applyAlignment="1">
      <alignment horizontal="center" vertical="center"/>
    </xf>
    <xf numFmtId="0" fontId="18" fillId="0" borderId="45" xfId="0" applyFont="1" applyBorder="1" applyAlignment="1">
      <alignment horizontal="center" vertical="center"/>
    </xf>
    <xf numFmtId="0" fontId="18" fillId="0" borderId="39" xfId="0" applyFont="1" applyBorder="1" applyAlignment="1">
      <alignment horizontal="center" vertical="center"/>
    </xf>
    <xf numFmtId="0" fontId="18" fillId="3" borderId="1" xfId="0" quotePrefix="1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8" fillId="9" borderId="38" xfId="0" applyFont="1" applyFill="1" applyBorder="1" applyAlignment="1">
      <alignment horizontal="center" vertical="center"/>
    </xf>
    <xf numFmtId="0" fontId="15" fillId="0" borderId="45" xfId="0" applyFont="1" applyBorder="1" applyAlignment="1">
      <alignment vertical="center"/>
    </xf>
    <xf numFmtId="0" fontId="15" fillId="0" borderId="39" xfId="0" applyFont="1" applyBorder="1" applyAlignment="1">
      <alignment vertical="center"/>
    </xf>
    <xf numFmtId="0" fontId="18" fillId="3" borderId="43" xfId="0" quotePrefix="1" applyFont="1" applyFill="1" applyBorder="1" applyAlignment="1">
      <alignment vertical="center"/>
    </xf>
    <xf numFmtId="0" fontId="18" fillId="0" borderId="43" xfId="0" applyFont="1" applyBorder="1" applyAlignment="1">
      <alignment horizontal="center" vertical="center" wrapText="1"/>
    </xf>
    <xf numFmtId="0" fontId="15" fillId="0" borderId="38" xfId="0" applyFont="1" applyBorder="1" applyAlignment="1">
      <alignment vertical="center"/>
    </xf>
    <xf numFmtId="0" fontId="15" fillId="0" borderId="26" xfId="0" applyFont="1" applyBorder="1" applyAlignment="1">
      <alignment vertical="center"/>
    </xf>
    <xf numFmtId="0" fontId="18" fillId="0" borderId="34" xfId="0" applyFont="1" applyBorder="1" applyAlignment="1">
      <alignment horizontal="center" vertical="center" wrapText="1"/>
    </xf>
    <xf numFmtId="0" fontId="15" fillId="0" borderId="46" xfId="0" applyFont="1" applyBorder="1" applyAlignment="1">
      <alignment vertical="center"/>
    </xf>
    <xf numFmtId="0" fontId="15" fillId="0" borderId="47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18" fillId="0" borderId="23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/>
    </xf>
    <xf numFmtId="0" fontId="15" fillId="0" borderId="49" xfId="0" applyFont="1" applyBorder="1" applyAlignment="1">
      <alignment vertical="center"/>
    </xf>
    <xf numFmtId="0" fontId="15" fillId="0" borderId="19" xfId="0" applyFont="1" applyBorder="1" applyAlignment="1">
      <alignment vertical="center"/>
    </xf>
    <xf numFmtId="0" fontId="18" fillId="0" borderId="24" xfId="0" applyFont="1" applyBorder="1" applyAlignment="1">
      <alignment horizontal="center" vertical="center" wrapText="1"/>
    </xf>
    <xf numFmtId="0" fontId="15" fillId="0" borderId="50" xfId="0" applyFont="1" applyBorder="1" applyAlignment="1">
      <alignment vertical="center"/>
    </xf>
    <xf numFmtId="0" fontId="15" fillId="0" borderId="51" xfId="0" applyFont="1" applyBorder="1" applyAlignment="1">
      <alignment vertical="center"/>
    </xf>
    <xf numFmtId="0" fontId="18" fillId="7" borderId="43" xfId="0" applyFont="1" applyFill="1" applyBorder="1" applyAlignment="1">
      <alignment vertical="center"/>
    </xf>
    <xf numFmtId="0" fontId="18" fillId="7" borderId="36" xfId="0" applyFont="1" applyFill="1" applyBorder="1" applyAlignment="1">
      <alignment vertical="center"/>
    </xf>
    <xf numFmtId="0" fontId="18" fillId="0" borderId="36" xfId="0" applyFont="1" applyBorder="1" applyAlignment="1">
      <alignment horizontal="center" vertical="center" wrapText="1"/>
    </xf>
    <xf numFmtId="0" fontId="18" fillId="5" borderId="43" xfId="0" quotePrefix="1" applyFont="1" applyFill="1" applyBorder="1" applyAlignment="1">
      <alignment vertical="center"/>
    </xf>
    <xf numFmtId="0" fontId="18" fillId="5" borderId="43" xfId="0" applyFont="1" applyFill="1" applyBorder="1" applyAlignment="1">
      <alignment horizontal="center" vertical="center" wrapText="1"/>
    </xf>
    <xf numFmtId="0" fontId="15" fillId="2" borderId="38" xfId="0" applyFont="1" applyFill="1" applyBorder="1" applyAlignment="1">
      <alignment vertical="center"/>
    </xf>
    <xf numFmtId="0" fontId="15" fillId="2" borderId="26" xfId="0" applyFont="1" applyFill="1" applyBorder="1" applyAlignment="1">
      <alignment vertical="center"/>
    </xf>
    <xf numFmtId="0" fontId="15" fillId="2" borderId="14" xfId="0" applyFont="1" applyFill="1" applyBorder="1" applyAlignment="1">
      <alignment vertical="center"/>
    </xf>
    <xf numFmtId="0" fontId="15" fillId="2" borderId="9" xfId="0" applyFont="1" applyFill="1" applyBorder="1" applyAlignment="1">
      <alignment vertical="center"/>
    </xf>
    <xf numFmtId="0" fontId="15" fillId="2" borderId="19" xfId="0" applyFont="1" applyFill="1" applyBorder="1" applyAlignment="1">
      <alignment vertical="center"/>
    </xf>
    <xf numFmtId="0" fontId="15" fillId="2" borderId="45" xfId="0" applyFont="1" applyFill="1" applyBorder="1" applyAlignment="1">
      <alignment vertical="center"/>
    </xf>
    <xf numFmtId="0" fontId="18" fillId="2" borderId="0" xfId="0" applyFont="1" applyFill="1" applyBorder="1" applyAlignment="1">
      <alignment horizontal="center" vertical="center"/>
    </xf>
    <xf numFmtId="0" fontId="15" fillId="2" borderId="30" xfId="0" applyFont="1" applyFill="1" applyBorder="1" applyAlignment="1">
      <alignment horizontal="right" vertical="top"/>
    </xf>
    <xf numFmtId="0" fontId="15" fillId="2" borderId="32" xfId="0" applyFont="1" applyFill="1" applyBorder="1" applyAlignment="1">
      <alignment horizontal="right" vertical="top"/>
    </xf>
    <xf numFmtId="0" fontId="18" fillId="3" borderId="43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8" fillId="9" borderId="45" xfId="0" applyFont="1" applyFill="1" applyBorder="1" applyAlignment="1">
      <alignment horizontal="center" vertical="center"/>
    </xf>
    <xf numFmtId="0" fontId="18" fillId="9" borderId="46" xfId="0" applyFont="1" applyFill="1" applyBorder="1" applyAlignment="1">
      <alignment horizontal="center" vertical="center"/>
    </xf>
    <xf numFmtId="0" fontId="18" fillId="9" borderId="9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horizontal="left" vertical="center" wrapText="1"/>
    </xf>
    <xf numFmtId="0" fontId="16" fillId="7" borderId="20" xfId="0" applyFont="1" applyFill="1" applyBorder="1" applyAlignment="1">
      <alignment horizontal="left" vertical="center" wrapText="1"/>
    </xf>
    <xf numFmtId="0" fontId="18" fillId="5" borderId="2" xfId="0" applyFont="1" applyFill="1" applyBorder="1" applyAlignment="1">
      <alignment horizontal="left" vertical="center" wrapText="1"/>
    </xf>
    <xf numFmtId="0" fontId="18" fillId="5" borderId="45" xfId="0" applyFont="1" applyFill="1" applyBorder="1" applyAlignment="1">
      <alignment horizontal="center" vertical="center"/>
    </xf>
    <xf numFmtId="0" fontId="15" fillId="0" borderId="27" xfId="0" applyFont="1" applyBorder="1" applyAlignment="1">
      <alignment horizontal="justify" vertical="justify" wrapText="1"/>
    </xf>
    <xf numFmtId="0" fontId="15" fillId="0" borderId="12" xfId="0" applyFont="1" applyBorder="1" applyAlignment="1">
      <alignment horizontal="justify" vertical="justify" wrapText="1"/>
    </xf>
    <xf numFmtId="0" fontId="15" fillId="0" borderId="33" xfId="0" applyFont="1" applyBorder="1" applyAlignment="1">
      <alignment horizontal="justify" vertical="justify" wrapText="1"/>
    </xf>
    <xf numFmtId="0" fontId="18" fillId="9" borderId="50" xfId="0" applyFont="1" applyFill="1" applyBorder="1" applyAlignment="1">
      <alignment horizontal="center" vertical="center"/>
    </xf>
    <xf numFmtId="0" fontId="15" fillId="0" borderId="38" xfId="0" applyFont="1" applyBorder="1" applyAlignment="1">
      <alignment vertical="center" wrapText="1"/>
    </xf>
    <xf numFmtId="0" fontId="15" fillId="0" borderId="39" xfId="0" applyFont="1" applyBorder="1" applyAlignment="1">
      <alignment vertical="center" wrapText="1"/>
    </xf>
    <xf numFmtId="0" fontId="18" fillId="9" borderId="39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vertical="center"/>
    </xf>
    <xf numFmtId="0" fontId="15" fillId="2" borderId="101" xfId="0" applyFont="1" applyFill="1" applyBorder="1" applyAlignment="1">
      <alignment vertical="center"/>
    </xf>
    <xf numFmtId="0" fontId="18" fillId="2" borderId="101" xfId="0" applyFont="1" applyFill="1" applyBorder="1" applyAlignment="1">
      <alignment horizontal="center" vertical="center" wrapText="1"/>
    </xf>
    <xf numFmtId="0" fontId="18" fillId="3" borderId="109" xfId="0" applyFont="1" applyFill="1" applyBorder="1" applyAlignment="1">
      <alignment horizontal="center" vertical="center"/>
    </xf>
    <xf numFmtId="0" fontId="18" fillId="3" borderId="63" xfId="0" applyFont="1" applyFill="1" applyBorder="1" applyAlignment="1">
      <alignment horizontal="center" vertical="center"/>
    </xf>
    <xf numFmtId="0" fontId="18" fillId="3" borderId="110" xfId="0" applyFont="1" applyFill="1" applyBorder="1" applyAlignment="1">
      <alignment horizontal="center" vertical="center"/>
    </xf>
    <xf numFmtId="0" fontId="18" fillId="5" borderId="1" xfId="0" quotePrefix="1" applyFont="1" applyFill="1" applyBorder="1" applyAlignment="1">
      <alignment vertical="center"/>
    </xf>
    <xf numFmtId="0" fontId="15" fillId="9" borderId="38" xfId="0" applyFont="1" applyFill="1" applyBorder="1" applyAlignment="1">
      <alignment vertical="center"/>
    </xf>
    <xf numFmtId="0" fontId="15" fillId="5" borderId="45" xfId="0" applyFont="1" applyFill="1" applyBorder="1" applyAlignment="1">
      <alignment vertical="center"/>
    </xf>
    <xf numFmtId="0" fontId="15" fillId="0" borderId="105" xfId="0" applyFont="1" applyBorder="1" applyAlignment="1">
      <alignment vertical="center"/>
    </xf>
    <xf numFmtId="0" fontId="15" fillId="5" borderId="9" xfId="0" applyFont="1" applyFill="1" applyBorder="1" applyAlignment="1">
      <alignment vertical="center"/>
    </xf>
    <xf numFmtId="0" fontId="15" fillId="5" borderId="50" xfId="0" applyFont="1" applyFill="1" applyBorder="1" applyAlignment="1">
      <alignment vertical="center"/>
    </xf>
    <xf numFmtId="0" fontId="18" fillId="5" borderId="43" xfId="0" quotePrefix="1" applyFont="1" applyFill="1" applyBorder="1" applyAlignment="1">
      <alignment vertical="center" wrapText="1"/>
    </xf>
    <xf numFmtId="0" fontId="15" fillId="5" borderId="39" xfId="0" applyFont="1" applyFill="1" applyBorder="1" applyAlignment="1">
      <alignment vertical="center"/>
    </xf>
    <xf numFmtId="0" fontId="18" fillId="2" borderId="30" xfId="0" applyFont="1" applyFill="1" applyBorder="1" applyAlignment="1">
      <alignment horizontal="right" vertical="center"/>
    </xf>
    <xf numFmtId="0" fontId="18" fillId="2" borderId="32" xfId="0" applyFont="1" applyFill="1" applyBorder="1" applyAlignment="1">
      <alignment horizontal="right" vertical="center"/>
    </xf>
    <xf numFmtId="0" fontId="26" fillId="0" borderId="0" xfId="0" applyFont="1"/>
    <xf numFmtId="0" fontId="15" fillId="2" borderId="101" xfId="0" applyFont="1" applyFill="1" applyBorder="1" applyAlignment="1">
      <alignment vertical="center" wrapText="1"/>
    </xf>
    <xf numFmtId="0" fontId="18" fillId="5" borderId="43" xfId="0" applyFont="1" applyFill="1" applyBorder="1" applyAlignment="1">
      <alignment horizontal="left" vertical="center" wrapText="1"/>
    </xf>
    <xf numFmtId="0" fontId="18" fillId="0" borderId="39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52" xfId="0" applyFont="1" applyBorder="1" applyAlignment="1">
      <alignment horizontal="center" vertical="center"/>
    </xf>
    <xf numFmtId="0" fontId="18" fillId="5" borderId="45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101" xfId="0" applyFont="1" applyFill="1" applyBorder="1" applyAlignment="1">
      <alignment horizontal="left" vertical="center" wrapText="1"/>
    </xf>
    <xf numFmtId="0" fontId="18" fillId="0" borderId="34" xfId="0" applyFont="1" applyBorder="1" applyAlignment="1">
      <alignment horizontal="left" vertical="center" wrapText="1"/>
    </xf>
    <xf numFmtId="0" fontId="18" fillId="0" borderId="23" xfId="0" applyFont="1" applyBorder="1" applyAlignment="1">
      <alignment horizontal="left" vertical="center" wrapText="1"/>
    </xf>
    <xf numFmtId="0" fontId="18" fillId="0" borderId="43" xfId="0" applyFont="1" applyBorder="1" applyAlignment="1">
      <alignment horizontal="left" vertical="center" wrapText="1"/>
    </xf>
    <xf numFmtId="0" fontId="18" fillId="0" borderId="52" xfId="0" applyFont="1" applyBorder="1" applyAlignment="1">
      <alignment horizontal="left" vertical="center" wrapText="1"/>
    </xf>
    <xf numFmtId="0" fontId="18" fillId="2" borderId="0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left"/>
    </xf>
    <xf numFmtId="0" fontId="18" fillId="3" borderId="43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44" xfId="0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0" borderId="24" xfId="0" applyFont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/>
    </xf>
    <xf numFmtId="0" fontId="15" fillId="2" borderId="31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4" fontId="2" fillId="0" borderId="18" xfId="7" applyNumberFormat="1" applyFont="1" applyFill="1" applyBorder="1" applyAlignment="1">
      <alignment horizontal="center" vertical="center"/>
    </xf>
    <xf numFmtId="0" fontId="2" fillId="0" borderId="68" xfId="0" applyFont="1" applyBorder="1" applyAlignment="1" applyProtection="1">
      <alignment horizontal="right" vertical="center"/>
    </xf>
    <xf numFmtId="0" fontId="2" fillId="0" borderId="73" xfId="0" applyFont="1" applyBorder="1" applyAlignment="1" applyProtection="1">
      <alignment horizontal="right" vertical="center"/>
    </xf>
    <xf numFmtId="0" fontId="2" fillId="2" borderId="68" xfId="0" applyFont="1" applyFill="1" applyBorder="1" applyAlignment="1">
      <alignment vertical="center" wrapText="1"/>
    </xf>
    <xf numFmtId="0" fontId="2" fillId="2" borderId="48" xfId="0" applyFont="1" applyFill="1" applyBorder="1" applyAlignment="1">
      <alignment vertical="center" wrapText="1"/>
    </xf>
    <xf numFmtId="0" fontId="2" fillId="2" borderId="73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left"/>
    </xf>
    <xf numFmtId="0" fontId="1" fillId="9" borderId="3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/>
    </xf>
    <xf numFmtId="0" fontId="20" fillId="0" borderId="0" xfId="0" applyFont="1" applyBorder="1" applyAlignment="1">
      <alignment vertical="center" wrapText="1"/>
    </xf>
    <xf numFmtId="0" fontId="20" fillId="2" borderId="0" xfId="0" applyFont="1" applyFill="1" applyBorder="1" applyAlignment="1">
      <alignment horizontal="left" vertical="center" wrapText="1"/>
    </xf>
    <xf numFmtId="10" fontId="14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12" borderId="0" xfId="0" applyFont="1" applyFill="1" applyBorder="1" applyAlignment="1">
      <alignment horizontal="center" vertical="center" wrapText="1"/>
    </xf>
    <xf numFmtId="10" fontId="1" fillId="12" borderId="0" xfId="0" applyNumberFormat="1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 wrapText="1"/>
    </xf>
    <xf numFmtId="10" fontId="2" fillId="2" borderId="0" xfId="0" applyNumberFormat="1" applyFont="1" applyFill="1" applyBorder="1" applyAlignment="1">
      <alignment horizontal="center" vertical="center" wrapText="1"/>
    </xf>
    <xf numFmtId="0" fontId="16" fillId="2" borderId="28" xfId="0" applyFont="1" applyFill="1" applyBorder="1" applyAlignment="1" applyProtection="1">
      <alignment horizontal="left" vertical="top"/>
    </xf>
    <xf numFmtId="0" fontId="7" fillId="2" borderId="7" xfId="0" applyFont="1" applyFill="1" applyBorder="1" applyAlignment="1" applyProtection="1">
      <alignment horizontal="left" vertical="top" wrapText="1"/>
    </xf>
    <xf numFmtId="0" fontId="16" fillId="2" borderId="7" xfId="0" applyFont="1" applyFill="1" applyBorder="1" applyAlignment="1" applyProtection="1">
      <alignment horizontal="left" vertical="top" wrapText="1"/>
    </xf>
    <xf numFmtId="0" fontId="15" fillId="2" borderId="7" xfId="0" applyFont="1" applyFill="1" applyBorder="1" applyAlignment="1" applyProtection="1">
      <alignment horizontal="left" vertical="top" wrapText="1"/>
    </xf>
    <xf numFmtId="0" fontId="15" fillId="2" borderId="11" xfId="0" applyFont="1" applyFill="1" applyBorder="1" applyAlignment="1" applyProtection="1">
      <alignment horizontal="left" vertical="top" wrapText="1"/>
    </xf>
    <xf numFmtId="4" fontId="18" fillId="2" borderId="34" xfId="0" applyNumberFormat="1" applyFont="1" applyFill="1" applyBorder="1" applyAlignment="1" applyProtection="1">
      <alignment vertical="top"/>
    </xf>
    <xf numFmtId="0" fontId="7" fillId="0" borderId="42" xfId="0" applyFont="1" applyBorder="1" applyAlignment="1" applyProtection="1">
      <alignment horizontal="left" vertical="top" wrapText="1"/>
    </xf>
    <xf numFmtId="0" fontId="7" fillId="0" borderId="7" xfId="0" applyFont="1" applyBorder="1" applyAlignment="1" applyProtection="1">
      <alignment horizontal="left" vertical="top"/>
    </xf>
    <xf numFmtId="0" fontId="7" fillId="0" borderId="7" xfId="0" applyFont="1" applyBorder="1" applyAlignment="1" applyProtection="1">
      <alignment horizontal="left" vertical="top" wrapText="1"/>
    </xf>
    <xf numFmtId="4" fontId="15" fillId="0" borderId="34" xfId="0" applyNumberFormat="1" applyFont="1" applyBorder="1" applyAlignment="1" applyProtection="1">
      <alignment vertical="top"/>
    </xf>
    <xf numFmtId="4" fontId="15" fillId="0" borderId="23" xfId="0" applyNumberFormat="1" applyFont="1" applyBorder="1" applyAlignment="1" applyProtection="1">
      <alignment vertical="top"/>
    </xf>
    <xf numFmtId="4" fontId="15" fillId="0" borderId="81" xfId="0" applyNumberFormat="1" applyFont="1" applyBorder="1" applyAlignment="1" applyProtection="1">
      <alignment vertical="top"/>
    </xf>
    <xf numFmtId="4" fontId="3" fillId="0" borderId="0" xfId="0" applyNumberFormat="1" applyFont="1" applyAlignment="1">
      <alignment vertical="center"/>
    </xf>
    <xf numFmtId="0" fontId="2" fillId="2" borderId="42" xfId="0" applyFont="1" applyFill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37" xfId="0" applyFont="1" applyBorder="1" applyAlignment="1">
      <alignment vertical="center" wrapText="1"/>
    </xf>
    <xf numFmtId="0" fontId="3" fillId="0" borderId="42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4" fontId="4" fillId="0" borderId="38" xfId="0" applyNumberFormat="1" applyFont="1" applyBorder="1" applyAlignment="1">
      <alignment horizontal="center" vertical="center"/>
    </xf>
    <xf numFmtId="4" fontId="4" fillId="0" borderId="45" xfId="0" applyNumberFormat="1" applyFont="1" applyBorder="1" applyAlignment="1">
      <alignment horizontal="center" vertical="center"/>
    </xf>
    <xf numFmtId="0" fontId="4" fillId="0" borderId="111" xfId="0" applyFont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4" fillId="0" borderId="60" xfId="0" applyNumberFormat="1" applyFont="1" applyBorder="1" applyAlignment="1">
      <alignment horizontal="center" vertical="center"/>
    </xf>
    <xf numFmtId="4" fontId="19" fillId="0" borderId="41" xfId="0" applyNumberFormat="1" applyFont="1" applyBorder="1" applyAlignment="1">
      <alignment horizontal="center" vertical="center"/>
    </xf>
    <xf numFmtId="4" fontId="19" fillId="0" borderId="23" xfId="0" applyNumberFormat="1" applyFont="1" applyBorder="1" applyAlignment="1">
      <alignment horizontal="center" vertical="center"/>
    </xf>
    <xf numFmtId="4" fontId="19" fillId="0" borderId="40" xfId="0" applyNumberFormat="1" applyFont="1" applyBorder="1" applyAlignment="1">
      <alignment horizontal="center" vertical="center"/>
    </xf>
    <xf numFmtId="4" fontId="19" fillId="0" borderId="43" xfId="0" applyNumberFormat="1" applyFont="1" applyBorder="1" applyAlignment="1">
      <alignment horizontal="center" vertical="center"/>
    </xf>
    <xf numFmtId="0" fontId="18" fillId="5" borderId="45" xfId="0" applyFont="1" applyFill="1" applyBorder="1" applyAlignment="1">
      <alignment vertical="center"/>
    </xf>
    <xf numFmtId="0" fontId="18" fillId="5" borderId="45" xfId="0" applyFont="1" applyFill="1" applyBorder="1" applyAlignment="1">
      <alignment vertical="center" wrapText="1"/>
    </xf>
    <xf numFmtId="0" fontId="18" fillId="0" borderId="39" xfId="0" applyFont="1" applyBorder="1" applyAlignment="1">
      <alignment vertical="center"/>
    </xf>
    <xf numFmtId="0" fontId="15" fillId="5" borderId="45" xfId="0" applyFont="1" applyFill="1" applyBorder="1" applyAlignment="1">
      <alignment horizontal="center" vertical="center"/>
    </xf>
    <xf numFmtId="0" fontId="15" fillId="5" borderId="46" xfId="0" applyFont="1" applyFill="1" applyBorder="1" applyAlignment="1">
      <alignment horizontal="center" vertical="center"/>
    </xf>
    <xf numFmtId="0" fontId="15" fillId="5" borderId="9" xfId="0" applyFont="1" applyFill="1" applyBorder="1" applyAlignment="1">
      <alignment horizontal="center" vertical="center"/>
    </xf>
    <xf numFmtId="0" fontId="15" fillId="5" borderId="45" xfId="0" applyFont="1" applyFill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/>
    </xf>
    <xf numFmtId="0" fontId="15" fillId="5" borderId="56" xfId="0" applyFont="1" applyFill="1" applyBorder="1" applyAlignment="1">
      <alignment horizontal="center" vertical="center"/>
    </xf>
    <xf numFmtId="0" fontId="15" fillId="5" borderId="50" xfId="0" applyFont="1" applyFill="1" applyBorder="1" applyAlignment="1">
      <alignment horizontal="center" vertical="center"/>
    </xf>
    <xf numFmtId="0" fontId="18" fillId="2" borderId="38" xfId="0" applyFont="1" applyFill="1" applyBorder="1" applyAlignment="1">
      <alignment vertical="center"/>
    </xf>
    <xf numFmtId="43" fontId="25" fillId="2" borderId="34" xfId="0" applyNumberFormat="1" applyFont="1" applyFill="1" applyBorder="1" applyAlignment="1">
      <alignment horizontal="right" vertical="center" wrapText="1"/>
    </xf>
    <xf numFmtId="0" fontId="16" fillId="5" borderId="5" xfId="0" applyFont="1" applyFill="1" applyBorder="1" applyAlignment="1" applyProtection="1">
      <alignment horizontal="center" vertical="top" wrapText="1"/>
    </xf>
    <xf numFmtId="0" fontId="16" fillId="5" borderId="29" xfId="0" applyFont="1" applyFill="1" applyBorder="1" applyAlignment="1" applyProtection="1">
      <alignment horizontal="center" vertical="top" wrapText="1"/>
    </xf>
    <xf numFmtId="0" fontId="16" fillId="5" borderId="35" xfId="0" applyFont="1" applyFill="1" applyBorder="1" applyAlignment="1" applyProtection="1">
      <alignment horizontal="center" vertical="top" wrapText="1"/>
    </xf>
    <xf numFmtId="0" fontId="18" fillId="7" borderId="35" xfId="0" quotePrefix="1" applyFont="1" applyFill="1" applyBorder="1" applyAlignment="1">
      <alignment horizontal="left" vertical="center"/>
    </xf>
    <xf numFmtId="4" fontId="25" fillId="0" borderId="40" xfId="1" applyNumberFormat="1" applyFont="1" applyBorder="1" applyAlignment="1" applyProtection="1">
      <alignment horizontal="right" vertical="center"/>
    </xf>
    <xf numFmtId="0" fontId="1" fillId="2" borderId="9" xfId="0" applyFont="1" applyFill="1" applyBorder="1" applyAlignment="1" applyProtection="1">
      <alignment horizontal="center" vertical="center"/>
    </xf>
    <xf numFmtId="4" fontId="4" fillId="0" borderId="44" xfId="0" applyNumberFormat="1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2" fillId="2" borderId="65" xfId="0" applyFont="1" applyFill="1" applyBorder="1" applyAlignment="1" applyProtection="1">
      <alignment horizontal="center" vertical="center"/>
    </xf>
    <xf numFmtId="0" fontId="3" fillId="0" borderId="41" xfId="0" applyFont="1" applyBorder="1" applyAlignment="1">
      <alignment horizontal="right" vertical="center"/>
    </xf>
    <xf numFmtId="0" fontId="2" fillId="0" borderId="15" xfId="0" applyFont="1" applyBorder="1" applyAlignment="1">
      <alignment horizontal="left" vertical="center" wrapText="1"/>
    </xf>
    <xf numFmtId="4" fontId="18" fillId="2" borderId="69" xfId="0" applyNumberFormat="1" applyFont="1" applyFill="1" applyBorder="1" applyAlignment="1" applyProtection="1">
      <alignment vertical="top"/>
    </xf>
    <xf numFmtId="4" fontId="2" fillId="2" borderId="34" xfId="0" applyNumberFormat="1" applyFont="1" applyFill="1" applyBorder="1" applyAlignment="1" applyProtection="1">
      <alignment horizontal="center" vertical="center" wrapText="1"/>
    </xf>
    <xf numFmtId="0" fontId="2" fillId="2" borderId="34" xfId="0" applyFont="1" applyFill="1" applyBorder="1" applyAlignment="1" applyProtection="1">
      <alignment horizontal="center" vertical="center"/>
    </xf>
    <xf numFmtId="0" fontId="2" fillId="2" borderId="23" xfId="0" applyFont="1" applyFill="1" applyBorder="1" applyAlignment="1" applyProtection="1">
      <alignment horizontal="center" vertical="center"/>
    </xf>
    <xf numFmtId="0" fontId="2" fillId="2" borderId="40" xfId="0" applyFont="1" applyFill="1" applyBorder="1" applyAlignment="1" applyProtection="1">
      <alignment horizontal="center" vertical="center"/>
    </xf>
    <xf numFmtId="4" fontId="1" fillId="3" borderId="43" xfId="0" applyNumberFormat="1" applyFont="1" applyFill="1" applyBorder="1" applyAlignment="1" applyProtection="1">
      <alignment horizontal="center" vertical="center" wrapText="1"/>
    </xf>
    <xf numFmtId="0" fontId="16" fillId="2" borderId="69" xfId="0" applyFont="1" applyFill="1" applyBorder="1" applyAlignment="1" applyProtection="1">
      <alignment horizontal="left" vertical="top"/>
    </xf>
    <xf numFmtId="0" fontId="7" fillId="2" borderId="75" xfId="0" applyFont="1" applyFill="1" applyBorder="1" applyAlignment="1" applyProtection="1">
      <alignment horizontal="left" vertical="top" wrapText="1"/>
    </xf>
    <xf numFmtId="0" fontId="16" fillId="2" borderId="75" xfId="0" applyFont="1" applyFill="1" applyBorder="1" applyAlignment="1" applyProtection="1">
      <alignment horizontal="left" vertical="top" wrapText="1"/>
    </xf>
    <xf numFmtId="0" fontId="15" fillId="2" borderId="75" xfId="0" applyFont="1" applyFill="1" applyBorder="1" applyAlignment="1" applyProtection="1">
      <alignment horizontal="left" vertical="top" wrapText="1"/>
    </xf>
    <xf numFmtId="0" fontId="7" fillId="2" borderId="71" xfId="0" applyFont="1" applyFill="1" applyBorder="1" applyAlignment="1" applyProtection="1">
      <alignment horizontal="left" vertical="top" wrapText="1"/>
    </xf>
    <xf numFmtId="4" fontId="18" fillId="2" borderId="68" xfId="0" applyNumberFormat="1" applyFont="1" applyFill="1" applyBorder="1" applyAlignment="1" applyProtection="1">
      <alignment vertical="top"/>
    </xf>
    <xf numFmtId="0" fontId="7" fillId="2" borderId="11" xfId="0" applyFont="1" applyFill="1" applyBorder="1" applyAlignment="1" applyProtection="1">
      <alignment horizontal="left" vertical="top" wrapText="1"/>
    </xf>
    <xf numFmtId="0" fontId="18" fillId="2" borderId="41" xfId="0" applyFont="1" applyFill="1" applyBorder="1"/>
    <xf numFmtId="0" fontId="16" fillId="2" borderId="42" xfId="0" applyFont="1" applyFill="1" applyBorder="1" applyAlignment="1" applyProtection="1">
      <alignment horizontal="left" vertical="top" wrapText="1"/>
    </xf>
    <xf numFmtId="0" fontId="4" fillId="0" borderId="112" xfId="0" applyFont="1" applyBorder="1" applyAlignment="1">
      <alignment horizontal="center" vertical="center"/>
    </xf>
    <xf numFmtId="0" fontId="4" fillId="0" borderId="113" xfId="0" applyFont="1" applyBorder="1" applyAlignment="1">
      <alignment horizontal="center" vertical="center"/>
    </xf>
    <xf numFmtId="0" fontId="4" fillId="0" borderId="114" xfId="0" applyFont="1" applyBorder="1" applyAlignment="1">
      <alignment horizontal="center" vertical="center"/>
    </xf>
    <xf numFmtId="4" fontId="3" fillId="0" borderId="15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4" fontId="3" fillId="0" borderId="0" xfId="0" applyNumberFormat="1" applyFont="1" applyAlignment="1">
      <alignment horizontal="left" vertical="center"/>
    </xf>
    <xf numFmtId="0" fontId="11" fillId="2" borderId="36" xfId="4" applyFont="1" applyFill="1" applyBorder="1" applyAlignment="1">
      <alignment vertical="top"/>
    </xf>
    <xf numFmtId="0" fontId="16" fillId="2" borderId="32" xfId="0" applyFont="1" applyFill="1" applyBorder="1" applyAlignment="1" applyProtection="1">
      <alignment horizontal="center" vertical="top"/>
    </xf>
    <xf numFmtId="0" fontId="16" fillId="2" borderId="20" xfId="0" applyFont="1" applyFill="1" applyBorder="1" applyAlignment="1" applyProtection="1">
      <alignment horizontal="center" vertical="top"/>
    </xf>
    <xf numFmtId="0" fontId="16" fillId="2" borderId="21" xfId="0" applyFont="1" applyFill="1" applyBorder="1" applyAlignment="1" applyProtection="1">
      <alignment horizontal="center" vertical="top"/>
    </xf>
    <xf numFmtId="0" fontId="16" fillId="7" borderId="2" xfId="0" applyFont="1" applyFill="1" applyBorder="1" applyAlignment="1">
      <alignment horizontal="left" vertical="center" wrapText="1"/>
    </xf>
    <xf numFmtId="0" fontId="11" fillId="2" borderId="30" xfId="4" applyFont="1" applyFill="1" applyBorder="1" applyAlignment="1">
      <alignment horizontal="left" vertical="top"/>
    </xf>
    <xf numFmtId="43" fontId="3" fillId="0" borderId="0" xfId="0" applyNumberFormat="1" applyFont="1" applyAlignment="1">
      <alignment vertical="center"/>
    </xf>
    <xf numFmtId="0" fontId="7" fillId="0" borderId="0" xfId="0" applyFont="1"/>
    <xf numFmtId="0" fontId="7" fillId="2" borderId="2" xfId="0" applyFont="1" applyFill="1" applyBorder="1" applyAlignment="1">
      <alignment vertical="center"/>
    </xf>
    <xf numFmtId="0" fontId="24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24" fillId="3" borderId="38" xfId="0" applyFont="1" applyFill="1" applyBorder="1" applyAlignment="1">
      <alignment horizontal="center" vertical="center"/>
    </xf>
    <xf numFmtId="0" fontId="24" fillId="3" borderId="45" xfId="0" applyFont="1" applyFill="1" applyBorder="1" applyAlignment="1">
      <alignment horizontal="center" vertical="center"/>
    </xf>
    <xf numFmtId="0" fontId="24" fillId="3" borderId="39" xfId="0" applyFont="1" applyFill="1" applyBorder="1" applyAlignment="1">
      <alignment horizontal="center" vertical="center"/>
    </xf>
    <xf numFmtId="0" fontId="7" fillId="9" borderId="26" xfId="0" applyFont="1" applyFill="1" applyBorder="1" applyAlignment="1">
      <alignment horizontal="center" vertical="center"/>
    </xf>
    <xf numFmtId="0" fontId="7" fillId="0" borderId="46" xfId="0" applyFont="1" applyBorder="1" applyAlignment="1">
      <alignment vertical="center"/>
    </xf>
    <xf numFmtId="0" fontId="7" fillId="0" borderId="47" xfId="0" applyFont="1" applyBorder="1" applyAlignment="1">
      <alignment vertical="center"/>
    </xf>
    <xf numFmtId="4" fontId="7" fillId="2" borderId="19" xfId="0" applyNumberFormat="1" applyFont="1" applyFill="1" applyBorder="1" applyAlignment="1">
      <alignment horizontal="center" vertical="center"/>
    </xf>
    <xf numFmtId="4" fontId="7" fillId="2" borderId="50" xfId="0" applyNumberFormat="1" applyFont="1" applyFill="1" applyBorder="1" applyAlignment="1">
      <alignment horizontal="center" vertical="center"/>
    </xf>
    <xf numFmtId="4" fontId="7" fillId="2" borderId="50" xfId="0" applyNumberFormat="1" applyFont="1" applyFill="1" applyBorder="1" applyAlignment="1">
      <alignment horizontal="center" vertical="center" wrapText="1"/>
    </xf>
    <xf numFmtId="4" fontId="7" fillId="2" borderId="51" xfId="0" applyNumberFormat="1" applyFont="1" applyFill="1" applyBorder="1" applyAlignment="1">
      <alignment horizontal="center" vertical="center"/>
    </xf>
    <xf numFmtId="0" fontId="7" fillId="0" borderId="79" xfId="0" applyFont="1" applyBorder="1" applyAlignment="1">
      <alignment horizontal="center" vertical="center"/>
    </xf>
    <xf numFmtId="0" fontId="7" fillId="9" borderId="46" xfId="0" applyFont="1" applyFill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2" borderId="80" xfId="0" applyFont="1" applyFill="1" applyBorder="1" applyAlignment="1">
      <alignment horizontal="center" vertical="center"/>
    </xf>
    <xf numFmtId="0" fontId="7" fillId="2" borderId="51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4" fontId="7" fillId="2" borderId="19" xfId="0" applyNumberFormat="1" applyFont="1" applyFill="1" applyBorder="1" applyAlignment="1">
      <alignment vertical="center"/>
    </xf>
    <xf numFmtId="4" fontId="7" fillId="0" borderId="9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vertical="center"/>
    </xf>
    <xf numFmtId="4" fontId="7" fillId="2" borderId="50" xfId="0" applyNumberFormat="1" applyFont="1" applyFill="1" applyBorder="1" applyAlignment="1">
      <alignment vertical="center"/>
    </xf>
    <xf numFmtId="4" fontId="7" fillId="2" borderId="51" xfId="0" applyNumberFormat="1" applyFont="1" applyFill="1" applyBorder="1" applyAlignment="1">
      <alignment vertical="center"/>
    </xf>
    <xf numFmtId="0" fontId="7" fillId="0" borderId="26" xfId="0" applyFont="1" applyBorder="1" applyAlignment="1">
      <alignment vertical="center" wrapText="1"/>
    </xf>
    <xf numFmtId="0" fontId="7" fillId="9" borderId="27" xfId="0" applyFont="1" applyFill="1" applyBorder="1" applyAlignment="1">
      <alignment horizontal="center" vertical="center"/>
    </xf>
    <xf numFmtId="0" fontId="7" fillId="0" borderId="47" xfId="0" applyFont="1" applyBorder="1" applyAlignment="1">
      <alignment vertical="center" wrapText="1"/>
    </xf>
    <xf numFmtId="0" fontId="7" fillId="2" borderId="19" xfId="0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0" fontId="7" fillId="2" borderId="51" xfId="0" applyFont="1" applyFill="1" applyBorder="1" applyAlignment="1">
      <alignment vertical="center"/>
    </xf>
    <xf numFmtId="4" fontId="7" fillId="2" borderId="15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/>
    </xf>
    <xf numFmtId="0" fontId="16" fillId="2" borderId="0" xfId="0" quotePrefix="1" applyFont="1" applyFill="1" applyBorder="1" applyAlignment="1">
      <alignment horizontal="center" vertical="center"/>
    </xf>
    <xf numFmtId="0" fontId="7" fillId="9" borderId="47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 vertical="center"/>
    </xf>
    <xf numFmtId="43" fontId="24" fillId="3" borderId="43" xfId="0" applyNumberFormat="1" applyFont="1" applyFill="1" applyBorder="1"/>
    <xf numFmtId="0" fontId="25" fillId="0" borderId="26" xfId="0" applyFont="1" applyBorder="1"/>
    <xf numFmtId="0" fontId="25" fillId="0" borderId="46" xfId="0" applyFont="1" applyBorder="1"/>
    <xf numFmtId="43" fontId="25" fillId="0" borderId="47" xfId="0" applyNumberFormat="1" applyFont="1" applyBorder="1"/>
    <xf numFmtId="0" fontId="25" fillId="0" borderId="19" xfId="0" applyFont="1" applyBorder="1"/>
    <xf numFmtId="0" fontId="25" fillId="0" borderId="50" xfId="0" applyFont="1" applyBorder="1"/>
    <xf numFmtId="43" fontId="25" fillId="0" borderId="51" xfId="0" applyNumberFormat="1" applyFont="1" applyBorder="1"/>
    <xf numFmtId="43" fontId="7" fillId="0" borderId="0" xfId="0" applyNumberFormat="1" applyFont="1"/>
    <xf numFmtId="0" fontId="28" fillId="0" borderId="43" xfId="0" applyFont="1" applyBorder="1" applyAlignment="1">
      <alignment horizontal="left" vertical="center" wrapText="1"/>
    </xf>
    <xf numFmtId="43" fontId="25" fillId="0" borderId="34" xfId="0" applyNumberFormat="1" applyFont="1" applyBorder="1" applyAlignment="1">
      <alignment vertical="center"/>
    </xf>
    <xf numFmtId="43" fontId="25" fillId="0" borderId="24" xfId="0" applyNumberFormat="1" applyFont="1" applyBorder="1" applyAlignment="1">
      <alignment vertical="center"/>
    </xf>
    <xf numFmtId="43" fontId="24" fillId="3" borderId="43" xfId="0" applyNumberFormat="1" applyFont="1" applyFill="1" applyBorder="1" applyAlignment="1">
      <alignment vertical="center"/>
    </xf>
    <xf numFmtId="0" fontId="18" fillId="3" borderId="9" xfId="0" applyFont="1" applyFill="1" applyBorder="1" applyAlignment="1">
      <alignment horizontal="center" vertical="center"/>
    </xf>
    <xf numFmtId="0" fontId="18" fillId="3" borderId="46" xfId="0" applyFont="1" applyFill="1" applyBorder="1" applyAlignment="1">
      <alignment horizontal="center" vertical="center"/>
    </xf>
    <xf numFmtId="0" fontId="15" fillId="2" borderId="49" xfId="0" applyFont="1" applyFill="1" applyBorder="1" applyAlignment="1">
      <alignment vertical="center"/>
    </xf>
    <xf numFmtId="0" fontId="15" fillId="0" borderId="79" xfId="0" applyFont="1" applyBorder="1" applyAlignment="1">
      <alignment vertical="center"/>
    </xf>
    <xf numFmtId="0" fontId="15" fillId="2" borderId="8" xfId="0" applyFont="1" applyFill="1" applyBorder="1" applyAlignment="1">
      <alignment vertical="center"/>
    </xf>
    <xf numFmtId="0" fontId="15" fillId="0" borderId="8" xfId="0" applyFont="1" applyBorder="1" applyAlignment="1">
      <alignment vertical="center"/>
    </xf>
    <xf numFmtId="0" fontId="18" fillId="2" borderId="34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15" fillId="2" borderId="34" xfId="0" applyFont="1" applyFill="1" applyBorder="1" applyAlignment="1">
      <alignment vertical="center"/>
    </xf>
    <xf numFmtId="0" fontId="15" fillId="2" borderId="23" xfId="0" applyFont="1" applyFill="1" applyBorder="1" applyAlignment="1">
      <alignment vertical="center"/>
    </xf>
    <xf numFmtId="0" fontId="15" fillId="2" borderId="24" xfId="0" applyFont="1" applyFill="1" applyBorder="1" applyAlignment="1">
      <alignment vertical="center"/>
    </xf>
    <xf numFmtId="0" fontId="15" fillId="0" borderId="28" xfId="0" applyFont="1" applyBorder="1" applyAlignment="1">
      <alignment horizontal="justify" vertical="justify" wrapText="1"/>
    </xf>
    <xf numFmtId="0" fontId="15" fillId="0" borderId="7" xfId="0" applyFont="1" applyBorder="1" applyAlignment="1">
      <alignment horizontal="justify" vertical="justify" wrapText="1"/>
    </xf>
    <xf numFmtId="0" fontId="15" fillId="0" borderId="37" xfId="0" applyFont="1" applyBorder="1" applyAlignment="1">
      <alignment horizontal="justify" vertical="justify" wrapText="1"/>
    </xf>
    <xf numFmtId="0" fontId="16" fillId="7" borderId="2" xfId="0" applyFont="1" applyFill="1" applyBorder="1" applyAlignment="1">
      <alignment vertical="center" wrapText="1"/>
    </xf>
    <xf numFmtId="0" fontId="18" fillId="7" borderId="81" xfId="0" applyFont="1" applyFill="1" applyBorder="1" applyAlignment="1">
      <alignment vertical="center"/>
    </xf>
    <xf numFmtId="0" fontId="4" fillId="2" borderId="13" xfId="0" applyFont="1" applyFill="1" applyBorder="1" applyAlignment="1">
      <alignment horizontal="right" vertical="center"/>
    </xf>
    <xf numFmtId="0" fontId="4" fillId="2" borderId="14" xfId="0" applyFont="1" applyFill="1" applyBorder="1" applyAlignment="1">
      <alignment horizontal="right" vertical="center"/>
    </xf>
    <xf numFmtId="0" fontId="4" fillId="2" borderId="19" xfId="0" applyFont="1" applyFill="1" applyBorder="1" applyAlignment="1">
      <alignment horizontal="right" vertical="center"/>
    </xf>
    <xf numFmtId="0" fontId="3" fillId="2" borderId="50" xfId="0" applyFont="1" applyFill="1" applyBorder="1" applyAlignment="1">
      <alignment horizontal="left"/>
    </xf>
    <xf numFmtId="0" fontId="24" fillId="2" borderId="0" xfId="0" applyFont="1" applyFill="1" applyBorder="1" applyAlignment="1">
      <alignment vertical="center"/>
    </xf>
    <xf numFmtId="0" fontId="7" fillId="2" borderId="0" xfId="0" applyFont="1" applyFill="1"/>
    <xf numFmtId="0" fontId="16" fillId="2" borderId="0" xfId="0" applyFont="1" applyFill="1" applyBorder="1" applyAlignment="1">
      <alignment vertical="center"/>
    </xf>
    <xf numFmtId="0" fontId="7" fillId="2" borderId="0" xfId="0" applyFont="1" applyFill="1" applyBorder="1"/>
    <xf numFmtId="0" fontId="1" fillId="2" borderId="0" xfId="0" applyFont="1" applyFill="1" applyBorder="1" applyAlignment="1">
      <alignment vertical="center"/>
    </xf>
    <xf numFmtId="43" fontId="1" fillId="2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4" fontId="19" fillId="0" borderId="43" xfId="0" applyNumberFormat="1" applyFont="1" applyBorder="1" applyAlignment="1">
      <alignment vertical="center"/>
    </xf>
    <xf numFmtId="0" fontId="15" fillId="2" borderId="0" xfId="0" applyFont="1" applyFill="1" applyAlignment="1" applyProtection="1">
      <alignment vertical="top"/>
    </xf>
    <xf numFmtId="4" fontId="15" fillId="2" borderId="0" xfId="0" applyNumberFormat="1" applyFont="1" applyFill="1" applyAlignment="1" applyProtection="1">
      <alignment horizontal="right" vertical="top"/>
    </xf>
    <xf numFmtId="4" fontId="15" fillId="2" borderId="0" xfId="0" applyNumberFormat="1" applyFont="1" applyFill="1"/>
    <xf numFmtId="0" fontId="15" fillId="2" borderId="0" xfId="0" applyFont="1" applyFill="1" applyBorder="1" applyAlignment="1">
      <alignment horizontal="center"/>
    </xf>
    <xf numFmtId="0" fontId="1" fillId="2" borderId="50" xfId="0" applyFont="1" applyFill="1" applyBorder="1" applyAlignment="1" applyProtection="1">
      <alignment horizontal="center" vertical="center"/>
    </xf>
    <xf numFmtId="4" fontId="2" fillId="2" borderId="35" xfId="0" applyNumberFormat="1" applyFont="1" applyFill="1" applyBorder="1" applyAlignment="1" applyProtection="1">
      <alignment horizontal="center" vertical="center" wrapText="1"/>
    </xf>
    <xf numFmtId="0" fontId="1" fillId="2" borderId="73" xfId="0" quotePrefix="1" applyFont="1" applyFill="1" applyBorder="1" applyAlignment="1">
      <alignment horizontal="center" vertical="center"/>
    </xf>
    <xf numFmtId="4" fontId="1" fillId="2" borderId="23" xfId="0" applyNumberFormat="1" applyFont="1" applyFill="1" applyBorder="1" applyAlignment="1" applyProtection="1">
      <alignment horizontal="center" vertical="center" wrapText="1"/>
    </xf>
    <xf numFmtId="4" fontId="1" fillId="2" borderId="24" xfId="0" applyNumberFormat="1" applyFont="1" applyFill="1" applyBorder="1" applyAlignment="1" applyProtection="1">
      <alignment horizontal="center" vertical="center" wrapText="1"/>
    </xf>
    <xf numFmtId="4" fontId="1" fillId="2" borderId="4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1" fillId="7" borderId="1" xfId="0" applyFont="1" applyFill="1" applyBorder="1" applyAlignment="1">
      <alignment vertical="center"/>
    </xf>
    <xf numFmtId="0" fontId="1" fillId="7" borderId="4" xfId="0" applyFont="1" applyFill="1" applyBorder="1" applyAlignment="1">
      <alignment vertical="center"/>
    </xf>
    <xf numFmtId="0" fontId="1" fillId="2" borderId="46" xfId="0" applyFont="1" applyFill="1" applyBorder="1" applyAlignment="1" applyProtection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7" borderId="36" xfId="0" applyFont="1" applyFill="1" applyBorder="1" applyAlignment="1">
      <alignment vertical="center"/>
    </xf>
    <xf numFmtId="0" fontId="1" fillId="7" borderId="43" xfId="0" applyFont="1" applyFill="1" applyBorder="1" applyAlignment="1">
      <alignment vertical="center"/>
    </xf>
    <xf numFmtId="0" fontId="1" fillId="7" borderId="35" xfId="0" applyFont="1" applyFill="1" applyBorder="1" applyAlignment="1">
      <alignment vertical="center"/>
    </xf>
    <xf numFmtId="4" fontId="2" fillId="0" borderId="5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2" fontId="2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 applyProtection="1">
      <alignment vertical="center" wrapText="1"/>
      <protection locked="0"/>
    </xf>
    <xf numFmtId="4" fontId="2" fillId="0" borderId="0" xfId="0" applyNumberFormat="1" applyFont="1" applyFill="1" applyBorder="1" applyAlignment="1">
      <alignment horizontal="center" vertical="center"/>
    </xf>
    <xf numFmtId="43" fontId="0" fillId="0" borderId="0" xfId="0" applyNumberFormat="1"/>
    <xf numFmtId="4" fontId="0" fillId="0" borderId="0" xfId="0" applyNumberFormat="1"/>
    <xf numFmtId="0" fontId="3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0" fontId="0" fillId="0" borderId="0" xfId="0" applyNumberFormat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0" fontId="0" fillId="0" borderId="9" xfId="0" applyNumberFormat="1" applyBorder="1" applyAlignment="1">
      <alignment horizontal="center" vertical="center"/>
    </xf>
    <xf numFmtId="10" fontId="0" fillId="0" borderId="18" xfId="0" applyNumberFormat="1" applyBorder="1" applyAlignment="1">
      <alignment horizontal="center" vertical="center"/>
    </xf>
    <xf numFmtId="10" fontId="29" fillId="0" borderId="43" xfId="0" applyNumberFormat="1" applyFont="1" applyBorder="1" applyAlignment="1">
      <alignment horizontal="center" vertical="center"/>
    </xf>
    <xf numFmtId="0" fontId="2" fillId="2" borderId="30" xfId="0" applyFont="1" applyFill="1" applyBorder="1" applyAlignment="1">
      <alignment vertical="top"/>
    </xf>
    <xf numFmtId="0" fontId="2" fillId="2" borderId="53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0" borderId="8" xfId="0" applyFont="1" applyFill="1" applyBorder="1" applyAlignment="1" applyProtection="1">
      <alignment vertical="center" wrapText="1"/>
    </xf>
    <xf numFmtId="0" fontId="2" fillId="2" borderId="12" xfId="0" applyFont="1" applyFill="1" applyBorder="1" applyAlignment="1">
      <alignment horizontal="center" vertical="center"/>
    </xf>
    <xf numFmtId="0" fontId="12" fillId="2" borderId="35" xfId="6" applyNumberFormat="1" applyFont="1" applyFill="1" applyBorder="1" applyAlignment="1">
      <alignment vertical="top"/>
    </xf>
    <xf numFmtId="0" fontId="11" fillId="2" borderId="36" xfId="6" applyNumberFormat="1" applyFont="1" applyFill="1" applyBorder="1" applyAlignment="1">
      <alignment vertical="top"/>
    </xf>
    <xf numFmtId="0" fontId="7" fillId="2" borderId="7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0" fontId="7" fillId="2" borderId="0" xfId="0" applyFont="1" applyFill="1" applyBorder="1" applyAlignment="1" applyProtection="1">
      <alignment horizontal="center" vertical="top"/>
    </xf>
    <xf numFmtId="0" fontId="1" fillId="2" borderId="48" xfId="0" quotePrefix="1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80" xfId="0" applyFont="1" applyFill="1" applyBorder="1" applyAlignment="1" applyProtection="1">
      <alignment vertical="center" wrapText="1"/>
    </xf>
    <xf numFmtId="0" fontId="2" fillId="2" borderId="33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vertical="center"/>
    </xf>
    <xf numFmtId="0" fontId="7" fillId="2" borderId="20" xfId="0" applyFont="1" applyFill="1" applyBorder="1" applyAlignment="1">
      <alignment horizontal="left" vertical="center" wrapText="1"/>
    </xf>
    <xf numFmtId="0" fontId="18" fillId="2" borderId="36" xfId="0" applyFont="1" applyFill="1" applyBorder="1" applyAlignment="1">
      <alignment horizontal="center" vertical="center" wrapText="1"/>
    </xf>
    <xf numFmtId="0" fontId="15" fillId="0" borderId="56" xfId="0" applyFont="1" applyBorder="1" applyAlignment="1">
      <alignment vertical="center"/>
    </xf>
    <xf numFmtId="0" fontId="18" fillId="3" borderId="56" xfId="0" applyFont="1" applyFill="1" applyBorder="1" applyAlignment="1">
      <alignment horizontal="center" vertical="center"/>
    </xf>
    <xf numFmtId="0" fontId="15" fillId="0" borderId="52" xfId="0" applyFont="1" applyBorder="1" applyAlignment="1">
      <alignment vertical="center"/>
    </xf>
    <xf numFmtId="0" fontId="3" fillId="0" borderId="101" xfId="0" applyFont="1" applyBorder="1" applyAlignment="1">
      <alignment vertical="center"/>
    </xf>
    <xf numFmtId="0" fontId="3" fillId="0" borderId="9" xfId="0" applyFont="1" applyBorder="1" applyAlignment="1">
      <alignment horizontal="center" vertical="center" wrapText="1"/>
    </xf>
    <xf numFmtId="0" fontId="4" fillId="7" borderId="38" xfId="0" applyFont="1" applyFill="1" applyBorder="1" applyAlignment="1">
      <alignment vertical="center" wrapText="1"/>
    </xf>
    <xf numFmtId="3" fontId="1" fillId="7" borderId="45" xfId="7" applyFont="1" applyFill="1" applyBorder="1" applyAlignment="1">
      <alignment horizontal="center" vertical="center" wrapText="1"/>
    </xf>
    <xf numFmtId="4" fontId="1" fillId="7" borderId="45" xfId="7" applyNumberFormat="1" applyFont="1" applyFill="1" applyBorder="1" applyAlignment="1">
      <alignment horizontal="center" vertical="center" wrapText="1"/>
    </xf>
    <xf numFmtId="4" fontId="1" fillId="7" borderId="39" xfId="7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4" fontId="4" fillId="3" borderId="43" xfId="0" applyNumberFormat="1" applyFont="1" applyFill="1" applyBorder="1" applyAlignment="1">
      <alignment vertical="center"/>
    </xf>
    <xf numFmtId="0" fontId="4" fillId="5" borderId="60" xfId="0" applyFont="1" applyFill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4" fontId="3" fillId="0" borderId="19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0" fontId="3" fillId="0" borderId="117" xfId="0" applyFont="1" applyBorder="1" applyAlignment="1">
      <alignment vertical="center"/>
    </xf>
    <xf numFmtId="0" fontId="2" fillId="0" borderId="23" xfId="0" applyFont="1" applyFill="1" applyBorder="1" applyAlignment="1" applyProtection="1">
      <alignment horizontal="center" vertical="center"/>
    </xf>
    <xf numFmtId="4" fontId="1" fillId="3" borderId="4" xfId="10" applyNumberFormat="1" applyFont="1" applyFill="1" applyBorder="1" applyAlignment="1">
      <alignment horizontal="center" vertical="center"/>
    </xf>
    <xf numFmtId="4" fontId="1" fillId="3" borderId="78" xfId="10" applyNumberFormat="1" applyFont="1" applyFill="1" applyBorder="1" applyAlignment="1">
      <alignment horizontal="center" vertical="center"/>
    </xf>
    <xf numFmtId="0" fontId="1" fillId="5" borderId="32" xfId="10" applyFont="1" applyFill="1" applyBorder="1" applyAlignment="1">
      <alignment vertical="center"/>
    </xf>
    <xf numFmtId="0" fontId="1" fillId="5" borderId="20" xfId="10" applyFont="1" applyFill="1" applyBorder="1" applyAlignment="1">
      <alignment vertical="center"/>
    </xf>
    <xf numFmtId="0" fontId="1" fillId="5" borderId="21" xfId="10" applyFont="1" applyFill="1" applyBorder="1" applyAlignment="1">
      <alignment vertical="center"/>
    </xf>
    <xf numFmtId="0" fontId="3" fillId="0" borderId="30" xfId="0" applyFont="1" applyFill="1" applyBorder="1" applyAlignment="1"/>
    <xf numFmtId="0" fontId="3" fillId="0" borderId="0" xfId="0" applyFont="1" applyFill="1" applyBorder="1" applyAlignment="1"/>
    <xf numFmtId="0" fontId="2" fillId="0" borderId="9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7" fontId="14" fillId="0" borderId="13" xfId="0" applyNumberFormat="1" applyFont="1" applyFill="1" applyBorder="1" applyAlignment="1" applyProtection="1">
      <alignment vertical="center" wrapText="1"/>
      <protection locked="0"/>
    </xf>
    <xf numFmtId="167" fontId="14" fillId="0" borderId="0" xfId="0" applyNumberFormat="1" applyFont="1" applyFill="1" applyBorder="1" applyAlignment="1" applyProtection="1">
      <alignment vertical="center"/>
      <protection locked="0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 wrapText="1"/>
    </xf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right" vertical="center"/>
    </xf>
    <xf numFmtId="4" fontId="3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right" vertical="center" wrapText="1"/>
    </xf>
    <xf numFmtId="4" fontId="2" fillId="0" borderId="8" xfId="0" applyNumberFormat="1" applyFont="1" applyFill="1" applyBorder="1" applyAlignment="1">
      <alignment horizontal="center" vertical="center"/>
    </xf>
    <xf numFmtId="4" fontId="2" fillId="0" borderId="49" xfId="1" applyNumberFormat="1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>
      <alignment horizontal="left" vertical="center" wrapText="1"/>
    </xf>
    <xf numFmtId="0" fontId="2" fillId="0" borderId="48" xfId="0" applyFont="1" applyFill="1" applyBorder="1" applyAlignment="1">
      <alignment horizontal="right" vertical="center" wrapText="1"/>
    </xf>
    <xf numFmtId="4" fontId="2" fillId="0" borderId="47" xfId="1" applyNumberFormat="1" applyFont="1" applyFill="1" applyBorder="1" applyAlignment="1" applyProtection="1">
      <alignment horizontal="center" vertical="center"/>
    </xf>
    <xf numFmtId="4" fontId="2" fillId="0" borderId="51" xfId="1" applyNumberFormat="1" applyFont="1" applyFill="1" applyBorder="1" applyAlignment="1" applyProtection="1">
      <alignment horizontal="center" vertical="center"/>
    </xf>
    <xf numFmtId="4" fontId="2" fillId="0" borderId="27" xfId="1" applyNumberFormat="1" applyFont="1" applyFill="1" applyBorder="1" applyAlignment="1" applyProtection="1">
      <alignment horizontal="center" vertical="center"/>
    </xf>
    <xf numFmtId="4" fontId="2" fillId="0" borderId="33" xfId="1" applyNumberFormat="1" applyFont="1" applyFill="1" applyBorder="1" applyAlignment="1" applyProtection="1">
      <alignment horizontal="center" vertical="center"/>
    </xf>
    <xf numFmtId="4" fontId="2" fillId="0" borderId="43" xfId="0" applyNumberFormat="1" applyFont="1" applyFill="1" applyBorder="1" applyAlignment="1" applyProtection="1">
      <alignment horizontal="center" vertical="center" wrapText="1"/>
    </xf>
    <xf numFmtId="4" fontId="3" fillId="0" borderId="65" xfId="0" applyNumberFormat="1" applyFont="1" applyFill="1" applyBorder="1" applyAlignment="1">
      <alignment horizontal="right"/>
    </xf>
    <xf numFmtId="4" fontId="3" fillId="0" borderId="49" xfId="0" applyNumberFormat="1" applyFont="1" applyFill="1" applyBorder="1" applyAlignment="1">
      <alignment horizontal="right"/>
    </xf>
    <xf numFmtId="4" fontId="3" fillId="0" borderId="51" xfId="0" applyNumberFormat="1" applyFont="1" applyFill="1" applyBorder="1" applyAlignment="1">
      <alignment horizontal="right"/>
    </xf>
    <xf numFmtId="4" fontId="2" fillId="0" borderId="6" xfId="10" applyNumberFormat="1" applyFont="1" applyFill="1" applyBorder="1" applyAlignment="1">
      <alignment horizontal="center" vertical="center"/>
    </xf>
    <xf numFmtId="4" fontId="1" fillId="0" borderId="65" xfId="10" applyNumberFormat="1" applyFont="1" applyFill="1" applyBorder="1" applyAlignment="1">
      <alignment horizontal="center" vertical="center"/>
    </xf>
    <xf numFmtId="4" fontId="2" fillId="0" borderId="9" xfId="10" applyNumberFormat="1" applyFont="1" applyFill="1" applyBorder="1" applyAlignment="1">
      <alignment horizontal="center" vertical="center"/>
    </xf>
    <xf numFmtId="4" fontId="1" fillId="0" borderId="49" xfId="10" applyNumberFormat="1" applyFont="1" applyFill="1" applyBorder="1" applyAlignment="1">
      <alignment horizontal="center" vertical="center"/>
    </xf>
    <xf numFmtId="4" fontId="2" fillId="0" borderId="50" xfId="10" applyNumberFormat="1" applyFont="1" applyFill="1" applyBorder="1" applyAlignment="1">
      <alignment horizontal="center" vertical="center"/>
    </xf>
    <xf numFmtId="4" fontId="1" fillId="0" borderId="51" xfId="10" applyNumberFormat="1" applyFont="1" applyFill="1" applyBorder="1" applyAlignment="1">
      <alignment horizontal="center" vertical="center"/>
    </xf>
    <xf numFmtId="10" fontId="14" fillId="0" borderId="13" xfId="0" applyNumberFormat="1" applyFont="1" applyFill="1" applyBorder="1" applyAlignment="1">
      <alignment horizontal="center" vertical="center"/>
    </xf>
    <xf numFmtId="10" fontId="14" fillId="0" borderId="41" xfId="0" applyNumberFormat="1" applyFont="1" applyFill="1" applyBorder="1" applyAlignment="1">
      <alignment horizontal="center" vertical="center"/>
    </xf>
    <xf numFmtId="10" fontId="14" fillId="0" borderId="14" xfId="0" applyNumberFormat="1" applyFont="1" applyFill="1" applyBorder="1" applyAlignment="1">
      <alignment horizontal="center" vertical="center"/>
    </xf>
    <xf numFmtId="10" fontId="14" fillId="0" borderId="23" xfId="0" applyNumberFormat="1" applyFont="1" applyFill="1" applyBorder="1" applyAlignment="1">
      <alignment horizontal="center" vertical="center"/>
    </xf>
    <xf numFmtId="10" fontId="14" fillId="0" borderId="10" xfId="0" applyNumberFormat="1" applyFont="1" applyFill="1" applyBorder="1" applyAlignment="1">
      <alignment horizontal="center" vertical="center"/>
    </xf>
    <xf numFmtId="10" fontId="14" fillId="0" borderId="40" xfId="0" applyNumberFormat="1" applyFont="1" applyFill="1" applyBorder="1" applyAlignment="1">
      <alignment horizontal="center" vertical="center"/>
    </xf>
    <xf numFmtId="10" fontId="14" fillId="0" borderId="30" xfId="0" applyNumberFormat="1" applyFont="1" applyFill="1" applyBorder="1" applyAlignment="1">
      <alignment horizontal="center" vertical="center"/>
    </xf>
    <xf numFmtId="10" fontId="14" fillId="0" borderId="8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10" fontId="2" fillId="0" borderId="86" xfId="0" applyNumberFormat="1" applyFont="1" applyFill="1" applyBorder="1" applyAlignment="1">
      <alignment horizontal="center" vertical="center" wrapText="1"/>
    </xf>
    <xf numFmtId="10" fontId="2" fillId="0" borderId="87" xfId="0" applyNumberFormat="1" applyFont="1" applyFill="1" applyBorder="1" applyAlignment="1">
      <alignment horizontal="center" vertical="center" wrapText="1"/>
    </xf>
    <xf numFmtId="10" fontId="1" fillId="5" borderId="43" xfId="0" applyNumberFormat="1" applyFont="1" applyFill="1" applyBorder="1" applyAlignment="1">
      <alignment horizontal="center" vertical="center" wrapText="1"/>
    </xf>
    <xf numFmtId="10" fontId="1" fillId="5" borderId="1" xfId="0" applyNumberFormat="1" applyFont="1" applyFill="1" applyBorder="1" applyAlignment="1">
      <alignment horizontal="center" vertical="center" wrapText="1"/>
    </xf>
    <xf numFmtId="4" fontId="15" fillId="0" borderId="75" xfId="0" applyNumberFormat="1" applyFont="1" applyFill="1" applyBorder="1" applyAlignment="1" applyProtection="1">
      <alignment vertical="top"/>
    </xf>
    <xf numFmtId="4" fontId="16" fillId="0" borderId="75" xfId="0" applyNumberFormat="1" applyFont="1" applyFill="1" applyBorder="1" applyAlignment="1" applyProtection="1">
      <alignment vertical="top"/>
    </xf>
    <xf numFmtId="4" fontId="15" fillId="0" borderId="71" xfId="0" applyNumberFormat="1" applyFont="1" applyFill="1" applyBorder="1" applyAlignment="1" applyProtection="1">
      <alignment vertical="top"/>
    </xf>
    <xf numFmtId="4" fontId="7" fillId="0" borderId="31" xfId="0" applyNumberFormat="1" applyFont="1" applyFill="1" applyBorder="1" applyAlignment="1" applyProtection="1">
      <alignment vertical="top"/>
    </xf>
    <xf numFmtId="4" fontId="15" fillId="0" borderId="48" xfId="0" applyNumberFormat="1" applyFont="1" applyFill="1" applyBorder="1" applyAlignment="1" applyProtection="1">
      <alignment vertical="top"/>
    </xf>
    <xf numFmtId="4" fontId="15" fillId="0" borderId="23" xfId="0" applyNumberFormat="1" applyFont="1" applyFill="1" applyBorder="1" applyAlignment="1" applyProtection="1">
      <alignment vertical="top"/>
    </xf>
    <xf numFmtId="4" fontId="16" fillId="0" borderId="48" xfId="0" applyNumberFormat="1" applyFont="1" applyFill="1" applyBorder="1" applyAlignment="1" applyProtection="1">
      <alignment vertical="top"/>
    </xf>
    <xf numFmtId="4" fontId="16" fillId="0" borderId="23" xfId="0" applyNumberFormat="1" applyFont="1" applyFill="1" applyBorder="1" applyAlignment="1" applyProtection="1">
      <alignment vertical="top"/>
    </xf>
    <xf numFmtId="4" fontId="15" fillId="0" borderId="66" xfId="0" applyNumberFormat="1" applyFont="1" applyFill="1" applyBorder="1" applyAlignment="1" applyProtection="1">
      <alignment vertical="top"/>
    </xf>
    <xf numFmtId="4" fontId="16" fillId="0" borderId="7" xfId="0" applyNumberFormat="1" applyFont="1" applyFill="1" applyBorder="1" applyAlignment="1" applyProtection="1">
      <alignment vertical="top"/>
    </xf>
    <xf numFmtId="4" fontId="7" fillId="0" borderId="0" xfId="0" applyNumberFormat="1" applyFont="1" applyFill="1" applyBorder="1" applyAlignment="1" applyProtection="1">
      <alignment vertical="top"/>
    </xf>
    <xf numFmtId="4" fontId="16" fillId="0" borderId="40" xfId="0" applyNumberFormat="1" applyFont="1" applyFill="1" applyBorder="1" applyAlignment="1" applyProtection="1">
      <alignment vertical="top"/>
    </xf>
    <xf numFmtId="4" fontId="18" fillId="0" borderId="34" xfId="0" applyNumberFormat="1" applyFont="1" applyFill="1" applyBorder="1" applyAlignment="1" applyProtection="1">
      <alignment vertical="top"/>
    </xf>
    <xf numFmtId="4" fontId="15" fillId="0" borderId="40" xfId="0" applyNumberFormat="1" applyFont="1" applyFill="1" applyBorder="1" applyAlignment="1" applyProtection="1">
      <alignment vertical="top"/>
    </xf>
    <xf numFmtId="4" fontId="18" fillId="0" borderId="23" xfId="0" applyNumberFormat="1" applyFont="1" applyFill="1" applyBorder="1" applyAlignment="1" applyProtection="1">
      <alignment vertical="top"/>
    </xf>
    <xf numFmtId="4" fontId="15" fillId="0" borderId="24" xfId="0" applyNumberFormat="1" applyFont="1" applyFill="1" applyBorder="1" applyAlignment="1" applyProtection="1">
      <alignment vertical="top"/>
    </xf>
    <xf numFmtId="4" fontId="18" fillId="0" borderId="41" xfId="0" applyNumberFormat="1" applyFont="1" applyFill="1" applyBorder="1" applyAlignment="1" applyProtection="1">
      <alignment vertical="top"/>
    </xf>
    <xf numFmtId="4" fontId="2" fillId="0" borderId="49" xfId="0" applyNumberFormat="1" applyFont="1" applyFill="1" applyBorder="1" applyAlignment="1">
      <alignment horizontal="center" vertical="center"/>
    </xf>
    <xf numFmtId="4" fontId="2" fillId="0" borderId="46" xfId="5" applyNumberFormat="1" applyFont="1" applyFill="1" applyBorder="1" applyAlignment="1">
      <alignment horizontal="center" vertical="center"/>
    </xf>
    <xf numFmtId="0" fontId="1" fillId="0" borderId="46" xfId="0" applyFont="1" applyFill="1" applyBorder="1" applyAlignment="1" applyProtection="1">
      <alignment horizontal="center" vertical="center"/>
    </xf>
    <xf numFmtId="4" fontId="2" fillId="0" borderId="46" xfId="0" applyNumberFormat="1" applyFont="1" applyFill="1" applyBorder="1" applyAlignment="1">
      <alignment horizontal="center" vertical="center"/>
    </xf>
    <xf numFmtId="0" fontId="16" fillId="5" borderId="4" xfId="0" applyFont="1" applyFill="1" applyBorder="1" applyAlignment="1" applyProtection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/>
    </xf>
    <xf numFmtId="0" fontId="16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3" fillId="2" borderId="0" xfId="0" applyFont="1" applyFill="1" applyAlignment="1">
      <alignment vertical="center" wrapText="1"/>
    </xf>
    <xf numFmtId="0" fontId="23" fillId="2" borderId="0" xfId="0" applyFont="1" applyFill="1" applyAlignment="1">
      <alignment horizontal="right" vertical="center"/>
    </xf>
    <xf numFmtId="0" fontId="25" fillId="2" borderId="28" xfId="0" applyFont="1" applyFill="1" applyBorder="1" applyAlignment="1">
      <alignment vertical="center" wrapText="1"/>
    </xf>
    <xf numFmtId="43" fontId="25" fillId="0" borderId="34" xfId="0" applyNumberFormat="1" applyFont="1" applyFill="1" applyBorder="1" applyAlignment="1">
      <alignment horizontal="right" vertical="center" wrapText="1"/>
    </xf>
    <xf numFmtId="0" fontId="25" fillId="2" borderId="7" xfId="0" applyFont="1" applyFill="1" applyBorder="1" applyAlignment="1">
      <alignment vertical="center" wrapText="1"/>
    </xf>
    <xf numFmtId="43" fontId="25" fillId="0" borderId="23" xfId="0" applyNumberFormat="1" applyFont="1" applyFill="1" applyBorder="1" applyAlignment="1">
      <alignment horizontal="right" vertical="center" wrapText="1"/>
    </xf>
    <xf numFmtId="0" fontId="25" fillId="2" borderId="11" xfId="0" applyFont="1" applyFill="1" applyBorder="1" applyAlignment="1">
      <alignment vertical="center" wrapText="1"/>
    </xf>
    <xf numFmtId="43" fontId="25" fillId="0" borderId="24" xfId="0" applyNumberFormat="1" applyFont="1" applyFill="1" applyBorder="1" applyAlignment="1">
      <alignment horizontal="right" vertical="center" wrapText="1"/>
    </xf>
    <xf numFmtId="0" fontId="23" fillId="0" borderId="7" xfId="0" applyFont="1" applyBorder="1" applyAlignment="1">
      <alignment vertical="center" wrapText="1"/>
    </xf>
    <xf numFmtId="4" fontId="25" fillId="0" borderId="24" xfId="1" applyNumberFormat="1" applyFont="1" applyFill="1" applyBorder="1" applyAlignment="1" applyProtection="1">
      <alignment horizontal="right" vertical="center"/>
    </xf>
    <xf numFmtId="4" fontId="25" fillId="0" borderId="23" xfId="1" applyNumberFormat="1" applyFont="1" applyFill="1" applyBorder="1" applyAlignment="1" applyProtection="1">
      <alignment horizontal="right" vertical="center"/>
    </xf>
    <xf numFmtId="0" fontId="23" fillId="0" borderId="37" xfId="0" applyFont="1" applyBorder="1" applyAlignment="1">
      <alignment vertical="center" wrapText="1"/>
    </xf>
    <xf numFmtId="0" fontId="23" fillId="0" borderId="0" xfId="0" applyFont="1" applyAlignment="1">
      <alignment vertical="center" wrapText="1"/>
    </xf>
    <xf numFmtId="4" fontId="23" fillId="0" borderId="0" xfId="0" applyNumberFormat="1" applyFont="1" applyAlignment="1">
      <alignment horizontal="right" vertical="center"/>
    </xf>
    <xf numFmtId="10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/>
    </xf>
    <xf numFmtId="3" fontId="25" fillId="0" borderId="0" xfId="7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right" vertical="center"/>
    </xf>
    <xf numFmtId="0" fontId="23" fillId="0" borderId="0" xfId="0" applyFont="1" applyFill="1" applyBorder="1" applyAlignment="1">
      <alignment vertical="center" wrapText="1"/>
    </xf>
    <xf numFmtId="4" fontId="23" fillId="0" borderId="0" xfId="0" applyNumberFormat="1" applyFont="1" applyFill="1" applyBorder="1" applyAlignment="1">
      <alignment horizontal="right" vertical="center"/>
    </xf>
    <xf numFmtId="0" fontId="22" fillId="5" borderId="2" xfId="0" applyFont="1" applyFill="1" applyBorder="1" applyAlignment="1" applyProtection="1">
      <alignment vertical="center" wrapText="1"/>
    </xf>
    <xf numFmtId="43" fontId="22" fillId="5" borderId="43" xfId="0" applyNumberFormat="1" applyFont="1" applyFill="1" applyBorder="1" applyAlignment="1" applyProtection="1">
      <alignment vertical="center" wrapText="1"/>
    </xf>
    <xf numFmtId="0" fontId="22" fillId="5" borderId="5" xfId="0" applyFont="1" applyFill="1" applyBorder="1" applyAlignment="1" applyProtection="1">
      <alignment vertical="center" wrapText="1"/>
    </xf>
    <xf numFmtId="0" fontId="2" fillId="0" borderId="32" xfId="0" applyFont="1" applyBorder="1" applyAlignment="1" applyProtection="1">
      <alignment horizontal="right" vertical="center"/>
    </xf>
    <xf numFmtId="0" fontId="2" fillId="0" borderId="66" xfId="0" applyFont="1" applyBorder="1" applyAlignment="1" applyProtection="1">
      <alignment horizontal="right" vertical="center"/>
    </xf>
    <xf numFmtId="0" fontId="2" fillId="0" borderId="70" xfId="0" applyFont="1" applyBorder="1" applyAlignment="1" applyProtection="1">
      <alignment horizontal="right" vertical="center"/>
    </xf>
    <xf numFmtId="4" fontId="1" fillId="7" borderId="35" xfId="0" applyNumberFormat="1" applyFont="1" applyFill="1" applyBorder="1" applyAlignment="1">
      <alignment vertical="center" wrapText="1"/>
    </xf>
    <xf numFmtId="4" fontId="1" fillId="3" borderId="36" xfId="0" applyNumberFormat="1" applyFont="1" applyFill="1" applyBorder="1" applyAlignment="1" applyProtection="1">
      <alignment horizontal="center" vertical="top" wrapText="1"/>
    </xf>
    <xf numFmtId="4" fontId="2" fillId="0" borderId="35" xfId="1" applyNumberFormat="1" applyFont="1" applyBorder="1" applyAlignment="1" applyProtection="1">
      <alignment horizontal="center" vertical="center"/>
    </xf>
    <xf numFmtId="3" fontId="2" fillId="0" borderId="25" xfId="7" applyFont="1" applyFill="1" applyBorder="1" applyAlignment="1">
      <alignment horizontal="center" vertical="center"/>
    </xf>
    <xf numFmtId="4" fontId="2" fillId="0" borderId="9" xfId="1" applyNumberFormat="1" applyFont="1" applyBorder="1" applyAlignment="1" applyProtection="1">
      <alignment horizontal="center" vertical="center"/>
    </xf>
    <xf numFmtId="0" fontId="2" fillId="0" borderId="26" xfId="0" quotePrefix="1" applyFont="1" applyFill="1" applyBorder="1" applyAlignment="1">
      <alignment vertical="center" wrapText="1"/>
    </xf>
    <xf numFmtId="0" fontId="2" fillId="0" borderId="46" xfId="0" applyFont="1" applyBorder="1" applyAlignment="1" applyProtection="1">
      <alignment horizontal="center" vertical="center"/>
    </xf>
    <xf numFmtId="4" fontId="2" fillId="0" borderId="46" xfId="1" applyNumberFormat="1" applyFont="1" applyBorder="1" applyAlignment="1" applyProtection="1">
      <alignment horizontal="center" vertical="center"/>
    </xf>
    <xf numFmtId="4" fontId="2" fillId="0" borderId="47" xfId="1" applyNumberFormat="1" applyFont="1" applyBorder="1" applyAlignment="1" applyProtection="1">
      <alignment horizontal="center" vertical="center"/>
    </xf>
    <xf numFmtId="0" fontId="2" fillId="0" borderId="14" xfId="0" quotePrefix="1" applyFont="1" applyFill="1" applyBorder="1" applyAlignment="1">
      <alignment vertical="center" wrapText="1"/>
    </xf>
    <xf numFmtId="4" fontId="2" fillId="0" borderId="49" xfId="1" applyNumberFormat="1" applyFont="1" applyBorder="1" applyAlignment="1" applyProtection="1">
      <alignment horizontal="center" vertical="center"/>
    </xf>
    <xf numFmtId="0" fontId="2" fillId="0" borderId="19" xfId="0" quotePrefix="1" applyFont="1" applyFill="1" applyBorder="1" applyAlignment="1">
      <alignment vertical="center" wrapText="1"/>
    </xf>
    <xf numFmtId="0" fontId="2" fillId="0" borderId="50" xfId="0" applyFont="1" applyBorder="1" applyAlignment="1" applyProtection="1">
      <alignment horizontal="center" vertical="center"/>
    </xf>
    <xf numFmtId="4" fontId="2" fillId="0" borderId="50" xfId="0" applyNumberFormat="1" applyFont="1" applyFill="1" applyBorder="1" applyAlignment="1">
      <alignment horizontal="center" vertical="center"/>
    </xf>
    <xf numFmtId="4" fontId="2" fillId="0" borderId="51" xfId="1" applyNumberFormat="1" applyFont="1" applyBorder="1" applyAlignment="1" applyProtection="1">
      <alignment horizontal="center" vertical="center"/>
    </xf>
    <xf numFmtId="4" fontId="1" fillId="7" borderId="81" xfId="0" applyNumberFormat="1" applyFont="1" applyFill="1" applyBorder="1" applyAlignment="1">
      <alignment vertical="center" wrapText="1"/>
    </xf>
    <xf numFmtId="0" fontId="2" fillId="2" borderId="26" xfId="0" quotePrefix="1" applyFont="1" applyFill="1" applyBorder="1" applyAlignment="1">
      <alignment vertical="center" wrapText="1"/>
    </xf>
    <xf numFmtId="0" fontId="2" fillId="2" borderId="14" xfId="0" quotePrefix="1" applyFont="1" applyFill="1" applyBorder="1" applyAlignment="1">
      <alignment vertical="center" wrapText="1"/>
    </xf>
    <xf numFmtId="0" fontId="2" fillId="2" borderId="19" xfId="0" quotePrefix="1" applyFont="1" applyFill="1" applyBorder="1" applyAlignment="1">
      <alignment vertical="center" wrapText="1"/>
    </xf>
    <xf numFmtId="0" fontId="2" fillId="0" borderId="48" xfId="0" applyFont="1" applyFill="1" applyBorder="1" applyAlignment="1" applyProtection="1">
      <alignment horizontal="right" vertical="center"/>
    </xf>
    <xf numFmtId="4" fontId="2" fillId="0" borderId="9" xfId="5" applyNumberFormat="1" applyFont="1" applyFill="1" applyBorder="1" applyAlignment="1">
      <alignment horizontal="center" vertical="center"/>
    </xf>
    <xf numFmtId="49" fontId="2" fillId="0" borderId="26" xfId="4" applyNumberFormat="1" applyFont="1" applyFill="1" applyBorder="1" applyAlignment="1">
      <alignment horizontal="left" vertical="center" wrapText="1"/>
    </xf>
    <xf numFmtId="49" fontId="2" fillId="0" borderId="14" xfId="4" applyNumberFormat="1" applyFont="1" applyFill="1" applyBorder="1" applyAlignment="1">
      <alignment horizontal="left" vertical="center" wrapText="1"/>
    </xf>
    <xf numFmtId="49" fontId="2" fillId="0" borderId="14" xfId="4" applyNumberFormat="1" applyFont="1" applyBorder="1" applyAlignment="1">
      <alignment horizontal="left" vertical="center" wrapText="1"/>
    </xf>
    <xf numFmtId="49" fontId="2" fillId="0" borderId="19" xfId="4" applyNumberFormat="1" applyFont="1" applyBorder="1" applyAlignment="1">
      <alignment horizontal="left" vertical="center" wrapText="1"/>
    </xf>
    <xf numFmtId="0" fontId="2" fillId="0" borderId="26" xfId="4" applyFont="1" applyBorder="1" applyAlignment="1">
      <alignment vertical="center" wrapText="1"/>
    </xf>
    <xf numFmtId="0" fontId="2" fillId="0" borderId="14" xfId="4" applyFont="1" applyBorder="1" applyAlignment="1">
      <alignment vertical="center" wrapText="1"/>
    </xf>
    <xf numFmtId="0" fontId="2" fillId="0" borderId="19" xfId="4" applyFont="1" applyBorder="1" applyAlignment="1">
      <alignment vertical="center" wrapText="1"/>
    </xf>
    <xf numFmtId="49" fontId="2" fillId="0" borderId="38" xfId="4" applyNumberFormat="1" applyFont="1" applyBorder="1" applyAlignment="1">
      <alignment horizontal="left" vertical="center" wrapText="1"/>
    </xf>
    <xf numFmtId="3" fontId="2" fillId="0" borderId="45" xfId="7" applyFont="1" applyFill="1" applyBorder="1" applyAlignment="1">
      <alignment horizontal="center" vertical="center"/>
    </xf>
    <xf numFmtId="4" fontId="2" fillId="6" borderId="45" xfId="5" applyNumberFormat="1" applyFont="1" applyFill="1" applyBorder="1" applyAlignment="1">
      <alignment horizontal="center" vertical="center"/>
    </xf>
    <xf numFmtId="0" fontId="1" fillId="2" borderId="45" xfId="0" applyFont="1" applyFill="1" applyBorder="1" applyAlignment="1" applyProtection="1">
      <alignment horizontal="center" vertical="center"/>
    </xf>
    <xf numFmtId="4" fontId="2" fillId="0" borderId="45" xfId="0" applyNumberFormat="1" applyFont="1" applyBorder="1" applyAlignment="1">
      <alignment horizontal="center" vertical="center"/>
    </xf>
    <xf numFmtId="4" fontId="2" fillId="0" borderId="45" xfId="0" applyNumberFormat="1" applyFont="1" applyFill="1" applyBorder="1" applyAlignment="1">
      <alignment horizontal="center" vertical="center"/>
    </xf>
    <xf numFmtId="49" fontId="2" fillId="0" borderId="26" xfId="4" applyNumberFormat="1" applyFont="1" applyBorder="1" applyAlignment="1">
      <alignment horizontal="left" vertical="center" wrapText="1"/>
    </xf>
    <xf numFmtId="4" fontId="2" fillId="0" borderId="27" xfId="1" applyNumberFormat="1" applyFont="1" applyBorder="1" applyAlignment="1" applyProtection="1">
      <alignment horizontal="center" vertical="center"/>
    </xf>
    <xf numFmtId="4" fontId="2" fillId="0" borderId="12" xfId="1" applyNumberFormat="1" applyFont="1" applyBorder="1" applyAlignment="1" applyProtection="1">
      <alignment horizontal="center" vertical="center"/>
    </xf>
    <xf numFmtId="4" fontId="2" fillId="0" borderId="33" xfId="1" applyNumberFormat="1" applyFont="1" applyBorder="1" applyAlignment="1" applyProtection="1">
      <alignment horizontal="center" vertical="center"/>
    </xf>
    <xf numFmtId="4" fontId="2" fillId="0" borderId="69" xfId="1" applyNumberFormat="1" applyFont="1" applyBorder="1" applyAlignment="1" applyProtection="1">
      <alignment horizontal="center" vertical="center"/>
    </xf>
    <xf numFmtId="4" fontId="2" fillId="0" borderId="75" xfId="1" applyNumberFormat="1" applyFont="1" applyBorder="1" applyAlignment="1" applyProtection="1">
      <alignment horizontal="center" vertical="center"/>
    </xf>
    <xf numFmtId="4" fontId="2" fillId="0" borderId="76" xfId="1" applyNumberFormat="1" applyFont="1" applyBorder="1" applyAlignment="1" applyProtection="1">
      <alignment horizontal="center" vertical="center"/>
    </xf>
    <xf numFmtId="4" fontId="2" fillId="3" borderId="34" xfId="0" applyNumberFormat="1" applyFont="1" applyFill="1" applyBorder="1" applyAlignment="1">
      <alignment horizontal="center" vertical="center"/>
    </xf>
    <xf numFmtId="4" fontId="2" fillId="3" borderId="69" xfId="0" applyNumberFormat="1" applyFont="1" applyFill="1" applyBorder="1" applyAlignment="1">
      <alignment horizontal="center" vertical="center"/>
    </xf>
    <xf numFmtId="4" fontId="2" fillId="3" borderId="23" xfId="0" applyNumberFormat="1" applyFont="1" applyFill="1" applyBorder="1" applyAlignment="1">
      <alignment horizontal="center" vertical="center"/>
    </xf>
    <xf numFmtId="4" fontId="2" fillId="3" borderId="75" xfId="0" applyNumberFormat="1" applyFont="1" applyFill="1" applyBorder="1" applyAlignment="1">
      <alignment horizontal="center" vertical="center"/>
    </xf>
    <xf numFmtId="4" fontId="2" fillId="3" borderId="24" xfId="0" applyNumberFormat="1" applyFont="1" applyFill="1" applyBorder="1" applyAlignment="1">
      <alignment horizontal="center" vertical="center"/>
    </xf>
    <xf numFmtId="4" fontId="2" fillId="3" borderId="76" xfId="0" applyNumberFormat="1" applyFont="1" applyFill="1" applyBorder="1" applyAlignment="1">
      <alignment horizontal="center" vertical="center"/>
    </xf>
    <xf numFmtId="4" fontId="2" fillId="3" borderId="45" xfId="0" applyNumberFormat="1" applyFont="1" applyFill="1" applyBorder="1" applyAlignment="1">
      <alignment horizontal="center" vertical="center"/>
    </xf>
    <xf numFmtId="4" fontId="2" fillId="0" borderId="60" xfId="1" applyNumberFormat="1" applyFont="1" applyBorder="1" applyAlignment="1" applyProtection="1">
      <alignment horizontal="center" vertical="center"/>
    </xf>
    <xf numFmtId="4" fontId="2" fillId="0" borderId="3" xfId="1" applyNumberFormat="1" applyFont="1" applyBorder="1" applyAlignment="1" applyProtection="1">
      <alignment horizontal="center" vertical="center"/>
    </xf>
    <xf numFmtId="4" fontId="2" fillId="3" borderId="38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2" fillId="3" borderId="43" xfId="0" applyNumberFormat="1" applyFont="1" applyFill="1" applyBorder="1" applyAlignment="1">
      <alignment horizontal="center" vertical="center"/>
    </xf>
    <xf numFmtId="4" fontId="2" fillId="3" borderId="9" xfId="0" applyNumberFormat="1" applyFont="1" applyFill="1" applyBorder="1" applyAlignment="1">
      <alignment horizontal="center" vertical="center"/>
    </xf>
    <xf numFmtId="4" fontId="2" fillId="3" borderId="58" xfId="0" applyNumberFormat="1" applyFont="1" applyFill="1" applyBorder="1" applyAlignment="1">
      <alignment horizontal="center" vertical="center"/>
    </xf>
    <xf numFmtId="4" fontId="2" fillId="3" borderId="68" xfId="0" applyNumberFormat="1" applyFont="1" applyFill="1" applyBorder="1" applyAlignment="1">
      <alignment horizontal="center" vertical="center"/>
    </xf>
    <xf numFmtId="4" fontId="2" fillId="3" borderId="73" xfId="0" applyNumberFormat="1" applyFont="1" applyFill="1" applyBorder="1" applyAlignment="1">
      <alignment horizontal="center" vertical="center"/>
    </xf>
    <xf numFmtId="4" fontId="2" fillId="3" borderId="48" xfId="0" applyNumberFormat="1" applyFont="1" applyFill="1" applyBorder="1" applyAlignment="1">
      <alignment horizontal="center" vertical="center"/>
    </xf>
    <xf numFmtId="4" fontId="24" fillId="3" borderId="43" xfId="5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right" vertical="top" wrapText="1"/>
    </xf>
    <xf numFmtId="4" fontId="1" fillId="2" borderId="0" xfId="0" applyNumberFormat="1" applyFont="1" applyFill="1" applyBorder="1" applyAlignment="1" applyProtection="1">
      <alignment horizontal="center" vertical="top" wrapText="1"/>
    </xf>
    <xf numFmtId="4" fontId="2" fillId="0" borderId="34" xfId="0" applyNumberFormat="1" applyFont="1" applyBorder="1" applyAlignment="1" applyProtection="1">
      <alignment horizontal="center" vertical="center"/>
    </xf>
    <xf numFmtId="4" fontId="2" fillId="2" borderId="0" xfId="0" applyNumberFormat="1" applyFont="1" applyFill="1" applyBorder="1" applyAlignment="1" applyProtection="1">
      <alignment horizontal="center" vertical="center"/>
    </xf>
    <xf numFmtId="4" fontId="2" fillId="0" borderId="24" xfId="0" applyNumberFormat="1" applyFont="1" applyBorder="1" applyAlignment="1" applyProtection="1">
      <alignment horizontal="center" vertical="center"/>
    </xf>
    <xf numFmtId="43" fontId="22" fillId="5" borderId="35" xfId="0" applyNumberFormat="1" applyFont="1" applyFill="1" applyBorder="1" applyAlignment="1" applyProtection="1">
      <alignment vertical="center" wrapText="1"/>
    </xf>
    <xf numFmtId="10" fontId="23" fillId="0" borderId="0" xfId="0" applyNumberFormat="1" applyFont="1" applyAlignment="1">
      <alignment horizontal="center" vertical="center"/>
    </xf>
    <xf numFmtId="0" fontId="2" fillId="2" borderId="46" xfId="0" applyNumberFormat="1" applyFont="1" applyFill="1" applyBorder="1" applyAlignment="1" applyProtection="1">
      <alignment horizontal="center" vertical="center"/>
    </xf>
    <xf numFmtId="3" fontId="2" fillId="0" borderId="14" xfId="7" applyFont="1" applyFill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0" fontId="2" fillId="0" borderId="9" xfId="0" applyNumberFormat="1" applyFont="1" applyBorder="1" applyAlignment="1">
      <alignment horizontal="center" vertical="center"/>
    </xf>
    <xf numFmtId="0" fontId="2" fillId="6" borderId="9" xfId="5" applyNumberFormat="1" applyFont="1" applyFill="1" applyBorder="1" applyAlignment="1">
      <alignment horizontal="center" vertical="center"/>
    </xf>
    <xf numFmtId="0" fontId="2" fillId="0" borderId="50" xfId="0" applyFont="1" applyBorder="1" applyAlignment="1">
      <alignment vertical="center"/>
    </xf>
    <xf numFmtId="0" fontId="2" fillId="6" borderId="50" xfId="5" applyNumberFormat="1" applyFont="1" applyFill="1" applyBorder="1" applyAlignment="1">
      <alignment horizontal="center" vertical="center"/>
    </xf>
    <xf numFmtId="4" fontId="2" fillId="0" borderId="18" xfId="1" applyNumberFormat="1" applyFont="1" applyBorder="1" applyAlignment="1" applyProtection="1">
      <alignment horizontal="center" vertical="center"/>
    </xf>
    <xf numFmtId="4" fontId="2" fillId="0" borderId="0" xfId="0" applyNumberFormat="1" applyFont="1" applyAlignment="1">
      <alignment vertical="center"/>
    </xf>
    <xf numFmtId="4" fontId="1" fillId="7" borderId="43" xfId="0" applyNumberFormat="1" applyFont="1" applyFill="1" applyBorder="1" applyAlignment="1">
      <alignment vertical="center"/>
    </xf>
    <xf numFmtId="4" fontId="2" fillId="3" borderId="62" xfId="0" applyNumberFormat="1" applyFont="1" applyFill="1" applyBorder="1" applyAlignment="1">
      <alignment horizontal="center" vertical="center"/>
    </xf>
    <xf numFmtId="4" fontId="2" fillId="3" borderId="12" xfId="0" applyNumberFormat="1" applyFont="1" applyFill="1" applyBorder="1" applyAlignment="1">
      <alignment horizontal="center" vertical="center"/>
    </xf>
    <xf numFmtId="4" fontId="2" fillId="3" borderId="60" xfId="0" applyNumberFormat="1" applyFont="1" applyFill="1" applyBorder="1" applyAlignment="1">
      <alignment horizontal="center" vertical="center"/>
    </xf>
    <xf numFmtId="4" fontId="1" fillId="3" borderId="43" xfId="0" applyNumberFormat="1" applyFont="1" applyFill="1" applyBorder="1" applyAlignment="1">
      <alignment horizontal="center" vertical="center"/>
    </xf>
    <xf numFmtId="0" fontId="18" fillId="2" borderId="0" xfId="0" applyFont="1" applyFill="1" applyBorder="1" applyAlignment="1" applyProtection="1">
      <alignment horizontal="right" vertical="top"/>
    </xf>
    <xf numFmtId="4" fontId="18" fillId="2" borderId="0" xfId="0" applyNumberFormat="1" applyFont="1" applyFill="1" applyBorder="1" applyAlignment="1" applyProtection="1">
      <alignment vertical="top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4" fillId="5" borderId="1" xfId="0" applyFont="1" applyFill="1" applyBorder="1" applyAlignment="1">
      <alignment horizontal="left" vertical="center" wrapText="1"/>
    </xf>
    <xf numFmtId="3" fontId="1" fillId="5" borderId="38" xfId="5" applyFont="1" applyFill="1" applyBorder="1" applyAlignment="1">
      <alignment horizontal="left" vertical="center" wrapText="1"/>
    </xf>
    <xf numFmtId="3" fontId="1" fillId="5" borderId="45" xfId="7" applyFont="1" applyFill="1" applyBorder="1" applyAlignment="1">
      <alignment horizontal="center" vertical="center" wrapText="1"/>
    </xf>
    <xf numFmtId="4" fontId="1" fillId="5" borderId="45" xfId="7" applyNumberFormat="1" applyFont="1" applyFill="1" applyBorder="1" applyAlignment="1">
      <alignment horizontal="center" vertical="center" wrapText="1"/>
    </xf>
    <xf numFmtId="169" fontId="1" fillId="5" borderId="45" xfId="7" applyNumberFormat="1" applyFont="1" applyFill="1" applyBorder="1" applyAlignment="1">
      <alignment horizontal="center" vertical="center" wrapText="1"/>
    </xf>
    <xf numFmtId="4" fontId="1" fillId="5" borderId="39" xfId="7" applyNumberFormat="1" applyFont="1" applyFill="1" applyBorder="1" applyAlignment="1">
      <alignment horizontal="center" vertical="center" wrapText="1"/>
    </xf>
    <xf numFmtId="0" fontId="4" fillId="5" borderId="1" xfId="0" quotePrefix="1" applyFont="1" applyFill="1" applyBorder="1" applyAlignment="1">
      <alignment horizontal="left" vertical="center"/>
    </xf>
    <xf numFmtId="0" fontId="2" fillId="0" borderId="81" xfId="0" applyFont="1" applyBorder="1" applyAlignment="1" applyProtection="1">
      <alignment horizontal="right" vertical="center"/>
    </xf>
    <xf numFmtId="0" fontId="2" fillId="2" borderId="64" xfId="0" quotePrefix="1" applyFont="1" applyFill="1" applyBorder="1" applyAlignment="1">
      <alignment vertical="center" wrapText="1"/>
    </xf>
    <xf numFmtId="0" fontId="2" fillId="2" borderId="104" xfId="0" applyFont="1" applyFill="1" applyBorder="1" applyAlignment="1" applyProtection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2" fillId="2" borderId="54" xfId="0" applyFont="1" applyFill="1" applyBorder="1" applyAlignment="1" applyProtection="1">
      <alignment horizontal="center" vertical="center"/>
    </xf>
    <xf numFmtId="4" fontId="2" fillId="0" borderId="25" xfId="7" applyNumberFormat="1" applyFont="1" applyFill="1" applyBorder="1" applyAlignment="1">
      <alignment horizontal="center" vertical="center"/>
    </xf>
    <xf numFmtId="4" fontId="2" fillId="0" borderId="41" xfId="7" applyNumberFormat="1" applyFont="1" applyFill="1" applyBorder="1" applyAlignment="1">
      <alignment horizontal="center" vertical="center"/>
    </xf>
    <xf numFmtId="4" fontId="1" fillId="5" borderId="43" xfId="5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center" wrapText="1"/>
    </xf>
    <xf numFmtId="3" fontId="2" fillId="2" borderId="27" xfId="0" applyNumberFormat="1" applyFont="1" applyFill="1" applyBorder="1" applyAlignment="1" applyProtection="1">
      <alignment horizontal="center" vertical="center"/>
    </xf>
    <xf numFmtId="3" fontId="2" fillId="2" borderId="26" xfId="0" applyNumberFormat="1" applyFont="1" applyFill="1" applyBorder="1" applyAlignment="1" applyProtection="1">
      <alignment horizontal="center" vertical="center"/>
    </xf>
    <xf numFmtId="3" fontId="2" fillId="2" borderId="46" xfId="0" applyNumberFormat="1" applyFont="1" applyFill="1" applyBorder="1" applyAlignment="1" applyProtection="1">
      <alignment horizontal="center" vertical="center"/>
    </xf>
    <xf numFmtId="4" fontId="2" fillId="0" borderId="27" xfId="7" applyNumberFormat="1" applyFont="1" applyFill="1" applyBorder="1" applyAlignment="1">
      <alignment horizontal="center" vertical="center"/>
    </xf>
    <xf numFmtId="4" fontId="2" fillId="0" borderId="34" xfId="7" applyNumberFormat="1" applyFont="1" applyFill="1" applyBorder="1" applyAlignment="1">
      <alignment horizontal="center" vertical="center"/>
    </xf>
    <xf numFmtId="0" fontId="2" fillId="2" borderId="10" xfId="0" quotePrefix="1" applyFont="1" applyFill="1" applyBorder="1" applyAlignment="1">
      <alignment vertical="center" wrapText="1"/>
    </xf>
    <xf numFmtId="3" fontId="2" fillId="2" borderId="55" xfId="0" applyNumberFormat="1" applyFont="1" applyFill="1" applyBorder="1" applyAlignment="1" applyProtection="1">
      <alignment horizontal="center" vertical="center"/>
    </xf>
    <xf numFmtId="3" fontId="2" fillId="2" borderId="64" xfId="0" applyNumberFormat="1" applyFont="1" applyFill="1" applyBorder="1" applyAlignment="1" applyProtection="1">
      <alignment horizontal="center" vertical="center"/>
    </xf>
    <xf numFmtId="3" fontId="2" fillId="2" borderId="25" xfId="0" applyNumberFormat="1" applyFont="1" applyFill="1" applyBorder="1" applyAlignment="1" applyProtection="1">
      <alignment horizontal="center" vertical="center"/>
    </xf>
    <xf numFmtId="3" fontId="2" fillId="2" borderId="6" xfId="0" applyNumberFormat="1" applyFont="1" applyFill="1" applyBorder="1" applyAlignment="1" applyProtection="1">
      <alignment horizontal="center" vertical="center"/>
    </xf>
    <xf numFmtId="4" fontId="2" fillId="0" borderId="55" xfId="7" applyNumberFormat="1" applyFont="1" applyFill="1" applyBorder="1" applyAlignment="1">
      <alignment horizontal="center" vertical="center"/>
    </xf>
    <xf numFmtId="4" fontId="2" fillId="0" borderId="40" xfId="7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vertical="center"/>
    </xf>
    <xf numFmtId="0" fontId="2" fillId="2" borderId="35" xfId="4" applyFont="1" applyFill="1" applyBorder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9" fontId="16" fillId="0" borderId="43" xfId="3" applyNumberFormat="1" applyFont="1" applyBorder="1" applyAlignment="1">
      <alignment horizontal="center" vertical="center"/>
    </xf>
    <xf numFmtId="0" fontId="18" fillId="2" borderId="50" xfId="0" applyFont="1" applyFill="1" applyBorder="1" applyAlignment="1">
      <alignment horizontal="center" vertical="center"/>
    </xf>
    <xf numFmtId="0" fontId="18" fillId="2" borderId="51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vertical="center" wrapText="1"/>
    </xf>
    <xf numFmtId="4" fontId="15" fillId="2" borderId="6" xfId="0" applyNumberFormat="1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vertical="center" wrapText="1"/>
    </xf>
    <xf numFmtId="4" fontId="15" fillId="2" borderId="9" xfId="0" applyNumberFormat="1" applyFont="1" applyFill="1" applyBorder="1" applyAlignment="1">
      <alignment horizontal="center" vertical="center"/>
    </xf>
    <xf numFmtId="0" fontId="15" fillId="2" borderId="30" xfId="0" applyFont="1" applyFill="1" applyBorder="1"/>
    <xf numFmtId="0" fontId="2" fillId="0" borderId="18" xfId="0" applyFont="1" applyBorder="1" applyAlignment="1">
      <alignment vertical="center"/>
    </xf>
    <xf numFmtId="0" fontId="2" fillId="6" borderId="18" xfId="5" applyNumberFormat="1" applyFont="1" applyFill="1" applyBorder="1" applyAlignment="1">
      <alignment horizontal="center" vertical="center"/>
    </xf>
    <xf numFmtId="4" fontId="2" fillId="0" borderId="18" xfId="5" applyNumberFormat="1" applyFont="1" applyFill="1" applyBorder="1" applyAlignment="1">
      <alignment horizontal="center" vertical="center"/>
    </xf>
    <xf numFmtId="4" fontId="2" fillId="3" borderId="18" xfId="0" applyNumberFormat="1" applyFont="1" applyFill="1" applyBorder="1" applyAlignment="1">
      <alignment horizontal="center" vertical="center"/>
    </xf>
    <xf numFmtId="4" fontId="2" fillId="3" borderId="22" xfId="0" applyNumberFormat="1" applyFont="1" applyFill="1" applyBorder="1" applyAlignment="1">
      <alignment horizontal="center" vertical="center"/>
    </xf>
    <xf numFmtId="4" fontId="2" fillId="0" borderId="40" xfId="1" applyNumberFormat="1" applyFont="1" applyBorder="1" applyAlignment="1" applyProtection="1">
      <alignment horizontal="center" vertical="center"/>
    </xf>
    <xf numFmtId="4" fontId="23" fillId="2" borderId="23" xfId="0" applyNumberFormat="1" applyFont="1" applyFill="1" applyBorder="1" applyAlignment="1">
      <alignment vertical="center" wrapText="1"/>
    </xf>
    <xf numFmtId="0" fontId="23" fillId="0" borderId="0" xfId="0" applyFont="1" applyBorder="1" applyAlignment="1">
      <alignment vertical="center" wrapText="1"/>
    </xf>
    <xf numFmtId="4" fontId="25" fillId="0" borderId="0" xfId="1" applyNumberFormat="1" applyFont="1" applyFill="1" applyBorder="1" applyAlignment="1" applyProtection="1">
      <alignment horizontal="right" vertical="center"/>
    </xf>
    <xf numFmtId="4" fontId="24" fillId="5" borderId="3" xfId="1" applyNumberFormat="1" applyFont="1" applyFill="1" applyBorder="1" applyAlignment="1" applyProtection="1">
      <alignment horizontal="right" vertical="center"/>
    </xf>
    <xf numFmtId="0" fontId="23" fillId="2" borderId="0" xfId="0" applyFont="1" applyFill="1" applyBorder="1" applyAlignment="1">
      <alignment vertical="center" wrapText="1"/>
    </xf>
    <xf numFmtId="4" fontId="25" fillId="2" borderId="0" xfId="1" applyNumberFormat="1" applyFont="1" applyFill="1" applyBorder="1" applyAlignment="1" applyProtection="1">
      <alignment horizontal="right" vertical="center"/>
    </xf>
    <xf numFmtId="4" fontId="23" fillId="2" borderId="0" xfId="0" applyNumberFormat="1" applyFont="1" applyFill="1" applyBorder="1" applyAlignment="1">
      <alignment horizontal="right" vertical="center"/>
    </xf>
    <xf numFmtId="0" fontId="2" fillId="2" borderId="32" xfId="0" applyFont="1" applyFill="1" applyBorder="1" applyAlignment="1">
      <alignment vertical="center"/>
    </xf>
    <xf numFmtId="0" fontId="16" fillId="0" borderId="90" xfId="0" applyFont="1" applyBorder="1" applyAlignment="1">
      <alignment horizontal="center" vertical="center"/>
    </xf>
    <xf numFmtId="0" fontId="16" fillId="0" borderId="82" xfId="0" applyFont="1" applyBorder="1" applyAlignment="1">
      <alignment horizontal="center" vertical="center"/>
    </xf>
    <xf numFmtId="0" fontId="7" fillId="0" borderId="41" xfId="0" applyFont="1" applyBorder="1" applyAlignment="1">
      <alignment horizontal="left" vertical="center" wrapText="1"/>
    </xf>
    <xf numFmtId="0" fontId="7" fillId="0" borderId="42" xfId="0" applyFont="1" applyBorder="1" applyAlignment="1">
      <alignment horizontal="left" vertical="center" wrapText="1"/>
    </xf>
    <xf numFmtId="43" fontId="7" fillId="0" borderId="74" xfId="11" applyFont="1" applyFill="1" applyBorder="1" applyAlignment="1" applyProtection="1">
      <alignment horizontal="right" vertical="top"/>
    </xf>
    <xf numFmtId="4" fontId="7" fillId="0" borderId="118" xfId="3" applyNumberFormat="1" applyFont="1" applyFill="1" applyBorder="1" applyAlignment="1">
      <alignment horizontal="right" vertical="top"/>
    </xf>
    <xf numFmtId="0" fontId="7" fillId="0" borderId="2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43" fontId="7" fillId="0" borderId="67" xfId="11" applyFont="1" applyFill="1" applyBorder="1" applyAlignment="1" applyProtection="1">
      <alignment horizontal="right" vertical="top"/>
    </xf>
    <xf numFmtId="4" fontId="7" fillId="0" borderId="86" xfId="3" applyNumberFormat="1" applyFont="1" applyFill="1" applyBorder="1" applyAlignment="1">
      <alignment horizontal="right" vertical="top"/>
    </xf>
    <xf numFmtId="0" fontId="7" fillId="0" borderId="4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43" fontId="7" fillId="0" borderId="89" xfId="11" applyFont="1" applyFill="1" applyBorder="1" applyAlignment="1" applyProtection="1">
      <alignment horizontal="right" vertical="top"/>
    </xf>
    <xf numFmtId="4" fontId="7" fillId="0" borderId="119" xfId="3" applyNumberFormat="1" applyFont="1" applyFill="1" applyBorder="1" applyAlignment="1">
      <alignment horizontal="right" vertical="top"/>
    </xf>
    <xf numFmtId="4" fontId="7" fillId="0" borderId="1" xfId="3" applyNumberFormat="1" applyFont="1" applyBorder="1" applyAlignment="1">
      <alignment horizontal="center" vertical="center"/>
    </xf>
    <xf numFmtId="4" fontId="16" fillId="0" borderId="43" xfId="3" applyNumberFormat="1" applyFont="1" applyBorder="1" applyAlignment="1">
      <alignment horizontal="center" vertical="center"/>
    </xf>
    <xf numFmtId="0" fontId="1" fillId="7" borderId="1" xfId="0" applyFont="1" applyFill="1" applyBorder="1" applyAlignment="1">
      <alignment vertical="center" wrapText="1"/>
    </xf>
    <xf numFmtId="0" fontId="1" fillId="7" borderId="2" xfId="0" applyFont="1" applyFill="1" applyBorder="1" applyAlignment="1">
      <alignment vertical="center" wrapText="1"/>
    </xf>
    <xf numFmtId="0" fontId="2" fillId="2" borderId="77" xfId="4" applyFont="1" applyFill="1" applyBorder="1" applyAlignment="1">
      <alignment vertical="top"/>
    </xf>
    <xf numFmtId="0" fontId="2" fillId="2" borderId="35" xfId="3" applyFont="1" applyFill="1" applyBorder="1" applyAlignment="1">
      <alignment vertical="top"/>
    </xf>
    <xf numFmtId="0" fontId="2" fillId="2" borderId="36" xfId="3" applyFont="1" applyFill="1" applyBorder="1" applyAlignment="1">
      <alignment vertical="top"/>
    </xf>
    <xf numFmtId="0" fontId="3" fillId="2" borderId="77" xfId="0" applyFont="1" applyFill="1" applyBorder="1" applyAlignment="1">
      <alignment vertical="top"/>
    </xf>
    <xf numFmtId="0" fontId="3" fillId="0" borderId="6" xfId="0" applyFont="1" applyBorder="1" applyAlignment="1">
      <alignment horizontal="center" vertical="center" wrapText="1"/>
    </xf>
    <xf numFmtId="0" fontId="3" fillId="0" borderId="56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 wrapText="1"/>
    </xf>
    <xf numFmtId="4" fontId="23" fillId="0" borderId="0" xfId="0" applyNumberFormat="1" applyFont="1" applyAlignment="1">
      <alignment vertical="center"/>
    </xf>
    <xf numFmtId="0" fontId="7" fillId="2" borderId="35" xfId="4" applyFont="1" applyFill="1" applyBorder="1" applyAlignment="1">
      <alignment vertical="center"/>
    </xf>
    <xf numFmtId="0" fontId="7" fillId="2" borderId="36" xfId="4" applyFont="1" applyFill="1" applyBorder="1" applyAlignment="1">
      <alignment vertical="center"/>
    </xf>
    <xf numFmtId="0" fontId="7" fillId="2" borderId="35" xfId="4" applyFont="1" applyFill="1" applyBorder="1" applyAlignment="1">
      <alignment horizontal="left" vertical="center"/>
    </xf>
    <xf numFmtId="0" fontId="7" fillId="2" borderId="77" xfId="4" applyFont="1" applyFill="1" applyBorder="1" applyAlignment="1">
      <alignment horizontal="left" vertical="center"/>
    </xf>
    <xf numFmtId="0" fontId="23" fillId="2" borderId="0" xfId="0" applyFont="1" applyFill="1" applyAlignment="1">
      <alignment horizontal="center" vertical="center"/>
    </xf>
    <xf numFmtId="0" fontId="22" fillId="5" borderId="43" xfId="0" applyFont="1" applyFill="1" applyBorder="1" applyAlignment="1" applyProtection="1">
      <alignment horizontal="center" vertical="center" wrapText="1"/>
    </xf>
    <xf numFmtId="0" fontId="25" fillId="0" borderId="34" xfId="0" applyFont="1" applyBorder="1" applyAlignment="1" applyProtection="1">
      <alignment horizontal="center" vertical="center"/>
    </xf>
    <xf numFmtId="0" fontId="25" fillId="0" borderId="23" xfId="0" applyFont="1" applyBorder="1" applyAlignment="1" applyProtection="1">
      <alignment horizontal="center" vertical="center"/>
    </xf>
    <xf numFmtId="0" fontId="25" fillId="0" borderId="24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25" fillId="2" borderId="0" xfId="0" applyFont="1" applyFill="1" applyBorder="1" applyAlignment="1" applyProtection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164" fontId="2" fillId="0" borderId="0" xfId="13" applyFont="1" applyAlignment="1">
      <alignment vertical="center"/>
    </xf>
    <xf numFmtId="4" fontId="2" fillId="2" borderId="0" xfId="0" applyNumberFormat="1" applyFont="1" applyFill="1" applyAlignment="1">
      <alignment vertical="center"/>
    </xf>
    <xf numFmtId="0" fontId="15" fillId="0" borderId="7" xfId="0" applyFont="1" applyFill="1" applyBorder="1" applyAlignment="1" applyProtection="1">
      <alignment horizontal="left" vertical="top" wrapText="1"/>
    </xf>
    <xf numFmtId="3" fontId="3" fillId="2" borderId="0" xfId="0" applyNumberFormat="1" applyFont="1" applyFill="1" applyBorder="1" applyAlignment="1">
      <alignment horizontal="center" vertical="center"/>
    </xf>
    <xf numFmtId="0" fontId="24" fillId="2" borderId="30" xfId="0" applyFont="1" applyFill="1" applyBorder="1" applyAlignment="1" applyProtection="1">
      <alignment horizontal="center" vertical="center" wrapText="1"/>
    </xf>
    <xf numFmtId="0" fontId="24" fillId="2" borderId="0" xfId="0" applyFont="1" applyFill="1" applyBorder="1" applyAlignment="1" applyProtection="1">
      <alignment horizontal="center" vertical="center" wrapText="1"/>
    </xf>
    <xf numFmtId="0" fontId="3" fillId="0" borderId="50" xfId="0" applyFont="1" applyBorder="1" applyAlignment="1">
      <alignment horizontal="center" vertical="center"/>
    </xf>
    <xf numFmtId="4" fontId="2" fillId="0" borderId="69" xfId="1" applyNumberFormat="1" applyFont="1" applyFill="1" applyBorder="1" applyAlignment="1" applyProtection="1">
      <alignment horizontal="center" vertical="center"/>
    </xf>
    <xf numFmtId="4" fontId="2" fillId="0" borderId="50" xfId="5" applyNumberFormat="1" applyFont="1" applyFill="1" applyBorder="1" applyAlignment="1">
      <alignment horizontal="center" vertical="center"/>
    </xf>
    <xf numFmtId="0" fontId="1" fillId="0" borderId="50" xfId="0" applyFont="1" applyFill="1" applyBorder="1" applyAlignment="1" applyProtection="1">
      <alignment horizontal="center" vertical="center"/>
    </xf>
    <xf numFmtId="4" fontId="2" fillId="0" borderId="76" xfId="1" applyNumberFormat="1" applyFont="1" applyFill="1" applyBorder="1" applyAlignment="1" applyProtection="1">
      <alignment horizontal="center" vertical="center"/>
    </xf>
    <xf numFmtId="4" fontId="2" fillId="0" borderId="103" xfId="0" applyNumberFormat="1" applyFont="1" applyFill="1" applyBorder="1" applyAlignment="1">
      <alignment horizontal="center" vertical="center"/>
    </xf>
    <xf numFmtId="4" fontId="2" fillId="0" borderId="59" xfId="0" applyNumberFormat="1" applyFont="1" applyFill="1" applyBorder="1" applyAlignment="1">
      <alignment horizontal="center" vertical="center"/>
    </xf>
    <xf numFmtId="4" fontId="2" fillId="0" borderId="29" xfId="1" applyNumberFormat="1" applyFont="1" applyFill="1" applyBorder="1" applyAlignment="1" applyProtection="1">
      <alignment horizontal="center" vertical="center"/>
    </xf>
    <xf numFmtId="4" fontId="2" fillId="0" borderId="75" xfId="1" applyNumberFormat="1" applyFont="1" applyFill="1" applyBorder="1" applyAlignment="1" applyProtection="1">
      <alignment horizontal="center" vertical="center"/>
    </xf>
    <xf numFmtId="0" fontId="15" fillId="0" borderId="11" xfId="0" applyFont="1" applyFill="1" applyBorder="1" applyAlignment="1" applyProtection="1">
      <alignment horizontal="left" vertical="top" wrapText="1"/>
    </xf>
    <xf numFmtId="0" fontId="1" fillId="3" borderId="35" xfId="0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0" fontId="1" fillId="2" borderId="43" xfId="0" applyFont="1" applyFill="1" applyBorder="1" applyAlignment="1">
      <alignment horizontal="center" vertical="center"/>
    </xf>
    <xf numFmtId="0" fontId="1" fillId="2" borderId="36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/>
    </xf>
    <xf numFmtId="0" fontId="2" fillId="2" borderId="79" xfId="0" quotePrefix="1" applyFont="1" applyFill="1" applyBorder="1" applyAlignment="1">
      <alignment vertical="center" wrapText="1"/>
    </xf>
    <xf numFmtId="3" fontId="2" fillId="0" borderId="8" xfId="7" applyFont="1" applyFill="1" applyBorder="1" applyAlignment="1">
      <alignment horizontal="left" vertical="center" wrapText="1"/>
    </xf>
    <xf numFmtId="0" fontId="2" fillId="2" borderId="80" xfId="0" quotePrefix="1" applyFont="1" applyFill="1" applyBorder="1" applyAlignment="1">
      <alignment vertical="center" wrapText="1"/>
    </xf>
    <xf numFmtId="164" fontId="3" fillId="0" borderId="12" xfId="0" applyNumberFormat="1" applyFont="1" applyFill="1" applyBorder="1" applyAlignment="1">
      <alignment horizontal="right"/>
    </xf>
    <xf numFmtId="164" fontId="2" fillId="0" borderId="12" xfId="0" applyNumberFormat="1" applyFont="1" applyFill="1" applyBorder="1" applyAlignment="1">
      <alignment horizontal="right"/>
    </xf>
    <xf numFmtId="164" fontId="3" fillId="0" borderId="33" xfId="0" applyNumberFormat="1" applyFont="1" applyBorder="1" applyAlignment="1">
      <alignment horizontal="center" vertical="center"/>
    </xf>
    <xf numFmtId="4" fontId="3" fillId="0" borderId="34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" fontId="3" fillId="0" borderId="24" xfId="0" applyNumberFormat="1" applyFont="1" applyBorder="1" applyAlignment="1">
      <alignment horizontal="center" vertical="center"/>
    </xf>
    <xf numFmtId="4" fontId="3" fillId="0" borderId="41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4" fontId="1" fillId="7" borderId="23" xfId="0" applyNumberFormat="1" applyFont="1" applyFill="1" applyBorder="1" applyAlignment="1">
      <alignment vertical="center" wrapText="1"/>
    </xf>
    <xf numFmtId="4" fontId="2" fillId="0" borderId="40" xfId="0" applyNumberFormat="1" applyFont="1" applyBorder="1" applyAlignment="1">
      <alignment horizontal="center" vertical="center"/>
    </xf>
    <xf numFmtId="167" fontId="14" fillId="0" borderId="8" xfId="0" applyNumberFormat="1" applyFont="1" applyFill="1" applyBorder="1" applyAlignment="1" applyProtection="1">
      <alignment vertical="center" wrapText="1"/>
      <protection locked="0"/>
    </xf>
    <xf numFmtId="167" fontId="14" fillId="0" borderId="17" xfId="0" applyNumberFormat="1" applyFont="1" applyFill="1" applyBorder="1" applyAlignment="1" applyProtection="1">
      <alignment vertical="center" wrapText="1"/>
      <protection locked="0"/>
    </xf>
    <xf numFmtId="0" fontId="4" fillId="5" borderId="43" xfId="0" applyFont="1" applyFill="1" applyBorder="1" applyAlignment="1">
      <alignment vertical="center"/>
    </xf>
    <xf numFmtId="0" fontId="4" fillId="7" borderId="23" xfId="0" applyFont="1" applyFill="1" applyBorder="1" applyAlignment="1">
      <alignment vertical="center"/>
    </xf>
    <xf numFmtId="4" fontId="2" fillId="0" borderId="34" xfId="0" applyNumberFormat="1" applyFont="1" applyBorder="1" applyAlignment="1">
      <alignment horizontal="center" vertical="center"/>
    </xf>
    <xf numFmtId="4" fontId="2" fillId="0" borderId="23" xfId="0" applyNumberFormat="1" applyFont="1" applyFill="1" applyBorder="1" applyAlignment="1">
      <alignment horizontal="center" vertical="center"/>
    </xf>
    <xf numFmtId="4" fontId="2" fillId="0" borderId="23" xfId="7" applyNumberFormat="1" applyFont="1" applyFill="1" applyBorder="1" applyAlignment="1">
      <alignment horizontal="center" vertical="center"/>
    </xf>
    <xf numFmtId="4" fontId="2" fillId="0" borderId="24" xfId="7" applyNumberFormat="1" applyFont="1" applyFill="1" applyBorder="1" applyAlignment="1">
      <alignment horizontal="center" vertical="center"/>
    </xf>
    <xf numFmtId="4" fontId="2" fillId="0" borderId="24" xfId="0" applyNumberFormat="1" applyFont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167" fontId="14" fillId="0" borderId="15" xfId="0" applyNumberFormat="1" applyFont="1" applyFill="1" applyBorder="1" applyAlignment="1" applyProtection="1">
      <alignment vertical="center" wrapText="1"/>
      <protection locked="0"/>
    </xf>
    <xf numFmtId="0" fontId="3" fillId="0" borderId="34" xfId="0" applyFont="1" applyFill="1" applyBorder="1" applyAlignment="1">
      <alignment horizontal="right" vertical="center"/>
    </xf>
    <xf numFmtId="0" fontId="3" fillId="0" borderId="41" xfId="0" applyFont="1" applyFill="1" applyBorder="1" applyAlignment="1">
      <alignment horizontal="right" vertical="center"/>
    </xf>
    <xf numFmtId="0" fontId="3" fillId="0" borderId="36" xfId="0" applyFont="1" applyBorder="1" applyAlignment="1">
      <alignment horizontal="right" vertical="center"/>
    </xf>
    <xf numFmtId="4" fontId="3" fillId="0" borderId="27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/>
    </xf>
    <xf numFmtId="0" fontId="3" fillId="13" borderId="0" xfId="0" applyFont="1" applyFill="1" applyAlignment="1">
      <alignment vertical="center"/>
    </xf>
    <xf numFmtId="0" fontId="24" fillId="2" borderId="0" xfId="0" applyFont="1" applyFill="1" applyBorder="1" applyAlignment="1" applyProtection="1">
      <alignment horizontal="center" vertical="top"/>
    </xf>
    <xf numFmtId="0" fontId="25" fillId="2" borderId="0" xfId="0" applyFont="1" applyFill="1" applyAlignment="1">
      <alignment vertical="center"/>
    </xf>
    <xf numFmtId="0" fontId="25" fillId="2" borderId="0" xfId="0" applyFont="1" applyFill="1" applyAlignment="1">
      <alignment horizontal="center" vertical="center"/>
    </xf>
    <xf numFmtId="0" fontId="25" fillId="2" borderId="0" xfId="0" applyFont="1" applyFill="1"/>
    <xf numFmtId="0" fontId="25" fillId="2" borderId="0" xfId="0" applyFont="1" applyFill="1" applyBorder="1" applyAlignment="1" applyProtection="1">
      <alignment horizontal="center" vertical="top"/>
    </xf>
    <xf numFmtId="0" fontId="25" fillId="2" borderId="0" xfId="0" applyFont="1" applyFill="1" applyAlignment="1">
      <alignment vertical="center" wrapText="1"/>
    </xf>
    <xf numFmtId="0" fontId="25" fillId="2" borderId="0" xfId="0" applyFont="1" applyFill="1" applyAlignment="1">
      <alignment wrapText="1"/>
    </xf>
    <xf numFmtId="0" fontId="25" fillId="2" borderId="4" xfId="0" applyFont="1" applyFill="1" applyBorder="1" applyAlignment="1">
      <alignment horizontal="center" vertical="center"/>
    </xf>
    <xf numFmtId="0" fontId="25" fillId="2" borderId="35" xfId="0" applyFont="1" applyFill="1" applyBorder="1" applyAlignment="1">
      <alignment horizontal="center" vertical="center"/>
    </xf>
    <xf numFmtId="0" fontId="25" fillId="2" borderId="29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10" fontId="25" fillId="0" borderId="32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21" xfId="0" applyNumberFormat="1" applyFont="1" applyFill="1" applyBorder="1" applyAlignment="1">
      <alignment horizontal="center" vertical="center"/>
    </xf>
    <xf numFmtId="9" fontId="25" fillId="2" borderId="0" xfId="12" applyFont="1" applyFill="1" applyBorder="1" applyAlignment="1">
      <alignment horizontal="center" vertical="center"/>
    </xf>
    <xf numFmtId="10" fontId="25" fillId="2" borderId="0" xfId="0" applyNumberFormat="1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center" vertical="center" wrapText="1"/>
    </xf>
    <xf numFmtId="0" fontId="24" fillId="3" borderId="35" xfId="0" applyFont="1" applyFill="1" applyBorder="1" applyAlignment="1">
      <alignment vertical="center" wrapText="1"/>
    </xf>
    <xf numFmtId="0" fontId="25" fillId="2" borderId="34" xfId="0" applyFont="1" applyFill="1" applyBorder="1" applyAlignment="1" applyProtection="1">
      <alignment horizontal="right" vertical="center"/>
    </xf>
    <xf numFmtId="0" fontId="25" fillId="2" borderId="79" xfId="0" applyFont="1" applyFill="1" applyBorder="1" applyAlignment="1">
      <alignment vertical="center" wrapText="1"/>
    </xf>
    <xf numFmtId="0" fontId="25" fillId="2" borderId="46" xfId="0" applyFont="1" applyFill="1" applyBorder="1" applyAlignment="1">
      <alignment horizontal="center" vertical="center"/>
    </xf>
    <xf numFmtId="0" fontId="25" fillId="2" borderId="46" xfId="0" applyFont="1" applyFill="1" applyBorder="1" applyAlignment="1" applyProtection="1">
      <alignment horizontal="center" vertical="center"/>
    </xf>
    <xf numFmtId="0" fontId="25" fillId="2" borderId="27" xfId="0" applyFont="1" applyFill="1" applyBorder="1" applyAlignment="1">
      <alignment horizontal="center" vertical="center"/>
    </xf>
    <xf numFmtId="4" fontId="25" fillId="0" borderId="26" xfId="0" applyNumberFormat="1" applyFont="1" applyFill="1" applyBorder="1" applyAlignment="1">
      <alignment horizontal="center" vertical="center"/>
    </xf>
    <xf numFmtId="4" fontId="25" fillId="0" borderId="9" xfId="1" applyNumberFormat="1" applyFont="1" applyFill="1" applyBorder="1" applyAlignment="1" applyProtection="1">
      <alignment horizontal="center" vertical="center"/>
    </xf>
    <xf numFmtId="4" fontId="25" fillId="0" borderId="46" xfId="1" applyNumberFormat="1" applyFont="1" applyFill="1" applyBorder="1" applyAlignment="1" applyProtection="1">
      <alignment horizontal="center" vertical="center"/>
    </xf>
    <xf numFmtId="4" fontId="25" fillId="0" borderId="27" xfId="1" applyNumberFormat="1" applyFont="1" applyFill="1" applyBorder="1" applyAlignment="1" applyProtection="1">
      <alignment horizontal="center" vertical="center"/>
    </xf>
    <xf numFmtId="4" fontId="25" fillId="0" borderId="47" xfId="1" applyNumberFormat="1" applyFont="1" applyFill="1" applyBorder="1" applyAlignment="1" applyProtection="1">
      <alignment horizontal="center" vertical="center"/>
    </xf>
    <xf numFmtId="4" fontId="24" fillId="0" borderId="30" xfId="0" applyNumberFormat="1" applyFont="1" applyFill="1" applyBorder="1" applyAlignment="1" applyProtection="1">
      <alignment horizontal="center" vertical="center" wrapText="1"/>
    </xf>
    <xf numFmtId="0" fontId="25" fillId="2" borderId="26" xfId="0" applyFont="1" applyFill="1" applyBorder="1" applyAlignment="1">
      <alignment horizontal="center" vertical="center"/>
    </xf>
    <xf numFmtId="0" fontId="25" fillId="2" borderId="47" xfId="0" applyFont="1" applyFill="1" applyBorder="1" applyAlignment="1">
      <alignment horizontal="center" vertical="center"/>
    </xf>
    <xf numFmtId="0" fontId="24" fillId="2" borderId="9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vertical="center"/>
    </xf>
    <xf numFmtId="0" fontId="24" fillId="2" borderId="0" xfId="0" applyFont="1" applyFill="1"/>
    <xf numFmtId="0" fontId="25" fillId="2" borderId="23" xfId="0" applyFont="1" applyFill="1" applyBorder="1" applyAlignment="1" applyProtection="1">
      <alignment horizontal="right" vertical="center"/>
    </xf>
    <xf numFmtId="0" fontId="25" fillId="2" borderId="8" xfId="0" applyFont="1" applyFill="1" applyBorder="1" applyAlignment="1" applyProtection="1">
      <alignment horizontal="left" vertical="center" wrapText="1"/>
    </xf>
    <xf numFmtId="0" fontId="25" fillId="2" borderId="9" xfId="0" applyFont="1" applyFill="1" applyBorder="1" applyAlignment="1" applyProtection="1">
      <alignment horizontal="center" vertical="center"/>
    </xf>
    <xf numFmtId="0" fontId="25" fillId="2" borderId="12" xfId="0" applyFont="1" applyFill="1" applyBorder="1" applyAlignment="1" applyProtection="1">
      <alignment horizontal="center" vertical="center"/>
    </xf>
    <xf numFmtId="4" fontId="25" fillId="0" borderId="14" xfId="0" applyNumberFormat="1" applyFont="1" applyFill="1" applyBorder="1" applyAlignment="1">
      <alignment horizontal="center" vertical="center"/>
    </xf>
    <xf numFmtId="4" fontId="25" fillId="0" borderId="9" xfId="2" applyNumberFormat="1" applyFont="1" applyFill="1" applyBorder="1" applyAlignment="1" applyProtection="1">
      <alignment horizontal="center" vertical="center" wrapText="1"/>
      <protection locked="0"/>
    </xf>
    <xf numFmtId="4" fontId="25" fillId="0" borderId="12" xfId="1" applyNumberFormat="1" applyFont="1" applyFill="1" applyBorder="1" applyAlignment="1" applyProtection="1">
      <alignment horizontal="center" vertical="center"/>
    </xf>
    <xf numFmtId="4" fontId="25" fillId="0" borderId="49" xfId="1" applyNumberFormat="1" applyFont="1" applyFill="1" applyBorder="1" applyAlignment="1" applyProtection="1">
      <alignment horizontal="center" vertical="center"/>
    </xf>
    <xf numFmtId="0" fontId="25" fillId="2" borderId="14" xfId="0" applyFont="1" applyFill="1" applyBorder="1" applyAlignment="1">
      <alignment horizontal="center" vertical="center"/>
    </xf>
    <xf numFmtId="0" fontId="25" fillId="2" borderId="49" xfId="0" applyFont="1" applyFill="1" applyBorder="1" applyAlignment="1">
      <alignment horizontal="center" vertical="center"/>
    </xf>
    <xf numFmtId="0" fontId="25" fillId="2" borderId="9" xfId="0" applyFont="1" applyFill="1" applyBorder="1" applyAlignment="1">
      <alignment horizontal="center" vertical="center"/>
    </xf>
    <xf numFmtId="0" fontId="25" fillId="0" borderId="23" xfId="0" applyFont="1" applyFill="1" applyBorder="1" applyAlignment="1" applyProtection="1">
      <alignment horizontal="right" vertical="center"/>
    </xf>
    <xf numFmtId="0" fontId="25" fillId="0" borderId="8" xfId="0" applyFont="1" applyFill="1" applyBorder="1" applyAlignment="1" applyProtection="1">
      <alignment horizontal="left" vertical="center" wrapText="1"/>
    </xf>
    <xf numFmtId="0" fontId="25" fillId="0" borderId="9" xfId="0" applyFont="1" applyFill="1" applyBorder="1" applyAlignment="1" applyProtection="1">
      <alignment horizontal="center" vertical="center"/>
    </xf>
    <xf numFmtId="0" fontId="25" fillId="0" borderId="12" xfId="0" applyFont="1" applyFill="1" applyBorder="1" applyAlignment="1" applyProtection="1">
      <alignment horizontal="center" vertical="center"/>
    </xf>
    <xf numFmtId="0" fontId="25" fillId="2" borderId="8" xfId="0" applyFont="1" applyFill="1" applyBorder="1" applyAlignment="1" applyProtection="1">
      <alignment vertical="center" wrapText="1"/>
    </xf>
    <xf numFmtId="0" fontId="25" fillId="0" borderId="8" xfId="0" applyFont="1" applyFill="1" applyBorder="1" applyAlignment="1" applyProtection="1">
      <alignment vertical="center" wrapText="1"/>
    </xf>
    <xf numFmtId="0" fontId="25" fillId="2" borderId="24" xfId="0" applyFont="1" applyFill="1" applyBorder="1" applyAlignment="1" applyProtection="1">
      <alignment horizontal="right" vertical="center"/>
    </xf>
    <xf numFmtId="0" fontId="25" fillId="2" borderId="80" xfId="0" applyFont="1" applyFill="1" applyBorder="1" applyAlignment="1" applyProtection="1">
      <alignment horizontal="left" vertical="center" wrapText="1"/>
    </xf>
    <xf numFmtId="0" fontId="25" fillId="2" borderId="50" xfId="0" applyFont="1" applyFill="1" applyBorder="1" applyAlignment="1" applyProtection="1">
      <alignment horizontal="center" vertical="center"/>
    </xf>
    <xf numFmtId="0" fontId="25" fillId="2" borderId="33" xfId="0" applyFont="1" applyFill="1" applyBorder="1" applyAlignment="1" applyProtection="1">
      <alignment horizontal="center" vertical="center"/>
    </xf>
    <xf numFmtId="4" fontId="25" fillId="0" borderId="19" xfId="0" applyNumberFormat="1" applyFont="1" applyFill="1" applyBorder="1" applyAlignment="1">
      <alignment horizontal="center" vertical="center"/>
    </xf>
    <xf numFmtId="4" fontId="25" fillId="0" borderId="50" xfId="1" applyNumberFormat="1" applyFont="1" applyFill="1" applyBorder="1" applyAlignment="1" applyProtection="1">
      <alignment horizontal="center" vertical="center"/>
    </xf>
    <xf numFmtId="4" fontId="25" fillId="0" borderId="33" xfId="1" applyNumberFormat="1" applyFont="1" applyFill="1" applyBorder="1" applyAlignment="1" applyProtection="1">
      <alignment horizontal="center" vertical="center"/>
    </xf>
    <xf numFmtId="4" fontId="25" fillId="0" borderId="51" xfId="1" applyNumberFormat="1" applyFont="1" applyFill="1" applyBorder="1" applyAlignment="1" applyProtection="1">
      <alignment horizontal="center" vertical="center"/>
    </xf>
    <xf numFmtId="0" fontId="25" fillId="2" borderId="41" xfId="0" applyFont="1" applyFill="1" applyBorder="1" applyAlignment="1" applyProtection="1">
      <alignment horizontal="right" vertical="center"/>
    </xf>
    <xf numFmtId="0" fontId="25" fillId="2" borderId="15" xfId="0" applyFont="1" applyFill="1" applyBorder="1" applyAlignment="1" applyProtection="1">
      <alignment vertical="center" wrapText="1"/>
    </xf>
    <xf numFmtId="0" fontId="25" fillId="2" borderId="6" xfId="0" applyFont="1" applyFill="1" applyBorder="1" applyAlignment="1" applyProtection="1">
      <alignment horizontal="center" vertical="center"/>
    </xf>
    <xf numFmtId="0" fontId="25" fillId="2" borderId="65" xfId="0" applyFont="1" applyFill="1" applyBorder="1" applyAlignment="1" applyProtection="1">
      <alignment horizontal="center" vertical="center"/>
    </xf>
    <xf numFmtId="4" fontId="25" fillId="0" borderId="15" xfId="0" applyNumberFormat="1" applyFont="1" applyFill="1" applyBorder="1" applyAlignment="1">
      <alignment horizontal="center" vertical="center"/>
    </xf>
    <xf numFmtId="4" fontId="25" fillId="0" borderId="6" xfId="1" applyNumberFormat="1" applyFont="1" applyFill="1" applyBorder="1" applyAlignment="1" applyProtection="1">
      <alignment horizontal="center" vertical="center"/>
    </xf>
    <xf numFmtId="4" fontId="25" fillId="0" borderId="16" xfId="1" applyNumberFormat="1" applyFont="1" applyFill="1" applyBorder="1" applyAlignment="1" applyProtection="1">
      <alignment horizontal="center" vertical="center"/>
    </xf>
    <xf numFmtId="4" fontId="25" fillId="0" borderId="13" xfId="0" applyNumberFormat="1" applyFont="1" applyFill="1" applyBorder="1" applyAlignment="1">
      <alignment horizontal="center" vertical="center"/>
    </xf>
    <xf numFmtId="4" fontId="25" fillId="0" borderId="65" xfId="1" applyNumberFormat="1" applyFont="1" applyFill="1" applyBorder="1" applyAlignment="1" applyProtection="1">
      <alignment horizontal="center" vertical="center"/>
    </xf>
    <xf numFmtId="0" fontId="25" fillId="2" borderId="49" xfId="0" applyFont="1" applyFill="1" applyBorder="1" applyAlignment="1" applyProtection="1">
      <alignment horizontal="center" vertical="center"/>
    </xf>
    <xf numFmtId="4" fontId="25" fillId="0" borderId="8" xfId="0" applyNumberFormat="1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vertical="center" wrapText="1"/>
    </xf>
    <xf numFmtId="0" fontId="25" fillId="0" borderId="49" xfId="0" applyFont="1" applyFill="1" applyBorder="1" applyAlignment="1" applyProtection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5" fillId="0" borderId="49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/>
    <xf numFmtId="0" fontId="25" fillId="2" borderId="8" xfId="0" applyFont="1" applyFill="1" applyBorder="1" applyAlignment="1">
      <alignment vertical="center" wrapText="1"/>
    </xf>
    <xf numFmtId="0" fontId="25" fillId="2" borderId="80" xfId="0" applyFont="1" applyFill="1" applyBorder="1" applyAlignment="1" applyProtection="1">
      <alignment vertical="center" wrapText="1"/>
    </xf>
    <xf numFmtId="0" fontId="25" fillId="2" borderId="51" xfId="0" applyFont="1" applyFill="1" applyBorder="1" applyAlignment="1">
      <alignment horizontal="center" vertical="center"/>
    </xf>
    <xf numFmtId="0" fontId="25" fillId="2" borderId="19" xfId="0" applyFont="1" applyFill="1" applyBorder="1" applyAlignment="1">
      <alignment horizontal="center" vertical="center"/>
    </xf>
    <xf numFmtId="4" fontId="24" fillId="2" borderId="43" xfId="0" applyNumberFormat="1" applyFont="1" applyFill="1" applyBorder="1" applyAlignment="1" applyProtection="1">
      <alignment horizontal="right" vertical="center"/>
    </xf>
    <xf numFmtId="4" fontId="24" fillId="5" borderId="36" xfId="0" applyNumberFormat="1" applyFont="1" applyFill="1" applyBorder="1" applyAlignment="1" applyProtection="1">
      <alignment horizontal="right" vertical="center"/>
    </xf>
    <xf numFmtId="4" fontId="24" fillId="5" borderId="21" xfId="0" applyNumberFormat="1" applyFont="1" applyFill="1" applyBorder="1" applyAlignment="1" applyProtection="1">
      <alignment horizontal="right" vertical="center"/>
    </xf>
    <xf numFmtId="0" fontId="24" fillId="3" borderId="35" xfId="0" applyFont="1" applyFill="1" applyBorder="1" applyAlignment="1">
      <alignment horizontal="left" vertical="center"/>
    </xf>
    <xf numFmtId="0" fontId="25" fillId="2" borderId="26" xfId="0" applyFont="1" applyFill="1" applyBorder="1" applyAlignment="1" applyProtection="1">
      <alignment horizontal="right" vertical="center"/>
    </xf>
    <xf numFmtId="0" fontId="25" fillId="2" borderId="15" xfId="0" quotePrefix="1" applyFont="1" applyFill="1" applyBorder="1" applyAlignment="1">
      <alignment vertical="center" wrapText="1"/>
    </xf>
    <xf numFmtId="4" fontId="25" fillId="0" borderId="70" xfId="0" applyNumberFormat="1" applyFont="1" applyFill="1" applyBorder="1" applyAlignment="1">
      <alignment horizontal="center" vertical="center"/>
    </xf>
    <xf numFmtId="4" fontId="25" fillId="0" borderId="15" xfId="1" applyNumberFormat="1" applyFont="1" applyFill="1" applyBorder="1" applyAlignment="1" applyProtection="1">
      <alignment horizontal="center" vertical="center"/>
    </xf>
    <xf numFmtId="4" fontId="25" fillId="0" borderId="42" xfId="1" applyNumberFormat="1" applyFont="1" applyFill="1" applyBorder="1" applyAlignment="1" applyProtection="1">
      <alignment horizontal="center" vertical="center"/>
    </xf>
    <xf numFmtId="4" fontId="24" fillId="2" borderId="30" xfId="0" applyNumberFormat="1" applyFont="1" applyFill="1" applyBorder="1" applyAlignment="1" applyProtection="1">
      <alignment horizontal="center" vertical="center" wrapText="1"/>
    </xf>
    <xf numFmtId="0" fontId="25" fillId="2" borderId="14" xfId="0" applyFont="1" applyFill="1" applyBorder="1" applyAlignment="1" applyProtection="1">
      <alignment horizontal="right" vertical="center"/>
    </xf>
    <xf numFmtId="0" fontId="25" fillId="2" borderId="8" xfId="0" quotePrefix="1" applyFont="1" applyFill="1" applyBorder="1" applyAlignment="1">
      <alignment vertical="center" wrapText="1"/>
    </xf>
    <xf numFmtId="0" fontId="24" fillId="2" borderId="14" xfId="0" applyFont="1" applyFill="1" applyBorder="1" applyAlignment="1" applyProtection="1">
      <alignment horizontal="right" vertical="center"/>
    </xf>
    <xf numFmtId="0" fontId="24" fillId="2" borderId="8" xfId="0" applyFont="1" applyFill="1" applyBorder="1" applyAlignment="1">
      <alignment wrapText="1"/>
    </xf>
    <xf numFmtId="0" fontId="24" fillId="2" borderId="9" xfId="0" applyFont="1" applyFill="1" applyBorder="1" applyAlignment="1" applyProtection="1">
      <alignment horizontal="center" vertical="center"/>
    </xf>
    <xf numFmtId="0" fontId="24" fillId="2" borderId="49" xfId="0" applyFont="1" applyFill="1" applyBorder="1" applyAlignment="1" applyProtection="1">
      <alignment horizontal="center" vertical="center"/>
    </xf>
    <xf numFmtId="4" fontId="24" fillId="0" borderId="70" xfId="0" applyNumberFormat="1" applyFont="1" applyFill="1" applyBorder="1" applyAlignment="1">
      <alignment horizontal="center" vertical="center"/>
    </xf>
    <xf numFmtId="4" fontId="24" fillId="0" borderId="6" xfId="1" applyNumberFormat="1" applyFont="1" applyFill="1" applyBorder="1" applyAlignment="1" applyProtection="1">
      <alignment horizontal="center" vertical="center"/>
    </xf>
    <xf numFmtId="4" fontId="24" fillId="0" borderId="15" xfId="1" applyNumberFormat="1" applyFont="1" applyFill="1" applyBorder="1" applyAlignment="1" applyProtection="1">
      <alignment horizontal="center" vertical="center"/>
    </xf>
    <xf numFmtId="4" fontId="24" fillId="0" borderId="42" xfId="1" applyNumberFormat="1" applyFont="1" applyFill="1" applyBorder="1" applyAlignment="1" applyProtection="1">
      <alignment horizontal="center" vertical="center"/>
    </xf>
    <xf numFmtId="4" fontId="24" fillId="0" borderId="14" xfId="0" applyNumberFormat="1" applyFont="1" applyFill="1" applyBorder="1" applyAlignment="1">
      <alignment horizontal="center" vertical="center"/>
    </xf>
    <xf numFmtId="4" fontId="24" fillId="0" borderId="9" xfId="1" applyNumberFormat="1" applyFont="1" applyFill="1" applyBorder="1" applyAlignment="1" applyProtection="1">
      <alignment horizontal="center" vertical="center"/>
    </xf>
    <xf numFmtId="4" fontId="24" fillId="0" borderId="49" xfId="1" applyNumberFormat="1" applyFont="1" applyFill="1" applyBorder="1" applyAlignment="1" applyProtection="1">
      <alignment horizontal="center" vertical="center"/>
    </xf>
    <xf numFmtId="0" fontId="25" fillId="2" borderId="8" xfId="0" applyFont="1" applyFill="1" applyBorder="1" applyAlignment="1">
      <alignment wrapText="1"/>
    </xf>
    <xf numFmtId="0" fontId="25" fillId="2" borderId="49" xfId="0" applyFont="1" applyFill="1" applyBorder="1" applyAlignment="1">
      <alignment horizontal="center"/>
    </xf>
    <xf numFmtId="0" fontId="24" fillId="2" borderId="19" xfId="0" applyFont="1" applyFill="1" applyBorder="1" applyAlignment="1" applyProtection="1">
      <alignment horizontal="right" vertical="center"/>
    </xf>
    <xf numFmtId="0" fontId="24" fillId="2" borderId="80" xfId="0" applyFont="1" applyFill="1" applyBorder="1" applyAlignment="1">
      <alignment wrapText="1"/>
    </xf>
    <xf numFmtId="0" fontId="24" fillId="2" borderId="50" xfId="0" applyFont="1" applyFill="1" applyBorder="1" applyAlignment="1" applyProtection="1">
      <alignment horizontal="center" vertical="center"/>
    </xf>
    <xf numFmtId="0" fontId="24" fillId="2" borderId="51" xfId="0" applyFont="1" applyFill="1" applyBorder="1" applyAlignment="1">
      <alignment horizontal="center"/>
    </xf>
    <xf numFmtId="4" fontId="24" fillId="0" borderId="19" xfId="0" applyNumberFormat="1" applyFont="1" applyFill="1" applyBorder="1" applyAlignment="1">
      <alignment horizontal="center" vertical="center"/>
    </xf>
    <xf numFmtId="4" fontId="24" fillId="0" borderId="50" xfId="1" applyNumberFormat="1" applyFont="1" applyFill="1" applyBorder="1" applyAlignment="1" applyProtection="1">
      <alignment horizontal="center" vertical="center"/>
    </xf>
    <xf numFmtId="4" fontId="24" fillId="0" borderId="51" xfId="1" applyNumberFormat="1" applyFont="1" applyFill="1" applyBorder="1" applyAlignment="1" applyProtection="1">
      <alignment horizontal="center" vertical="center"/>
    </xf>
    <xf numFmtId="4" fontId="24" fillId="2" borderId="43" xfId="0" applyNumberFormat="1" applyFont="1" applyFill="1" applyBorder="1" applyAlignment="1" applyProtection="1">
      <alignment horizontal="center" vertical="center"/>
    </xf>
    <xf numFmtId="4" fontId="24" fillId="2" borderId="3" xfId="0" applyNumberFormat="1" applyFont="1" applyFill="1" applyBorder="1" applyAlignment="1" applyProtection="1">
      <alignment horizontal="right" vertical="center"/>
    </xf>
    <xf numFmtId="4" fontId="24" fillId="2" borderId="3" xfId="0" applyNumberFormat="1" applyFont="1" applyFill="1" applyBorder="1" applyAlignment="1" applyProtection="1">
      <alignment horizontal="center" vertical="center"/>
    </xf>
    <xf numFmtId="4" fontId="24" fillId="2" borderId="24" xfId="0" applyNumberFormat="1" applyFont="1" applyFill="1" applyBorder="1" applyAlignment="1">
      <alignment horizontal="center" vertical="center"/>
    </xf>
    <xf numFmtId="4" fontId="24" fillId="5" borderId="3" xfId="0" applyNumberFormat="1" applyFont="1" applyFill="1" applyBorder="1" applyAlignment="1" applyProtection="1">
      <alignment horizontal="right" vertical="center"/>
    </xf>
    <xf numFmtId="4" fontId="24" fillId="5" borderId="3" xfId="0" applyNumberFormat="1" applyFont="1" applyFill="1" applyBorder="1" applyAlignment="1" applyProtection="1">
      <alignment horizontal="center" vertical="center"/>
    </xf>
    <xf numFmtId="0" fontId="24" fillId="3" borderId="30" xfId="0" applyFont="1" applyFill="1" applyBorder="1" applyAlignment="1">
      <alignment vertical="center"/>
    </xf>
    <xf numFmtId="0" fontId="25" fillId="2" borderId="15" xfId="0" applyFont="1" applyFill="1" applyBorder="1" applyAlignment="1" applyProtection="1">
      <alignment horizontal="left" vertical="center" wrapText="1"/>
    </xf>
    <xf numFmtId="0" fontId="25" fillId="2" borderId="16" xfId="0" applyFont="1" applyFill="1" applyBorder="1" applyAlignment="1" applyProtection="1">
      <alignment horizontal="center" vertical="center"/>
    </xf>
    <xf numFmtId="0" fontId="25" fillId="2" borderId="70" xfId="0" applyFont="1" applyFill="1" applyBorder="1" applyAlignment="1" applyProtection="1">
      <alignment horizontal="center" vertical="center"/>
    </xf>
    <xf numFmtId="0" fontId="25" fillId="2" borderId="48" xfId="0" applyFont="1" applyFill="1" applyBorder="1" applyAlignment="1" applyProtection="1">
      <alignment horizontal="center" vertical="center"/>
    </xf>
    <xf numFmtId="0" fontId="25" fillId="2" borderId="73" xfId="0" applyFont="1" applyFill="1" applyBorder="1" applyAlignment="1" applyProtection="1">
      <alignment horizontal="center" vertical="center"/>
    </xf>
    <xf numFmtId="4" fontId="24" fillId="2" borderId="21" xfId="0" applyNumberFormat="1" applyFont="1" applyFill="1" applyBorder="1" applyAlignment="1" applyProtection="1">
      <alignment horizontal="center" vertical="center"/>
    </xf>
    <xf numFmtId="4" fontId="24" fillId="5" borderId="21" xfId="0" applyNumberFormat="1" applyFont="1" applyFill="1" applyBorder="1" applyAlignment="1" applyProtection="1">
      <alignment horizontal="center" vertical="center"/>
    </xf>
    <xf numFmtId="0" fontId="24" fillId="3" borderId="4" xfId="0" applyFont="1" applyFill="1" applyBorder="1" applyAlignment="1">
      <alignment vertical="center"/>
    </xf>
    <xf numFmtId="0" fontId="25" fillId="2" borderId="68" xfId="0" applyFont="1" applyFill="1" applyBorder="1" applyAlignment="1">
      <alignment horizontal="right" vertical="center"/>
    </xf>
    <xf numFmtId="0" fontId="25" fillId="2" borderId="26" xfId="0" applyFont="1" applyFill="1" applyBorder="1" applyAlignment="1" applyProtection="1">
      <alignment vertical="center" wrapText="1"/>
    </xf>
    <xf numFmtId="0" fontId="25" fillId="2" borderId="27" xfId="0" applyFont="1" applyFill="1" applyBorder="1" applyAlignment="1" applyProtection="1">
      <alignment horizontal="center" vertical="center"/>
    </xf>
    <xf numFmtId="4" fontId="25" fillId="0" borderId="68" xfId="0" applyNumberFormat="1" applyFont="1" applyFill="1" applyBorder="1" applyAlignment="1">
      <alignment horizontal="center" vertical="center"/>
    </xf>
    <xf numFmtId="4" fontId="25" fillId="0" borderId="46" xfId="2" applyNumberFormat="1" applyFont="1" applyFill="1" applyBorder="1" applyAlignment="1" applyProtection="1">
      <alignment horizontal="center" vertical="center" wrapText="1"/>
      <protection locked="0"/>
    </xf>
    <xf numFmtId="4" fontId="25" fillId="0" borderId="28" xfId="1" applyNumberFormat="1" applyFont="1" applyFill="1" applyBorder="1" applyAlignment="1" applyProtection="1">
      <alignment horizontal="center" vertical="center"/>
    </xf>
    <xf numFmtId="0" fontId="25" fillId="2" borderId="48" xfId="0" applyFont="1" applyFill="1" applyBorder="1" applyAlignment="1">
      <alignment horizontal="right" vertical="center"/>
    </xf>
    <xf numFmtId="0" fontId="25" fillId="2" borderId="13" xfId="0" applyFont="1" applyFill="1" applyBorder="1" applyAlignment="1" applyProtection="1">
      <alignment vertical="center" wrapText="1"/>
    </xf>
    <xf numFmtId="4" fontId="25" fillId="0" borderId="6" xfId="2" applyNumberFormat="1" applyFont="1" applyFill="1" applyBorder="1" applyAlignment="1" applyProtection="1">
      <alignment horizontal="center" vertical="center" wrapText="1"/>
      <protection locked="0"/>
    </xf>
    <xf numFmtId="0" fontId="25" fillId="2" borderId="14" xfId="0" applyFont="1" applyFill="1" applyBorder="1" applyAlignment="1" applyProtection="1">
      <alignment vertical="center" wrapText="1"/>
    </xf>
    <xf numFmtId="0" fontId="25" fillId="2" borderId="73" xfId="0" applyFont="1" applyFill="1" applyBorder="1" applyAlignment="1">
      <alignment horizontal="right" vertical="center"/>
    </xf>
    <xf numFmtId="0" fontId="25" fillId="2" borderId="19" xfId="0" applyFont="1" applyFill="1" applyBorder="1" applyAlignment="1" applyProtection="1">
      <alignment vertical="center" wrapText="1"/>
    </xf>
    <xf numFmtId="4" fontId="25" fillId="0" borderId="32" xfId="0" applyNumberFormat="1" applyFont="1" applyFill="1" applyBorder="1" applyAlignment="1">
      <alignment horizontal="center" vertical="center"/>
    </xf>
    <xf numFmtId="4" fontId="25" fillId="0" borderId="56" xfId="1" applyNumberFormat="1" applyFont="1" applyFill="1" applyBorder="1" applyAlignment="1" applyProtection="1">
      <alignment horizontal="center" vertical="center"/>
    </xf>
    <xf numFmtId="4" fontId="25" fillId="0" borderId="20" xfId="1" applyNumberFormat="1" applyFont="1" applyFill="1" applyBorder="1" applyAlignment="1" applyProtection="1">
      <alignment horizontal="center" vertical="center"/>
    </xf>
    <xf numFmtId="4" fontId="24" fillId="2" borderId="21" xfId="0" applyNumberFormat="1" applyFont="1" applyFill="1" applyBorder="1" applyAlignment="1" applyProtection="1">
      <alignment horizontal="right" vertical="center"/>
    </xf>
    <xf numFmtId="0" fontId="25" fillId="2" borderId="42" xfId="0" applyFont="1" applyFill="1" applyBorder="1" applyAlignment="1" applyProtection="1">
      <alignment vertical="center" wrapText="1"/>
    </xf>
    <xf numFmtId="0" fontId="25" fillId="2" borderId="41" xfId="0" applyFont="1" applyFill="1" applyBorder="1" applyAlignment="1" applyProtection="1">
      <alignment horizontal="center" vertical="center"/>
    </xf>
    <xf numFmtId="0" fontId="25" fillId="2" borderId="40" xfId="0" applyFont="1" applyFill="1" applyBorder="1" applyAlignment="1" applyProtection="1">
      <alignment horizontal="right" vertical="center"/>
    </xf>
    <xf numFmtId="0" fontId="25" fillId="2" borderId="11" xfId="0" applyFont="1" applyFill="1" applyBorder="1" applyAlignment="1" applyProtection="1">
      <alignment vertical="center" wrapText="1"/>
    </xf>
    <xf numFmtId="0" fontId="25" fillId="2" borderId="18" xfId="0" applyFont="1" applyFill="1" applyBorder="1" applyAlignment="1" applyProtection="1">
      <alignment horizontal="center" vertical="center"/>
    </xf>
    <xf numFmtId="0" fontId="25" fillId="2" borderId="25" xfId="0" applyFont="1" applyFill="1" applyBorder="1" applyAlignment="1" applyProtection="1">
      <alignment horizontal="center" vertical="center"/>
    </xf>
    <xf numFmtId="0" fontId="25" fillId="2" borderId="24" xfId="0" applyFont="1" applyFill="1" applyBorder="1" applyAlignment="1" applyProtection="1">
      <alignment horizontal="center" vertical="center"/>
    </xf>
    <xf numFmtId="4" fontId="24" fillId="2" borderId="36" xfId="0" applyNumberFormat="1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vertical="center"/>
    </xf>
    <xf numFmtId="0" fontId="25" fillId="2" borderId="70" xfId="0" applyFont="1" applyFill="1" applyBorder="1" applyAlignment="1" applyProtection="1">
      <alignment horizontal="right" vertical="center"/>
    </xf>
    <xf numFmtId="0" fontId="25" fillId="2" borderId="48" xfId="0" applyFont="1" applyFill="1" applyBorder="1" applyAlignment="1" applyProtection="1">
      <alignment horizontal="right" vertical="center"/>
    </xf>
    <xf numFmtId="0" fontId="25" fillId="2" borderId="66" xfId="0" applyFont="1" applyFill="1" applyBorder="1" applyAlignment="1" applyProtection="1">
      <alignment horizontal="right" vertical="center"/>
    </xf>
    <xf numFmtId="0" fontId="25" fillId="2" borderId="14" xfId="0" applyFont="1" applyFill="1" applyBorder="1" applyAlignment="1" applyProtection="1">
      <alignment horizontal="left" vertical="center" wrapText="1"/>
    </xf>
    <xf numFmtId="0" fontId="25" fillId="2" borderId="10" xfId="0" applyFont="1" applyFill="1" applyBorder="1" applyAlignment="1" applyProtection="1">
      <alignment horizontal="left" vertical="center" wrapText="1"/>
    </xf>
    <xf numFmtId="0" fontId="25" fillId="2" borderId="22" xfId="0" applyFont="1" applyFill="1" applyBorder="1" applyAlignment="1" applyProtection="1">
      <alignment horizontal="center" vertical="center"/>
    </xf>
    <xf numFmtId="0" fontId="25" fillId="2" borderId="66" xfId="0" applyFont="1" applyFill="1" applyBorder="1" applyAlignment="1" applyProtection="1">
      <alignment horizontal="center" vertical="center"/>
    </xf>
    <xf numFmtId="0" fontId="24" fillId="3" borderId="43" xfId="0" applyFont="1" applyFill="1" applyBorder="1" applyAlignment="1">
      <alignment horizontal="left" vertical="center"/>
    </xf>
    <xf numFmtId="0" fontId="24" fillId="2" borderId="43" xfId="0" applyFont="1" applyFill="1" applyBorder="1" applyAlignment="1">
      <alignment vertical="center"/>
    </xf>
    <xf numFmtId="0" fontId="25" fillId="2" borderId="34" xfId="0" applyFont="1" applyFill="1" applyBorder="1" applyAlignment="1">
      <alignment horizontal="right" vertical="center"/>
    </xf>
    <xf numFmtId="0" fontId="25" fillId="0" borderId="79" xfId="0" applyFont="1" applyFill="1" applyBorder="1" applyAlignment="1">
      <alignment vertical="center" wrapText="1"/>
    </xf>
    <xf numFmtId="0" fontId="25" fillId="0" borderId="46" xfId="0" applyFont="1" applyFill="1" applyBorder="1" applyAlignment="1">
      <alignment horizontal="center" vertical="center"/>
    </xf>
    <xf numFmtId="0" fontId="25" fillId="0" borderId="46" xfId="0" applyFont="1" applyFill="1" applyBorder="1" applyAlignment="1" applyProtection="1">
      <alignment horizontal="center" vertical="center"/>
    </xf>
    <xf numFmtId="0" fontId="25" fillId="2" borderId="26" xfId="0" quotePrefix="1" applyFont="1" applyFill="1" applyBorder="1" applyAlignment="1">
      <alignment horizontal="center" vertical="center"/>
    </xf>
    <xf numFmtId="0" fontId="25" fillId="2" borderId="24" xfId="0" applyFont="1" applyFill="1" applyBorder="1" applyAlignment="1">
      <alignment horizontal="right" vertical="center"/>
    </xf>
    <xf numFmtId="0" fontId="25" fillId="0" borderId="17" xfId="0" applyFont="1" applyFill="1" applyBorder="1" applyAlignment="1">
      <alignment vertical="center" wrapText="1"/>
    </xf>
    <xf numFmtId="0" fontId="25" fillId="0" borderId="18" xfId="0" applyFont="1" applyFill="1" applyBorder="1" applyAlignment="1">
      <alignment horizontal="center" vertical="center"/>
    </xf>
    <xf numFmtId="0" fontId="25" fillId="0" borderId="18" xfId="0" applyFont="1" applyFill="1" applyBorder="1" applyAlignment="1" applyProtection="1">
      <alignment horizontal="center" vertical="center"/>
    </xf>
    <xf numFmtId="4" fontId="25" fillId="0" borderId="25" xfId="1" applyNumberFormat="1" applyFont="1" applyFill="1" applyBorder="1" applyAlignment="1" applyProtection="1">
      <alignment horizontal="center" vertical="center"/>
    </xf>
    <xf numFmtId="4" fontId="25" fillId="0" borderId="54" xfId="1" applyNumberFormat="1" applyFont="1" applyFill="1" applyBorder="1" applyAlignment="1" applyProtection="1">
      <alignment horizontal="center" vertical="center"/>
    </xf>
    <xf numFmtId="4" fontId="25" fillId="0" borderId="0" xfId="1" applyNumberFormat="1" applyFont="1" applyFill="1" applyBorder="1" applyAlignment="1" applyProtection="1">
      <alignment horizontal="center" vertical="center"/>
    </xf>
    <xf numFmtId="4" fontId="25" fillId="0" borderId="10" xfId="0" applyNumberFormat="1" applyFont="1" applyFill="1" applyBorder="1" applyAlignment="1">
      <alignment horizontal="center" vertical="center"/>
    </xf>
    <xf numFmtId="4" fontId="25" fillId="0" borderId="18" xfId="1" applyNumberFormat="1" applyFont="1" applyFill="1" applyBorder="1" applyAlignment="1" applyProtection="1">
      <alignment horizontal="center" vertical="center"/>
    </xf>
    <xf numFmtId="4" fontId="25" fillId="0" borderId="53" xfId="1" applyNumberFormat="1" applyFont="1" applyFill="1" applyBorder="1" applyAlignment="1" applyProtection="1">
      <alignment horizontal="center" vertical="center"/>
    </xf>
    <xf numFmtId="0" fontId="25" fillId="2" borderId="14" xfId="0" quotePrefix="1" applyFont="1" applyFill="1" applyBorder="1" applyAlignment="1">
      <alignment horizontal="center" vertical="center"/>
    </xf>
    <xf numFmtId="0" fontId="24" fillId="2" borderId="81" xfId="0" applyFont="1" applyFill="1" applyBorder="1" applyAlignment="1">
      <alignment vertical="center"/>
    </xf>
    <xf numFmtId="0" fontId="25" fillId="0" borderId="47" xfId="0" applyFont="1" applyFill="1" applyBorder="1" applyAlignment="1">
      <alignment horizontal="center" vertical="center"/>
    </xf>
    <xf numFmtId="0" fontId="25" fillId="2" borderId="23" xfId="0" applyFont="1" applyFill="1" applyBorder="1" applyAlignment="1">
      <alignment horizontal="right" vertical="center"/>
    </xf>
    <xf numFmtId="0" fontId="25" fillId="0" borderId="9" xfId="0" applyFont="1" applyFill="1" applyBorder="1" applyAlignment="1">
      <alignment horizontal="center" vertical="center"/>
    </xf>
    <xf numFmtId="0" fontId="25" fillId="0" borderId="53" xfId="0" applyFont="1" applyFill="1" applyBorder="1" applyAlignment="1">
      <alignment horizontal="center" vertical="center"/>
    </xf>
    <xf numFmtId="0" fontId="25" fillId="0" borderId="80" xfId="0" applyFont="1" applyFill="1" applyBorder="1" applyAlignment="1">
      <alignment vertical="center" wrapText="1"/>
    </xf>
    <xf numFmtId="0" fontId="25" fillId="0" borderId="50" xfId="0" applyFont="1" applyFill="1" applyBorder="1" applyAlignment="1">
      <alignment horizontal="center" vertical="center"/>
    </xf>
    <xf numFmtId="0" fontId="25" fillId="0" borderId="50" xfId="0" applyFont="1" applyFill="1" applyBorder="1" applyAlignment="1" applyProtection="1">
      <alignment horizontal="center" vertical="center"/>
    </xf>
    <xf numFmtId="0" fontId="25" fillId="0" borderId="51" xfId="0" applyFont="1" applyFill="1" applyBorder="1" applyAlignment="1">
      <alignment horizontal="center" vertical="center"/>
    </xf>
    <xf numFmtId="0" fontId="24" fillId="2" borderId="36" xfId="0" applyFont="1" applyFill="1" applyBorder="1" applyAlignment="1">
      <alignment vertical="center"/>
    </xf>
    <xf numFmtId="0" fontId="25" fillId="2" borderId="40" xfId="0" applyFont="1" applyFill="1" applyBorder="1" applyAlignment="1">
      <alignment horizontal="right" vertical="center"/>
    </xf>
    <xf numFmtId="0" fontId="25" fillId="2" borderId="79" xfId="0" applyFont="1" applyFill="1" applyBorder="1" applyAlignment="1" applyProtection="1">
      <alignment vertical="center" wrapText="1"/>
    </xf>
    <xf numFmtId="0" fontId="25" fillId="0" borderId="17" xfId="0" applyFont="1" applyFill="1" applyBorder="1" applyAlignment="1" applyProtection="1">
      <alignment vertical="center" wrapText="1"/>
    </xf>
    <xf numFmtId="4" fontId="25" fillId="2" borderId="0" xfId="0" applyNumberFormat="1" applyFont="1" applyFill="1" applyAlignment="1">
      <alignment horizontal="center" vertical="center"/>
    </xf>
    <xf numFmtId="0" fontId="24" fillId="2" borderId="18" xfId="0" applyFont="1" applyFill="1" applyBorder="1" applyAlignment="1">
      <alignment horizontal="center" vertical="center"/>
    </xf>
    <xf numFmtId="0" fontId="25" fillId="2" borderId="43" xfId="0" applyFont="1" applyFill="1" applyBorder="1" applyAlignment="1">
      <alignment horizontal="center" vertical="center"/>
    </xf>
    <xf numFmtId="0" fontId="24" fillId="2" borderId="14" xfId="0" quotePrefix="1" applyFont="1" applyFill="1" applyBorder="1" applyAlignment="1">
      <alignment horizontal="center" vertical="center"/>
    </xf>
    <xf numFmtId="0" fontId="24" fillId="2" borderId="19" xfId="0" quotePrefix="1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right" vertical="center"/>
    </xf>
    <xf numFmtId="43" fontId="24" fillId="2" borderId="0" xfId="0" applyNumberFormat="1" applyFont="1" applyFill="1" applyBorder="1" applyAlignment="1">
      <alignment vertical="center"/>
    </xf>
    <xf numFmtId="0" fontId="22" fillId="5" borderId="34" xfId="0" applyFont="1" applyFill="1" applyBorder="1" applyAlignment="1" applyProtection="1">
      <alignment horizontal="center" vertical="center" wrapText="1"/>
    </xf>
    <xf numFmtId="0" fontId="22" fillId="5" borderId="23" xfId="0" applyFont="1" applyFill="1" applyBorder="1" applyAlignment="1" applyProtection="1">
      <alignment horizontal="center" vertical="center" wrapText="1"/>
    </xf>
    <xf numFmtId="0" fontId="22" fillId="5" borderId="24" xfId="0" applyFont="1" applyFill="1" applyBorder="1" applyAlignment="1" applyProtection="1">
      <alignment horizontal="center" vertical="center" wrapText="1"/>
    </xf>
    <xf numFmtId="0" fontId="24" fillId="5" borderId="28" xfId="0" applyFont="1" applyFill="1" applyBorder="1" applyAlignment="1" applyProtection="1">
      <alignment horizontal="center" vertical="center" wrapText="1"/>
    </xf>
    <xf numFmtId="0" fontId="24" fillId="5" borderId="7" xfId="0" applyFont="1" applyFill="1" applyBorder="1" applyAlignment="1" applyProtection="1">
      <alignment horizontal="center" vertical="center" wrapText="1"/>
    </xf>
    <xf numFmtId="0" fontId="24" fillId="5" borderId="37" xfId="0" applyFont="1" applyFill="1" applyBorder="1" applyAlignment="1" applyProtection="1">
      <alignment horizontal="center" vertical="center" wrapText="1"/>
    </xf>
    <xf numFmtId="0" fontId="24" fillId="5" borderId="34" xfId="0" applyFont="1" applyFill="1" applyBorder="1" applyAlignment="1" applyProtection="1">
      <alignment horizontal="center" vertical="center" wrapText="1"/>
    </xf>
    <xf numFmtId="0" fontId="24" fillId="5" borderId="23" xfId="0" applyFont="1" applyFill="1" applyBorder="1" applyAlignment="1" applyProtection="1">
      <alignment horizontal="center" vertical="center" wrapText="1"/>
    </xf>
    <xf numFmtId="0" fontId="24" fillId="5" borderId="24" xfId="0" applyFont="1" applyFill="1" applyBorder="1" applyAlignment="1" applyProtection="1">
      <alignment horizontal="center" vertical="center" wrapText="1"/>
    </xf>
    <xf numFmtId="0" fontId="24" fillId="5" borderId="1" xfId="0" applyFont="1" applyFill="1" applyBorder="1" applyAlignment="1" applyProtection="1">
      <alignment horizontal="right" vertical="center"/>
    </xf>
    <xf numFmtId="0" fontId="24" fillId="5" borderId="3" xfId="0" applyFont="1" applyFill="1" applyBorder="1" applyAlignment="1" applyProtection="1">
      <alignment horizontal="right" vertical="center"/>
    </xf>
    <xf numFmtId="0" fontId="16" fillId="2" borderId="4" xfId="0" applyFont="1" applyFill="1" applyBorder="1" applyAlignment="1" applyProtection="1">
      <alignment horizontal="center" vertical="center"/>
    </xf>
    <xf numFmtId="0" fontId="16" fillId="2" borderId="5" xfId="0" applyFont="1" applyFill="1" applyBorder="1" applyAlignment="1" applyProtection="1">
      <alignment horizontal="center" vertical="center"/>
    </xf>
    <xf numFmtId="0" fontId="16" fillId="2" borderId="29" xfId="0" applyFont="1" applyFill="1" applyBorder="1" applyAlignment="1" applyProtection="1">
      <alignment horizontal="center" vertical="center"/>
    </xf>
    <xf numFmtId="0" fontId="16" fillId="2" borderId="30" xfId="0" applyFont="1" applyFill="1" applyBorder="1" applyAlignment="1" applyProtection="1">
      <alignment horizontal="center" vertical="center"/>
    </xf>
    <xf numFmtId="0" fontId="16" fillId="2" borderId="0" xfId="0" applyFont="1" applyFill="1" applyBorder="1" applyAlignment="1" applyProtection="1">
      <alignment horizontal="center" vertical="center"/>
    </xf>
    <xf numFmtId="0" fontId="16" fillId="2" borderId="31" xfId="0" applyFont="1" applyFill="1" applyBorder="1" applyAlignment="1" applyProtection="1">
      <alignment horizontal="center" vertical="center"/>
    </xf>
    <xf numFmtId="0" fontId="25" fillId="2" borderId="32" xfId="0" applyFont="1" applyFill="1" applyBorder="1" applyAlignment="1" applyProtection="1">
      <alignment horizontal="center" vertical="center"/>
    </xf>
    <xf numFmtId="0" fontId="25" fillId="2" borderId="20" xfId="0" applyFont="1" applyFill="1" applyBorder="1" applyAlignment="1" applyProtection="1">
      <alignment horizontal="center" vertical="center"/>
    </xf>
    <xf numFmtId="0" fontId="25" fillId="2" borderId="21" xfId="0" applyFont="1" applyFill="1" applyBorder="1" applyAlignment="1" applyProtection="1">
      <alignment horizontal="center" vertical="center"/>
    </xf>
    <xf numFmtId="0" fontId="22" fillId="3" borderId="1" xfId="0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24" fillId="2" borderId="4" xfId="0" applyFont="1" applyFill="1" applyBorder="1" applyAlignment="1" applyProtection="1">
      <alignment horizontal="center" vertical="center" wrapText="1"/>
    </xf>
    <xf numFmtId="0" fontId="24" fillId="2" borderId="5" xfId="0" applyFont="1" applyFill="1" applyBorder="1" applyAlignment="1" applyProtection="1">
      <alignment horizontal="center" vertical="center" wrapText="1"/>
    </xf>
    <xf numFmtId="0" fontId="24" fillId="2" borderId="29" xfId="0" applyFont="1" applyFill="1" applyBorder="1" applyAlignment="1" applyProtection="1">
      <alignment horizontal="center" vertical="center" wrapText="1"/>
    </xf>
    <xf numFmtId="0" fontId="24" fillId="2" borderId="30" xfId="0" applyFont="1" applyFill="1" applyBorder="1" applyAlignment="1" applyProtection="1">
      <alignment horizontal="center" vertical="center" wrapText="1"/>
    </xf>
    <xf numFmtId="0" fontId="24" fillId="2" borderId="0" xfId="0" applyFont="1" applyFill="1" applyBorder="1" applyAlignment="1" applyProtection="1">
      <alignment horizontal="center" vertical="center" wrapText="1"/>
    </xf>
    <xf numFmtId="0" fontId="24" fillId="2" borderId="31" xfId="0" applyFont="1" applyFill="1" applyBorder="1" applyAlignment="1" applyProtection="1">
      <alignment horizontal="center" vertical="center" wrapText="1"/>
    </xf>
    <xf numFmtId="0" fontId="24" fillId="2" borderId="32" xfId="0" applyFont="1" applyFill="1" applyBorder="1" applyAlignment="1" applyProtection="1">
      <alignment horizontal="center" vertical="center" wrapText="1"/>
    </xf>
    <xf numFmtId="0" fontId="24" fillId="2" borderId="20" xfId="0" applyFont="1" applyFill="1" applyBorder="1" applyAlignment="1" applyProtection="1">
      <alignment horizontal="center" vertical="center" wrapText="1"/>
    </xf>
    <xf numFmtId="0" fontId="24" fillId="2" borderId="21" xfId="0" applyFont="1" applyFill="1" applyBorder="1" applyAlignment="1" applyProtection="1">
      <alignment horizontal="center" vertical="center" wrapText="1"/>
    </xf>
    <xf numFmtId="0" fontId="7" fillId="2" borderId="30" xfId="4" applyFont="1" applyFill="1" applyBorder="1" applyAlignment="1">
      <alignment horizontal="left" vertical="center" wrapText="1"/>
    </xf>
    <xf numFmtId="0" fontId="7" fillId="2" borderId="0" xfId="4" applyFont="1" applyFill="1" applyBorder="1" applyAlignment="1">
      <alignment horizontal="left" vertical="center" wrapText="1"/>
    </xf>
    <xf numFmtId="0" fontId="7" fillId="2" borderId="31" xfId="4" applyFont="1" applyFill="1" applyBorder="1" applyAlignment="1">
      <alignment horizontal="left" vertical="center" wrapText="1"/>
    </xf>
    <xf numFmtId="0" fontId="7" fillId="2" borderId="32" xfId="4" applyFont="1" applyFill="1" applyBorder="1" applyAlignment="1">
      <alignment horizontal="left" vertical="center" wrapText="1"/>
    </xf>
    <xf numFmtId="0" fontId="7" fillId="2" borderId="20" xfId="4" applyFont="1" applyFill="1" applyBorder="1" applyAlignment="1">
      <alignment horizontal="left" vertical="center" wrapText="1"/>
    </xf>
    <xf numFmtId="0" fontId="7" fillId="2" borderId="21" xfId="4" applyFont="1" applyFill="1" applyBorder="1" applyAlignment="1">
      <alignment horizontal="left" vertical="center" wrapText="1"/>
    </xf>
    <xf numFmtId="0" fontId="7" fillId="2" borderId="4" xfId="4" applyFont="1" applyFill="1" applyBorder="1" applyAlignment="1">
      <alignment horizontal="left" vertical="center"/>
    </xf>
    <xf numFmtId="0" fontId="7" fillId="2" borderId="29" xfId="4" applyFont="1" applyFill="1" applyBorder="1" applyAlignment="1">
      <alignment horizontal="left" vertical="center"/>
    </xf>
    <xf numFmtId="0" fontId="7" fillId="2" borderId="32" xfId="4" applyFont="1" applyFill="1" applyBorder="1" applyAlignment="1">
      <alignment horizontal="left" vertical="center"/>
    </xf>
    <xf numFmtId="0" fontId="7" fillId="2" borderId="21" xfId="4" applyFont="1" applyFill="1" applyBorder="1" applyAlignment="1">
      <alignment horizontal="left" vertical="center"/>
    </xf>
    <xf numFmtId="0" fontId="7" fillId="2" borderId="78" xfId="4" applyFont="1" applyFill="1" applyBorder="1" applyAlignment="1">
      <alignment horizontal="left" vertical="center"/>
    </xf>
    <xf numFmtId="0" fontId="7" fillId="2" borderId="115" xfId="4" applyFont="1" applyFill="1" applyBorder="1" applyAlignment="1">
      <alignment horizontal="left" vertical="center"/>
    </xf>
    <xf numFmtId="0" fontId="16" fillId="2" borderId="116" xfId="4" applyFont="1" applyFill="1" applyBorder="1" applyAlignment="1">
      <alignment horizontal="left" vertical="center"/>
    </xf>
    <xf numFmtId="0" fontId="16" fillId="2" borderId="83" xfId="4" applyFont="1" applyFill="1" applyBorder="1" applyAlignment="1">
      <alignment horizontal="left" vertical="center"/>
    </xf>
    <xf numFmtId="0" fontId="16" fillId="2" borderId="84" xfId="4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center" wrapText="1"/>
    </xf>
    <xf numFmtId="0" fontId="2" fillId="2" borderId="31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31" xfId="0" applyFont="1" applyFill="1" applyBorder="1" applyAlignment="1">
      <alignment horizontal="left" vertical="center" wrapText="1"/>
    </xf>
    <xf numFmtId="0" fontId="16" fillId="7" borderId="1" xfId="0" applyFont="1" applyFill="1" applyBorder="1" applyAlignment="1" applyProtection="1">
      <alignment horizontal="left" vertical="center" wrapText="1"/>
    </xf>
    <xf numFmtId="0" fontId="16" fillId="7" borderId="3" xfId="0" applyFont="1" applyFill="1" applyBorder="1" applyAlignment="1" applyProtection="1">
      <alignment horizontal="left" vertical="center" wrapText="1"/>
    </xf>
    <xf numFmtId="0" fontId="16" fillId="5" borderId="1" xfId="0" applyFont="1" applyFill="1" applyBorder="1" applyAlignment="1" applyProtection="1">
      <alignment horizontal="center" vertical="top" wrapText="1"/>
    </xf>
    <xf numFmtId="0" fontId="16" fillId="5" borderId="2" xfId="0" applyFont="1" applyFill="1" applyBorder="1" applyAlignment="1" applyProtection="1">
      <alignment horizontal="center" vertical="top" wrapText="1"/>
    </xf>
    <xf numFmtId="0" fontId="16" fillId="5" borderId="3" xfId="0" applyFont="1" applyFill="1" applyBorder="1" applyAlignment="1" applyProtection="1">
      <alignment horizontal="center" vertical="top" wrapText="1"/>
    </xf>
    <xf numFmtId="0" fontId="16" fillId="7" borderId="4" xfId="0" applyFont="1" applyFill="1" applyBorder="1" applyAlignment="1" applyProtection="1">
      <alignment horizontal="left" vertical="top" wrapText="1"/>
    </xf>
    <xf numFmtId="0" fontId="16" fillId="7" borderId="5" xfId="0" applyFont="1" applyFill="1" applyBorder="1" applyAlignment="1" applyProtection="1">
      <alignment horizontal="left" vertical="top" wrapText="1"/>
    </xf>
    <xf numFmtId="0" fontId="12" fillId="2" borderId="116" xfId="4" applyFont="1" applyFill="1" applyBorder="1" applyAlignment="1">
      <alignment horizontal="left" vertical="top"/>
    </xf>
    <xf numFmtId="0" fontId="12" fillId="2" borderId="83" xfId="4" applyFont="1" applyFill="1" applyBorder="1" applyAlignment="1">
      <alignment horizontal="left" vertical="top"/>
    </xf>
    <xf numFmtId="0" fontId="12" fillId="2" borderId="84" xfId="4" applyFont="1" applyFill="1" applyBorder="1" applyAlignment="1">
      <alignment horizontal="left" vertical="top"/>
    </xf>
    <xf numFmtId="0" fontId="12" fillId="2" borderId="78" xfId="4" applyFont="1" applyFill="1" applyBorder="1" applyAlignment="1">
      <alignment horizontal="left" vertical="top"/>
    </xf>
    <xf numFmtId="0" fontId="12" fillId="2" borderId="115" xfId="4" applyFont="1" applyFill="1" applyBorder="1" applyAlignment="1">
      <alignment horizontal="left" vertical="top"/>
    </xf>
    <xf numFmtId="0" fontId="18" fillId="5" borderId="1" xfId="0" applyFont="1" applyFill="1" applyBorder="1" applyAlignment="1" applyProtection="1">
      <alignment horizontal="right" vertical="top"/>
    </xf>
    <xf numFmtId="0" fontId="18" fillId="5" borderId="3" xfId="0" applyFont="1" applyFill="1" applyBorder="1" applyAlignment="1" applyProtection="1">
      <alignment horizontal="right" vertical="top"/>
    </xf>
    <xf numFmtId="0" fontId="16" fillId="5" borderId="4" xfId="0" applyFont="1" applyFill="1" applyBorder="1" applyAlignment="1" applyProtection="1">
      <alignment horizontal="center" vertical="top" wrapText="1"/>
    </xf>
    <xf numFmtId="0" fontId="16" fillId="7" borderId="32" xfId="0" applyFont="1" applyFill="1" applyBorder="1" applyAlignment="1" applyProtection="1">
      <alignment horizontal="right" vertical="top" wrapText="1"/>
    </xf>
    <xf numFmtId="0" fontId="16" fillId="7" borderId="2" xfId="0" applyFont="1" applyFill="1" applyBorder="1" applyAlignment="1" applyProtection="1">
      <alignment horizontal="right" vertical="top" wrapText="1"/>
    </xf>
    <xf numFmtId="0" fontId="12" fillId="2" borderId="4" xfId="4" applyFont="1" applyFill="1" applyBorder="1" applyAlignment="1">
      <alignment horizontal="left" vertical="top"/>
    </xf>
    <xf numFmtId="0" fontId="12" fillId="2" borderId="29" xfId="4" applyFont="1" applyFill="1" applyBorder="1" applyAlignment="1">
      <alignment horizontal="left" vertical="top"/>
    </xf>
    <xf numFmtId="0" fontId="12" fillId="2" borderId="32" xfId="4" applyFont="1" applyFill="1" applyBorder="1" applyAlignment="1">
      <alignment horizontal="left" vertical="top"/>
    </xf>
    <xf numFmtId="0" fontId="12" fillId="2" borderId="21" xfId="4" applyFont="1" applyFill="1" applyBorder="1" applyAlignment="1">
      <alignment horizontal="left" vertical="top"/>
    </xf>
    <xf numFmtId="0" fontId="16" fillId="2" borderId="4" xfId="0" applyFont="1" applyFill="1" applyBorder="1" applyAlignment="1" applyProtection="1">
      <alignment horizontal="center" vertical="top"/>
    </xf>
    <xf numFmtId="0" fontId="16" fillId="2" borderId="5" xfId="0" applyFont="1" applyFill="1" applyBorder="1" applyAlignment="1" applyProtection="1">
      <alignment horizontal="center" vertical="top"/>
    </xf>
    <xf numFmtId="0" fontId="16" fillId="2" borderId="29" xfId="0" applyFont="1" applyFill="1" applyBorder="1" applyAlignment="1" applyProtection="1">
      <alignment horizontal="center" vertical="top"/>
    </xf>
    <xf numFmtId="0" fontId="16" fillId="2" borderId="30" xfId="0" applyFont="1" applyFill="1" applyBorder="1" applyAlignment="1" applyProtection="1">
      <alignment horizontal="center" vertical="top"/>
    </xf>
    <xf numFmtId="0" fontId="16" fillId="2" borderId="0" xfId="0" applyFont="1" applyFill="1" applyBorder="1" applyAlignment="1" applyProtection="1">
      <alignment horizontal="center" vertical="top"/>
    </xf>
    <xf numFmtId="0" fontId="16" fillId="2" borderId="31" xfId="0" applyFont="1" applyFill="1" applyBorder="1" applyAlignment="1" applyProtection="1">
      <alignment horizontal="center" vertical="top"/>
    </xf>
    <xf numFmtId="0" fontId="15" fillId="0" borderId="32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6" fillId="2" borderId="4" xfId="0" applyFont="1" applyFill="1" applyBorder="1" applyAlignment="1" applyProtection="1">
      <alignment horizontal="center" vertical="center" wrapText="1"/>
    </xf>
    <xf numFmtId="0" fontId="16" fillId="2" borderId="5" xfId="0" applyFont="1" applyFill="1" applyBorder="1" applyAlignment="1" applyProtection="1">
      <alignment horizontal="center" vertical="center" wrapText="1"/>
    </xf>
    <xf numFmtId="0" fontId="16" fillId="2" borderId="29" xfId="0" applyFont="1" applyFill="1" applyBorder="1" applyAlignment="1" applyProtection="1">
      <alignment horizontal="center" vertical="center" wrapText="1"/>
    </xf>
    <xf numFmtId="0" fontId="16" fillId="2" borderId="32" xfId="0" applyFont="1" applyFill="1" applyBorder="1" applyAlignment="1" applyProtection="1">
      <alignment horizontal="center" vertical="center" wrapText="1"/>
    </xf>
    <xf numFmtId="0" fontId="16" fillId="2" borderId="20" xfId="0" applyFont="1" applyFill="1" applyBorder="1" applyAlignment="1" applyProtection="1">
      <alignment horizontal="center" vertical="center" wrapText="1"/>
    </xf>
    <xf numFmtId="0" fontId="16" fillId="2" borderId="21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7" borderId="35" xfId="0" quotePrefix="1" applyFont="1" applyFill="1" applyBorder="1" applyAlignment="1">
      <alignment horizontal="center" vertical="center"/>
    </xf>
    <xf numFmtId="0" fontId="18" fillId="7" borderId="81" xfId="0" quotePrefix="1" applyFont="1" applyFill="1" applyBorder="1" applyAlignment="1">
      <alignment horizontal="center" vertical="center"/>
    </xf>
    <xf numFmtId="0" fontId="18" fillId="7" borderId="36" xfId="0" quotePrefix="1" applyFont="1" applyFill="1" applyBorder="1" applyAlignment="1">
      <alignment horizontal="center" vertical="center"/>
    </xf>
    <xf numFmtId="0" fontId="16" fillId="7" borderId="5" xfId="0" applyFont="1" applyFill="1" applyBorder="1" applyAlignment="1" applyProtection="1">
      <alignment horizontal="left" vertical="center" wrapText="1"/>
    </xf>
    <xf numFmtId="0" fontId="16" fillId="7" borderId="29" xfId="0" applyFont="1" applyFill="1" applyBorder="1" applyAlignment="1" applyProtection="1">
      <alignment horizontal="left" vertical="center" wrapText="1"/>
    </xf>
    <xf numFmtId="0" fontId="16" fillId="7" borderId="0" xfId="0" applyFont="1" applyFill="1" applyBorder="1" applyAlignment="1" applyProtection="1">
      <alignment horizontal="left" vertical="center" wrapText="1"/>
    </xf>
    <xf numFmtId="0" fontId="16" fillId="7" borderId="31" xfId="0" applyFont="1" applyFill="1" applyBorder="1" applyAlignment="1" applyProtection="1">
      <alignment horizontal="left" vertical="center" wrapText="1"/>
    </xf>
    <xf numFmtId="0" fontId="16" fillId="7" borderId="20" xfId="0" applyFont="1" applyFill="1" applyBorder="1" applyAlignment="1" applyProtection="1">
      <alignment horizontal="left" vertical="center" wrapText="1"/>
    </xf>
    <xf numFmtId="0" fontId="16" fillId="7" borderId="21" xfId="0" applyFont="1" applyFill="1" applyBorder="1" applyAlignment="1" applyProtection="1">
      <alignment horizontal="left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21" xfId="0" applyFont="1" applyFill="1" applyBorder="1" applyAlignment="1">
      <alignment horizontal="left" vertical="center" wrapText="1"/>
    </xf>
    <xf numFmtId="0" fontId="15" fillId="2" borderId="30" xfId="0" applyFont="1" applyFill="1" applyBorder="1" applyAlignment="1">
      <alignment horizontal="center"/>
    </xf>
    <xf numFmtId="0" fontId="15" fillId="2" borderId="32" xfId="0" applyFont="1" applyFill="1" applyBorder="1" applyAlignment="1">
      <alignment horizontal="center"/>
    </xf>
    <xf numFmtId="0" fontId="16" fillId="7" borderId="2" xfId="0" applyFont="1" applyFill="1" applyBorder="1" applyAlignment="1" applyProtection="1">
      <alignment horizontal="left" vertical="center" wrapText="1"/>
    </xf>
    <xf numFmtId="4" fontId="18" fillId="5" borderId="1" xfId="0" applyNumberFormat="1" applyFont="1" applyFill="1" applyBorder="1" applyAlignment="1" applyProtection="1">
      <alignment horizontal="center" vertical="top"/>
    </xf>
    <xf numFmtId="4" fontId="18" fillId="5" borderId="3" xfId="0" applyNumberFormat="1" applyFont="1" applyFill="1" applyBorder="1" applyAlignment="1" applyProtection="1">
      <alignment horizontal="center" vertical="top"/>
    </xf>
    <xf numFmtId="0" fontId="24" fillId="2" borderId="4" xfId="6" applyNumberFormat="1" applyFont="1" applyFill="1" applyBorder="1" applyAlignment="1">
      <alignment vertical="top"/>
    </xf>
    <xf numFmtId="0" fontId="24" fillId="2" borderId="5" xfId="6" applyNumberFormat="1" applyFont="1" applyFill="1" applyBorder="1" applyAlignment="1">
      <alignment vertical="top"/>
    </xf>
    <xf numFmtId="0" fontId="24" fillId="2" borderId="29" xfId="6" applyNumberFormat="1" applyFont="1" applyFill="1" applyBorder="1" applyAlignment="1">
      <alignment vertical="top"/>
    </xf>
    <xf numFmtId="0" fontId="25" fillId="2" borderId="32" xfId="6" applyNumberFormat="1" applyFont="1" applyFill="1" applyBorder="1" applyAlignment="1">
      <alignment vertical="top"/>
    </xf>
    <xf numFmtId="0" fontId="25" fillId="2" borderId="20" xfId="6" applyNumberFormat="1" applyFont="1" applyFill="1" applyBorder="1" applyAlignment="1">
      <alignment vertical="top"/>
    </xf>
    <xf numFmtId="0" fontId="25" fillId="2" borderId="21" xfId="6" applyNumberFormat="1" applyFont="1" applyFill="1" applyBorder="1" applyAlignment="1">
      <alignment vertical="top"/>
    </xf>
    <xf numFmtId="0" fontId="24" fillId="11" borderId="4" xfId="6" applyNumberFormat="1" applyFont="1" applyFill="1" applyBorder="1" applyAlignment="1">
      <alignment vertical="top"/>
    </xf>
    <xf numFmtId="0" fontId="24" fillId="11" borderId="5" xfId="6" applyNumberFormat="1" applyFont="1" applyFill="1" applyBorder="1" applyAlignment="1">
      <alignment vertical="top"/>
    </xf>
    <xf numFmtId="0" fontId="24" fillId="11" borderId="29" xfId="6" applyNumberFormat="1" applyFont="1" applyFill="1" applyBorder="1" applyAlignment="1">
      <alignment vertical="top"/>
    </xf>
    <xf numFmtId="0" fontId="25" fillId="11" borderId="32" xfId="6" applyNumberFormat="1" applyFont="1" applyFill="1" applyBorder="1" applyAlignment="1">
      <alignment vertical="top"/>
    </xf>
    <xf numFmtId="0" fontId="25" fillId="11" borderId="20" xfId="6" applyNumberFormat="1" applyFont="1" applyFill="1" applyBorder="1" applyAlignment="1">
      <alignment vertical="top"/>
    </xf>
    <xf numFmtId="0" fontId="25" fillId="11" borderId="21" xfId="6" applyNumberFormat="1" applyFont="1" applyFill="1" applyBorder="1" applyAlignment="1">
      <alignment vertical="top"/>
    </xf>
    <xf numFmtId="43" fontId="25" fillId="2" borderId="9" xfId="0" applyNumberFormat="1" applyFont="1" applyFill="1" applyBorder="1" applyAlignment="1">
      <alignment horizontal="center" vertical="center"/>
    </xf>
    <xf numFmtId="43" fontId="25" fillId="2" borderId="18" xfId="0" applyNumberFormat="1" applyFont="1" applyFill="1" applyBorder="1" applyAlignment="1">
      <alignment horizontal="center" vertical="center"/>
    </xf>
    <xf numFmtId="43" fontId="24" fillId="2" borderId="45" xfId="0" applyNumberFormat="1" applyFont="1" applyFill="1" applyBorder="1" applyAlignment="1">
      <alignment horizontal="center" vertical="center"/>
    </xf>
    <xf numFmtId="43" fontId="25" fillId="2" borderId="14" xfId="0" applyNumberFormat="1" applyFont="1" applyFill="1" applyBorder="1" applyAlignment="1">
      <alignment horizontal="center" vertical="center" wrapText="1"/>
    </xf>
    <xf numFmtId="43" fontId="25" fillId="2" borderId="9" xfId="0" applyNumberFormat="1" applyFont="1" applyFill="1" applyBorder="1" applyAlignment="1">
      <alignment horizontal="center" vertical="center" wrapText="1"/>
    </xf>
    <xf numFmtId="43" fontId="25" fillId="2" borderId="14" xfId="0" applyNumberFormat="1" applyFont="1" applyFill="1" applyBorder="1" applyAlignment="1">
      <alignment horizontal="center" vertical="center"/>
    </xf>
    <xf numFmtId="43" fontId="25" fillId="2" borderId="10" xfId="0" applyNumberFormat="1" applyFont="1" applyFill="1" applyBorder="1" applyAlignment="1">
      <alignment horizontal="center" vertical="center"/>
    </xf>
    <xf numFmtId="43" fontId="24" fillId="2" borderId="38" xfId="0" applyNumberFormat="1" applyFont="1" applyFill="1" applyBorder="1" applyAlignment="1">
      <alignment horizontal="center" vertical="center"/>
    </xf>
    <xf numFmtId="0" fontId="24" fillId="5" borderId="5" xfId="0" applyFont="1" applyFill="1" applyBorder="1" applyAlignment="1" applyProtection="1">
      <alignment horizontal="center" vertical="center" wrapText="1"/>
    </xf>
    <xf numFmtId="0" fontId="24" fillId="5" borderId="0" xfId="0" applyFont="1" applyFill="1" applyBorder="1" applyAlignment="1" applyProtection="1">
      <alignment horizontal="center" vertical="center" wrapText="1"/>
    </xf>
    <xf numFmtId="0" fontId="24" fillId="5" borderId="20" xfId="0" applyFont="1" applyFill="1" applyBorder="1" applyAlignment="1" applyProtection="1">
      <alignment horizontal="center" vertical="center" wrapText="1"/>
    </xf>
    <xf numFmtId="0" fontId="24" fillId="5" borderId="35" xfId="0" applyFont="1" applyFill="1" applyBorder="1" applyAlignment="1" applyProtection="1">
      <alignment horizontal="center" vertical="center" wrapText="1"/>
    </xf>
    <xf numFmtId="0" fontId="24" fillId="5" borderId="81" xfId="0" applyFont="1" applyFill="1" applyBorder="1" applyAlignment="1" applyProtection="1">
      <alignment horizontal="center" vertical="center" wrapText="1"/>
    </xf>
    <xf numFmtId="0" fontId="24" fillId="5" borderId="36" xfId="0" applyFont="1" applyFill="1" applyBorder="1" applyAlignment="1" applyProtection="1">
      <alignment horizontal="center" vertical="center" wrapText="1"/>
    </xf>
    <xf numFmtId="0" fontId="24" fillId="2" borderId="46" xfId="0" applyFont="1" applyFill="1" applyBorder="1" applyAlignment="1">
      <alignment horizontal="center" vertical="center" wrapText="1"/>
    </xf>
    <xf numFmtId="0" fontId="24" fillId="2" borderId="47" xfId="0" applyFont="1" applyFill="1" applyBorder="1" applyAlignment="1">
      <alignment horizontal="center" vertical="center" wrapText="1"/>
    </xf>
    <xf numFmtId="0" fontId="24" fillId="2" borderId="99" xfId="0" applyFont="1" applyFill="1" applyBorder="1" applyAlignment="1">
      <alignment horizontal="center" vertical="center" wrapText="1"/>
    </xf>
    <xf numFmtId="0" fontId="24" fillId="2" borderId="100" xfId="0" applyFont="1" applyFill="1" applyBorder="1" applyAlignment="1">
      <alignment horizontal="center" vertical="center" wrapText="1"/>
    </xf>
    <xf numFmtId="43" fontId="25" fillId="2" borderId="6" xfId="0" applyNumberFormat="1" applyFont="1" applyFill="1" applyBorder="1" applyAlignment="1">
      <alignment horizontal="center" vertical="center"/>
    </xf>
    <xf numFmtId="43" fontId="25" fillId="2" borderId="65" xfId="0" applyNumberFormat="1" applyFont="1" applyFill="1" applyBorder="1" applyAlignment="1">
      <alignment horizontal="center" vertical="center"/>
    </xf>
    <xf numFmtId="43" fontId="25" fillId="2" borderId="49" xfId="0" applyNumberFormat="1" applyFont="1" applyFill="1" applyBorder="1" applyAlignment="1">
      <alignment horizontal="center" vertical="center"/>
    </xf>
    <xf numFmtId="43" fontId="25" fillId="2" borderId="53" xfId="0" applyNumberFormat="1" applyFont="1" applyFill="1" applyBorder="1" applyAlignment="1">
      <alignment horizontal="center" vertical="center"/>
    </xf>
    <xf numFmtId="43" fontId="24" fillId="2" borderId="39" xfId="0" applyNumberFormat="1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 applyProtection="1">
      <alignment horizontal="center" vertical="center" wrapText="1"/>
    </xf>
    <xf numFmtId="0" fontId="24" fillId="5" borderId="2" xfId="0" applyFont="1" applyFill="1" applyBorder="1" applyAlignment="1" applyProtection="1">
      <alignment horizontal="center" vertical="center" wrapText="1"/>
    </xf>
    <xf numFmtId="0" fontId="24" fillId="5" borderId="3" xfId="0" applyFont="1" applyFill="1" applyBorder="1" applyAlignment="1" applyProtection="1">
      <alignment horizontal="center" vertical="center" wrapText="1"/>
    </xf>
    <xf numFmtId="0" fontId="24" fillId="5" borderId="4" xfId="0" applyFont="1" applyFill="1" applyBorder="1" applyAlignment="1" applyProtection="1">
      <alignment horizontal="center" vertical="center" wrapText="1"/>
    </xf>
    <xf numFmtId="0" fontId="24" fillId="5" borderId="32" xfId="0" applyFont="1" applyFill="1" applyBorder="1" applyAlignment="1" applyProtection="1">
      <alignment horizontal="center" vertical="center" wrapText="1"/>
    </xf>
    <xf numFmtId="0" fontId="24" fillId="2" borderId="9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4" fillId="3" borderId="4" xfId="0" applyFont="1" applyFill="1" applyBorder="1" applyAlignment="1">
      <alignment horizontal="left" vertical="center" wrapText="1"/>
    </xf>
    <xf numFmtId="0" fontId="24" fillId="3" borderId="5" xfId="0" applyFont="1" applyFill="1" applyBorder="1" applyAlignment="1">
      <alignment horizontal="left" vertical="center" wrapText="1"/>
    </xf>
    <xf numFmtId="0" fontId="24" fillId="3" borderId="29" xfId="0" applyFont="1" applyFill="1" applyBorder="1" applyAlignment="1">
      <alignment horizontal="left" vertical="center" wrapText="1"/>
    </xf>
    <xf numFmtId="0" fontId="24" fillId="2" borderId="32" xfId="0" applyFont="1" applyFill="1" applyBorder="1" applyAlignment="1" applyProtection="1">
      <alignment horizontal="right" vertical="center"/>
    </xf>
    <xf numFmtId="0" fontId="24" fillId="2" borderId="20" xfId="0" applyFont="1" applyFill="1" applyBorder="1" applyAlignment="1" applyProtection="1">
      <alignment horizontal="right" vertical="center"/>
    </xf>
    <xf numFmtId="0" fontId="24" fillId="2" borderId="2" xfId="0" applyFont="1" applyFill="1" applyBorder="1" applyAlignment="1" applyProtection="1">
      <alignment horizontal="right" vertical="center"/>
    </xf>
    <xf numFmtId="0" fontId="24" fillId="2" borderId="3" xfId="0" applyFont="1" applyFill="1" applyBorder="1" applyAlignment="1" applyProtection="1">
      <alignment horizontal="right" vertical="center"/>
    </xf>
    <xf numFmtId="0" fontId="24" fillId="5" borderId="2" xfId="0" applyFont="1" applyFill="1" applyBorder="1" applyAlignment="1" applyProtection="1">
      <alignment horizontal="right" vertical="center"/>
    </xf>
    <xf numFmtId="0" fontId="24" fillId="5" borderId="20" xfId="0" applyFont="1" applyFill="1" applyBorder="1" applyAlignment="1" applyProtection="1">
      <alignment horizontal="right" vertical="center"/>
    </xf>
    <xf numFmtId="0" fontId="24" fillId="5" borderId="21" xfId="0" applyFont="1" applyFill="1" applyBorder="1" applyAlignment="1" applyProtection="1">
      <alignment horizontal="right" vertical="center"/>
    </xf>
    <xf numFmtId="0" fontId="25" fillId="2" borderId="35" xfId="0" applyFont="1" applyFill="1" applyBorder="1" applyAlignment="1">
      <alignment horizontal="center" vertical="center" wrapText="1"/>
    </xf>
    <xf numFmtId="0" fontId="25" fillId="2" borderId="81" xfId="0" applyFont="1" applyFill="1" applyBorder="1" applyAlignment="1">
      <alignment horizontal="center" vertical="center" wrapText="1"/>
    </xf>
    <xf numFmtId="0" fontId="25" fillId="2" borderId="36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25" fillId="2" borderId="30" xfId="0" applyFont="1" applyFill="1" applyBorder="1" applyAlignment="1">
      <alignment horizontal="center" vertical="center" wrapText="1"/>
    </xf>
    <xf numFmtId="0" fontId="25" fillId="2" borderId="32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 applyProtection="1">
      <alignment horizontal="right" vertical="center"/>
    </xf>
    <xf numFmtId="0" fontId="24" fillId="5" borderId="32" xfId="0" applyFont="1" applyFill="1" applyBorder="1" applyAlignment="1" applyProtection="1">
      <alignment horizontal="right" vertical="center"/>
    </xf>
    <xf numFmtId="0" fontId="24" fillId="11" borderId="30" xfId="6" applyNumberFormat="1" applyFont="1" applyFill="1" applyBorder="1" applyAlignment="1">
      <alignment vertical="top"/>
    </xf>
    <xf numFmtId="0" fontId="24" fillId="11" borderId="0" xfId="6" applyNumberFormat="1" applyFont="1" applyFill="1" applyBorder="1" applyAlignment="1">
      <alignment vertical="top"/>
    </xf>
    <xf numFmtId="0" fontId="24" fillId="11" borderId="31" xfId="6" applyNumberFormat="1" applyFont="1" applyFill="1" applyBorder="1" applyAlignment="1">
      <alignment vertical="top"/>
    </xf>
    <xf numFmtId="0" fontId="25" fillId="11" borderId="30" xfId="6" applyNumberFormat="1" applyFont="1" applyFill="1" applyBorder="1" applyAlignment="1">
      <alignment vertical="top"/>
    </xf>
    <xf numFmtId="0" fontId="25" fillId="11" borderId="0" xfId="6" applyNumberFormat="1" applyFont="1" applyFill="1" applyBorder="1" applyAlignment="1">
      <alignment vertical="top"/>
    </xf>
    <xf numFmtId="0" fontId="25" fillId="11" borderId="31" xfId="6" applyNumberFormat="1" applyFont="1" applyFill="1" applyBorder="1" applyAlignment="1">
      <alignment vertical="top"/>
    </xf>
    <xf numFmtId="0" fontId="24" fillId="2" borderId="4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29" xfId="0" applyFont="1" applyFill="1" applyBorder="1" applyAlignment="1">
      <alignment horizontal="center" vertical="center"/>
    </xf>
    <xf numFmtId="0" fontId="24" fillId="2" borderId="30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  <xf numFmtId="0" fontId="24" fillId="2" borderId="78" xfId="0" applyFont="1" applyFill="1" applyBorder="1" applyAlignment="1">
      <alignment horizontal="center" vertical="center"/>
    </xf>
    <xf numFmtId="0" fontId="24" fillId="2" borderId="101" xfId="0" applyFont="1" applyFill="1" applyBorder="1" applyAlignment="1">
      <alignment horizontal="center" vertical="center"/>
    </xf>
    <xf numFmtId="0" fontId="24" fillId="2" borderId="21" xfId="0" applyFont="1" applyFill="1" applyBorder="1" applyAlignment="1" applyProtection="1">
      <alignment horizontal="right" vertical="center"/>
    </xf>
    <xf numFmtId="0" fontId="24" fillId="2" borderId="1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4" fillId="2" borderId="26" xfId="0" applyFont="1" applyFill="1" applyBorder="1" applyAlignment="1">
      <alignment horizontal="center" vertical="center" wrapText="1"/>
    </xf>
    <xf numFmtId="0" fontId="24" fillId="2" borderId="102" xfId="0" applyFont="1" applyFill="1" applyBorder="1" applyAlignment="1">
      <alignment horizontal="center" vertical="center" wrapText="1"/>
    </xf>
    <xf numFmtId="43" fontId="25" fillId="2" borderId="13" xfId="0" applyNumberFormat="1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/>
    </xf>
    <xf numFmtId="0" fontId="25" fillId="2" borderId="29" xfId="0" applyFont="1" applyFill="1" applyBorder="1" applyAlignment="1">
      <alignment horizontal="center" vertical="center"/>
    </xf>
    <xf numFmtId="10" fontId="25" fillId="0" borderId="32" xfId="0" applyNumberFormat="1" applyFont="1" applyFill="1" applyBorder="1" applyAlignment="1">
      <alignment horizontal="center" vertical="center"/>
    </xf>
    <xf numFmtId="10" fontId="25" fillId="0" borderId="21" xfId="0" applyNumberFormat="1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horizontal="left" vertical="center" wrapText="1"/>
    </xf>
    <xf numFmtId="0" fontId="24" fillId="3" borderId="2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2" borderId="4" xfId="0" applyFont="1" applyFill="1" applyBorder="1" applyAlignment="1" applyProtection="1">
      <alignment horizontal="center" vertical="top"/>
    </xf>
    <xf numFmtId="0" fontId="24" fillId="2" borderId="5" xfId="0" applyFont="1" applyFill="1" applyBorder="1" applyAlignment="1" applyProtection="1">
      <alignment horizontal="center" vertical="top"/>
    </xf>
    <xf numFmtId="0" fontId="24" fillId="2" borderId="29" xfId="0" applyFont="1" applyFill="1" applyBorder="1" applyAlignment="1" applyProtection="1">
      <alignment horizontal="center" vertical="top"/>
    </xf>
    <xf numFmtId="0" fontId="24" fillId="2" borderId="32" xfId="0" applyFont="1" applyFill="1" applyBorder="1" applyAlignment="1" applyProtection="1">
      <alignment horizontal="center" vertical="top"/>
    </xf>
    <xf numFmtId="0" fontId="24" fillId="2" borderId="20" xfId="0" applyFont="1" applyFill="1" applyBorder="1" applyAlignment="1" applyProtection="1">
      <alignment horizontal="center" vertical="top"/>
    </xf>
    <xf numFmtId="0" fontId="24" fillId="2" borderId="21" xfId="0" applyFont="1" applyFill="1" applyBorder="1" applyAlignment="1" applyProtection="1">
      <alignment horizontal="center" vertical="top"/>
    </xf>
    <xf numFmtId="0" fontId="25" fillId="2" borderId="30" xfId="0" applyFont="1" applyFill="1" applyBorder="1" applyAlignment="1" applyProtection="1">
      <alignment horizontal="center" vertical="top"/>
    </xf>
    <xf numFmtId="0" fontId="25" fillId="2" borderId="0" xfId="0" applyFont="1" applyFill="1" applyBorder="1" applyAlignment="1" applyProtection="1">
      <alignment horizontal="center" vertical="top"/>
    </xf>
    <xf numFmtId="0" fontId="24" fillId="3" borderId="1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right" vertical="center"/>
    </xf>
    <xf numFmtId="0" fontId="24" fillId="2" borderId="2" xfId="0" applyFont="1" applyFill="1" applyBorder="1" applyAlignment="1">
      <alignment horizontal="right" vertical="center"/>
    </xf>
    <xf numFmtId="0" fontId="25" fillId="2" borderId="12" xfId="0" applyFont="1" applyFill="1" applyBorder="1" applyAlignment="1">
      <alignment horizontal="left" vertical="center" wrapText="1"/>
    </xf>
    <xf numFmtId="0" fontId="25" fillId="2" borderId="7" xfId="0" applyFont="1" applyFill="1" applyBorder="1" applyAlignment="1">
      <alignment horizontal="left" vertical="center" wrapText="1"/>
    </xf>
    <xf numFmtId="0" fontId="25" fillId="2" borderId="9" xfId="0" applyFont="1" applyFill="1" applyBorder="1" applyAlignment="1">
      <alignment horizontal="left" vertical="center" wrapText="1"/>
    </xf>
    <xf numFmtId="0" fontId="25" fillId="2" borderId="50" xfId="0" applyFont="1" applyFill="1" applyBorder="1" applyAlignment="1">
      <alignment horizontal="left" vertical="center" wrapText="1"/>
    </xf>
    <xf numFmtId="0" fontId="25" fillId="2" borderId="33" xfId="0" applyFont="1" applyFill="1" applyBorder="1" applyAlignment="1">
      <alignment horizontal="left" vertical="center" wrapText="1"/>
    </xf>
    <xf numFmtId="0" fontId="24" fillId="2" borderId="64" xfId="0" quotePrefix="1" applyFont="1" applyFill="1" applyBorder="1" applyAlignment="1">
      <alignment horizontal="center" vertical="center"/>
    </xf>
    <xf numFmtId="0" fontId="24" fillId="2" borderId="13" xfId="0" quotePrefix="1" applyFont="1" applyFill="1" applyBorder="1" applyAlignment="1">
      <alignment horizontal="center" vertical="center"/>
    </xf>
    <xf numFmtId="0" fontId="25" fillId="2" borderId="55" xfId="0" applyFont="1" applyFill="1" applyBorder="1" applyAlignment="1">
      <alignment horizontal="left" vertical="center" wrapText="1"/>
    </xf>
    <xf numFmtId="0" fontId="25" fillId="2" borderId="0" xfId="0" applyFont="1" applyFill="1" applyBorder="1" applyAlignment="1">
      <alignment horizontal="left" vertical="center" wrapText="1"/>
    </xf>
    <xf numFmtId="0" fontId="25" fillId="2" borderId="16" xfId="0" applyFont="1" applyFill="1" applyBorder="1" applyAlignment="1">
      <alignment horizontal="left" vertical="center" wrapText="1"/>
    </xf>
    <xf numFmtId="0" fontId="25" fillId="2" borderId="42" xfId="0" applyFont="1" applyFill="1" applyBorder="1" applyAlignment="1">
      <alignment horizontal="left" vertical="center" wrapText="1"/>
    </xf>
    <xf numFmtId="0" fontId="24" fillId="3" borderId="3" xfId="0" applyFont="1" applyFill="1" applyBorder="1" applyAlignment="1">
      <alignment horizontal="left" vertical="center" wrapText="1"/>
    </xf>
    <xf numFmtId="0" fontId="1" fillId="5" borderId="35" xfId="0" applyFont="1" applyFill="1" applyBorder="1" applyAlignment="1" applyProtection="1">
      <alignment horizontal="center" vertical="center" wrapText="1"/>
    </xf>
    <xf numFmtId="0" fontId="1" fillId="5" borderId="81" xfId="0" applyFont="1" applyFill="1" applyBorder="1" applyAlignment="1" applyProtection="1">
      <alignment horizontal="center" vertical="center" wrapText="1"/>
    </xf>
    <xf numFmtId="0" fontId="1" fillId="5" borderId="36" xfId="0" applyFont="1" applyFill="1" applyBorder="1" applyAlignment="1" applyProtection="1">
      <alignment horizontal="center" vertical="center" wrapText="1"/>
    </xf>
    <xf numFmtId="0" fontId="1" fillId="3" borderId="38" xfId="0" applyFont="1" applyFill="1" applyBorder="1" applyAlignment="1" applyProtection="1">
      <alignment horizontal="right" vertical="center"/>
    </xf>
    <xf numFmtId="0" fontId="1" fillId="3" borderId="45" xfId="0" applyFont="1" applyFill="1" applyBorder="1" applyAlignment="1" applyProtection="1">
      <alignment horizontal="right" vertical="center"/>
    </xf>
    <xf numFmtId="0" fontId="1" fillId="3" borderId="60" xfId="0" applyFont="1" applyFill="1" applyBorder="1" applyAlignment="1" applyProtection="1">
      <alignment horizontal="right" vertical="center"/>
    </xf>
    <xf numFmtId="0" fontId="1" fillId="5" borderId="5" xfId="0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center" vertical="center" wrapText="1"/>
    </xf>
    <xf numFmtId="0" fontId="1" fillId="5" borderId="20" xfId="0" applyFont="1" applyFill="1" applyBorder="1" applyAlignment="1" applyProtection="1">
      <alignment horizontal="center" vertical="center" wrapText="1"/>
    </xf>
    <xf numFmtId="0" fontId="7" fillId="2" borderId="30" xfId="0" applyFont="1" applyFill="1" applyBorder="1" applyAlignment="1" applyProtection="1">
      <alignment horizontal="center" vertical="top"/>
    </xf>
    <xf numFmtId="0" fontId="7" fillId="2" borderId="0" xfId="0" applyFont="1" applyFill="1" applyBorder="1" applyAlignment="1" applyProtection="1">
      <alignment horizontal="center" vertical="top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2" borderId="26" xfId="0" applyFont="1" applyFill="1" applyBorder="1" applyAlignment="1" applyProtection="1">
      <alignment horizontal="right" vertical="center"/>
    </xf>
    <xf numFmtId="0" fontId="2" fillId="2" borderId="46" xfId="0" applyFont="1" applyFill="1" applyBorder="1" applyAlignment="1" applyProtection="1">
      <alignment horizontal="right" vertical="center"/>
    </xf>
    <xf numFmtId="0" fontId="2" fillId="2" borderId="27" xfId="0" applyFont="1" applyFill="1" applyBorder="1" applyAlignment="1" applyProtection="1">
      <alignment horizontal="right" vertical="center"/>
    </xf>
    <xf numFmtId="0" fontId="16" fillId="2" borderId="32" xfId="0" applyFont="1" applyFill="1" applyBorder="1" applyAlignment="1" applyProtection="1">
      <alignment horizontal="right" vertical="top"/>
    </xf>
    <xf numFmtId="0" fontId="16" fillId="2" borderId="20" xfId="0" applyFont="1" applyFill="1" applyBorder="1" applyAlignment="1" applyProtection="1">
      <alignment horizontal="right" vertical="top"/>
    </xf>
    <xf numFmtId="0" fontId="16" fillId="2" borderId="21" xfId="0" applyFont="1" applyFill="1" applyBorder="1" applyAlignment="1" applyProtection="1">
      <alignment horizontal="right" vertical="top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29" xfId="0" applyFont="1" applyFill="1" applyBorder="1" applyAlignment="1" applyProtection="1">
      <alignment horizontal="center" vertical="center" wrapText="1"/>
    </xf>
    <xf numFmtId="0" fontId="1" fillId="2" borderId="3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31" xfId="0" applyFont="1" applyFill="1" applyBorder="1" applyAlignment="1" applyProtection="1">
      <alignment horizontal="center" vertical="center" wrapText="1"/>
    </xf>
    <xf numFmtId="0" fontId="1" fillId="2" borderId="32" xfId="0" applyFont="1" applyFill="1" applyBorder="1" applyAlignment="1" applyProtection="1">
      <alignment horizontal="center" vertical="center" wrapText="1"/>
    </xf>
    <xf numFmtId="0" fontId="1" fillId="2" borderId="20" xfId="0" applyFont="1" applyFill="1" applyBorder="1" applyAlignment="1" applyProtection="1">
      <alignment horizontal="center" vertical="center" wrapText="1"/>
    </xf>
    <xf numFmtId="0" fontId="1" fillId="2" borderId="21" xfId="0" applyFont="1" applyFill="1" applyBorder="1" applyAlignment="1" applyProtection="1">
      <alignment horizontal="center" vertical="center" wrapText="1"/>
    </xf>
    <xf numFmtId="0" fontId="2" fillId="2" borderId="61" xfId="0" applyFont="1" applyFill="1" applyBorder="1" applyAlignment="1" applyProtection="1">
      <alignment horizontal="right" vertical="center"/>
    </xf>
    <xf numFmtId="0" fontId="2" fillId="2" borderId="58" xfId="0" applyFont="1" applyFill="1" applyBorder="1" applyAlignment="1" applyProtection="1">
      <alignment horizontal="right" vertical="center"/>
    </xf>
    <xf numFmtId="0" fontId="2" fillId="2" borderId="62" xfId="0" applyFont="1" applyFill="1" applyBorder="1" applyAlignment="1" applyProtection="1">
      <alignment horizontal="right" vertical="center"/>
    </xf>
    <xf numFmtId="0" fontId="2" fillId="2" borderId="38" xfId="0" applyFont="1" applyFill="1" applyBorder="1" applyAlignment="1" applyProtection="1">
      <alignment horizontal="right" vertical="center"/>
    </xf>
    <xf numFmtId="0" fontId="2" fillId="2" borderId="45" xfId="0" applyFont="1" applyFill="1" applyBorder="1" applyAlignment="1" applyProtection="1">
      <alignment horizontal="right" vertical="center"/>
    </xf>
    <xf numFmtId="0" fontId="2" fillId="2" borderId="60" xfId="0" applyFont="1" applyFill="1" applyBorder="1" applyAlignment="1" applyProtection="1">
      <alignment horizontal="right" vertical="center"/>
    </xf>
    <xf numFmtId="0" fontId="1" fillId="3" borderId="5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31" xfId="0" applyFont="1" applyFill="1" applyBorder="1" applyAlignment="1">
      <alignment horizontal="left" vertical="center" wrapText="1"/>
    </xf>
    <xf numFmtId="0" fontId="1" fillId="3" borderId="35" xfId="0" applyFont="1" applyFill="1" applyBorder="1" applyAlignment="1">
      <alignment horizontal="center" vertical="center" wrapText="1"/>
    </xf>
    <xf numFmtId="0" fontId="1" fillId="3" borderId="8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68" xfId="0" quotePrefix="1" applyFont="1" applyFill="1" applyBorder="1" applyAlignment="1">
      <alignment horizontal="center" vertical="center"/>
    </xf>
    <xf numFmtId="0" fontId="1" fillId="2" borderId="48" xfId="0" quotePrefix="1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left" vertical="center" wrapText="1"/>
    </xf>
    <xf numFmtId="0" fontId="2" fillId="2" borderId="46" xfId="0" applyFont="1" applyFill="1" applyBorder="1" applyAlignment="1">
      <alignment horizontal="left" vertical="center" wrapText="1"/>
    </xf>
    <xf numFmtId="0" fontId="2" fillId="2" borderId="27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1" fillId="2" borderId="35" xfId="0" applyFont="1" applyFill="1" applyBorder="1" applyAlignment="1" applyProtection="1">
      <alignment horizontal="center" vertical="center" wrapText="1"/>
    </xf>
    <xf numFmtId="0" fontId="1" fillId="2" borderId="81" xfId="0" applyFont="1" applyFill="1" applyBorder="1" applyAlignment="1" applyProtection="1">
      <alignment horizontal="center" vertical="center" wrapText="1"/>
    </xf>
    <xf numFmtId="4" fontId="1" fillId="2" borderId="35" xfId="0" applyNumberFormat="1" applyFont="1" applyFill="1" applyBorder="1" applyAlignment="1" applyProtection="1">
      <alignment horizontal="center" vertical="center" wrapText="1"/>
    </xf>
    <xf numFmtId="0" fontId="1" fillId="2" borderId="4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20" xfId="0" applyFont="1" applyFill="1" applyBorder="1" applyAlignment="1">
      <alignment horizontal="right" vertical="center"/>
    </xf>
    <xf numFmtId="0" fontId="12" fillId="2" borderId="4" xfId="6" applyNumberFormat="1" applyFont="1" applyFill="1" applyBorder="1" applyAlignment="1">
      <alignment horizontal="left" vertical="top"/>
    </xf>
    <xf numFmtId="0" fontId="12" fillId="2" borderId="5" xfId="6" applyNumberFormat="1" applyFont="1" applyFill="1" applyBorder="1" applyAlignment="1">
      <alignment horizontal="left" vertical="top"/>
    </xf>
    <xf numFmtId="0" fontId="11" fillId="2" borderId="32" xfId="6" applyNumberFormat="1" applyFont="1" applyFill="1" applyBorder="1" applyAlignment="1">
      <alignment horizontal="left" vertical="top"/>
    </xf>
    <xf numFmtId="0" fontId="11" fillId="2" borderId="20" xfId="6" applyNumberFormat="1" applyFont="1" applyFill="1" applyBorder="1" applyAlignment="1">
      <alignment horizontal="left" vertical="top"/>
    </xf>
    <xf numFmtId="0" fontId="12" fillId="11" borderId="4" xfId="6" applyNumberFormat="1" applyFont="1" applyFill="1" applyBorder="1" applyAlignment="1">
      <alignment horizontal="left" vertical="top"/>
    </xf>
    <xf numFmtId="0" fontId="12" fillId="11" borderId="5" xfId="6" applyNumberFormat="1" applyFont="1" applyFill="1" applyBorder="1" applyAlignment="1">
      <alignment horizontal="left" vertical="top"/>
    </xf>
    <xf numFmtId="0" fontId="2" fillId="2" borderId="19" xfId="0" applyFont="1" applyFill="1" applyBorder="1" applyAlignment="1">
      <alignment horizontal="left" vertical="center" wrapText="1"/>
    </xf>
    <xf numFmtId="0" fontId="2" fillId="2" borderId="50" xfId="0" applyFont="1" applyFill="1" applyBorder="1" applyAlignment="1">
      <alignment horizontal="left" vertical="center" wrapText="1"/>
    </xf>
    <xf numFmtId="0" fontId="2" fillId="2" borderId="33" xfId="0" applyFont="1" applyFill="1" applyBorder="1" applyAlignment="1">
      <alignment horizontal="left" vertical="center" wrapText="1"/>
    </xf>
    <xf numFmtId="0" fontId="11" fillId="11" borderId="32" xfId="6" applyNumberFormat="1" applyFont="1" applyFill="1" applyBorder="1" applyAlignment="1">
      <alignment horizontal="left" vertical="top"/>
    </xf>
    <xf numFmtId="0" fontId="11" fillId="11" borderId="20" xfId="6" applyNumberFormat="1" applyFont="1" applyFill="1" applyBorder="1" applyAlignment="1">
      <alignment horizontal="left" vertical="top"/>
    </xf>
    <xf numFmtId="0" fontId="11" fillId="11" borderId="21" xfId="6" applyNumberFormat="1" applyFont="1" applyFill="1" applyBorder="1" applyAlignment="1">
      <alignment horizontal="left" vertical="top"/>
    </xf>
    <xf numFmtId="0" fontId="11" fillId="11" borderId="30" xfId="6" applyNumberFormat="1" applyFont="1" applyFill="1" applyBorder="1" applyAlignment="1">
      <alignment horizontal="left" vertical="top"/>
    </xf>
    <xf numFmtId="0" fontId="11" fillId="11" borderId="0" xfId="6" applyNumberFormat="1" applyFont="1" applyFill="1" applyBorder="1" applyAlignment="1">
      <alignment horizontal="left" vertical="top"/>
    </xf>
    <xf numFmtId="0" fontId="11" fillId="11" borderId="31" xfId="6" applyNumberFormat="1" applyFont="1" applyFill="1" applyBorder="1" applyAlignment="1">
      <alignment horizontal="left" vertical="top"/>
    </xf>
    <xf numFmtId="0" fontId="12" fillId="11" borderId="29" xfId="6" applyNumberFormat="1" applyFont="1" applyFill="1" applyBorder="1" applyAlignment="1">
      <alignment horizontal="left" vertical="top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29" xfId="0" applyFont="1" applyFill="1" applyBorder="1" applyAlignment="1" applyProtection="1">
      <alignment horizontal="center" vertical="top" wrapText="1"/>
    </xf>
    <xf numFmtId="0" fontId="1" fillId="2" borderId="30" xfId="0" applyFont="1" applyFill="1" applyBorder="1" applyAlignment="1" applyProtection="1">
      <alignment horizontal="center" vertical="top"/>
    </xf>
    <xf numFmtId="0" fontId="1" fillId="2" borderId="0" xfId="0" applyFont="1" applyFill="1" applyBorder="1" applyAlignment="1" applyProtection="1">
      <alignment horizontal="center" vertical="top"/>
    </xf>
    <xf numFmtId="0" fontId="1" fillId="2" borderId="31" xfId="0" applyFont="1" applyFill="1" applyBorder="1" applyAlignment="1" applyProtection="1">
      <alignment horizontal="center" vertical="top"/>
    </xf>
    <xf numFmtId="0" fontId="2" fillId="2" borderId="32" xfId="0" applyFont="1" applyFill="1" applyBorder="1" applyAlignment="1" applyProtection="1">
      <alignment horizontal="center" vertical="top"/>
    </xf>
    <xf numFmtId="0" fontId="2" fillId="2" borderId="20" xfId="0" applyFont="1" applyFill="1" applyBorder="1" applyAlignment="1" applyProtection="1">
      <alignment horizontal="center" vertical="top"/>
    </xf>
    <xf numFmtId="0" fontId="2" fillId="2" borderId="21" xfId="0" applyFont="1" applyFill="1" applyBorder="1" applyAlignment="1" applyProtection="1">
      <alignment horizontal="center" vertical="top"/>
    </xf>
    <xf numFmtId="0" fontId="2" fillId="2" borderId="4" xfId="4" applyFont="1" applyFill="1" applyBorder="1" applyAlignment="1">
      <alignment horizontal="left" vertical="top"/>
    </xf>
    <xf numFmtId="0" fontId="2" fillId="2" borderId="5" xfId="4" applyFont="1" applyFill="1" applyBorder="1" applyAlignment="1">
      <alignment horizontal="left" vertical="top"/>
    </xf>
    <xf numFmtId="0" fontId="2" fillId="2" borderId="29" xfId="4" applyFont="1" applyFill="1" applyBorder="1" applyAlignment="1">
      <alignment horizontal="left" vertical="top"/>
    </xf>
    <xf numFmtId="0" fontId="2" fillId="2" borderId="32" xfId="4" applyFont="1" applyFill="1" applyBorder="1" applyAlignment="1">
      <alignment horizontal="left" vertical="top"/>
    </xf>
    <xf numFmtId="0" fontId="2" fillId="2" borderId="20" xfId="4" applyFont="1" applyFill="1" applyBorder="1" applyAlignment="1">
      <alignment horizontal="left" vertical="top"/>
    </xf>
    <xf numFmtId="0" fontId="2" fillId="2" borderId="21" xfId="4" applyFont="1" applyFill="1" applyBorder="1" applyAlignment="1">
      <alignment horizontal="left" vertical="top"/>
    </xf>
    <xf numFmtId="0" fontId="1" fillId="5" borderId="46" xfId="0" applyFont="1" applyFill="1" applyBorder="1" applyAlignment="1" applyProtection="1">
      <alignment horizontal="center" vertical="center" wrapText="1"/>
    </xf>
    <xf numFmtId="0" fontId="1" fillId="5" borderId="9" xfId="0" applyFont="1" applyFill="1" applyBorder="1" applyAlignment="1" applyProtection="1">
      <alignment horizontal="center" vertical="center" wrapText="1"/>
    </xf>
    <xf numFmtId="0" fontId="1" fillId="5" borderId="50" xfId="0" applyFont="1" applyFill="1" applyBorder="1" applyAlignment="1" applyProtection="1">
      <alignment horizontal="center" vertical="center" wrapText="1"/>
    </xf>
    <xf numFmtId="0" fontId="1" fillId="5" borderId="28" xfId="0" applyFont="1" applyFill="1" applyBorder="1" applyAlignment="1" applyProtection="1">
      <alignment horizontal="center" vertical="center" wrapText="1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37" xfId="0" applyFont="1" applyFill="1" applyBorder="1" applyAlignment="1" applyProtection="1">
      <alignment horizontal="center" vertical="center" wrapText="1"/>
    </xf>
    <xf numFmtId="0" fontId="1" fillId="5" borderId="34" xfId="0" applyFont="1" applyFill="1" applyBorder="1" applyAlignment="1" applyProtection="1">
      <alignment horizontal="center" vertical="center" wrapText="1"/>
    </xf>
    <xf numFmtId="0" fontId="1" fillId="5" borderId="23" xfId="0" applyFont="1" applyFill="1" applyBorder="1" applyAlignment="1" applyProtection="1">
      <alignment horizontal="center" vertical="center" wrapText="1"/>
    </xf>
    <xf numFmtId="0" fontId="1" fillId="5" borderId="24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center" wrapText="1"/>
    </xf>
    <xf numFmtId="0" fontId="2" fillId="2" borderId="30" xfId="4" applyFont="1" applyFill="1" applyBorder="1" applyAlignment="1">
      <alignment horizontal="left" vertical="top" wrapText="1"/>
    </xf>
    <xf numFmtId="0" fontId="2" fillId="2" borderId="0" xfId="4" applyFont="1" applyFill="1" applyBorder="1" applyAlignment="1">
      <alignment horizontal="left" vertical="top" wrapText="1"/>
    </xf>
    <xf numFmtId="0" fontId="2" fillId="2" borderId="31" xfId="4" applyFont="1" applyFill="1" applyBorder="1" applyAlignment="1">
      <alignment horizontal="left" vertical="top" wrapText="1"/>
    </xf>
    <xf numFmtId="0" fontId="1" fillId="2" borderId="30" xfId="4" applyFont="1" applyFill="1" applyBorder="1" applyAlignment="1">
      <alignment horizontal="left" vertical="top"/>
    </xf>
    <xf numFmtId="0" fontId="1" fillId="2" borderId="0" xfId="4" applyFont="1" applyFill="1" applyBorder="1" applyAlignment="1">
      <alignment horizontal="left" vertical="top"/>
    </xf>
    <xf numFmtId="0" fontId="1" fillId="2" borderId="31" xfId="4" applyFont="1" applyFill="1" applyBorder="1" applyAlignment="1">
      <alignment horizontal="left" vertical="top"/>
    </xf>
    <xf numFmtId="0" fontId="2" fillId="2" borderId="30" xfId="4" applyFont="1" applyFill="1" applyBorder="1" applyAlignment="1">
      <alignment horizontal="left" vertical="top"/>
    </xf>
    <xf numFmtId="0" fontId="2" fillId="2" borderId="78" xfId="4" applyFont="1" applyFill="1" applyBorder="1" applyAlignment="1">
      <alignment horizontal="left" vertical="top"/>
    </xf>
    <xf numFmtId="0" fontId="2" fillId="2" borderId="115" xfId="4" applyFont="1" applyFill="1" applyBorder="1" applyAlignment="1">
      <alignment horizontal="left" vertical="top"/>
    </xf>
    <xf numFmtId="0" fontId="2" fillId="2" borderId="0" xfId="4" applyFont="1" applyFill="1" applyBorder="1" applyAlignment="1">
      <alignment horizontal="left" vertical="top"/>
    </xf>
    <xf numFmtId="0" fontId="2" fillId="2" borderId="31" xfId="4" applyFont="1" applyFill="1" applyBorder="1" applyAlignment="1">
      <alignment horizontal="left" vertical="top"/>
    </xf>
    <xf numFmtId="0" fontId="2" fillId="2" borderId="101" xfId="4" applyFont="1" applyFill="1" applyBorder="1" applyAlignment="1">
      <alignment horizontal="left" vertical="top"/>
    </xf>
    <xf numFmtId="0" fontId="1" fillId="5" borderId="26" xfId="0" applyFont="1" applyFill="1" applyBorder="1" applyAlignment="1" applyProtection="1">
      <alignment horizontal="center" vertical="center" wrapText="1"/>
    </xf>
    <xf numFmtId="0" fontId="1" fillId="5" borderId="14" xfId="0" applyFont="1" applyFill="1" applyBorder="1" applyAlignment="1" applyProtection="1">
      <alignment horizontal="center" vertical="center" wrapText="1"/>
    </xf>
    <xf numFmtId="0" fontId="1" fillId="5" borderId="19" xfId="0" applyFont="1" applyFill="1" applyBorder="1" applyAlignment="1" applyProtection="1">
      <alignment horizontal="center" vertical="center" wrapText="1"/>
    </xf>
    <xf numFmtId="0" fontId="2" fillId="0" borderId="68" xfId="0" applyFont="1" applyBorder="1" applyAlignment="1" applyProtection="1">
      <alignment horizontal="left" vertical="center"/>
    </xf>
    <xf numFmtId="0" fontId="2" fillId="0" borderId="28" xfId="0" applyFont="1" applyBorder="1" applyAlignment="1" applyProtection="1">
      <alignment horizontal="left" vertical="center"/>
    </xf>
    <xf numFmtId="0" fontId="2" fillId="0" borderId="73" xfId="0" applyFont="1" applyBorder="1" applyAlignment="1" applyProtection="1">
      <alignment horizontal="left" vertical="center" wrapText="1"/>
    </xf>
    <xf numFmtId="0" fontId="2" fillId="0" borderId="37" xfId="0" applyFont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right" vertical="top" wrapText="1"/>
    </xf>
    <xf numFmtId="0" fontId="1" fillId="3" borderId="2" xfId="0" applyFont="1" applyFill="1" applyBorder="1" applyAlignment="1" applyProtection="1">
      <alignment horizontal="right" vertical="top" wrapText="1"/>
    </xf>
    <xf numFmtId="0" fontId="1" fillId="7" borderId="1" xfId="0" applyFont="1" applyFill="1" applyBorder="1" applyAlignment="1">
      <alignment horizontal="right" vertical="center"/>
    </xf>
    <xf numFmtId="0" fontId="1" fillId="7" borderId="2" xfId="0" applyFont="1" applyFill="1" applyBorder="1" applyAlignment="1">
      <alignment horizontal="right" vertical="center"/>
    </xf>
    <xf numFmtId="0" fontId="1" fillId="5" borderId="47" xfId="0" applyFont="1" applyFill="1" applyBorder="1" applyAlignment="1" applyProtection="1">
      <alignment horizontal="center" vertical="center" wrapText="1"/>
    </xf>
    <xf numFmtId="0" fontId="1" fillId="5" borderId="49" xfId="0" applyFont="1" applyFill="1" applyBorder="1" applyAlignment="1" applyProtection="1">
      <alignment horizontal="center" vertical="center" wrapText="1"/>
    </xf>
    <xf numFmtId="0" fontId="1" fillId="5" borderId="51" xfId="0" applyFont="1" applyFill="1" applyBorder="1" applyAlignment="1" applyProtection="1">
      <alignment horizontal="center" vertical="center" wrapText="1"/>
    </xf>
    <xf numFmtId="0" fontId="1" fillId="3" borderId="1" xfId="0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right" vertical="center"/>
    </xf>
    <xf numFmtId="0" fontId="2" fillId="2" borderId="32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left" vertical="center"/>
    </xf>
    <xf numFmtId="0" fontId="2" fillId="2" borderId="31" xfId="0" applyFont="1" applyFill="1" applyBorder="1" applyAlignment="1">
      <alignment horizontal="left" vertical="center"/>
    </xf>
    <xf numFmtId="3" fontId="1" fillId="3" borderId="1" xfId="5" applyFont="1" applyFill="1" applyBorder="1" applyAlignment="1">
      <alignment horizontal="right" vertical="center"/>
    </xf>
    <xf numFmtId="3" fontId="1" fillId="3" borderId="2" xfId="5" applyFont="1" applyFill="1" applyBorder="1" applyAlignment="1">
      <alignment horizontal="right" vertical="center"/>
    </xf>
    <xf numFmtId="0" fontId="2" fillId="2" borderId="0" xfId="0" applyFont="1" applyFill="1" applyBorder="1" applyAlignment="1">
      <alignment vertical="center"/>
    </xf>
    <xf numFmtId="0" fontId="2" fillId="2" borderId="31" xfId="0" applyFont="1" applyFill="1" applyBorder="1" applyAlignment="1">
      <alignment vertical="center"/>
    </xf>
    <xf numFmtId="0" fontId="1" fillId="7" borderId="30" xfId="0" applyFont="1" applyFill="1" applyBorder="1" applyAlignment="1">
      <alignment horizontal="left" vertical="center" wrapText="1"/>
    </xf>
    <xf numFmtId="0" fontId="1" fillId="7" borderId="0" xfId="0" applyFont="1" applyFill="1" applyBorder="1" applyAlignment="1">
      <alignment horizontal="left" vertical="center" wrapText="1"/>
    </xf>
    <xf numFmtId="0" fontId="1" fillId="7" borderId="31" xfId="0" applyFont="1" applyFill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 wrapText="1"/>
    </xf>
    <xf numFmtId="0" fontId="1" fillId="7" borderId="5" xfId="0" applyFont="1" applyFill="1" applyBorder="1" applyAlignment="1">
      <alignment horizontal="left" vertical="center" wrapText="1"/>
    </xf>
    <xf numFmtId="0" fontId="1" fillId="7" borderId="29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9" xfId="0" applyFont="1" applyFill="1" applyBorder="1" applyAlignment="1" applyProtection="1">
      <alignment horizontal="center" vertical="center"/>
    </xf>
    <xf numFmtId="0" fontId="1" fillId="2" borderId="3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2" fillId="2" borderId="32" xfId="0" applyFont="1" applyFill="1" applyBorder="1" applyAlignment="1" applyProtection="1">
      <alignment horizontal="center" vertical="center"/>
    </xf>
    <xf numFmtId="0" fontId="2" fillId="2" borderId="20" xfId="0" applyFont="1" applyFill="1" applyBorder="1" applyAlignment="1" applyProtection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</xf>
    <xf numFmtId="0" fontId="1" fillId="5" borderId="27" xfId="0" applyFont="1" applyFill="1" applyBorder="1" applyAlignment="1" applyProtection="1">
      <alignment horizontal="center" vertical="center" wrapText="1"/>
    </xf>
    <xf numFmtId="0" fontId="1" fillId="5" borderId="12" xfId="0" applyFont="1" applyFill="1" applyBorder="1" applyAlignment="1" applyProtection="1">
      <alignment horizontal="center" vertical="center" wrapText="1"/>
    </xf>
    <xf numFmtId="0" fontId="1" fillId="5" borderId="33" xfId="0" applyFont="1" applyFill="1" applyBorder="1" applyAlignment="1" applyProtection="1">
      <alignment horizontal="center" vertical="center" wrapText="1"/>
    </xf>
    <xf numFmtId="3" fontId="1" fillId="5" borderId="1" xfId="5" applyFont="1" applyFill="1" applyBorder="1" applyAlignment="1">
      <alignment horizontal="left" vertical="center" wrapText="1"/>
    </xf>
    <xf numFmtId="3" fontId="1" fillId="5" borderId="2" xfId="5" applyFont="1" applyFill="1" applyBorder="1" applyAlignment="1">
      <alignment horizontal="left" vertical="center" wrapText="1"/>
    </xf>
    <xf numFmtId="3" fontId="1" fillId="5" borderId="5" xfId="5" applyFont="1" applyFill="1" applyBorder="1" applyAlignment="1">
      <alignment horizontal="left" vertical="center" wrapText="1"/>
    </xf>
    <xf numFmtId="3" fontId="1" fillId="5" borderId="29" xfId="5" applyFont="1" applyFill="1" applyBorder="1" applyAlignment="1">
      <alignment horizontal="left" vertical="center" wrapText="1"/>
    </xf>
    <xf numFmtId="3" fontId="1" fillId="5" borderId="1" xfId="5" applyFont="1" applyFill="1" applyBorder="1" applyAlignment="1">
      <alignment horizontal="right" vertical="center"/>
    </xf>
    <xf numFmtId="3" fontId="1" fillId="5" borderId="2" xfId="5" applyFont="1" applyFill="1" applyBorder="1" applyAlignment="1">
      <alignment horizontal="right" vertical="center"/>
    </xf>
    <xf numFmtId="3" fontId="1" fillId="5" borderId="3" xfId="5" applyFont="1" applyFill="1" applyBorder="1" applyAlignment="1">
      <alignment horizontal="left" vertical="center" wrapText="1"/>
    </xf>
    <xf numFmtId="0" fontId="2" fillId="2" borderId="32" xfId="4" applyFont="1" applyFill="1" applyBorder="1" applyAlignment="1">
      <alignment vertical="top"/>
    </xf>
    <xf numFmtId="0" fontId="2" fillId="2" borderId="20" xfId="4" applyFont="1" applyFill="1" applyBorder="1" applyAlignment="1">
      <alignment vertical="top"/>
    </xf>
    <xf numFmtId="0" fontId="2" fillId="2" borderId="21" xfId="4" applyFont="1" applyFill="1" applyBorder="1" applyAlignment="1">
      <alignment vertical="top"/>
    </xf>
    <xf numFmtId="0" fontId="2" fillId="2" borderId="4" xfId="4" applyFont="1" applyFill="1" applyBorder="1" applyAlignment="1">
      <alignment vertical="top"/>
    </xf>
    <xf numFmtId="0" fontId="2" fillId="2" borderId="5" xfId="4" applyFont="1" applyFill="1" applyBorder="1" applyAlignment="1">
      <alignment vertical="top"/>
    </xf>
    <xf numFmtId="0" fontId="2" fillId="2" borderId="29" xfId="4" applyFont="1" applyFill="1" applyBorder="1" applyAlignment="1">
      <alignment vertical="top"/>
    </xf>
    <xf numFmtId="0" fontId="2" fillId="2" borderId="78" xfId="4" applyFont="1" applyFill="1" applyBorder="1" applyAlignment="1">
      <alignment vertical="top"/>
    </xf>
    <xf numFmtId="0" fontId="2" fillId="2" borderId="101" xfId="4" applyFont="1" applyFill="1" applyBorder="1" applyAlignment="1">
      <alignment vertical="top"/>
    </xf>
    <xf numFmtId="0" fontId="2" fillId="2" borderId="115" xfId="4" applyFont="1" applyFill="1" applyBorder="1" applyAlignment="1">
      <alignment vertical="top"/>
    </xf>
    <xf numFmtId="0" fontId="1" fillId="2" borderId="30" xfId="4" applyFont="1" applyFill="1" applyBorder="1" applyAlignment="1">
      <alignment vertical="top"/>
    </xf>
    <xf numFmtId="0" fontId="1" fillId="2" borderId="0" xfId="4" applyFont="1" applyFill="1" applyBorder="1" applyAlignment="1">
      <alignment vertical="top"/>
    </xf>
    <xf numFmtId="0" fontId="1" fillId="2" borderId="31" xfId="4" applyFont="1" applyFill="1" applyBorder="1" applyAlignment="1">
      <alignment vertical="top"/>
    </xf>
    <xf numFmtId="0" fontId="2" fillId="2" borderId="30" xfId="4" applyFont="1" applyFill="1" applyBorder="1" applyAlignment="1">
      <alignment vertical="top"/>
    </xf>
    <xf numFmtId="0" fontId="2" fillId="2" borderId="0" xfId="4" applyFont="1" applyFill="1" applyBorder="1" applyAlignment="1">
      <alignment vertical="top"/>
    </xf>
    <xf numFmtId="0" fontId="2" fillId="2" borderId="31" xfId="4" applyFont="1" applyFill="1" applyBorder="1" applyAlignment="1">
      <alignment vertical="top"/>
    </xf>
    <xf numFmtId="0" fontId="1" fillId="2" borderId="4" xfId="0" applyFont="1" applyFill="1" applyBorder="1" applyAlignment="1" applyProtection="1">
      <alignment horizontal="center" vertical="top"/>
    </xf>
    <xf numFmtId="0" fontId="1" fillId="2" borderId="5" xfId="0" applyFont="1" applyFill="1" applyBorder="1" applyAlignment="1" applyProtection="1">
      <alignment horizontal="center" vertical="top"/>
    </xf>
    <xf numFmtId="0" fontId="1" fillId="2" borderId="29" xfId="0" applyFont="1" applyFill="1" applyBorder="1" applyAlignment="1" applyProtection="1">
      <alignment horizontal="center" vertical="top"/>
    </xf>
    <xf numFmtId="3" fontId="1" fillId="5" borderId="3" xfId="5" applyFont="1" applyFill="1" applyBorder="1" applyAlignment="1">
      <alignment horizontal="right" vertical="center"/>
    </xf>
    <xf numFmtId="3" fontId="1" fillId="2" borderId="0" xfId="5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2" borderId="32" xfId="0" applyFont="1" applyFill="1" applyBorder="1" applyAlignment="1" applyProtection="1">
      <alignment horizontal="center" vertical="top"/>
    </xf>
    <xf numFmtId="0" fontId="7" fillId="2" borderId="20" xfId="0" applyFont="1" applyFill="1" applyBorder="1" applyAlignment="1" applyProtection="1">
      <alignment horizontal="center" vertical="top"/>
    </xf>
    <xf numFmtId="0" fontId="16" fillId="0" borderId="97" xfId="3" applyFont="1" applyBorder="1" applyAlignment="1">
      <alignment horizontal="center" vertical="center"/>
    </xf>
    <xf numFmtId="0" fontId="16" fillId="0" borderId="98" xfId="3" applyFont="1" applyBorder="1" applyAlignment="1">
      <alignment horizontal="center" vertical="center"/>
    </xf>
    <xf numFmtId="0" fontId="16" fillId="2" borderId="30" xfId="0" applyFont="1" applyFill="1" applyBorder="1" applyAlignment="1" applyProtection="1">
      <alignment horizontal="center" vertical="center" wrapText="1"/>
    </xf>
    <xf numFmtId="0" fontId="16" fillId="2" borderId="0" xfId="0" applyFont="1" applyFill="1" applyBorder="1" applyAlignment="1" applyProtection="1">
      <alignment horizontal="center" vertical="center" wrapText="1"/>
    </xf>
    <xf numFmtId="9" fontId="7" fillId="0" borderId="29" xfId="11" applyNumberFormat="1" applyFont="1" applyBorder="1" applyAlignment="1" applyProtection="1">
      <alignment horizontal="center" vertical="center"/>
    </xf>
    <xf numFmtId="9" fontId="7" fillId="0" borderId="31" xfId="11" applyNumberFormat="1" applyFont="1" applyBorder="1" applyAlignment="1" applyProtection="1">
      <alignment horizontal="center" vertical="center"/>
    </xf>
    <xf numFmtId="9" fontId="7" fillId="0" borderId="72" xfId="11" applyNumberFormat="1" applyFont="1" applyBorder="1" applyAlignment="1" applyProtection="1">
      <alignment horizontal="center" vertical="center"/>
    </xf>
    <xf numFmtId="9" fontId="7" fillId="0" borderId="71" xfId="11" applyNumberFormat="1" applyFont="1" applyBorder="1" applyAlignment="1" applyProtection="1">
      <alignment horizontal="center" vertical="center"/>
    </xf>
    <xf numFmtId="0" fontId="2" fillId="2" borderId="4" xfId="3" applyFont="1" applyFill="1" applyBorder="1" applyAlignment="1">
      <alignment horizontal="left" vertical="top"/>
    </xf>
    <xf numFmtId="0" fontId="2" fillId="2" borderId="29" xfId="3" applyFont="1" applyFill="1" applyBorder="1" applyAlignment="1">
      <alignment horizontal="left" vertical="top"/>
    </xf>
    <xf numFmtId="0" fontId="2" fillId="2" borderId="32" xfId="3" applyFont="1" applyFill="1" applyBorder="1" applyAlignment="1">
      <alignment horizontal="left" vertical="top"/>
    </xf>
    <xf numFmtId="0" fontId="2" fillId="2" borderId="21" xfId="3" applyFont="1" applyFill="1" applyBorder="1" applyAlignment="1">
      <alignment horizontal="left" vertical="top"/>
    </xf>
    <xf numFmtId="0" fontId="2" fillId="2" borderId="78" xfId="3" applyFont="1" applyFill="1" applyBorder="1" applyAlignment="1">
      <alignment horizontal="left" vertical="top"/>
    </xf>
    <xf numFmtId="0" fontId="2" fillId="2" borderId="115" xfId="3" applyFont="1" applyFill="1" applyBorder="1" applyAlignment="1">
      <alignment horizontal="left" vertical="top"/>
    </xf>
    <xf numFmtId="0" fontId="2" fillId="2" borderId="30" xfId="3" applyFont="1" applyFill="1" applyBorder="1" applyAlignment="1">
      <alignment horizontal="left" vertical="top"/>
    </xf>
    <xf numFmtId="0" fontId="2" fillId="2" borderId="0" xfId="3" applyFont="1" applyFill="1" applyBorder="1" applyAlignment="1">
      <alignment horizontal="left" vertical="top"/>
    </xf>
    <xf numFmtId="0" fontId="2" fillId="2" borderId="31" xfId="3" applyFont="1" applyFill="1" applyBorder="1" applyAlignment="1">
      <alignment horizontal="left" vertical="top"/>
    </xf>
    <xf numFmtId="0" fontId="2" fillId="2" borderId="20" xfId="3" applyFont="1" applyFill="1" applyBorder="1" applyAlignment="1">
      <alignment horizontal="left" vertical="top"/>
    </xf>
    <xf numFmtId="0" fontId="16" fillId="0" borderId="32" xfId="3" applyNumberFormat="1" applyFont="1" applyBorder="1" applyAlignment="1">
      <alignment horizontal="right" vertical="center"/>
    </xf>
    <xf numFmtId="0" fontId="16" fillId="0" borderId="21" xfId="3" applyNumberFormat="1" applyFont="1" applyBorder="1" applyAlignment="1">
      <alignment horizontal="right" vertical="center"/>
    </xf>
    <xf numFmtId="2" fontId="21" fillId="0" borderId="34" xfId="0" applyNumberFormat="1" applyFont="1" applyFill="1" applyBorder="1" applyAlignment="1">
      <alignment horizontal="left" vertical="center" wrapText="1"/>
    </xf>
    <xf numFmtId="2" fontId="21" fillId="0" borderId="23" xfId="0" applyNumberFormat="1" applyFont="1" applyFill="1" applyBorder="1" applyAlignment="1">
      <alignment horizontal="left" vertical="center" wrapText="1"/>
    </xf>
    <xf numFmtId="0" fontId="16" fillId="0" borderId="68" xfId="3" applyFont="1" applyBorder="1" applyAlignment="1">
      <alignment horizontal="center" vertical="center"/>
    </xf>
    <xf numFmtId="0" fontId="16" fillId="0" borderId="48" xfId="3" applyFont="1" applyBorder="1" applyAlignment="1">
      <alignment horizontal="center" vertical="center"/>
    </xf>
    <xf numFmtId="0" fontId="7" fillId="0" borderId="23" xfId="0" applyFont="1" applyFill="1" applyBorder="1" applyAlignment="1">
      <alignment horizontal="left" vertical="center" wrapText="1"/>
    </xf>
    <xf numFmtId="0" fontId="7" fillId="0" borderId="24" xfId="0" applyFont="1" applyFill="1" applyBorder="1" applyAlignment="1">
      <alignment horizontal="left" vertical="center" wrapText="1"/>
    </xf>
    <xf numFmtId="0" fontId="16" fillId="0" borderId="73" xfId="3" applyFont="1" applyBorder="1" applyAlignment="1">
      <alignment horizontal="center" vertical="center"/>
    </xf>
    <xf numFmtId="9" fontId="7" fillId="0" borderId="21" xfId="11" applyNumberFormat="1" applyFont="1" applyBorder="1" applyAlignment="1" applyProtection="1">
      <alignment horizontal="center" vertical="center"/>
    </xf>
    <xf numFmtId="0" fontId="1" fillId="2" borderId="30" xfId="3" applyFont="1" applyFill="1" applyBorder="1" applyAlignment="1">
      <alignment vertical="top" wrapText="1"/>
    </xf>
    <xf numFmtId="0" fontId="1" fillId="2" borderId="0" xfId="3" applyFont="1" applyFill="1" applyBorder="1" applyAlignment="1">
      <alignment vertical="top" wrapText="1"/>
    </xf>
    <xf numFmtId="0" fontId="1" fillId="2" borderId="31" xfId="3" applyFont="1" applyFill="1" applyBorder="1" applyAlignment="1">
      <alignment vertical="top" wrapText="1"/>
    </xf>
    <xf numFmtId="0" fontId="1" fillId="2" borderId="32" xfId="3" applyFont="1" applyFill="1" applyBorder="1" applyAlignment="1">
      <alignment vertical="top" wrapText="1"/>
    </xf>
    <xf numFmtId="0" fontId="1" fillId="2" borderId="20" xfId="3" applyFont="1" applyFill="1" applyBorder="1" applyAlignment="1">
      <alignment vertical="top" wrapText="1"/>
    </xf>
    <xf numFmtId="0" fontId="1" fillId="2" borderId="21" xfId="3" applyFont="1" applyFill="1" applyBorder="1" applyAlignment="1">
      <alignment vertical="top" wrapText="1"/>
    </xf>
    <xf numFmtId="0" fontId="4" fillId="2" borderId="30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4" fillId="2" borderId="31" xfId="0" applyFont="1" applyFill="1" applyBorder="1" applyAlignment="1">
      <alignment horizontal="left" vertical="top"/>
    </xf>
    <xf numFmtId="0" fontId="15" fillId="2" borderId="2" xfId="0" applyFont="1" applyFill="1" applyBorder="1" applyAlignment="1">
      <alignment horizontal="center" vertical="center"/>
    </xf>
    <xf numFmtId="0" fontId="16" fillId="0" borderId="1" xfId="3" applyNumberFormat="1" applyFont="1" applyBorder="1" applyAlignment="1">
      <alignment horizontal="right" vertical="center"/>
    </xf>
    <xf numFmtId="0" fontId="16" fillId="0" borderId="2" xfId="3" applyNumberFormat="1" applyFont="1" applyBorder="1" applyAlignment="1">
      <alignment horizontal="right" vertical="center"/>
    </xf>
    <xf numFmtId="0" fontId="16" fillId="0" borderId="90" xfId="3" applyFont="1" applyBorder="1" applyAlignment="1">
      <alignment horizontal="center" vertical="center"/>
    </xf>
    <xf numFmtId="0" fontId="16" fillId="0" borderId="88" xfId="3" applyFont="1" applyBorder="1" applyAlignment="1">
      <alignment horizontal="center" vertical="center"/>
    </xf>
    <xf numFmtId="0" fontId="1" fillId="2" borderId="4" xfId="3" applyFont="1" applyFill="1" applyBorder="1" applyAlignment="1">
      <alignment horizontal="left" vertical="top"/>
    </xf>
    <xf numFmtId="0" fontId="1" fillId="2" borderId="29" xfId="3" applyFont="1" applyFill="1" applyBorder="1" applyAlignment="1">
      <alignment horizontal="left" vertical="top"/>
    </xf>
    <xf numFmtId="0" fontId="1" fillId="2" borderId="32" xfId="3" applyFont="1" applyFill="1" applyBorder="1" applyAlignment="1">
      <alignment horizontal="left" vertical="top"/>
    </xf>
    <xf numFmtId="0" fontId="1" fillId="2" borderId="21" xfId="3" applyFont="1" applyFill="1" applyBorder="1" applyAlignment="1">
      <alignment horizontal="left" vertical="top"/>
    </xf>
    <xf numFmtId="0" fontId="1" fillId="2" borderId="35" xfId="3" applyFont="1" applyFill="1" applyBorder="1" applyAlignment="1">
      <alignment horizontal="left" vertical="top"/>
    </xf>
    <xf numFmtId="0" fontId="1" fillId="2" borderId="77" xfId="3" applyFont="1" applyFill="1" applyBorder="1" applyAlignment="1">
      <alignment horizontal="left" vertical="top"/>
    </xf>
    <xf numFmtId="0" fontId="1" fillId="2" borderId="5" xfId="3" applyFont="1" applyFill="1" applyBorder="1" applyAlignment="1">
      <alignment horizontal="left" vertical="top"/>
    </xf>
    <xf numFmtId="0" fontId="1" fillId="2" borderId="78" xfId="3" applyFont="1" applyFill="1" applyBorder="1" applyAlignment="1">
      <alignment horizontal="left" vertical="top"/>
    </xf>
    <xf numFmtId="0" fontId="1" fillId="2" borderId="101" xfId="3" applyFont="1" applyFill="1" applyBorder="1" applyAlignment="1">
      <alignment horizontal="left" vertical="top"/>
    </xf>
    <xf numFmtId="0" fontId="2" fillId="2" borderId="30" xfId="3" applyFont="1" applyFill="1" applyBorder="1" applyAlignment="1">
      <alignment vertical="top" wrapText="1"/>
    </xf>
    <xf numFmtId="0" fontId="2" fillId="2" borderId="0" xfId="3" applyFont="1" applyFill="1" applyBorder="1" applyAlignment="1">
      <alignment vertical="top" wrapText="1"/>
    </xf>
    <xf numFmtId="0" fontId="2" fillId="2" borderId="31" xfId="3" applyFont="1" applyFill="1" applyBorder="1" applyAlignment="1">
      <alignment vertical="top" wrapText="1"/>
    </xf>
    <xf numFmtId="0" fontId="16" fillId="2" borderId="31" xfId="0" applyFont="1" applyFill="1" applyBorder="1" applyAlignment="1" applyProtection="1">
      <alignment horizontal="center" vertical="center" wrapText="1"/>
    </xf>
    <xf numFmtId="0" fontId="16" fillId="2" borderId="30" xfId="0" applyFont="1" applyFill="1" applyBorder="1" applyAlignment="1" applyProtection="1">
      <alignment horizontal="right" vertical="center"/>
    </xf>
    <xf numFmtId="0" fontId="16" fillId="2" borderId="0" xfId="0" applyFont="1" applyFill="1" applyBorder="1" applyAlignment="1" applyProtection="1">
      <alignment horizontal="right" vertical="center"/>
    </xf>
    <xf numFmtId="0" fontId="16" fillId="2" borderId="31" xfId="0" applyFont="1" applyFill="1" applyBorder="1" applyAlignment="1" applyProtection="1">
      <alignment horizontal="right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20" xfId="0" applyFont="1" applyFill="1" applyBorder="1" applyAlignment="1" applyProtection="1">
      <alignment horizontal="center" vertical="center"/>
    </xf>
    <xf numFmtId="0" fontId="7" fillId="2" borderId="21" xfId="0" applyFont="1" applyFill="1" applyBorder="1" applyAlignment="1" applyProtection="1">
      <alignment horizontal="center" vertical="center"/>
    </xf>
    <xf numFmtId="17" fontId="30" fillId="0" borderId="30" xfId="0" applyNumberFormat="1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30" xfId="0" applyFont="1" applyBorder="1" applyAlignment="1">
      <alignment horizontal="center" vertical="center"/>
    </xf>
    <xf numFmtId="0" fontId="12" fillId="2" borderId="30" xfId="4" applyFont="1" applyFill="1" applyBorder="1" applyAlignment="1">
      <alignment horizontal="left" vertical="top"/>
    </xf>
    <xf numFmtId="0" fontId="12" fillId="2" borderId="0" xfId="4" applyFont="1" applyFill="1" applyBorder="1" applyAlignment="1">
      <alignment horizontal="left" vertical="top"/>
    </xf>
    <xf numFmtId="0" fontId="12" fillId="2" borderId="31" xfId="4" applyFont="1" applyFill="1" applyBorder="1" applyAlignment="1">
      <alignment horizontal="left" vertical="top"/>
    </xf>
    <xf numFmtId="0" fontId="11" fillId="2" borderId="0" xfId="4" applyFont="1" applyFill="1" applyBorder="1" applyAlignment="1">
      <alignment horizontal="left" vertical="top"/>
    </xf>
    <xf numFmtId="0" fontId="11" fillId="2" borderId="31" xfId="4" applyFont="1" applyFill="1" applyBorder="1" applyAlignment="1">
      <alignment horizontal="left" vertical="top"/>
    </xf>
    <xf numFmtId="0" fontId="11" fillId="2" borderId="0" xfId="4" applyFont="1" applyFill="1" applyBorder="1" applyAlignment="1">
      <alignment horizontal="left" vertical="top" wrapText="1"/>
    </xf>
    <xf numFmtId="0" fontId="11" fillId="2" borderId="31" xfId="4" applyFont="1" applyFill="1" applyBorder="1" applyAlignment="1">
      <alignment horizontal="left" vertical="top" wrapText="1"/>
    </xf>
    <xf numFmtId="0" fontId="11" fillId="2" borderId="20" xfId="4" applyFont="1" applyFill="1" applyBorder="1" applyAlignment="1">
      <alignment horizontal="left" vertical="top" wrapText="1"/>
    </xf>
    <xf numFmtId="0" fontId="11" fillId="2" borderId="21" xfId="4" applyFont="1" applyFill="1" applyBorder="1" applyAlignment="1">
      <alignment horizontal="left" vertical="top" wrapText="1"/>
    </xf>
    <xf numFmtId="0" fontId="11" fillId="2" borderId="32" xfId="4" applyFont="1" applyFill="1" applyBorder="1" applyAlignment="1">
      <alignment horizontal="left" vertical="top"/>
    </xf>
    <xf numFmtId="0" fontId="11" fillId="2" borderId="20" xfId="4" applyFont="1" applyFill="1" applyBorder="1" applyAlignment="1">
      <alignment horizontal="left" vertical="top"/>
    </xf>
    <xf numFmtId="0" fontId="11" fillId="2" borderId="21" xfId="4" applyFont="1" applyFill="1" applyBorder="1" applyAlignment="1">
      <alignment horizontal="left" vertical="top"/>
    </xf>
    <xf numFmtId="0" fontId="11" fillId="2" borderId="30" xfId="4" applyFont="1" applyFill="1" applyBorder="1" applyAlignment="1">
      <alignment horizontal="left" vertical="top"/>
    </xf>
    <xf numFmtId="0" fontId="11" fillId="2" borderId="78" xfId="4" applyFont="1" applyFill="1" applyBorder="1" applyAlignment="1">
      <alignment horizontal="left" vertical="top"/>
    </xf>
    <xf numFmtId="0" fontId="11" fillId="2" borderId="101" xfId="4" applyFont="1" applyFill="1" applyBorder="1" applyAlignment="1">
      <alignment horizontal="left" vertical="top"/>
    </xf>
    <xf numFmtId="0" fontId="11" fillId="2" borderId="115" xfId="4" applyFont="1" applyFill="1" applyBorder="1" applyAlignment="1">
      <alignment horizontal="left" vertical="top"/>
    </xf>
    <xf numFmtId="0" fontId="1" fillId="10" borderId="90" xfId="0" applyFont="1" applyFill="1" applyBorder="1" applyAlignment="1">
      <alignment horizontal="left" vertical="center" wrapText="1"/>
    </xf>
    <xf numFmtId="0" fontId="1" fillId="10" borderId="88" xfId="0" applyFont="1" applyFill="1" applyBorder="1" applyAlignment="1">
      <alignment horizontal="left" vertical="center" wrapText="1"/>
    </xf>
    <xf numFmtId="0" fontId="1" fillId="10" borderId="1" xfId="0" applyFont="1" applyFill="1" applyBorder="1" applyAlignment="1">
      <alignment horizontal="right" vertical="center" wrapText="1"/>
    </xf>
    <xf numFmtId="0" fontId="1" fillId="10" borderId="2" xfId="0" applyFont="1" applyFill="1" applyBorder="1" applyAlignment="1">
      <alignment horizontal="right" vertical="center" wrapText="1"/>
    </xf>
    <xf numFmtId="0" fontId="20" fillId="0" borderId="0" xfId="0" applyFont="1" applyBorder="1" applyAlignment="1">
      <alignment horizontal="left" vertical="center" wrapText="1"/>
    </xf>
    <xf numFmtId="0" fontId="1" fillId="10" borderId="91" xfId="0" applyFont="1" applyFill="1" applyBorder="1" applyAlignment="1">
      <alignment horizontal="left" vertical="center" wrapText="1"/>
    </xf>
    <xf numFmtId="0" fontId="2" fillId="2" borderId="94" xfId="0" applyFont="1" applyFill="1" applyBorder="1" applyAlignment="1">
      <alignment horizontal="left" vertical="center" wrapText="1"/>
    </xf>
    <xf numFmtId="0" fontId="2" fillId="2" borderId="95" xfId="0" applyFont="1" applyFill="1" applyBorder="1" applyAlignment="1">
      <alignment horizontal="left" vertical="center" wrapText="1"/>
    </xf>
    <xf numFmtId="0" fontId="2" fillId="2" borderId="67" xfId="0" applyFont="1" applyFill="1" applyBorder="1" applyAlignment="1">
      <alignment horizontal="left" vertical="center" wrapText="1"/>
    </xf>
    <xf numFmtId="0" fontId="2" fillId="2" borderId="92" xfId="0" applyFont="1" applyFill="1" applyBorder="1" applyAlignment="1">
      <alignment horizontal="left" vertical="center" wrapText="1"/>
    </xf>
    <xf numFmtId="0" fontId="2" fillId="2" borderId="89" xfId="0" applyFont="1" applyFill="1" applyBorder="1" applyAlignment="1">
      <alignment horizontal="left" vertical="center" wrapText="1"/>
    </xf>
    <xf numFmtId="0" fontId="2" fillId="2" borderId="96" xfId="0" applyFont="1" applyFill="1" applyBorder="1" applyAlignment="1">
      <alignment horizontal="left" vertical="center" wrapText="1"/>
    </xf>
    <xf numFmtId="0" fontId="11" fillId="2" borderId="4" xfId="4" applyFont="1" applyFill="1" applyBorder="1" applyAlignment="1">
      <alignment horizontal="left" vertical="top"/>
    </xf>
    <xf numFmtId="0" fontId="11" fillId="2" borderId="5" xfId="4" applyFont="1" applyFill="1" applyBorder="1" applyAlignment="1">
      <alignment horizontal="left" vertical="top"/>
    </xf>
    <xf numFmtId="0" fontId="11" fillId="2" borderId="29" xfId="4" applyFont="1" applyFill="1" applyBorder="1" applyAlignment="1">
      <alignment horizontal="left" vertical="top"/>
    </xf>
    <xf numFmtId="0" fontId="4" fillId="9" borderId="1" xfId="0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center" vertical="center"/>
    </xf>
    <xf numFmtId="0" fontId="1" fillId="9" borderId="29" xfId="0" applyFont="1" applyFill="1" applyBorder="1" applyAlignment="1">
      <alignment horizontal="center" vertical="center" wrapText="1"/>
    </xf>
    <xf numFmtId="0" fontId="1" fillId="9" borderId="21" xfId="0" applyFont="1" applyFill="1" applyBorder="1" applyAlignment="1">
      <alignment horizontal="center" vertical="center" wrapText="1"/>
    </xf>
    <xf numFmtId="0" fontId="1" fillId="9" borderId="4" xfId="0" applyFont="1" applyFill="1" applyBorder="1" applyAlignment="1">
      <alignment horizontal="center" vertical="center" wrapText="1"/>
    </xf>
    <xf numFmtId="0" fontId="1" fillId="9" borderId="3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vertical="top" wrapText="1"/>
    </xf>
    <xf numFmtId="0" fontId="18" fillId="2" borderId="21" xfId="0" applyFont="1" applyFill="1" applyBorder="1" applyAlignment="1">
      <alignment vertical="top" wrapText="1"/>
    </xf>
    <xf numFmtId="0" fontId="15" fillId="0" borderId="0" xfId="0" applyFont="1" applyBorder="1" applyAlignment="1">
      <alignment horizontal="center" vertical="center"/>
    </xf>
    <xf numFmtId="0" fontId="15" fillId="0" borderId="45" xfId="0" applyFont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vertical="top"/>
    </xf>
    <xf numFmtId="0" fontId="18" fillId="2" borderId="5" xfId="0" applyFont="1" applyFill="1" applyBorder="1" applyAlignment="1">
      <alignment vertical="top"/>
    </xf>
    <xf numFmtId="0" fontId="18" fillId="2" borderId="29" xfId="0" applyFont="1" applyFill="1" applyBorder="1" applyAlignment="1">
      <alignment vertical="top"/>
    </xf>
    <xf numFmtId="0" fontId="18" fillId="2" borderId="0" xfId="0" applyFont="1" applyFill="1" applyBorder="1" applyAlignment="1">
      <alignment vertical="top" wrapText="1"/>
    </xf>
    <xf numFmtId="0" fontId="18" fillId="2" borderId="31" xfId="0" applyFont="1" applyFill="1" applyBorder="1" applyAlignment="1">
      <alignment vertical="top" wrapText="1"/>
    </xf>
    <xf numFmtId="0" fontId="25" fillId="2" borderId="1" xfId="0" applyFont="1" applyFill="1" applyBorder="1" applyAlignment="1" applyProtection="1">
      <alignment horizontal="center" vertical="top"/>
    </xf>
    <xf numFmtId="0" fontId="25" fillId="2" borderId="2" xfId="0" applyFont="1" applyFill="1" applyBorder="1" applyAlignment="1" applyProtection="1">
      <alignment horizontal="center" vertical="top"/>
    </xf>
    <xf numFmtId="0" fontId="22" fillId="3" borderId="4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22" fillId="3" borderId="29" xfId="0" applyFont="1" applyFill="1" applyBorder="1" applyAlignment="1">
      <alignment horizontal="center" vertical="center"/>
    </xf>
    <xf numFmtId="0" fontId="22" fillId="3" borderId="32" xfId="0" applyFont="1" applyFill="1" applyBorder="1" applyAlignment="1">
      <alignment horizontal="center" vertical="center"/>
    </xf>
    <xf numFmtId="0" fontId="22" fillId="3" borderId="20" xfId="0" applyFont="1" applyFill="1" applyBorder="1" applyAlignment="1">
      <alignment horizontal="center" vertical="center"/>
    </xf>
    <xf numFmtId="0" fontId="22" fillId="3" borderId="21" xfId="0" applyFont="1" applyFill="1" applyBorder="1" applyAlignment="1">
      <alignment horizontal="center" vertical="center"/>
    </xf>
    <xf numFmtId="0" fontId="18" fillId="0" borderId="61" xfId="0" applyFont="1" applyFill="1" applyBorder="1" applyAlignment="1">
      <alignment horizontal="center" vertical="center" textRotation="90" wrapText="1"/>
    </xf>
    <xf numFmtId="0" fontId="18" fillId="0" borderId="57" xfId="0" applyFont="1" applyFill="1" applyBorder="1" applyAlignment="1">
      <alignment horizontal="center" vertical="center" textRotation="90" wrapText="1"/>
    </xf>
    <xf numFmtId="0" fontId="18" fillId="0" borderId="28" xfId="0" applyFont="1" applyBorder="1" applyAlignment="1">
      <alignment horizontal="center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34" xfId="0" applyFont="1" applyFill="1" applyBorder="1" applyAlignment="1">
      <alignment horizontal="center" vertical="center" wrapText="1"/>
    </xf>
    <xf numFmtId="0" fontId="18" fillId="0" borderId="73" xfId="0" applyFont="1" applyFill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justify"/>
    </xf>
    <xf numFmtId="0" fontId="18" fillId="0" borderId="2" xfId="0" applyNumberFormat="1" applyFont="1" applyBorder="1" applyAlignment="1">
      <alignment horizontal="center" vertical="justify"/>
    </xf>
    <xf numFmtId="0" fontId="18" fillId="0" borderId="3" xfId="0" applyNumberFormat="1" applyFont="1" applyBorder="1" applyAlignment="1">
      <alignment horizontal="center" vertical="justify"/>
    </xf>
    <xf numFmtId="0" fontId="16" fillId="2" borderId="0" xfId="0" quotePrefix="1" applyFont="1" applyFill="1" applyBorder="1" applyAlignment="1">
      <alignment horizontal="center" vertical="center"/>
    </xf>
    <xf numFmtId="4" fontId="16" fillId="2" borderId="35" xfId="0" applyNumberFormat="1" applyFont="1" applyFill="1" applyBorder="1" applyAlignment="1">
      <alignment horizontal="center" vertical="center" wrapText="1"/>
    </xf>
    <xf numFmtId="4" fontId="16" fillId="2" borderId="36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right"/>
    </xf>
    <xf numFmtId="0" fontId="24" fillId="3" borderId="2" xfId="0" applyFont="1" applyFill="1" applyBorder="1" applyAlignment="1">
      <alignment horizontal="right"/>
    </xf>
    <xf numFmtId="0" fontId="16" fillId="2" borderId="35" xfId="0" applyFont="1" applyFill="1" applyBorder="1" applyAlignment="1">
      <alignment horizontal="center" vertical="center" wrapText="1"/>
    </xf>
    <xf numFmtId="0" fontId="16" fillId="2" borderId="36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right" vertical="center"/>
    </xf>
    <xf numFmtId="0" fontId="24" fillId="3" borderId="2" xfId="0" applyFont="1" applyFill="1" applyBorder="1" applyAlignment="1">
      <alignment horizontal="right" vertical="center"/>
    </xf>
    <xf numFmtId="0" fontId="16" fillId="5" borderId="35" xfId="0" quotePrefix="1" applyFont="1" applyFill="1" applyBorder="1" applyAlignment="1">
      <alignment horizontal="center" vertical="center"/>
    </xf>
    <xf numFmtId="0" fontId="16" fillId="5" borderId="36" xfId="0" quotePrefix="1" applyFont="1" applyFill="1" applyBorder="1" applyAlignment="1">
      <alignment horizontal="center" vertical="center"/>
    </xf>
    <xf numFmtId="0" fontId="16" fillId="5" borderId="35" xfId="0" applyFont="1" applyFill="1" applyBorder="1" applyAlignment="1">
      <alignment horizontal="left" vertical="center" wrapText="1"/>
    </xf>
    <xf numFmtId="0" fontId="16" fillId="5" borderId="36" xfId="0" applyFont="1" applyFill="1" applyBorder="1" applyAlignment="1">
      <alignment horizontal="left" vertical="center" wrapText="1"/>
    </xf>
    <xf numFmtId="4" fontId="16" fillId="2" borderId="4" xfId="0" applyNumberFormat="1" applyFont="1" applyFill="1" applyBorder="1" applyAlignment="1">
      <alignment horizontal="center" vertical="center" wrapText="1"/>
    </xf>
    <xf numFmtId="4" fontId="16" fillId="2" borderId="32" xfId="0" applyNumberFormat="1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right" vertical="center" wrapText="1"/>
    </xf>
    <xf numFmtId="0" fontId="16" fillId="5" borderId="29" xfId="0" applyFont="1" applyFill="1" applyBorder="1" applyAlignment="1">
      <alignment horizontal="right" vertical="center" wrapText="1"/>
    </xf>
    <xf numFmtId="0" fontId="16" fillId="5" borderId="32" xfId="0" applyFont="1" applyFill="1" applyBorder="1" applyAlignment="1">
      <alignment horizontal="right" vertical="center" wrapText="1"/>
    </xf>
    <xf numFmtId="0" fontId="16" fillId="5" borderId="21" xfId="0" applyFont="1" applyFill="1" applyBorder="1" applyAlignment="1">
      <alignment horizontal="right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24" fillId="3" borderId="61" xfId="0" applyFont="1" applyFill="1" applyBorder="1" applyAlignment="1">
      <alignment horizontal="center" vertical="center" textRotation="90" wrapText="1"/>
    </xf>
    <xf numFmtId="0" fontId="24" fillId="3" borderId="57" xfId="0" applyFont="1" applyFill="1" applyBorder="1" applyAlignment="1">
      <alignment horizontal="center" vertical="center" textRotation="90" wrapText="1"/>
    </xf>
    <xf numFmtId="0" fontId="24" fillId="3" borderId="28" xfId="0" applyFont="1" applyFill="1" applyBorder="1" applyAlignment="1">
      <alignment horizontal="center" vertical="center" wrapText="1"/>
    </xf>
    <xf numFmtId="0" fontId="24" fillId="3" borderId="37" xfId="0" applyFont="1" applyFill="1" applyBorder="1" applyAlignment="1">
      <alignment horizontal="center" vertical="center" wrapText="1"/>
    </xf>
    <xf numFmtId="0" fontId="24" fillId="3" borderId="34" xfId="0" applyFont="1" applyFill="1" applyBorder="1" applyAlignment="1">
      <alignment horizontal="center" vertical="center" wrapText="1"/>
    </xf>
    <xf numFmtId="0" fontId="24" fillId="3" borderId="73" xfId="0" applyFont="1" applyFill="1" applyBorder="1" applyAlignment="1">
      <alignment horizontal="center" vertical="center" wrapText="1"/>
    </xf>
    <xf numFmtId="0" fontId="24" fillId="3" borderId="1" xfId="0" applyNumberFormat="1" applyFont="1" applyFill="1" applyBorder="1" applyAlignment="1">
      <alignment horizontal="center" vertical="justify"/>
    </xf>
    <xf numFmtId="0" fontId="24" fillId="3" borderId="2" xfId="0" applyNumberFormat="1" applyFont="1" applyFill="1" applyBorder="1" applyAlignment="1">
      <alignment horizontal="center" vertical="justify"/>
    </xf>
    <xf numFmtId="0" fontId="24" fillId="3" borderId="3" xfId="0" applyNumberFormat="1" applyFont="1" applyFill="1" applyBorder="1" applyAlignment="1">
      <alignment horizontal="center" vertical="justify"/>
    </xf>
    <xf numFmtId="0" fontId="16" fillId="5" borderId="35" xfId="0" quotePrefix="1" applyFont="1" applyFill="1" applyBorder="1" applyAlignment="1">
      <alignment horizontal="center" vertical="center" wrapText="1"/>
    </xf>
    <xf numFmtId="0" fontId="16" fillId="5" borderId="36" xfId="0" quotePrefix="1" applyFont="1" applyFill="1" applyBorder="1" applyAlignment="1">
      <alignment horizontal="center" vertical="center" wrapText="1"/>
    </xf>
    <xf numFmtId="0" fontId="24" fillId="3" borderId="35" xfId="0" applyFont="1" applyFill="1" applyBorder="1" applyAlignment="1">
      <alignment horizontal="center" vertical="center" wrapText="1"/>
    </xf>
    <xf numFmtId="0" fontId="24" fillId="3" borderId="36" xfId="0" applyFont="1" applyFill="1" applyBorder="1" applyAlignment="1">
      <alignment horizontal="center" vertical="center" wrapText="1"/>
    </xf>
    <xf numFmtId="0" fontId="24" fillId="9" borderId="4" xfId="0" applyFont="1" applyFill="1" applyBorder="1" applyAlignment="1">
      <alignment horizontal="center" vertical="center"/>
    </xf>
    <xf numFmtId="0" fontId="24" fillId="9" borderId="5" xfId="0" applyFont="1" applyFill="1" applyBorder="1" applyAlignment="1">
      <alignment horizontal="center" vertical="center"/>
    </xf>
    <xf numFmtId="0" fontId="24" fillId="9" borderId="29" xfId="0" applyFont="1" applyFill="1" applyBorder="1" applyAlignment="1">
      <alignment horizontal="center" vertical="center"/>
    </xf>
    <xf numFmtId="0" fontId="24" fillId="9" borderId="32" xfId="0" applyFont="1" applyFill="1" applyBorder="1" applyAlignment="1">
      <alignment horizontal="center" vertical="center"/>
    </xf>
    <xf numFmtId="0" fontId="24" fillId="9" borderId="20" xfId="0" applyFont="1" applyFill="1" applyBorder="1" applyAlignment="1">
      <alignment horizontal="center" vertical="center"/>
    </xf>
    <xf numFmtId="0" fontId="24" fillId="9" borderId="21" xfId="0" applyFont="1" applyFill="1" applyBorder="1" applyAlignment="1">
      <alignment horizontal="center" vertical="center"/>
    </xf>
    <xf numFmtId="0" fontId="24" fillId="3" borderId="4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0" fontId="24" fillId="3" borderId="29" xfId="0" applyFont="1" applyFill="1" applyBorder="1" applyAlignment="1">
      <alignment horizontal="center" vertical="center"/>
    </xf>
    <xf numFmtId="0" fontId="24" fillId="3" borderId="32" xfId="0" applyFont="1" applyFill="1" applyBorder="1" applyAlignment="1">
      <alignment horizontal="center" vertical="center"/>
    </xf>
    <xf numFmtId="0" fontId="24" fillId="3" borderId="20" xfId="0" applyFont="1" applyFill="1" applyBorder="1" applyAlignment="1">
      <alignment horizontal="center" vertical="center"/>
    </xf>
    <xf numFmtId="0" fontId="24" fillId="3" borderId="21" xfId="0" applyFont="1" applyFill="1" applyBorder="1" applyAlignment="1">
      <alignment horizontal="center" vertical="center"/>
    </xf>
    <xf numFmtId="0" fontId="25" fillId="0" borderId="73" xfId="0" applyFont="1" applyBorder="1" applyAlignment="1">
      <alignment horizontal="right" vertical="center" wrapText="1"/>
    </xf>
    <xf numFmtId="0" fontId="25" fillId="0" borderId="76" xfId="0" applyFont="1" applyBorder="1" applyAlignment="1">
      <alignment horizontal="right" vertical="center" wrapText="1"/>
    </xf>
    <xf numFmtId="4" fontId="16" fillId="2" borderId="34" xfId="0" applyNumberFormat="1" applyFont="1" applyFill="1" applyBorder="1" applyAlignment="1">
      <alignment horizontal="center" vertical="center" wrapText="1"/>
    </xf>
    <xf numFmtId="4" fontId="16" fillId="2" borderId="24" xfId="0" applyNumberFormat="1" applyFont="1" applyFill="1" applyBorder="1" applyAlignment="1">
      <alignment horizontal="center" vertical="center" wrapText="1"/>
    </xf>
    <xf numFmtId="0" fontId="16" fillId="5" borderId="5" xfId="0" applyFont="1" applyFill="1" applyBorder="1" applyAlignment="1">
      <alignment horizontal="left" vertical="center" wrapText="1"/>
    </xf>
    <xf numFmtId="0" fontId="16" fillId="5" borderId="20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center" wrapText="1"/>
    </xf>
    <xf numFmtId="0" fontId="24" fillId="3" borderId="3" xfId="0" applyFont="1" applyFill="1" applyBorder="1" applyAlignment="1">
      <alignment horizontal="center" vertical="center" wrapText="1"/>
    </xf>
    <xf numFmtId="0" fontId="25" fillId="0" borderId="68" xfId="0" applyFont="1" applyBorder="1" applyAlignment="1">
      <alignment horizontal="right" vertical="center"/>
    </xf>
    <xf numFmtId="0" fontId="25" fillId="0" borderId="69" xfId="0" applyFont="1" applyBorder="1" applyAlignment="1">
      <alignment horizontal="right" vertical="center"/>
    </xf>
    <xf numFmtId="0" fontId="25" fillId="0" borderId="73" xfId="0" applyFont="1" applyBorder="1" applyAlignment="1">
      <alignment horizontal="right" vertical="center"/>
    </xf>
    <xf numFmtId="0" fontId="25" fillId="0" borderId="76" xfId="0" applyFont="1" applyBorder="1" applyAlignment="1">
      <alignment horizontal="right" vertical="center"/>
    </xf>
    <xf numFmtId="0" fontId="25" fillId="0" borderId="68" xfId="0" applyFont="1" applyBorder="1" applyAlignment="1">
      <alignment horizontal="right" vertical="center" wrapText="1"/>
    </xf>
    <xf numFmtId="0" fontId="25" fillId="0" borderId="69" xfId="0" applyFont="1" applyBorder="1" applyAlignment="1">
      <alignment horizontal="right" vertical="center" wrapText="1"/>
    </xf>
    <xf numFmtId="0" fontId="15" fillId="2" borderId="20" xfId="0" applyFont="1" applyFill="1" applyBorder="1" applyAlignment="1">
      <alignment horizontal="left"/>
    </xf>
    <xf numFmtId="0" fontId="15" fillId="2" borderId="21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vertical="top"/>
    </xf>
    <xf numFmtId="0" fontId="27" fillId="2" borderId="5" xfId="0" applyFont="1" applyFill="1" applyBorder="1" applyAlignment="1">
      <alignment horizontal="left" vertical="top"/>
    </xf>
    <xf numFmtId="0" fontId="27" fillId="2" borderId="29" xfId="0" applyFont="1" applyFill="1" applyBorder="1" applyAlignment="1">
      <alignment horizontal="left" vertical="top"/>
    </xf>
    <xf numFmtId="0" fontId="18" fillId="2" borderId="20" xfId="0" applyFont="1" applyFill="1" applyBorder="1" applyAlignment="1">
      <alignment horizontal="left" vertical="top" wrapText="1"/>
    </xf>
    <xf numFmtId="0" fontId="18" fillId="2" borderId="21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center"/>
    </xf>
    <xf numFmtId="0" fontId="15" fillId="2" borderId="0" xfId="0" applyFont="1" applyFill="1" applyBorder="1" applyAlignment="1">
      <alignment horizontal="left"/>
    </xf>
    <xf numFmtId="0" fontId="15" fillId="2" borderId="31" xfId="0" applyFont="1" applyFill="1" applyBorder="1" applyAlignment="1">
      <alignment horizontal="left"/>
    </xf>
    <xf numFmtId="0" fontId="16" fillId="2" borderId="32" xfId="0" applyFont="1" applyFill="1" applyBorder="1" applyAlignment="1" applyProtection="1">
      <alignment horizontal="center" vertical="top"/>
    </xf>
    <xf numFmtId="0" fontId="16" fillId="2" borderId="20" xfId="0" applyFont="1" applyFill="1" applyBorder="1" applyAlignment="1" applyProtection="1">
      <alignment horizontal="center" vertical="top"/>
    </xf>
    <xf numFmtId="0" fontId="16" fillId="2" borderId="21" xfId="0" applyFont="1" applyFill="1" applyBorder="1" applyAlignment="1" applyProtection="1">
      <alignment horizontal="center" vertical="top"/>
    </xf>
    <xf numFmtId="0" fontId="18" fillId="3" borderId="4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8" fillId="3" borderId="29" xfId="0" applyFont="1" applyFill="1" applyBorder="1" applyAlignment="1">
      <alignment horizontal="center" vertical="center"/>
    </xf>
    <xf numFmtId="0" fontId="18" fillId="3" borderId="32" xfId="0" applyFont="1" applyFill="1" applyBorder="1" applyAlignment="1">
      <alignment horizontal="center" vertical="center"/>
    </xf>
    <xf numFmtId="0" fontId="18" fillId="3" borderId="20" xfId="0" applyFont="1" applyFill="1" applyBorder="1" applyAlignment="1">
      <alignment horizontal="center" vertical="center"/>
    </xf>
    <xf numFmtId="0" fontId="18" fillId="3" borderId="21" xfId="0" applyFont="1" applyFill="1" applyBorder="1" applyAlignment="1">
      <alignment horizontal="center" vertical="center"/>
    </xf>
    <xf numFmtId="0" fontId="18" fillId="3" borderId="64" xfId="0" applyFont="1" applyFill="1" applyBorder="1" applyAlignment="1">
      <alignment horizontal="center" vertical="center" textRotation="90" wrapText="1"/>
    </xf>
    <xf numFmtId="0" fontId="18" fillId="3" borderId="106" xfId="0" applyFont="1" applyFill="1" applyBorder="1" applyAlignment="1">
      <alignment horizontal="center" vertical="center" textRotation="90" wrapText="1"/>
    </xf>
    <xf numFmtId="0" fontId="18" fillId="3" borderId="42" xfId="0" applyFont="1" applyFill="1" applyBorder="1" applyAlignment="1">
      <alignment horizontal="center" vertical="center" wrapText="1"/>
    </xf>
    <xf numFmtId="0" fontId="18" fillId="3" borderId="107" xfId="0" applyFont="1" applyFill="1" applyBorder="1" applyAlignment="1">
      <alignment horizontal="center" vertical="center" wrapText="1"/>
    </xf>
    <xf numFmtId="0" fontId="18" fillId="3" borderId="41" xfId="0" applyFont="1" applyFill="1" applyBorder="1" applyAlignment="1">
      <alignment horizontal="center" vertical="center" wrapText="1"/>
    </xf>
    <xf numFmtId="0" fontId="18" fillId="3" borderId="108" xfId="0" applyFont="1" applyFill="1" applyBorder="1" applyAlignment="1">
      <alignment horizontal="center" vertical="center" wrapText="1"/>
    </xf>
    <xf numFmtId="0" fontId="18" fillId="3" borderId="32" xfId="0" applyNumberFormat="1" applyFont="1" applyFill="1" applyBorder="1" applyAlignment="1">
      <alignment horizontal="center" vertical="justify"/>
    </xf>
    <xf numFmtId="0" fontId="18" fillId="3" borderId="20" xfId="0" applyNumberFormat="1" applyFont="1" applyFill="1" applyBorder="1" applyAlignment="1">
      <alignment horizontal="center" vertical="justify"/>
    </xf>
    <xf numFmtId="0" fontId="18" fillId="3" borderId="21" xfId="0" applyNumberFormat="1" applyFont="1" applyFill="1" applyBorder="1" applyAlignment="1">
      <alignment horizontal="center" vertical="justify"/>
    </xf>
    <xf numFmtId="0" fontId="18" fillId="3" borderId="81" xfId="0" applyFont="1" applyFill="1" applyBorder="1" applyAlignment="1">
      <alignment horizontal="center" vertical="center" wrapText="1"/>
    </xf>
    <xf numFmtId="0" fontId="18" fillId="3" borderId="7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171" fontId="2" fillId="0" borderId="9" xfId="10" applyNumberFormat="1" applyFont="1" applyFill="1" applyBorder="1" applyAlignment="1">
      <alignment horizontal="center" vertical="center"/>
    </xf>
    <xf numFmtId="171" fontId="2" fillId="0" borderId="49" xfId="10" applyNumberFormat="1" applyFont="1" applyFill="1" applyBorder="1" applyAlignment="1">
      <alignment horizontal="center" vertical="center"/>
    </xf>
    <xf numFmtId="0" fontId="1" fillId="2" borderId="4" xfId="10" applyFont="1" applyFill="1" applyBorder="1" applyAlignment="1">
      <alignment horizontal="center" vertical="center"/>
    </xf>
    <xf numFmtId="0" fontId="1" fillId="2" borderId="5" xfId="10" applyFont="1" applyFill="1" applyBorder="1" applyAlignment="1">
      <alignment horizontal="center" vertical="center"/>
    </xf>
    <xf numFmtId="0" fontId="1" fillId="2" borderId="29" xfId="10" applyFont="1" applyFill="1" applyBorder="1" applyAlignment="1">
      <alignment horizontal="center" vertical="center"/>
    </xf>
    <xf numFmtId="4" fontId="1" fillId="2" borderId="58" xfId="10" applyNumberFormat="1" applyFont="1" applyFill="1" applyBorder="1" applyAlignment="1">
      <alignment horizontal="center" vertical="center"/>
    </xf>
    <xf numFmtId="4" fontId="1" fillId="2" borderId="59" xfId="10" applyNumberFormat="1" applyFont="1" applyFill="1" applyBorder="1" applyAlignment="1">
      <alignment horizontal="center" vertical="center"/>
    </xf>
    <xf numFmtId="171" fontId="2" fillId="0" borderId="46" xfId="10" applyNumberFormat="1" applyFont="1" applyFill="1" applyBorder="1" applyAlignment="1">
      <alignment horizontal="center" vertical="center"/>
    </xf>
    <xf numFmtId="171" fontId="2" fillId="0" borderId="47" xfId="10" applyNumberFormat="1" applyFont="1" applyFill="1" applyBorder="1" applyAlignment="1">
      <alignment horizontal="center" vertical="center"/>
    </xf>
    <xf numFmtId="4" fontId="1" fillId="3" borderId="4" xfId="10" applyNumberFormat="1" applyFont="1" applyFill="1" applyBorder="1" applyAlignment="1">
      <alignment horizontal="left" vertical="center" wrapText="1"/>
    </xf>
    <xf numFmtId="4" fontId="1" fillId="3" borderId="5" xfId="10" applyNumberFormat="1" applyFont="1" applyFill="1" applyBorder="1" applyAlignment="1">
      <alignment horizontal="left" vertical="center" wrapText="1"/>
    </xf>
    <xf numFmtId="4" fontId="1" fillId="3" borderId="32" xfId="10" applyNumberFormat="1" applyFont="1" applyFill="1" applyBorder="1" applyAlignment="1">
      <alignment horizontal="left" vertical="center" wrapText="1"/>
    </xf>
    <xf numFmtId="4" fontId="1" fillId="3" borderId="20" xfId="10" applyNumberFormat="1" applyFont="1" applyFill="1" applyBorder="1" applyAlignment="1">
      <alignment horizontal="left" vertical="center" wrapText="1"/>
    </xf>
    <xf numFmtId="0" fontId="1" fillId="3" borderId="35" xfId="10" applyFont="1" applyFill="1" applyBorder="1" applyAlignment="1">
      <alignment horizontal="center" vertical="center"/>
    </xf>
    <xf numFmtId="0" fontId="1" fillId="3" borderId="77" xfId="10" applyFont="1" applyFill="1" applyBorder="1" applyAlignment="1">
      <alignment horizontal="center" vertical="center"/>
    </xf>
    <xf numFmtId="4" fontId="1" fillId="3" borderId="35" xfId="10" applyNumberFormat="1" applyFont="1" applyFill="1" applyBorder="1" applyAlignment="1">
      <alignment horizontal="center" vertical="center"/>
    </xf>
    <xf numFmtId="4" fontId="1" fillId="3" borderId="77" xfId="1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" fillId="7" borderId="5" xfId="0" applyFont="1" applyFill="1" applyBorder="1" applyAlignment="1">
      <alignment vertical="top" wrapText="1"/>
    </xf>
    <xf numFmtId="0" fontId="1" fillId="7" borderId="0" xfId="0" applyFont="1" applyFill="1" applyBorder="1" applyAlignment="1">
      <alignment vertical="top" wrapText="1"/>
    </xf>
    <xf numFmtId="0" fontId="1" fillId="7" borderId="7" xfId="0" applyFont="1" applyFill="1" applyBorder="1" applyAlignment="1">
      <alignment horizontal="left" vertical="center" wrapText="1"/>
    </xf>
    <xf numFmtId="3" fontId="1" fillId="5" borderId="60" xfId="5" applyFont="1" applyFill="1" applyBorder="1" applyAlignment="1">
      <alignment horizontal="left" vertical="center" wrapText="1"/>
    </xf>
    <xf numFmtId="0" fontId="1" fillId="5" borderId="32" xfId="0" applyFont="1" applyFill="1" applyBorder="1" applyAlignment="1">
      <alignment horizontal="right" vertical="center" wrapText="1"/>
    </xf>
    <xf numFmtId="0" fontId="1" fillId="5" borderId="2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1" fillId="5" borderId="1" xfId="0" applyFont="1" applyFill="1" applyBorder="1" applyAlignment="1">
      <alignment horizontal="right" vertical="center" wrapText="1"/>
    </xf>
    <xf numFmtId="0" fontId="1" fillId="5" borderId="20" xfId="0" applyFont="1" applyFill="1" applyBorder="1" applyAlignment="1">
      <alignment horizontal="right" vertical="center" wrapText="1"/>
    </xf>
    <xf numFmtId="0" fontId="3" fillId="0" borderId="38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4" fillId="7" borderId="35" xfId="0" applyFont="1" applyFill="1" applyBorder="1" applyAlignment="1">
      <alignment horizontal="left" vertical="center"/>
    </xf>
    <xf numFmtId="0" fontId="4" fillId="7" borderId="81" xfId="0" applyFont="1" applyFill="1" applyBorder="1" applyAlignment="1">
      <alignment horizontal="left" vertical="center"/>
    </xf>
    <xf numFmtId="4" fontId="1" fillId="7" borderId="35" xfId="0" applyNumberFormat="1" applyFont="1" applyFill="1" applyBorder="1" applyAlignment="1">
      <alignment horizontal="right" vertical="center" wrapText="1"/>
    </xf>
    <xf numFmtId="0" fontId="1" fillId="7" borderId="8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3" fontId="1" fillId="3" borderId="1" xfId="5" applyFont="1" applyFill="1" applyBorder="1" applyAlignment="1">
      <alignment horizontal="center" vertical="center" wrapText="1"/>
    </xf>
    <xf numFmtId="3" fontId="1" fillId="3" borderId="2" xfId="5" applyFont="1" applyFill="1" applyBorder="1" applyAlignment="1">
      <alignment horizontal="center" vertical="center" wrapText="1"/>
    </xf>
    <xf numFmtId="3" fontId="1" fillId="3" borderId="3" xfId="5" applyFont="1" applyFill="1" applyBorder="1" applyAlignment="1">
      <alignment horizontal="center" vertical="center" wrapText="1"/>
    </xf>
    <xf numFmtId="0" fontId="1" fillId="2" borderId="32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5" fillId="2" borderId="1" xfId="0" applyFont="1" applyFill="1" applyBorder="1" applyAlignment="1">
      <alignment horizontal="left" vertical="center"/>
    </xf>
    <xf numFmtId="0" fontId="15" fillId="2" borderId="2" xfId="0" applyFont="1" applyFill="1" applyBorder="1" applyAlignment="1">
      <alignment horizontal="left" vertical="center"/>
    </xf>
    <xf numFmtId="0" fontId="15" fillId="2" borderId="3" xfId="0" applyFont="1" applyFill="1" applyBorder="1" applyAlignment="1">
      <alignment horizontal="left" vertical="center"/>
    </xf>
    <xf numFmtId="0" fontId="18" fillId="2" borderId="26" xfId="0" applyFont="1" applyFill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18" fillId="2" borderId="46" xfId="0" applyFont="1" applyFill="1" applyBorder="1" applyAlignment="1">
      <alignment horizontal="center" vertical="center"/>
    </xf>
    <xf numFmtId="0" fontId="18" fillId="2" borderId="50" xfId="0" applyFont="1" applyFill="1" applyBorder="1" applyAlignment="1">
      <alignment horizontal="center" vertical="center"/>
    </xf>
    <xf numFmtId="0" fontId="18" fillId="2" borderId="47" xfId="0" applyFont="1" applyFill="1" applyBorder="1" applyAlignment="1">
      <alignment horizontal="center" vertical="center"/>
    </xf>
    <xf numFmtId="0" fontId="12" fillId="2" borderId="4" xfId="0" applyFont="1" applyFill="1" applyBorder="1" applyAlignment="1" applyProtection="1">
      <alignment horizontal="center" vertical="center"/>
    </xf>
    <xf numFmtId="0" fontId="12" fillId="2" borderId="5" xfId="0" applyFont="1" applyFill="1" applyBorder="1" applyAlignment="1" applyProtection="1">
      <alignment horizontal="center" vertical="center"/>
    </xf>
    <xf numFmtId="0" fontId="12" fillId="2" borderId="29" xfId="0" applyFont="1" applyFill="1" applyBorder="1" applyAlignment="1" applyProtection="1">
      <alignment horizontal="center" vertical="center"/>
    </xf>
    <xf numFmtId="0" fontId="12" fillId="2" borderId="3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</xf>
    <xf numFmtId="0" fontId="12" fillId="2" borderId="31" xfId="0" applyFont="1" applyFill="1" applyBorder="1" applyAlignment="1" applyProtection="1">
      <alignment horizontal="center" vertical="center"/>
    </xf>
    <xf numFmtId="0" fontId="11" fillId="2" borderId="32" xfId="0" applyFont="1" applyFill="1" applyBorder="1" applyAlignment="1" applyProtection="1">
      <alignment horizontal="center" vertical="center"/>
    </xf>
    <xf numFmtId="0" fontId="11" fillId="2" borderId="20" xfId="0" applyFont="1" applyFill="1" applyBorder="1" applyAlignment="1" applyProtection="1">
      <alignment horizontal="center" vertical="center"/>
    </xf>
    <xf numFmtId="0" fontId="11" fillId="2" borderId="21" xfId="0" applyFont="1" applyFill="1" applyBorder="1" applyAlignment="1" applyProtection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7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7" borderId="103" xfId="0" applyFont="1" applyFill="1" applyBorder="1" applyAlignment="1">
      <alignment horizontal="left" vertical="center" wrapText="1"/>
    </xf>
    <xf numFmtId="0" fontId="4" fillId="7" borderId="59" xfId="0" applyFont="1" applyFill="1" applyBorder="1" applyAlignment="1">
      <alignment horizontal="left" vertical="center" wrapText="1"/>
    </xf>
    <xf numFmtId="0" fontId="4" fillId="0" borderId="35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10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7" borderId="44" xfId="0" applyFont="1" applyFill="1" applyBorder="1" applyAlignment="1">
      <alignment horizontal="left" vertical="center" wrapText="1"/>
    </xf>
    <xf numFmtId="0" fontId="4" fillId="7" borderId="39" xfId="0" applyFont="1" applyFill="1" applyBorder="1" applyAlignment="1">
      <alignment horizontal="left" vertical="center" wrapText="1"/>
    </xf>
    <xf numFmtId="0" fontId="4" fillId="5" borderId="26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19" xfId="0" applyFont="1" applyFill="1" applyBorder="1" applyAlignment="1" applyProtection="1">
      <alignment horizontal="center" vertical="center" wrapText="1"/>
    </xf>
    <xf numFmtId="0" fontId="11" fillId="2" borderId="30" xfId="4" applyFont="1" applyFill="1" applyBorder="1" applyAlignment="1">
      <alignment horizontal="left" vertical="top" wrapText="1"/>
    </xf>
    <xf numFmtId="0" fontId="11" fillId="2" borderId="32" xfId="4" applyFont="1" applyFill="1" applyBorder="1" applyAlignment="1">
      <alignment horizontal="left" vertical="top" wrapText="1"/>
    </xf>
    <xf numFmtId="3" fontId="1" fillId="3" borderId="38" xfId="5" applyFont="1" applyFill="1" applyBorder="1" applyAlignment="1">
      <alignment horizontal="right" vertical="center"/>
    </xf>
    <xf numFmtId="3" fontId="1" fillId="3" borderId="60" xfId="5" applyFont="1" applyFill="1" applyBorder="1" applyAlignment="1">
      <alignment horizontal="right" vertical="center"/>
    </xf>
    <xf numFmtId="0" fontId="2" fillId="0" borderId="41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41" xfId="0" applyNumberFormat="1" applyFont="1" applyBorder="1" applyAlignment="1">
      <alignment horizontal="center" vertical="center"/>
    </xf>
  </cellXfs>
  <cellStyles count="14">
    <cellStyle name="Moeda" xfId="13" builtinId="4"/>
    <cellStyle name="Normal" xfId="0" builtinId="0"/>
    <cellStyle name="Normal 2" xfId="9" xr:uid="{00000000-0005-0000-0000-000002000000}"/>
    <cellStyle name="Normal 2 2" xfId="10" xr:uid="{00000000-0005-0000-0000-000003000000}"/>
    <cellStyle name="Normal 3" xfId="8" xr:uid="{00000000-0005-0000-0000-000004000000}"/>
    <cellStyle name="Normal_Estrutura_de_preço_-_CODEVASF_versão8" xfId="7" xr:uid="{00000000-0005-0000-0000-000005000000}"/>
    <cellStyle name="Normal_Estrutura_de_preços_-_CODEVASF_versão10" xfId="5" xr:uid="{00000000-0005-0000-0000-000006000000}"/>
    <cellStyle name="Normal_PP-2A" xfId="2" xr:uid="{00000000-0005-0000-0000-000007000000}"/>
    <cellStyle name="Normal_PP-V" xfId="4" xr:uid="{00000000-0005-0000-0000-000008000000}"/>
    <cellStyle name="Normal_PP-VI" xfId="3" xr:uid="{00000000-0005-0000-0000-000009000000}"/>
    <cellStyle name="Porcentagem" xfId="12" builtinId="5"/>
    <cellStyle name="Separador de milhares 5" xfId="1" xr:uid="{00000000-0005-0000-0000-00000B000000}"/>
    <cellStyle name="TableStyleLight1" xfId="6" xr:uid="{00000000-0005-0000-0000-00000C000000}"/>
    <cellStyle name="Vírgula" xfId="1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4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109538</xdr:colOff>
      <xdr:row>0</xdr:row>
      <xdr:rowOff>152400</xdr:rowOff>
    </xdr:from>
    <xdr:to>
      <xdr:col>1</xdr:col>
      <xdr:colOff>500062</xdr:colOff>
      <xdr:row>2</xdr:row>
      <xdr:rowOff>47716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8" y="152400"/>
          <a:ext cx="723899" cy="20487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52388</xdr:colOff>
      <xdr:row>0</xdr:row>
      <xdr:rowOff>114301</xdr:rowOff>
    </xdr:from>
    <xdr:to>
      <xdr:col>1</xdr:col>
      <xdr:colOff>600075</xdr:colOff>
      <xdr:row>2</xdr:row>
      <xdr:rowOff>31136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8" y="114301"/>
          <a:ext cx="871537" cy="2406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73820</xdr:colOff>
      <xdr:row>0</xdr:row>
      <xdr:rowOff>9525</xdr:rowOff>
    </xdr:from>
    <xdr:to>
      <xdr:col>1</xdr:col>
      <xdr:colOff>833437</xdr:colOff>
      <xdr:row>1</xdr:row>
      <xdr:rowOff>119969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20" y="9525"/>
          <a:ext cx="1321592" cy="3104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73820</xdr:colOff>
      <xdr:row>0</xdr:row>
      <xdr:rowOff>9525</xdr:rowOff>
    </xdr:from>
    <xdr:to>
      <xdr:col>1</xdr:col>
      <xdr:colOff>833437</xdr:colOff>
      <xdr:row>1</xdr:row>
      <xdr:rowOff>119969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20" y="9525"/>
          <a:ext cx="1502567" cy="2723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73820</xdr:colOff>
      <xdr:row>0</xdr:row>
      <xdr:rowOff>9525</xdr:rowOff>
    </xdr:from>
    <xdr:to>
      <xdr:col>1</xdr:col>
      <xdr:colOff>833437</xdr:colOff>
      <xdr:row>1</xdr:row>
      <xdr:rowOff>119969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20" y="9525"/>
          <a:ext cx="1321592" cy="3104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0</xdr:row>
      <xdr:rowOff>1</xdr:rowOff>
    </xdr:from>
    <xdr:to>
      <xdr:col>1</xdr:col>
      <xdr:colOff>1309273</xdr:colOff>
      <xdr:row>1</xdr:row>
      <xdr:rowOff>109905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1"/>
          <a:ext cx="1309272" cy="3004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126547</xdr:colOff>
      <xdr:row>0</xdr:row>
      <xdr:rowOff>50348</xdr:rowOff>
    </xdr:from>
    <xdr:to>
      <xdr:col>1</xdr:col>
      <xdr:colOff>583746</xdr:colOff>
      <xdr:row>1</xdr:row>
      <xdr:rowOff>108857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547" y="50348"/>
          <a:ext cx="919842" cy="208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0</xdr:row>
      <xdr:rowOff>104776</xdr:rowOff>
    </xdr:from>
    <xdr:to>
      <xdr:col>1</xdr:col>
      <xdr:colOff>542925</xdr:colOff>
      <xdr:row>2</xdr:row>
      <xdr:rowOff>24180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6" y="104776"/>
          <a:ext cx="781049" cy="2242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109538</xdr:colOff>
      <xdr:row>0</xdr:row>
      <xdr:rowOff>152400</xdr:rowOff>
    </xdr:from>
    <xdr:to>
      <xdr:col>1</xdr:col>
      <xdr:colOff>500062</xdr:colOff>
      <xdr:row>2</xdr:row>
      <xdr:rowOff>47716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8" y="152400"/>
          <a:ext cx="866774" cy="2763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61913</xdr:colOff>
      <xdr:row>0</xdr:row>
      <xdr:rowOff>9526</xdr:rowOff>
    </xdr:from>
    <xdr:to>
      <xdr:col>1</xdr:col>
      <xdr:colOff>385918</xdr:colOff>
      <xdr:row>1</xdr:row>
      <xdr:rowOff>59532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3" y="9526"/>
          <a:ext cx="543080" cy="21193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407194</xdr:colOff>
      <xdr:row>0</xdr:row>
      <xdr:rowOff>57150</xdr:rowOff>
    </xdr:from>
    <xdr:to>
      <xdr:col>1</xdr:col>
      <xdr:colOff>1595437</xdr:colOff>
      <xdr:row>1</xdr:row>
      <xdr:rowOff>144147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069" y="57150"/>
          <a:ext cx="1188243" cy="2536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129949</xdr:colOff>
      <xdr:row>0</xdr:row>
      <xdr:rowOff>63953</xdr:rowOff>
    </xdr:from>
    <xdr:to>
      <xdr:col>1</xdr:col>
      <xdr:colOff>775607</xdr:colOff>
      <xdr:row>1</xdr:row>
      <xdr:rowOff>169968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949" y="63953"/>
          <a:ext cx="1189944" cy="2965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21432</xdr:colOff>
      <xdr:row>0</xdr:row>
      <xdr:rowOff>95251</xdr:rowOff>
    </xdr:from>
    <xdr:to>
      <xdr:col>1</xdr:col>
      <xdr:colOff>639905</xdr:colOff>
      <xdr:row>2</xdr:row>
      <xdr:rowOff>47625</xdr:rowOff>
    </xdr:to>
    <xdr:pic>
      <xdr:nvPicPr>
        <xdr:cNvPr id="4" name="Imagem 7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2" y="95251"/>
          <a:ext cx="975661" cy="2857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61914</xdr:colOff>
      <xdr:row>0</xdr:row>
      <xdr:rowOff>51858</xdr:rowOff>
    </xdr:from>
    <xdr:to>
      <xdr:col>1</xdr:col>
      <xdr:colOff>878418</xdr:colOff>
      <xdr:row>2</xdr:row>
      <xdr:rowOff>72290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4" y="51858"/>
          <a:ext cx="1168929" cy="3252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61913</xdr:colOff>
      <xdr:row>0</xdr:row>
      <xdr:rowOff>9525</xdr:rowOff>
    </xdr:from>
    <xdr:to>
      <xdr:col>1</xdr:col>
      <xdr:colOff>1250156</xdr:colOff>
      <xdr:row>2</xdr:row>
      <xdr:rowOff>130968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3" y="9525"/>
          <a:ext cx="1731168" cy="4452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33338</xdr:colOff>
      <xdr:row>0</xdr:row>
      <xdr:rowOff>123826</xdr:rowOff>
    </xdr:from>
    <xdr:to>
      <xdr:col>1</xdr:col>
      <xdr:colOff>485775</xdr:colOff>
      <xdr:row>1</xdr:row>
      <xdr:rowOff>127001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8" y="123826"/>
          <a:ext cx="674687" cy="273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33337</xdr:colOff>
      <xdr:row>0</xdr:row>
      <xdr:rowOff>123826</xdr:rowOff>
    </xdr:from>
    <xdr:to>
      <xdr:col>1</xdr:col>
      <xdr:colOff>514350</xdr:colOff>
      <xdr:row>2</xdr:row>
      <xdr:rowOff>38100</xdr:rowOff>
    </xdr:to>
    <xdr:pic>
      <xdr:nvPicPr>
        <xdr:cNvPr id="2" name="Imagem 7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" y="123826"/>
          <a:ext cx="614363" cy="2952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4"/>
  <sheetViews>
    <sheetView tabSelected="1" view="pageBreakPreview" topLeftCell="A7" zoomScaleNormal="85" zoomScaleSheetLayoutView="100" workbookViewId="0">
      <selection activeCell="G22" sqref="G22"/>
    </sheetView>
  </sheetViews>
  <sheetFormatPr defaultRowHeight="15" x14ac:dyDescent="0.25"/>
  <cols>
    <col min="1" max="1" width="6.7109375" style="898" bestFit="1" customWidth="1"/>
    <col min="2" max="2" width="78.140625" style="701" bestFit="1" customWidth="1"/>
    <col min="3" max="3" width="18.85546875" style="702" bestFit="1" customWidth="1"/>
    <col min="4" max="4" width="3.42578125" style="782" customWidth="1"/>
    <col min="5" max="5" width="10.140625" style="688" bestFit="1" customWidth="1"/>
    <col min="6" max="6" width="9.140625" style="688"/>
    <col min="7" max="7" width="15" style="688" bestFit="1" customWidth="1"/>
    <col min="8" max="8" width="5" style="688" bestFit="1" customWidth="1"/>
    <col min="9" max="16384" width="9.140625" style="688"/>
  </cols>
  <sheetData>
    <row r="1" spans="1:3" x14ac:dyDescent="0.25">
      <c r="A1" s="1167" t="s">
        <v>294</v>
      </c>
      <c r="B1" s="1168"/>
      <c r="C1" s="1169"/>
    </row>
    <row r="2" spans="1:3" x14ac:dyDescent="0.25">
      <c r="A2" s="1170" t="s">
        <v>295</v>
      </c>
      <c r="B2" s="1171"/>
      <c r="C2" s="1172"/>
    </row>
    <row r="3" spans="1:3" ht="15.75" thickBot="1" x14ac:dyDescent="0.3">
      <c r="A3" s="1173"/>
      <c r="B3" s="1174"/>
      <c r="C3" s="1175"/>
    </row>
    <row r="4" spans="1:3" ht="15.75" thickBot="1" x14ac:dyDescent="0.3">
      <c r="A4" s="888"/>
      <c r="B4" s="689"/>
      <c r="C4" s="690"/>
    </row>
    <row r="5" spans="1:3" x14ac:dyDescent="0.25">
      <c r="A5" s="1179" t="s">
        <v>292</v>
      </c>
      <c r="B5" s="1180"/>
      <c r="C5" s="1181"/>
    </row>
    <row r="6" spans="1:3" x14ac:dyDescent="0.25">
      <c r="A6" s="1182"/>
      <c r="B6" s="1183"/>
      <c r="C6" s="1184"/>
    </row>
    <row r="7" spans="1:3" ht="15.75" thickBot="1" x14ac:dyDescent="0.3">
      <c r="A7" s="1185"/>
      <c r="B7" s="1186"/>
      <c r="C7" s="1187"/>
    </row>
    <row r="8" spans="1:3" ht="15.75" thickBot="1" x14ac:dyDescent="0.3">
      <c r="A8" s="888"/>
      <c r="B8" s="689"/>
      <c r="C8" s="690"/>
    </row>
    <row r="9" spans="1:3" ht="16.5" thickBot="1" x14ac:dyDescent="0.3">
      <c r="A9" s="1176" t="s">
        <v>869</v>
      </c>
      <c r="B9" s="1177"/>
      <c r="C9" s="1178"/>
    </row>
    <row r="10" spans="1:3" ht="15.75" thickBot="1" x14ac:dyDescent="0.3">
      <c r="A10" s="888"/>
      <c r="B10" s="689"/>
      <c r="C10" s="690"/>
    </row>
    <row r="11" spans="1:3" x14ac:dyDescent="0.25">
      <c r="A11" s="1156" t="s">
        <v>0</v>
      </c>
      <c r="B11" s="1159" t="s">
        <v>1</v>
      </c>
      <c r="C11" s="1162" t="s">
        <v>987</v>
      </c>
    </row>
    <row r="12" spans="1:3" x14ac:dyDescent="0.25">
      <c r="A12" s="1157"/>
      <c r="B12" s="1160"/>
      <c r="C12" s="1163"/>
    </row>
    <row r="13" spans="1:3" ht="15.75" thickBot="1" x14ac:dyDescent="0.3">
      <c r="A13" s="1158"/>
      <c r="B13" s="1161"/>
      <c r="C13" s="1164"/>
    </row>
    <row r="14" spans="1:3" ht="32.25" thickBot="1" x14ac:dyDescent="0.3">
      <c r="A14" s="889" t="s">
        <v>99</v>
      </c>
      <c r="B14" s="709" t="s">
        <v>974</v>
      </c>
      <c r="C14" s="710">
        <f>SUM(C15:C21)</f>
        <v>0</v>
      </c>
    </row>
    <row r="15" spans="1:3" ht="45" x14ac:dyDescent="0.25">
      <c r="A15" s="890" t="s">
        <v>4</v>
      </c>
      <c r="B15" s="691" t="s">
        <v>281</v>
      </c>
      <c r="C15" s="692">
        <f>'Mao de Obra'!C33</f>
        <v>0</v>
      </c>
    </row>
    <row r="16" spans="1:3" x14ac:dyDescent="0.25">
      <c r="A16" s="891" t="s">
        <v>5</v>
      </c>
      <c r="B16" s="693" t="s">
        <v>44</v>
      </c>
      <c r="C16" s="694">
        <f>'Mao de Obra'!C59:D59</f>
        <v>0</v>
      </c>
    </row>
    <row r="17" spans="1:7" x14ac:dyDescent="0.25">
      <c r="A17" s="891" t="s">
        <v>6</v>
      </c>
      <c r="B17" s="693" t="s">
        <v>225</v>
      </c>
      <c r="C17" s="694">
        <f>'Mao de Obra'!C81</f>
        <v>0</v>
      </c>
    </row>
    <row r="18" spans="1:7" x14ac:dyDescent="0.25">
      <c r="A18" s="891" t="s">
        <v>7</v>
      </c>
      <c r="B18" s="693" t="s">
        <v>677</v>
      </c>
      <c r="C18" s="694">
        <f>'Mao de Obra'!C102</f>
        <v>0</v>
      </c>
    </row>
    <row r="19" spans="1:7" ht="30" x14ac:dyDescent="0.25">
      <c r="A19" s="891" t="s">
        <v>8</v>
      </c>
      <c r="B19" s="693" t="s">
        <v>45</v>
      </c>
      <c r="C19" s="694">
        <f>'Mao de Obra'!C125</f>
        <v>0</v>
      </c>
    </row>
    <row r="20" spans="1:7" x14ac:dyDescent="0.25">
      <c r="A20" s="891" t="s">
        <v>9</v>
      </c>
      <c r="B20" s="693" t="s">
        <v>283</v>
      </c>
      <c r="C20" s="694">
        <f>'Mao de Obra'!C146</f>
        <v>0</v>
      </c>
    </row>
    <row r="21" spans="1:7" ht="15.75" thickBot="1" x14ac:dyDescent="0.3">
      <c r="A21" s="892" t="s">
        <v>11</v>
      </c>
      <c r="B21" s="695" t="s">
        <v>832</v>
      </c>
      <c r="C21" s="696">
        <f>'Mao de Obra'!C174</f>
        <v>0</v>
      </c>
    </row>
    <row r="22" spans="1:7" ht="16.5" thickBot="1" x14ac:dyDescent="0.3">
      <c r="A22" s="889" t="s">
        <v>100</v>
      </c>
      <c r="B22" s="711" t="s">
        <v>971</v>
      </c>
      <c r="C22" s="781">
        <f>SUM(C23:C32)</f>
        <v>0</v>
      </c>
    </row>
    <row r="23" spans="1:7" x14ac:dyDescent="0.25">
      <c r="A23" s="890" t="s">
        <v>81</v>
      </c>
      <c r="B23" s="691" t="s">
        <v>956</v>
      </c>
      <c r="C23" s="692">
        <f>Mobilizacao_Desmobilizacao!I24</f>
        <v>0</v>
      </c>
    </row>
    <row r="24" spans="1:7" x14ac:dyDescent="0.25">
      <c r="A24" s="891" t="s">
        <v>82</v>
      </c>
      <c r="B24" s="693" t="s">
        <v>749</v>
      </c>
      <c r="C24" s="694">
        <f>Mobilizacao_Desmobilizacao!I37</f>
        <v>0</v>
      </c>
      <c r="G24" s="883"/>
    </row>
    <row r="25" spans="1:7" x14ac:dyDescent="0.25">
      <c r="A25" s="891" t="s">
        <v>286</v>
      </c>
      <c r="B25" s="697" t="s">
        <v>957</v>
      </c>
      <c r="C25" s="694">
        <f>'Outras Despesas (Adm_Manut)'!K13</f>
        <v>0</v>
      </c>
    </row>
    <row r="26" spans="1:7" x14ac:dyDescent="0.25">
      <c r="A26" s="891" t="s">
        <v>287</v>
      </c>
      <c r="B26" s="697" t="s">
        <v>312</v>
      </c>
      <c r="C26" s="850">
        <f>'Outras Despesas (Adm_Manut)'!K18</f>
        <v>0</v>
      </c>
    </row>
    <row r="27" spans="1:7" x14ac:dyDescent="0.25">
      <c r="A27" s="891" t="s">
        <v>288</v>
      </c>
      <c r="B27" s="697" t="s">
        <v>754</v>
      </c>
      <c r="C27" s="699">
        <f>'Outras Despesas (Adm_Manut)'!K23</f>
        <v>0</v>
      </c>
    </row>
    <row r="28" spans="1:7" x14ac:dyDescent="0.25">
      <c r="A28" s="891" t="s">
        <v>289</v>
      </c>
      <c r="B28" s="697" t="s">
        <v>407</v>
      </c>
      <c r="C28" s="699">
        <f>'Outras Despesas (Adm_Manut)'!K36</f>
        <v>0</v>
      </c>
    </row>
    <row r="29" spans="1:7" x14ac:dyDescent="0.25">
      <c r="A29" s="891" t="s">
        <v>290</v>
      </c>
      <c r="B29" s="697" t="s">
        <v>759</v>
      </c>
      <c r="C29" s="699">
        <f>'Outras Despesas (Adm_Manut)'!K41</f>
        <v>0</v>
      </c>
      <c r="G29" s="688" t="s">
        <v>1017</v>
      </c>
    </row>
    <row r="30" spans="1:7" x14ac:dyDescent="0.25">
      <c r="A30" s="891" t="s">
        <v>291</v>
      </c>
      <c r="B30" s="697" t="s">
        <v>742</v>
      </c>
      <c r="C30" s="699">
        <f>'Outras Despesas (Adm_Manut)'!K43</f>
        <v>0</v>
      </c>
    </row>
    <row r="31" spans="1:7" x14ac:dyDescent="0.25">
      <c r="A31" s="891" t="s">
        <v>358</v>
      </c>
      <c r="B31" s="697" t="s">
        <v>408</v>
      </c>
      <c r="C31" s="699">
        <f>'Outras Despesas (Adm_Manut)'!K50</f>
        <v>0</v>
      </c>
    </row>
    <row r="32" spans="1:7" ht="15.75" thickBot="1" x14ac:dyDescent="0.3">
      <c r="A32" s="892" t="s">
        <v>359</v>
      </c>
      <c r="B32" s="700" t="s">
        <v>958</v>
      </c>
      <c r="C32" s="698">
        <f>'Outras Despesas (Adm_Manut)'!K47</f>
        <v>0</v>
      </c>
    </row>
    <row r="33" spans="1:5" ht="15.75" thickBot="1" x14ac:dyDescent="0.3">
      <c r="A33" s="893"/>
      <c r="B33" s="851"/>
      <c r="C33" s="852"/>
    </row>
    <row r="34" spans="1:5" ht="16.5" thickBot="1" x14ac:dyDescent="0.3">
      <c r="A34" s="1165" t="s">
        <v>973</v>
      </c>
      <c r="B34" s="1166"/>
      <c r="C34" s="853">
        <f>C14+C22</f>
        <v>0</v>
      </c>
    </row>
    <row r="35" spans="1:5" x14ac:dyDescent="0.25">
      <c r="A35" s="894"/>
      <c r="B35" s="854"/>
      <c r="C35" s="855"/>
      <c r="E35" s="883"/>
    </row>
    <row r="36" spans="1:5" x14ac:dyDescent="0.25">
      <c r="A36" s="895"/>
      <c r="B36" s="854"/>
      <c r="C36" s="856"/>
    </row>
    <row r="37" spans="1:5" s="704" customFormat="1" ht="15.75" thickBot="1" x14ac:dyDescent="0.3">
      <c r="A37" s="895"/>
      <c r="B37" s="854"/>
      <c r="C37" s="856" t="s">
        <v>1019</v>
      </c>
      <c r="D37" s="703"/>
    </row>
    <row r="38" spans="1:5" s="704" customFormat="1" x14ac:dyDescent="0.25">
      <c r="A38" s="1194" t="s">
        <v>49</v>
      </c>
      <c r="B38" s="1195"/>
      <c r="C38" s="884" t="s">
        <v>50</v>
      </c>
      <c r="D38" s="703"/>
    </row>
    <row r="39" spans="1:5" s="704" customFormat="1" ht="15.75" thickBot="1" x14ac:dyDescent="0.3">
      <c r="A39" s="1196"/>
      <c r="B39" s="1197"/>
      <c r="C39" s="885"/>
      <c r="D39" s="703"/>
    </row>
    <row r="40" spans="1:5" s="704" customFormat="1" x14ac:dyDescent="0.25">
      <c r="A40" s="1194" t="s">
        <v>51</v>
      </c>
      <c r="B40" s="1195"/>
      <c r="C40" s="886" t="s">
        <v>52</v>
      </c>
      <c r="D40" s="703"/>
    </row>
    <row r="41" spans="1:5" s="704" customFormat="1" ht="15.75" thickBot="1" x14ac:dyDescent="0.3">
      <c r="A41" s="1198"/>
      <c r="B41" s="1199"/>
      <c r="C41" s="887"/>
      <c r="D41" s="703"/>
    </row>
    <row r="42" spans="1:5" s="704" customFormat="1" ht="15.75" thickTop="1" x14ac:dyDescent="0.25">
      <c r="A42" s="1200" t="s">
        <v>53</v>
      </c>
      <c r="B42" s="1201"/>
      <c r="C42" s="1202"/>
      <c r="D42" s="703"/>
    </row>
    <row r="43" spans="1:5" s="704" customFormat="1" x14ac:dyDescent="0.25">
      <c r="A43" s="1188"/>
      <c r="B43" s="1189"/>
      <c r="C43" s="1190"/>
      <c r="D43" s="703"/>
    </row>
    <row r="44" spans="1:5" s="704" customFormat="1" x14ac:dyDescent="0.25">
      <c r="A44" s="1188"/>
      <c r="B44" s="1189"/>
      <c r="C44" s="1190"/>
      <c r="D44" s="703"/>
    </row>
    <row r="45" spans="1:5" s="704" customFormat="1" ht="15.75" thickBot="1" x14ac:dyDescent="0.3">
      <c r="A45" s="1191"/>
      <c r="B45" s="1192"/>
      <c r="C45" s="1193"/>
      <c r="D45" s="703"/>
    </row>
    <row r="46" spans="1:5" s="704" customFormat="1" x14ac:dyDescent="0.25">
      <c r="A46" s="896"/>
      <c r="B46" s="705"/>
      <c r="C46" s="706"/>
      <c r="D46" s="703"/>
    </row>
    <row r="47" spans="1:5" s="704" customFormat="1" x14ac:dyDescent="0.25">
      <c r="A47" s="896"/>
      <c r="B47" s="705"/>
      <c r="C47" s="706"/>
      <c r="D47" s="703"/>
    </row>
    <row r="48" spans="1:5" s="704" customFormat="1" x14ac:dyDescent="0.25">
      <c r="A48" s="896"/>
      <c r="B48" s="705"/>
      <c r="C48" s="706"/>
      <c r="D48" s="703"/>
    </row>
    <row r="49" spans="1:4" s="704" customFormat="1" x14ac:dyDescent="0.25">
      <c r="A49" s="896"/>
      <c r="B49" s="705"/>
      <c r="C49" s="706"/>
      <c r="D49" s="703"/>
    </row>
    <row r="50" spans="1:4" s="704" customFormat="1" x14ac:dyDescent="0.25">
      <c r="A50" s="896"/>
      <c r="B50" s="705"/>
      <c r="C50" s="706"/>
      <c r="D50" s="703"/>
    </row>
    <row r="51" spans="1:4" s="704" customFormat="1" x14ac:dyDescent="0.25">
      <c r="A51" s="896"/>
      <c r="B51" s="705"/>
      <c r="C51" s="706"/>
      <c r="D51" s="703"/>
    </row>
    <row r="52" spans="1:4" s="704" customFormat="1" x14ac:dyDescent="0.25">
      <c r="A52" s="896"/>
      <c r="B52" s="705"/>
      <c r="C52" s="706"/>
      <c r="D52" s="703"/>
    </row>
    <row r="53" spans="1:4" s="704" customFormat="1" x14ac:dyDescent="0.25">
      <c r="A53" s="896"/>
      <c r="B53" s="705"/>
      <c r="C53" s="706"/>
      <c r="D53" s="703"/>
    </row>
    <row r="54" spans="1:4" s="704" customFormat="1" x14ac:dyDescent="0.25">
      <c r="A54" s="897"/>
      <c r="B54" s="707"/>
      <c r="C54" s="708"/>
      <c r="D54" s="703"/>
    </row>
    <row r="55" spans="1:4" s="704" customFormat="1" x14ac:dyDescent="0.25">
      <c r="A55" s="897"/>
      <c r="B55" s="707"/>
      <c r="C55" s="708"/>
      <c r="D55" s="703"/>
    </row>
    <row r="56" spans="1:4" s="704" customFormat="1" x14ac:dyDescent="0.25">
      <c r="A56" s="897"/>
      <c r="B56" s="707"/>
      <c r="C56" s="708"/>
      <c r="D56" s="703"/>
    </row>
    <row r="57" spans="1:4" s="704" customFormat="1" x14ac:dyDescent="0.25">
      <c r="A57" s="897"/>
      <c r="B57" s="707"/>
      <c r="C57" s="708"/>
      <c r="D57" s="703"/>
    </row>
    <row r="58" spans="1:4" s="704" customFormat="1" x14ac:dyDescent="0.25">
      <c r="A58" s="897"/>
      <c r="B58" s="707"/>
      <c r="C58" s="708"/>
      <c r="D58" s="703"/>
    </row>
    <row r="59" spans="1:4" s="704" customFormat="1" x14ac:dyDescent="0.25">
      <c r="A59" s="897"/>
      <c r="B59" s="707"/>
      <c r="C59" s="708"/>
      <c r="D59" s="703"/>
    </row>
    <row r="60" spans="1:4" s="704" customFormat="1" x14ac:dyDescent="0.25">
      <c r="A60" s="897"/>
      <c r="B60" s="707"/>
      <c r="C60" s="708"/>
      <c r="D60" s="703"/>
    </row>
    <row r="61" spans="1:4" s="704" customFormat="1" x14ac:dyDescent="0.25">
      <c r="A61" s="897"/>
      <c r="B61" s="707"/>
      <c r="C61" s="708"/>
      <c r="D61" s="703"/>
    </row>
    <row r="62" spans="1:4" s="704" customFormat="1" x14ac:dyDescent="0.25">
      <c r="A62" s="897"/>
      <c r="B62" s="707"/>
      <c r="C62" s="708"/>
      <c r="D62" s="703"/>
    </row>
    <row r="63" spans="1:4" s="704" customFormat="1" x14ac:dyDescent="0.25">
      <c r="A63" s="897"/>
      <c r="B63" s="707"/>
      <c r="C63" s="708"/>
      <c r="D63" s="703"/>
    </row>
    <row r="64" spans="1:4" x14ac:dyDescent="0.25">
      <c r="A64" s="897"/>
      <c r="B64" s="707"/>
      <c r="C64" s="708"/>
    </row>
  </sheetData>
  <mergeCells count="17">
    <mergeCell ref="A43:C43"/>
    <mergeCell ref="A44:C44"/>
    <mergeCell ref="A45:C45"/>
    <mergeCell ref="A38:B38"/>
    <mergeCell ref="A39:B39"/>
    <mergeCell ref="A40:B40"/>
    <mergeCell ref="A41:B41"/>
    <mergeCell ref="A42:C42"/>
    <mergeCell ref="A11:A13"/>
    <mergeCell ref="B11:B13"/>
    <mergeCell ref="C11:C13"/>
    <mergeCell ref="A34:B34"/>
    <mergeCell ref="A1:C1"/>
    <mergeCell ref="A2:C2"/>
    <mergeCell ref="A3:C3"/>
    <mergeCell ref="A9:C9"/>
    <mergeCell ref="A5:C7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82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I67"/>
  <sheetViews>
    <sheetView view="pageBreakPreview" topLeftCell="A22" zoomScale="60" zoomScaleNormal="90" workbookViewId="0">
      <selection activeCell="I12" sqref="I12"/>
    </sheetView>
  </sheetViews>
  <sheetFormatPr defaultRowHeight="12" x14ac:dyDescent="0.25"/>
  <cols>
    <col min="1" max="1" width="7.28515625" style="7" customWidth="1"/>
    <col min="2" max="2" width="71.7109375" style="7" customWidth="1"/>
    <col min="3" max="3" width="9.7109375" style="7" bestFit="1" customWidth="1"/>
    <col min="4" max="4" width="12.140625" style="7" customWidth="1"/>
    <col min="5" max="5" width="2.140625" style="238" customWidth="1"/>
    <col min="6" max="6" width="9.42578125" style="7" bestFit="1" customWidth="1"/>
    <col min="7" max="7" width="12.85546875" style="7" customWidth="1"/>
    <col min="8" max="16384" width="9.140625" style="7"/>
  </cols>
  <sheetData>
    <row r="1" spans="1:9" ht="15" customHeight="1" x14ac:dyDescent="0.25">
      <c r="A1" s="1167" t="s">
        <v>294</v>
      </c>
      <c r="B1" s="1168"/>
      <c r="C1" s="1168"/>
      <c r="D1" s="1168"/>
      <c r="E1" s="1168"/>
      <c r="F1" s="1168"/>
      <c r="G1" s="1169"/>
    </row>
    <row r="2" spans="1:9" ht="12.75" x14ac:dyDescent="0.25">
      <c r="A2" s="1170" t="s">
        <v>295</v>
      </c>
      <c r="B2" s="1171"/>
      <c r="C2" s="1171"/>
      <c r="D2" s="1171"/>
      <c r="E2" s="1171"/>
      <c r="F2" s="1171"/>
      <c r="G2" s="1172"/>
    </row>
    <row r="3" spans="1:9" ht="15.75" customHeight="1" thickBot="1" x14ac:dyDescent="0.3">
      <c r="A3" s="1643"/>
      <c r="B3" s="1644"/>
      <c r="C3" s="1644"/>
      <c r="D3" s="1644"/>
      <c r="E3" s="1644"/>
      <c r="F3" s="1644"/>
      <c r="G3" s="1645"/>
    </row>
    <row r="4" spans="1:9" ht="13.5" thickBot="1" x14ac:dyDescent="0.3">
      <c r="A4" s="57"/>
      <c r="B4" s="58"/>
      <c r="C4" s="59"/>
      <c r="D4" s="59"/>
      <c r="E4" s="143"/>
    </row>
    <row r="5" spans="1:9" ht="20.100000000000001" customHeight="1" x14ac:dyDescent="0.25">
      <c r="A5" s="1237" t="s">
        <v>292</v>
      </c>
      <c r="B5" s="1238"/>
      <c r="C5" s="1238"/>
      <c r="D5" s="1238"/>
      <c r="E5" s="1238"/>
      <c r="F5" s="1238"/>
      <c r="G5" s="1239"/>
      <c r="H5" s="1646"/>
      <c r="I5" s="1647"/>
    </row>
    <row r="6" spans="1:9" ht="20.100000000000001" customHeight="1" thickBot="1" x14ac:dyDescent="0.3">
      <c r="A6" s="1240"/>
      <c r="B6" s="1241"/>
      <c r="C6" s="1241"/>
      <c r="D6" s="1241"/>
      <c r="E6" s="1241"/>
      <c r="F6" s="1241"/>
      <c r="G6" s="1242"/>
      <c r="H6" s="1648"/>
      <c r="I6" s="1647"/>
    </row>
    <row r="7" spans="1:9" ht="13.5" thickBot="1" x14ac:dyDescent="0.3">
      <c r="A7" s="57"/>
      <c r="B7" s="58"/>
      <c r="C7" s="59"/>
      <c r="D7" s="59"/>
      <c r="E7" s="143"/>
    </row>
    <row r="8" spans="1:9" ht="15.75" customHeight="1" thickBot="1" x14ac:dyDescent="0.3">
      <c r="A8" s="1243" t="s">
        <v>454</v>
      </c>
      <c r="B8" s="1244"/>
      <c r="C8" s="1244"/>
      <c r="D8" s="1244"/>
      <c r="E8" s="1244"/>
      <c r="F8" s="1244"/>
      <c r="G8" s="1245"/>
    </row>
    <row r="9" spans="1:9" ht="12.75" thickBot="1" x14ac:dyDescent="0.3"/>
    <row r="10" spans="1:9" ht="15.75" customHeight="1" thickBot="1" x14ac:dyDescent="0.3">
      <c r="A10" s="1684" t="s">
        <v>0</v>
      </c>
      <c r="B10" s="1682" t="s">
        <v>162</v>
      </c>
      <c r="C10" s="1680" t="s">
        <v>859</v>
      </c>
      <c r="D10" s="1681"/>
      <c r="E10" s="149"/>
      <c r="F10" s="1680" t="s">
        <v>858</v>
      </c>
      <c r="G10" s="1681"/>
    </row>
    <row r="11" spans="1:9" ht="15.75" customHeight="1" thickBot="1" x14ac:dyDescent="0.3">
      <c r="A11" s="1685"/>
      <c r="B11" s="1683"/>
      <c r="C11" s="355" t="s">
        <v>983</v>
      </c>
      <c r="D11" s="110" t="s">
        <v>984</v>
      </c>
      <c r="E11" s="360"/>
      <c r="F11" s="355" t="s">
        <v>983</v>
      </c>
      <c r="G11" s="110" t="s">
        <v>984</v>
      </c>
    </row>
    <row r="12" spans="1:9" ht="12.75" thickBot="1" x14ac:dyDescent="0.3">
      <c r="A12" s="109"/>
      <c r="B12" s="109"/>
      <c r="C12" s="109"/>
      <c r="D12" s="109"/>
      <c r="E12" s="109"/>
    </row>
    <row r="13" spans="1:9" ht="12.75" customHeight="1" thickBot="1" x14ac:dyDescent="0.3">
      <c r="A13" s="1665" t="s">
        <v>433</v>
      </c>
      <c r="B13" s="1670"/>
      <c r="C13" s="113" t="s">
        <v>434</v>
      </c>
      <c r="D13" s="108" t="s">
        <v>434</v>
      </c>
      <c r="E13" s="361"/>
      <c r="F13" s="113" t="s">
        <v>434</v>
      </c>
      <c r="G13" s="108" t="s">
        <v>434</v>
      </c>
    </row>
    <row r="14" spans="1:9" ht="12.75" thickTop="1" x14ac:dyDescent="0.25">
      <c r="A14" s="107" t="s">
        <v>65</v>
      </c>
      <c r="B14" s="111" t="s">
        <v>435</v>
      </c>
      <c r="C14" s="648">
        <v>0.2</v>
      </c>
      <c r="D14" s="649">
        <v>0.2</v>
      </c>
      <c r="E14" s="359"/>
      <c r="F14" s="648">
        <v>0.2</v>
      </c>
      <c r="G14" s="649">
        <v>0.2</v>
      </c>
    </row>
    <row r="15" spans="1:9" x14ac:dyDescent="0.25">
      <c r="A15" s="107" t="s">
        <v>457</v>
      </c>
      <c r="B15" s="191" t="s">
        <v>438</v>
      </c>
      <c r="C15" s="650">
        <v>1.4999999999999999E-2</v>
      </c>
      <c r="D15" s="651">
        <v>1.4999999999999999E-2</v>
      </c>
      <c r="E15" s="359"/>
      <c r="F15" s="650">
        <v>1.4999999999999999E-2</v>
      </c>
      <c r="G15" s="651">
        <v>1.4999999999999999E-2</v>
      </c>
    </row>
    <row r="16" spans="1:9" x14ac:dyDescent="0.25">
      <c r="A16" s="107" t="s">
        <v>97</v>
      </c>
      <c r="B16" s="191" t="s">
        <v>439</v>
      </c>
      <c r="C16" s="650">
        <v>0.01</v>
      </c>
      <c r="D16" s="651">
        <v>0.01</v>
      </c>
      <c r="E16" s="359"/>
      <c r="F16" s="650">
        <v>0.01</v>
      </c>
      <c r="G16" s="651">
        <v>0.01</v>
      </c>
    </row>
    <row r="17" spans="1:7" x14ac:dyDescent="0.25">
      <c r="A17" s="107" t="s">
        <v>66</v>
      </c>
      <c r="B17" s="112" t="s">
        <v>441</v>
      </c>
      <c r="C17" s="652">
        <v>2E-3</v>
      </c>
      <c r="D17" s="653">
        <v>2E-3</v>
      </c>
      <c r="E17" s="359"/>
      <c r="F17" s="652">
        <v>2E-3</v>
      </c>
      <c r="G17" s="653">
        <v>2E-3</v>
      </c>
    </row>
    <row r="18" spans="1:7" x14ac:dyDescent="0.25">
      <c r="A18" s="107" t="s">
        <v>458</v>
      </c>
      <c r="B18" s="191" t="s">
        <v>440</v>
      </c>
      <c r="C18" s="650">
        <v>6.0000000000000001E-3</v>
      </c>
      <c r="D18" s="651">
        <v>6.0000000000000001E-3</v>
      </c>
      <c r="E18" s="359"/>
      <c r="F18" s="650">
        <v>6.0000000000000001E-3</v>
      </c>
      <c r="G18" s="651">
        <v>6.0000000000000001E-3</v>
      </c>
    </row>
    <row r="19" spans="1:7" x14ac:dyDescent="0.25">
      <c r="A19" s="107" t="s">
        <v>459</v>
      </c>
      <c r="B19" s="191" t="s">
        <v>437</v>
      </c>
      <c r="C19" s="650">
        <v>2.5000000000000001E-2</v>
      </c>
      <c r="D19" s="651">
        <v>2.5000000000000001E-2</v>
      </c>
      <c r="E19" s="359"/>
      <c r="F19" s="650">
        <v>2.5000000000000001E-2</v>
      </c>
      <c r="G19" s="651">
        <v>2.5000000000000001E-2</v>
      </c>
    </row>
    <row r="20" spans="1:7" ht="24" x14ac:dyDescent="0.25">
      <c r="A20" s="107" t="s">
        <v>460</v>
      </c>
      <c r="B20" s="191" t="s">
        <v>456</v>
      </c>
      <c r="C20" s="650">
        <v>0.03</v>
      </c>
      <c r="D20" s="651">
        <v>0.03</v>
      </c>
      <c r="E20" s="359"/>
      <c r="F20" s="650">
        <v>0.03</v>
      </c>
      <c r="G20" s="651">
        <v>0.03</v>
      </c>
    </row>
    <row r="21" spans="1:7" x14ac:dyDescent="0.25">
      <c r="A21" s="107" t="s">
        <v>461</v>
      </c>
      <c r="B21" s="191" t="s">
        <v>436</v>
      </c>
      <c r="C21" s="650">
        <v>0.08</v>
      </c>
      <c r="D21" s="651">
        <v>0.08</v>
      </c>
      <c r="E21" s="359"/>
      <c r="F21" s="650">
        <v>0.08</v>
      </c>
      <c r="G21" s="651">
        <v>0.08</v>
      </c>
    </row>
    <row r="22" spans="1:7" ht="12.75" customHeight="1" thickBot="1" x14ac:dyDescent="0.3">
      <c r="A22" s="107" t="s">
        <v>461</v>
      </c>
      <c r="B22" s="191" t="s">
        <v>846</v>
      </c>
      <c r="C22" s="650">
        <v>0.01</v>
      </c>
      <c r="D22" s="651">
        <v>0.01</v>
      </c>
      <c r="E22" s="359"/>
      <c r="F22" s="654" t="s">
        <v>169</v>
      </c>
      <c r="G22" s="655" t="s">
        <v>169</v>
      </c>
    </row>
    <row r="23" spans="1:7" ht="12.75" thickBot="1" x14ac:dyDescent="0.3">
      <c r="A23" s="1667" t="s">
        <v>442</v>
      </c>
      <c r="B23" s="1668"/>
      <c r="C23" s="660">
        <f>SUM(C14:C22)</f>
        <v>0.37800000000000006</v>
      </c>
      <c r="D23" s="659">
        <f>SUM(D14:D22)</f>
        <v>0.37800000000000006</v>
      </c>
      <c r="E23" s="362"/>
      <c r="F23" s="660">
        <f>SUM(F14:F21)</f>
        <v>0.36800000000000005</v>
      </c>
      <c r="G23" s="659">
        <f>SUM(G14:G21)</f>
        <v>0.36800000000000005</v>
      </c>
    </row>
    <row r="24" spans="1:7" ht="12.75" customHeight="1" thickBot="1" x14ac:dyDescent="0.3">
      <c r="A24" s="1686"/>
      <c r="B24" s="1686"/>
      <c r="C24" s="1687"/>
      <c r="D24" s="1687"/>
      <c r="E24" s="188"/>
      <c r="F24" s="356"/>
      <c r="G24" s="356"/>
    </row>
    <row r="25" spans="1:7" ht="12.75" thickBot="1" x14ac:dyDescent="0.3">
      <c r="A25" s="1665" t="s">
        <v>443</v>
      </c>
      <c r="B25" s="1666"/>
      <c r="C25" s="105" t="s">
        <v>434</v>
      </c>
      <c r="D25" s="105" t="s">
        <v>434</v>
      </c>
      <c r="E25" s="361"/>
      <c r="F25" s="105" t="s">
        <v>434</v>
      </c>
      <c r="G25" s="105" t="s">
        <v>434</v>
      </c>
    </row>
    <row r="26" spans="1:7" ht="12.75" thickTop="1" x14ac:dyDescent="0.25">
      <c r="A26" s="115" t="s">
        <v>470</v>
      </c>
      <c r="B26" s="77" t="s">
        <v>462</v>
      </c>
      <c r="C26" s="655">
        <v>0.1777</v>
      </c>
      <c r="D26" s="655" t="s">
        <v>169</v>
      </c>
      <c r="E26" s="359"/>
      <c r="F26" s="655">
        <v>0.18079999999999999</v>
      </c>
      <c r="G26" s="655" t="s">
        <v>169</v>
      </c>
    </row>
    <row r="27" spans="1:7" x14ac:dyDescent="0.25">
      <c r="A27" s="117" t="s">
        <v>471</v>
      </c>
      <c r="B27" s="114" t="s">
        <v>463</v>
      </c>
      <c r="C27" s="651">
        <v>3.4099999999999998E-2</v>
      </c>
      <c r="D27" s="651" t="s">
        <v>169</v>
      </c>
      <c r="E27" s="359"/>
      <c r="F27" s="651">
        <v>4.3400000000000001E-2</v>
      </c>
      <c r="G27" s="651" t="s">
        <v>169</v>
      </c>
    </row>
    <row r="28" spans="1:7" x14ac:dyDescent="0.25">
      <c r="A28" s="117" t="s">
        <v>472</v>
      </c>
      <c r="B28" s="114" t="s">
        <v>464</v>
      </c>
      <c r="C28" s="651">
        <v>8.9999999999999993E-3</v>
      </c>
      <c r="D28" s="651">
        <v>7.0000000000000001E-3</v>
      </c>
      <c r="E28" s="359"/>
      <c r="F28" s="651">
        <v>9.1999999999999998E-3</v>
      </c>
      <c r="G28" s="651">
        <v>7.0000000000000001E-3</v>
      </c>
    </row>
    <row r="29" spans="1:7" x14ac:dyDescent="0.25">
      <c r="A29" s="117" t="s">
        <v>473</v>
      </c>
      <c r="B29" s="114" t="s">
        <v>445</v>
      </c>
      <c r="C29" s="651">
        <v>0.1072</v>
      </c>
      <c r="D29" s="651">
        <v>8.3299999999999999E-2</v>
      </c>
      <c r="E29" s="359"/>
      <c r="F29" s="651">
        <v>0.1094</v>
      </c>
      <c r="G29" s="651">
        <v>8.3299999999999999E-2</v>
      </c>
    </row>
    <row r="30" spans="1:7" x14ac:dyDescent="0.25">
      <c r="A30" s="117" t="s">
        <v>474</v>
      </c>
      <c r="B30" s="114" t="s">
        <v>465</v>
      </c>
      <c r="C30" s="651">
        <v>5.9999999999999995E-4</v>
      </c>
      <c r="D30" s="651">
        <v>5.0000000000000001E-4</v>
      </c>
      <c r="E30" s="359"/>
      <c r="F30" s="651">
        <v>6.9999999999999999E-4</v>
      </c>
      <c r="G30" s="651">
        <v>5.0000000000000001E-4</v>
      </c>
    </row>
    <row r="31" spans="1:7" x14ac:dyDescent="0.25">
      <c r="A31" s="117" t="s">
        <v>475</v>
      </c>
      <c r="B31" s="114" t="s">
        <v>847</v>
      </c>
      <c r="C31" s="651">
        <v>7.1000000000000004E-3</v>
      </c>
      <c r="D31" s="651">
        <v>5.5999999999999999E-3</v>
      </c>
      <c r="E31" s="359"/>
      <c r="F31" s="651">
        <v>7.3000000000000001E-3</v>
      </c>
      <c r="G31" s="651">
        <v>5.5999999999999999E-3</v>
      </c>
    </row>
    <row r="32" spans="1:7" x14ac:dyDescent="0.25">
      <c r="A32" s="117" t="s">
        <v>476</v>
      </c>
      <c r="B32" s="114" t="s">
        <v>466</v>
      </c>
      <c r="C32" s="651">
        <v>1.4200000000000001E-2</v>
      </c>
      <c r="D32" s="651" t="s">
        <v>169</v>
      </c>
      <c r="E32" s="359"/>
      <c r="F32" s="651">
        <v>2.2800000000000001E-2</v>
      </c>
      <c r="G32" s="651" t="s">
        <v>169</v>
      </c>
    </row>
    <row r="33" spans="1:7" x14ac:dyDescent="0.25">
      <c r="A33" s="117" t="s">
        <v>477</v>
      </c>
      <c r="B33" s="114" t="s">
        <v>467</v>
      </c>
      <c r="C33" s="651">
        <v>1.1000000000000001E-3</v>
      </c>
      <c r="D33" s="651">
        <v>8.0000000000000004E-4</v>
      </c>
      <c r="E33" s="359"/>
      <c r="F33" s="651">
        <v>1.1000000000000001E-3</v>
      </c>
      <c r="G33" s="651">
        <v>8.0000000000000004E-4</v>
      </c>
    </row>
    <row r="34" spans="1:7" x14ac:dyDescent="0.25">
      <c r="A34" s="117" t="s">
        <v>478</v>
      </c>
      <c r="B34" s="114" t="s">
        <v>468</v>
      </c>
      <c r="C34" s="651">
        <v>8.1199999999999994E-2</v>
      </c>
      <c r="D34" s="651">
        <v>6.3100000000000003E-2</v>
      </c>
      <c r="E34" s="359"/>
      <c r="F34" s="651">
        <v>8.8999999999999996E-2</v>
      </c>
      <c r="G34" s="651">
        <v>6.7799999999999999E-2</v>
      </c>
    </row>
    <row r="35" spans="1:7" ht="12.75" customHeight="1" thickBot="1" x14ac:dyDescent="0.3">
      <c r="A35" s="116" t="s">
        <v>479</v>
      </c>
      <c r="B35" s="77" t="s">
        <v>469</v>
      </c>
      <c r="C35" s="655">
        <v>2.9999999999999997E-4</v>
      </c>
      <c r="D35" s="655">
        <v>2.0000000000000001E-4</v>
      </c>
      <c r="E35" s="359"/>
      <c r="F35" s="655">
        <v>2.9999999999999997E-4</v>
      </c>
      <c r="G35" s="655">
        <v>2.0000000000000001E-4</v>
      </c>
    </row>
    <row r="36" spans="1:7" ht="12.75" thickBot="1" x14ac:dyDescent="0.3">
      <c r="A36" s="1667" t="s">
        <v>446</v>
      </c>
      <c r="B36" s="1668"/>
      <c r="C36" s="659">
        <f>SUM(C26:C35)</f>
        <v>0.4325</v>
      </c>
      <c r="D36" s="659">
        <f>SUM(D26:D35)</f>
        <v>0.1605</v>
      </c>
      <c r="E36" s="363"/>
      <c r="F36" s="659">
        <f>SUM(F26:F35)</f>
        <v>0.46399999999999991</v>
      </c>
      <c r="G36" s="659">
        <f>SUM(G26:G35)</f>
        <v>0.16519999999999999</v>
      </c>
    </row>
    <row r="37" spans="1:7" ht="12.75" customHeight="1" thickBot="1" x14ac:dyDescent="0.3">
      <c r="A37" s="1669"/>
      <c r="B37" s="1669"/>
      <c r="C37" s="1669"/>
      <c r="D37" s="1669"/>
      <c r="E37" s="358"/>
      <c r="F37" s="357"/>
      <c r="G37" s="357"/>
    </row>
    <row r="38" spans="1:7" ht="12.75" thickBot="1" x14ac:dyDescent="0.3">
      <c r="A38" s="1665" t="s">
        <v>447</v>
      </c>
      <c r="B38" s="1670"/>
      <c r="C38" s="105" t="s">
        <v>434</v>
      </c>
      <c r="D38" s="105" t="s">
        <v>434</v>
      </c>
      <c r="E38" s="361"/>
      <c r="F38" s="105" t="s">
        <v>434</v>
      </c>
      <c r="G38" s="105" t="s">
        <v>434</v>
      </c>
    </row>
    <row r="39" spans="1:7" ht="12.75" thickTop="1" x14ac:dyDescent="0.25">
      <c r="A39" s="115" t="s">
        <v>480</v>
      </c>
      <c r="B39" s="77" t="s">
        <v>448</v>
      </c>
      <c r="C39" s="655">
        <v>5.1900000000000002E-2</v>
      </c>
      <c r="D39" s="655">
        <v>4.0399999999999998E-2</v>
      </c>
      <c r="E39" s="359"/>
      <c r="F39" s="655">
        <v>5.6500000000000002E-2</v>
      </c>
      <c r="G39" s="655">
        <v>4.3099999999999999E-2</v>
      </c>
    </row>
    <row r="40" spans="1:7" x14ac:dyDescent="0.25">
      <c r="A40" s="117" t="s">
        <v>481</v>
      </c>
      <c r="B40" s="114" t="s">
        <v>444</v>
      </c>
      <c r="C40" s="651">
        <v>1.1999999999999999E-3</v>
      </c>
      <c r="D40" s="651">
        <v>1E-3</v>
      </c>
      <c r="E40" s="359"/>
      <c r="F40" s="651">
        <v>1.2999999999999999E-3</v>
      </c>
      <c r="G40" s="651">
        <v>1E-3</v>
      </c>
    </row>
    <row r="41" spans="1:7" x14ac:dyDescent="0.25">
      <c r="A41" s="117" t="s">
        <v>482</v>
      </c>
      <c r="B41" s="114" t="s">
        <v>485</v>
      </c>
      <c r="C41" s="651">
        <v>5.2400000000000002E-2</v>
      </c>
      <c r="D41" s="651">
        <v>4.0800000000000003E-2</v>
      </c>
      <c r="E41" s="359"/>
      <c r="F41" s="651">
        <v>5.0799999999999998E-2</v>
      </c>
      <c r="G41" s="651">
        <v>3.8699999999999998E-2</v>
      </c>
    </row>
    <row r="42" spans="1:7" x14ac:dyDescent="0.25">
      <c r="A42" s="117" t="s">
        <v>483</v>
      </c>
      <c r="B42" s="114" t="s">
        <v>486</v>
      </c>
      <c r="C42" s="651">
        <v>4.9799999999999997E-2</v>
      </c>
      <c r="D42" s="651">
        <v>3.8800000000000001E-2</v>
      </c>
      <c r="E42" s="359"/>
      <c r="F42" s="651">
        <v>5.0599999999999999E-2</v>
      </c>
      <c r="G42" s="651">
        <v>3.85E-2</v>
      </c>
    </row>
    <row r="43" spans="1:7" ht="12.75" customHeight="1" thickBot="1" x14ac:dyDescent="0.3">
      <c r="A43" s="117" t="s">
        <v>484</v>
      </c>
      <c r="B43" s="114" t="s">
        <v>449</v>
      </c>
      <c r="C43" s="651">
        <v>4.4000000000000003E-3</v>
      </c>
      <c r="D43" s="651">
        <v>3.3999999999999998E-3</v>
      </c>
      <c r="E43" s="359"/>
      <c r="F43" s="651">
        <v>4.7999999999999996E-3</v>
      </c>
      <c r="G43" s="651">
        <v>3.5999999999999999E-3</v>
      </c>
    </row>
    <row r="44" spans="1:7" ht="12.75" thickBot="1" x14ac:dyDescent="0.3">
      <c r="A44" s="1667" t="s">
        <v>450</v>
      </c>
      <c r="B44" s="1668"/>
      <c r="C44" s="660">
        <f>SUM(C39:C43)</f>
        <v>0.15969999999999998</v>
      </c>
      <c r="D44" s="659">
        <f>SUM(D39:D43)</f>
        <v>0.1244</v>
      </c>
      <c r="E44" s="363"/>
      <c r="F44" s="660">
        <f>SUM(F39:F43)</f>
        <v>0.16400000000000001</v>
      </c>
      <c r="G44" s="659">
        <f>SUM(G39:G43)</f>
        <v>0.1249</v>
      </c>
    </row>
    <row r="45" spans="1:7" ht="12.75" customHeight="1" thickBot="1" x14ac:dyDescent="0.3">
      <c r="A45" s="1686"/>
      <c r="B45" s="1686"/>
      <c r="C45" s="1686"/>
      <c r="D45" s="1686"/>
      <c r="E45" s="188"/>
      <c r="F45" s="656"/>
      <c r="G45" s="656"/>
    </row>
    <row r="46" spans="1:7" ht="12.75" thickBot="1" x14ac:dyDescent="0.3">
      <c r="A46" s="1665" t="s">
        <v>451</v>
      </c>
      <c r="B46" s="1670"/>
      <c r="C46" s="105" t="s">
        <v>434</v>
      </c>
      <c r="D46" s="105" t="s">
        <v>434</v>
      </c>
      <c r="E46" s="361"/>
      <c r="F46" s="105" t="s">
        <v>434</v>
      </c>
      <c r="G46" s="105" t="s">
        <v>434</v>
      </c>
    </row>
    <row r="47" spans="1:7" ht="12.75" thickTop="1" x14ac:dyDescent="0.25">
      <c r="A47" s="115" t="s">
        <v>487</v>
      </c>
      <c r="B47" s="77" t="s">
        <v>489</v>
      </c>
      <c r="C47" s="655">
        <f>C23*C36</f>
        <v>0.16348500000000002</v>
      </c>
      <c r="D47" s="655">
        <f>ROUND(D23*D36,4)</f>
        <v>6.0699999999999997E-2</v>
      </c>
      <c r="E47" s="359"/>
      <c r="F47" s="655">
        <f>F23*F36</f>
        <v>0.17075199999999999</v>
      </c>
      <c r="G47" s="655">
        <f>G23*G36</f>
        <v>6.0793600000000003E-2</v>
      </c>
    </row>
    <row r="48" spans="1:7" ht="12.75" customHeight="1" thickBot="1" x14ac:dyDescent="0.3">
      <c r="A48" s="117" t="s">
        <v>488</v>
      </c>
      <c r="B48" s="114" t="s">
        <v>490</v>
      </c>
      <c r="C48" s="651">
        <f>(C23*C40)+(C21*C39)</f>
        <v>4.6056000000000005E-3</v>
      </c>
      <c r="D48" s="651">
        <f>ROUND((D23*D40)+(D21*D39),4)</f>
        <v>3.5999999999999999E-3</v>
      </c>
      <c r="E48" s="359"/>
      <c r="F48" s="651">
        <f>(F23*F40)+(F21*F39)</f>
        <v>4.9984000000000009E-3</v>
      </c>
      <c r="G48" s="651">
        <f>(G23*G40)+(G21*G39)</f>
        <v>3.8159999999999999E-3</v>
      </c>
    </row>
    <row r="49" spans="1:7" ht="12.75" thickBot="1" x14ac:dyDescent="0.3">
      <c r="A49" s="1667" t="s">
        <v>452</v>
      </c>
      <c r="B49" s="1668"/>
      <c r="C49" s="660">
        <f>SUM(C47:C48)</f>
        <v>0.16809060000000001</v>
      </c>
      <c r="D49" s="659">
        <f>SUM(D47:D48)</f>
        <v>6.4299999999999996E-2</v>
      </c>
      <c r="E49" s="363"/>
      <c r="F49" s="660">
        <f>SUM(F47:F48)</f>
        <v>0.1757504</v>
      </c>
      <c r="G49" s="659">
        <f>SUM(G47:G48)</f>
        <v>6.4609600000000003E-2</v>
      </c>
    </row>
    <row r="50" spans="1:7" x14ac:dyDescent="0.25">
      <c r="A50" s="1669"/>
      <c r="B50" s="1669"/>
      <c r="C50" s="1669"/>
      <c r="D50" s="1669"/>
      <c r="E50" s="358"/>
      <c r="F50" s="357"/>
      <c r="G50" s="357"/>
    </row>
    <row r="51" spans="1:7" ht="12.75" customHeight="1" thickBot="1" x14ac:dyDescent="0.3">
      <c r="A51" s="170"/>
      <c r="B51" s="170"/>
      <c r="C51" s="170"/>
      <c r="D51" s="170"/>
      <c r="E51" s="358"/>
      <c r="F51" s="106"/>
      <c r="G51" s="106"/>
    </row>
    <row r="52" spans="1:7" ht="12.75" customHeight="1" thickBot="1" x14ac:dyDescent="0.3">
      <c r="A52" s="1665" t="s">
        <v>491</v>
      </c>
      <c r="B52" s="1670"/>
      <c r="C52" s="105" t="s">
        <v>434</v>
      </c>
      <c r="D52" s="105" t="s">
        <v>434</v>
      </c>
      <c r="E52" s="361"/>
      <c r="F52" s="105" t="s">
        <v>434</v>
      </c>
      <c r="G52" s="105" t="s">
        <v>434</v>
      </c>
    </row>
    <row r="53" spans="1:7" ht="12" customHeight="1" thickTop="1" x14ac:dyDescent="0.25">
      <c r="A53" s="1671" t="s">
        <v>433</v>
      </c>
      <c r="B53" s="1672"/>
      <c r="C53" s="657">
        <f>C23</f>
        <v>0.37800000000000006</v>
      </c>
      <c r="D53" s="657">
        <f>D23</f>
        <v>0.37800000000000006</v>
      </c>
      <c r="E53" s="364"/>
      <c r="F53" s="657">
        <f>F23</f>
        <v>0.36800000000000005</v>
      </c>
      <c r="G53" s="657">
        <f>G23</f>
        <v>0.36800000000000005</v>
      </c>
    </row>
    <row r="54" spans="1:7" ht="12" customHeight="1" x14ac:dyDescent="0.25">
      <c r="A54" s="1673" t="s">
        <v>443</v>
      </c>
      <c r="B54" s="1674"/>
      <c r="C54" s="657">
        <f>C36</f>
        <v>0.4325</v>
      </c>
      <c r="D54" s="657">
        <f>D36</f>
        <v>0.1605</v>
      </c>
      <c r="E54" s="364"/>
      <c r="F54" s="657">
        <f>F36</f>
        <v>0.46399999999999991</v>
      </c>
      <c r="G54" s="657">
        <f>G36</f>
        <v>0.16519999999999999</v>
      </c>
    </row>
    <row r="55" spans="1:7" ht="12.75" customHeight="1" x14ac:dyDescent="0.25">
      <c r="A55" s="1673" t="s">
        <v>447</v>
      </c>
      <c r="B55" s="1674"/>
      <c r="C55" s="657">
        <f>C44</f>
        <v>0.15969999999999998</v>
      </c>
      <c r="D55" s="657">
        <f>D44</f>
        <v>0.1244</v>
      </c>
      <c r="E55" s="364"/>
      <c r="F55" s="657">
        <f>F44</f>
        <v>0.16400000000000001</v>
      </c>
      <c r="G55" s="657">
        <f>G44</f>
        <v>0.1249</v>
      </c>
    </row>
    <row r="56" spans="1:7" ht="12.75" customHeight="1" thickBot="1" x14ac:dyDescent="0.3">
      <c r="A56" s="1675" t="s">
        <v>451</v>
      </c>
      <c r="B56" s="1676"/>
      <c r="C56" s="658">
        <f>C49</f>
        <v>0.16809060000000001</v>
      </c>
      <c r="D56" s="658">
        <f>D49</f>
        <v>6.4299999999999996E-2</v>
      </c>
      <c r="E56" s="364"/>
      <c r="F56" s="658">
        <f>F49</f>
        <v>0.1757504</v>
      </c>
      <c r="G56" s="658">
        <f>G49</f>
        <v>6.4609600000000003E-2</v>
      </c>
    </row>
    <row r="57" spans="1:7" ht="12.75" thickBot="1" x14ac:dyDescent="0.3">
      <c r="A57" s="1667" t="s">
        <v>453</v>
      </c>
      <c r="B57" s="1668"/>
      <c r="C57" s="659">
        <f>SUM(C53:C56)</f>
        <v>1.1382905999999999</v>
      </c>
      <c r="D57" s="659">
        <f>SUM(D53:D56)</f>
        <v>0.72720000000000007</v>
      </c>
      <c r="E57" s="363"/>
      <c r="F57" s="659">
        <f>SUM(F53:F56)</f>
        <v>1.1717504000000001</v>
      </c>
      <c r="G57" s="659">
        <f>SUM(G53:G56)</f>
        <v>0.72270960000000006</v>
      </c>
    </row>
    <row r="59" spans="1:7" ht="12.75" thickBot="1" x14ac:dyDescent="0.3"/>
    <row r="60" spans="1:7" ht="15" customHeight="1" x14ac:dyDescent="0.25">
      <c r="A60" s="1677" t="s">
        <v>49</v>
      </c>
      <c r="B60" s="1678"/>
      <c r="C60" s="1678"/>
      <c r="D60" s="1679"/>
      <c r="E60" s="1677" t="s">
        <v>50</v>
      </c>
      <c r="F60" s="1678"/>
      <c r="G60" s="1679"/>
    </row>
    <row r="61" spans="1:7" ht="15.75" customHeight="1" thickBot="1" x14ac:dyDescent="0.3">
      <c r="A61" s="1658"/>
      <c r="B61" s="1659"/>
      <c r="C61" s="1659"/>
      <c r="D61" s="1660"/>
      <c r="E61" s="1658"/>
      <c r="F61" s="1659"/>
      <c r="G61" s="1660"/>
    </row>
    <row r="62" spans="1:7" ht="15" customHeight="1" x14ac:dyDescent="0.25">
      <c r="A62" s="1661" t="s">
        <v>51</v>
      </c>
      <c r="B62" s="1652"/>
      <c r="C62" s="1652"/>
      <c r="D62" s="1653"/>
      <c r="E62" s="1661" t="s">
        <v>52</v>
      </c>
      <c r="F62" s="1652"/>
      <c r="G62" s="1653"/>
    </row>
    <row r="63" spans="1:7" ht="15.75" customHeight="1" thickBot="1" x14ac:dyDescent="0.3">
      <c r="A63" s="1662"/>
      <c r="B63" s="1663"/>
      <c r="C63" s="1663"/>
      <c r="D63" s="1664"/>
      <c r="E63" s="1662"/>
      <c r="F63" s="1663"/>
      <c r="G63" s="1664"/>
    </row>
    <row r="64" spans="1:7" ht="15.75" customHeight="1" thickTop="1" x14ac:dyDescent="0.25">
      <c r="A64" s="1649" t="s">
        <v>53</v>
      </c>
      <c r="B64" s="1650"/>
      <c r="C64" s="1650"/>
      <c r="D64" s="1650"/>
      <c r="E64" s="1650"/>
      <c r="F64" s="1650"/>
      <c r="G64" s="1651"/>
    </row>
    <row r="65" spans="1:7" x14ac:dyDescent="0.25">
      <c r="A65" s="451" t="s">
        <v>99</v>
      </c>
      <c r="B65" s="1652" t="s">
        <v>455</v>
      </c>
      <c r="C65" s="1652"/>
      <c r="D65" s="1652"/>
      <c r="E65" s="1652"/>
      <c r="F65" s="1652"/>
      <c r="G65" s="1653"/>
    </row>
    <row r="66" spans="1:7" ht="12.75" customHeight="1" x14ac:dyDescent="0.25">
      <c r="A66" s="1661" t="s">
        <v>100</v>
      </c>
      <c r="B66" s="1654" t="s">
        <v>492</v>
      </c>
      <c r="C66" s="1654"/>
      <c r="D66" s="1654"/>
      <c r="E66" s="1654"/>
      <c r="F66" s="1654"/>
      <c r="G66" s="1655"/>
    </row>
    <row r="67" spans="1:7" ht="15.75" customHeight="1" thickBot="1" x14ac:dyDescent="0.3">
      <c r="A67" s="1658"/>
      <c r="B67" s="1656"/>
      <c r="C67" s="1656"/>
      <c r="D67" s="1656"/>
      <c r="E67" s="1656"/>
      <c r="F67" s="1656"/>
      <c r="G67" s="1657"/>
    </row>
  </sheetData>
  <mergeCells count="40">
    <mergeCell ref="A1:G1"/>
    <mergeCell ref="A50:D50"/>
    <mergeCell ref="A57:B57"/>
    <mergeCell ref="C10:D10"/>
    <mergeCell ref="B10:B11"/>
    <mergeCell ref="A10:A11"/>
    <mergeCell ref="F10:G10"/>
    <mergeCell ref="A44:B44"/>
    <mergeCell ref="A45:D45"/>
    <mergeCell ref="A46:B46"/>
    <mergeCell ref="A49:B49"/>
    <mergeCell ref="A13:B13"/>
    <mergeCell ref="A8:G8"/>
    <mergeCell ref="A5:G6"/>
    <mergeCell ref="A23:B23"/>
    <mergeCell ref="A24:D24"/>
    <mergeCell ref="A2:G2"/>
    <mergeCell ref="A66:A67"/>
    <mergeCell ref="A25:B25"/>
    <mergeCell ref="A36:B36"/>
    <mergeCell ref="A37:D37"/>
    <mergeCell ref="A38:B38"/>
    <mergeCell ref="A52:B52"/>
    <mergeCell ref="A53:B53"/>
    <mergeCell ref="A54:B54"/>
    <mergeCell ref="A55:B55"/>
    <mergeCell ref="A56:B56"/>
    <mergeCell ref="E60:G60"/>
    <mergeCell ref="E61:G61"/>
    <mergeCell ref="E62:G62"/>
    <mergeCell ref="E63:G63"/>
    <mergeCell ref="A60:D60"/>
    <mergeCell ref="H5:I6"/>
    <mergeCell ref="A64:G64"/>
    <mergeCell ref="B65:G65"/>
    <mergeCell ref="B66:G67"/>
    <mergeCell ref="A3:G3"/>
    <mergeCell ref="A61:D61"/>
    <mergeCell ref="A62:D62"/>
    <mergeCell ref="A63:D63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68" orientation="portrait" horizontalDpi="4294967294" verticalDpi="4294967294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W48"/>
  <sheetViews>
    <sheetView topLeftCell="A3" zoomScale="70" zoomScaleNormal="70" workbookViewId="0">
      <selection activeCell="AA37" sqref="AA37"/>
    </sheetView>
  </sheetViews>
  <sheetFormatPr defaultRowHeight="12.75" x14ac:dyDescent="0.2"/>
  <cols>
    <col min="1" max="1" width="9.140625" style="121"/>
    <col min="2" max="2" width="98.7109375" style="121" customWidth="1"/>
    <col min="3" max="3" width="10.7109375" style="121" customWidth="1"/>
    <col min="4" max="23" width="5.5703125" style="121" customWidth="1"/>
    <col min="24" max="16384" width="9.140625" style="121"/>
  </cols>
  <sheetData>
    <row r="1" spans="1:23" ht="15.75" x14ac:dyDescent="0.2">
      <c r="A1" s="1355" t="s">
        <v>294</v>
      </c>
      <c r="B1" s="1356"/>
      <c r="C1" s="1356"/>
      <c r="D1" s="1356"/>
      <c r="E1" s="1356"/>
      <c r="F1" s="1356"/>
      <c r="G1" s="1356"/>
      <c r="H1" s="1356"/>
      <c r="I1" s="1356"/>
      <c r="J1" s="1356"/>
      <c r="K1" s="1356"/>
      <c r="L1" s="1356"/>
      <c r="M1" s="1356"/>
      <c r="N1" s="1356"/>
      <c r="O1" s="1356"/>
      <c r="P1" s="1356"/>
      <c r="Q1" s="1356"/>
      <c r="R1" s="1356"/>
      <c r="S1" s="1356"/>
      <c r="T1" s="1356"/>
      <c r="U1" s="1356"/>
      <c r="V1" s="1356"/>
      <c r="W1" s="1357"/>
    </row>
    <row r="2" spans="1:23" ht="16.5" thickBot="1" x14ac:dyDescent="0.25">
      <c r="A2" s="1358" t="s">
        <v>295</v>
      </c>
      <c r="B2" s="1359"/>
      <c r="C2" s="1359"/>
      <c r="D2" s="1359"/>
      <c r="E2" s="1359"/>
      <c r="F2" s="1359"/>
      <c r="G2" s="1359"/>
      <c r="H2" s="1359"/>
      <c r="I2" s="1359"/>
      <c r="J2" s="1359"/>
      <c r="K2" s="1359"/>
      <c r="L2" s="1359"/>
      <c r="M2" s="1359"/>
      <c r="N2" s="1359"/>
      <c r="O2" s="1359"/>
      <c r="P2" s="1359"/>
      <c r="Q2" s="1359"/>
      <c r="R2" s="1359"/>
      <c r="S2" s="1359"/>
      <c r="T2" s="1359"/>
      <c r="U2" s="1359"/>
      <c r="V2" s="1359"/>
      <c r="W2" s="1360"/>
    </row>
    <row r="3" spans="1:23" ht="15.75" thickBot="1" x14ac:dyDescent="0.25">
      <c r="A3" s="1698"/>
      <c r="B3" s="1699"/>
      <c r="C3" s="1699"/>
      <c r="D3" s="1699"/>
      <c r="E3" s="1699"/>
      <c r="F3" s="1699"/>
      <c r="G3" s="1699"/>
      <c r="H3" s="1699"/>
      <c r="I3" s="1699"/>
      <c r="J3" s="1699"/>
      <c r="K3" s="1699"/>
      <c r="L3" s="1699"/>
      <c r="M3" s="1699"/>
      <c r="N3" s="1699"/>
      <c r="O3" s="1699"/>
      <c r="P3" s="1699"/>
      <c r="Q3" s="1699"/>
      <c r="R3" s="1699"/>
      <c r="S3" s="1699"/>
      <c r="T3" s="1699"/>
      <c r="U3" s="1699"/>
      <c r="V3" s="1699"/>
      <c r="W3" s="1699"/>
    </row>
    <row r="4" spans="1:23" x14ac:dyDescent="0.2">
      <c r="A4" s="1179" t="s">
        <v>292</v>
      </c>
      <c r="B4" s="1180"/>
      <c r="C4" s="1180"/>
      <c r="D4" s="1180"/>
      <c r="E4" s="1180"/>
      <c r="F4" s="1180"/>
      <c r="G4" s="1180"/>
      <c r="H4" s="1180"/>
      <c r="I4" s="1180"/>
      <c r="J4" s="1180"/>
      <c r="K4" s="1180"/>
      <c r="L4" s="1180"/>
      <c r="M4" s="1180"/>
      <c r="N4" s="1180"/>
      <c r="O4" s="1180"/>
      <c r="P4" s="1180"/>
      <c r="Q4" s="1180"/>
      <c r="R4" s="1180"/>
      <c r="S4" s="1180"/>
      <c r="T4" s="1180"/>
      <c r="U4" s="1180"/>
      <c r="V4" s="1180"/>
      <c r="W4" s="1181"/>
    </row>
    <row r="5" spans="1:23" ht="13.5" thickBot="1" x14ac:dyDescent="0.25">
      <c r="A5" s="1185"/>
      <c r="B5" s="1186"/>
      <c r="C5" s="1186"/>
      <c r="D5" s="1186"/>
      <c r="E5" s="1186"/>
      <c r="F5" s="1186"/>
      <c r="G5" s="1186"/>
      <c r="H5" s="1186"/>
      <c r="I5" s="1186"/>
      <c r="J5" s="1186"/>
      <c r="K5" s="1186"/>
      <c r="L5" s="1186"/>
      <c r="M5" s="1186"/>
      <c r="N5" s="1186"/>
      <c r="O5" s="1186"/>
      <c r="P5" s="1186"/>
      <c r="Q5" s="1186"/>
      <c r="R5" s="1186"/>
      <c r="S5" s="1186"/>
      <c r="T5" s="1186"/>
      <c r="U5" s="1186"/>
      <c r="V5" s="1186"/>
      <c r="W5" s="1187"/>
    </row>
    <row r="6" spans="1:23" ht="15.75" thickBot="1" x14ac:dyDescent="0.25">
      <c r="A6" s="309"/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</row>
    <row r="7" spans="1:23" x14ac:dyDescent="0.2">
      <c r="A7" s="1700" t="s">
        <v>581</v>
      </c>
      <c r="B7" s="1701"/>
      <c r="C7" s="1701"/>
      <c r="D7" s="1701"/>
      <c r="E7" s="1701"/>
      <c r="F7" s="1701"/>
      <c r="G7" s="1701"/>
      <c r="H7" s="1701"/>
      <c r="I7" s="1701"/>
      <c r="J7" s="1701"/>
      <c r="K7" s="1701"/>
      <c r="L7" s="1701"/>
      <c r="M7" s="1701"/>
      <c r="N7" s="1701"/>
      <c r="O7" s="1701"/>
      <c r="P7" s="1701"/>
      <c r="Q7" s="1701"/>
      <c r="R7" s="1701"/>
      <c r="S7" s="1701"/>
      <c r="T7" s="1701"/>
      <c r="U7" s="1701"/>
      <c r="V7" s="1701"/>
      <c r="W7" s="1702"/>
    </row>
    <row r="8" spans="1:23" ht="13.5" thickBot="1" x14ac:dyDescent="0.25">
      <c r="A8" s="1703"/>
      <c r="B8" s="1704"/>
      <c r="C8" s="1704"/>
      <c r="D8" s="1704"/>
      <c r="E8" s="1704"/>
      <c r="F8" s="1704"/>
      <c r="G8" s="1704"/>
      <c r="H8" s="1704"/>
      <c r="I8" s="1704"/>
      <c r="J8" s="1704"/>
      <c r="K8" s="1704"/>
      <c r="L8" s="1704"/>
      <c r="M8" s="1704"/>
      <c r="N8" s="1704"/>
      <c r="O8" s="1704"/>
      <c r="P8" s="1704"/>
      <c r="Q8" s="1704"/>
      <c r="R8" s="1704"/>
      <c r="S8" s="1704"/>
      <c r="T8" s="1704"/>
      <c r="U8" s="1704"/>
      <c r="V8" s="1704"/>
      <c r="W8" s="1705"/>
    </row>
    <row r="9" spans="1:23" ht="13.5" thickBot="1" x14ac:dyDescent="0.25">
      <c r="A9" s="57"/>
      <c r="B9" s="58"/>
      <c r="C9" s="255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</row>
    <row r="10" spans="1:23" ht="13.5" thickBot="1" x14ac:dyDescent="0.25">
      <c r="A10" s="1706" t="s">
        <v>0</v>
      </c>
      <c r="B10" s="1708" t="s">
        <v>787</v>
      </c>
      <c r="C10" s="1710" t="s">
        <v>582</v>
      </c>
      <c r="D10" s="1712" t="s">
        <v>63</v>
      </c>
      <c r="E10" s="1713"/>
      <c r="F10" s="1713"/>
      <c r="G10" s="1713"/>
      <c r="H10" s="1713"/>
      <c r="I10" s="1713"/>
      <c r="J10" s="1713"/>
      <c r="K10" s="1713"/>
      <c r="L10" s="1713"/>
      <c r="M10" s="1713"/>
      <c r="N10" s="1713"/>
      <c r="O10" s="1713"/>
      <c r="P10" s="1713"/>
      <c r="Q10" s="1713"/>
      <c r="R10" s="1713"/>
      <c r="S10" s="1713"/>
      <c r="T10" s="1713"/>
      <c r="U10" s="1713"/>
      <c r="V10" s="1713"/>
      <c r="W10" s="1714"/>
    </row>
    <row r="11" spans="1:23" ht="13.5" thickBot="1" x14ac:dyDescent="0.25">
      <c r="A11" s="1707"/>
      <c r="B11" s="1709"/>
      <c r="C11" s="1711"/>
      <c r="D11" s="256" t="s">
        <v>583</v>
      </c>
      <c r="E11" s="257" t="s">
        <v>584</v>
      </c>
      <c r="F11" s="257" t="s">
        <v>585</v>
      </c>
      <c r="G11" s="257" t="s">
        <v>586</v>
      </c>
      <c r="H11" s="257" t="s">
        <v>587</v>
      </c>
      <c r="I11" s="257" t="s">
        <v>588</v>
      </c>
      <c r="J11" s="257" t="s">
        <v>589</v>
      </c>
      <c r="K11" s="257" t="s">
        <v>590</v>
      </c>
      <c r="L11" s="257" t="s">
        <v>591</v>
      </c>
      <c r="M11" s="257" t="s">
        <v>592</v>
      </c>
      <c r="N11" s="257" t="s">
        <v>593</v>
      </c>
      <c r="O11" s="257" t="s">
        <v>594</v>
      </c>
      <c r="P11" s="257" t="s">
        <v>595</v>
      </c>
      <c r="Q11" s="257" t="s">
        <v>596</v>
      </c>
      <c r="R11" s="257" t="s">
        <v>597</v>
      </c>
      <c r="S11" s="257" t="s">
        <v>598</v>
      </c>
      <c r="T11" s="257" t="s">
        <v>599</v>
      </c>
      <c r="U11" s="257" t="s">
        <v>600</v>
      </c>
      <c r="V11" s="257" t="s">
        <v>601</v>
      </c>
      <c r="W11" s="258" t="s">
        <v>788</v>
      </c>
    </row>
    <row r="12" spans="1:23" ht="13.5" thickBot="1" x14ac:dyDescent="0.25">
      <c r="A12" s="1690"/>
      <c r="B12" s="1690"/>
      <c r="C12" s="1690"/>
      <c r="D12" s="1690"/>
      <c r="E12" s="1690"/>
      <c r="F12" s="1690"/>
      <c r="G12" s="1690"/>
      <c r="H12" s="1690"/>
      <c r="I12" s="1690"/>
      <c r="J12" s="1690"/>
      <c r="K12" s="1690"/>
      <c r="L12" s="1690"/>
      <c r="M12" s="1690"/>
      <c r="N12" s="1690"/>
      <c r="O12" s="1690"/>
      <c r="P12" s="1690"/>
      <c r="Q12" s="1690"/>
      <c r="R12" s="1690"/>
      <c r="S12" s="1690"/>
      <c r="T12" s="1690"/>
      <c r="U12" s="1690"/>
      <c r="V12" s="1690"/>
      <c r="W12" s="1690"/>
    </row>
    <row r="13" spans="1:23" ht="27" customHeight="1" thickBot="1" x14ac:dyDescent="0.25">
      <c r="A13" s="259" t="s">
        <v>260</v>
      </c>
      <c r="B13" s="293" t="s">
        <v>580</v>
      </c>
      <c r="C13" s="341">
        <v>1</v>
      </c>
      <c r="D13" s="261" t="s">
        <v>789</v>
      </c>
      <c r="E13" s="262"/>
      <c r="F13" s="262"/>
      <c r="G13" s="262"/>
      <c r="H13" s="262"/>
      <c r="I13" s="262"/>
      <c r="J13" s="262"/>
      <c r="K13" s="262"/>
      <c r="L13" s="262"/>
      <c r="M13" s="262"/>
      <c r="N13" s="262"/>
      <c r="O13" s="262"/>
      <c r="P13" s="262"/>
      <c r="Q13" s="262"/>
      <c r="R13" s="262"/>
      <c r="S13" s="262"/>
      <c r="T13" s="262"/>
      <c r="U13" s="262"/>
      <c r="V13" s="262"/>
      <c r="W13" s="263"/>
    </row>
    <row r="14" spans="1:23" ht="13.5" thickBot="1" x14ac:dyDescent="0.25">
      <c r="A14" s="1690"/>
      <c r="B14" s="1690"/>
      <c r="C14" s="1690"/>
      <c r="D14" s="1690"/>
      <c r="E14" s="1690"/>
      <c r="F14" s="1690"/>
      <c r="G14" s="1690"/>
      <c r="H14" s="1690"/>
      <c r="I14" s="1690"/>
      <c r="J14" s="1690"/>
      <c r="K14" s="1690"/>
      <c r="L14" s="1690"/>
      <c r="M14" s="1690"/>
      <c r="N14" s="1690"/>
      <c r="O14" s="1690"/>
      <c r="P14" s="1690"/>
      <c r="Q14" s="1690"/>
      <c r="R14" s="1690"/>
      <c r="S14" s="1690"/>
      <c r="T14" s="1690"/>
      <c r="U14" s="1690"/>
      <c r="V14" s="1690"/>
      <c r="W14" s="1690"/>
    </row>
    <row r="15" spans="1:23" ht="39" thickBot="1" x14ac:dyDescent="0.25">
      <c r="A15" s="264" t="s">
        <v>266</v>
      </c>
      <c r="B15" s="294" t="s">
        <v>570</v>
      </c>
      <c r="C15" s="340">
        <v>18</v>
      </c>
      <c r="D15" s="266"/>
      <c r="E15" s="295" t="s">
        <v>789</v>
      </c>
      <c r="F15" s="295" t="s">
        <v>789</v>
      </c>
      <c r="G15" s="295" t="s">
        <v>789</v>
      </c>
      <c r="H15" s="295" t="s">
        <v>789</v>
      </c>
      <c r="I15" s="295" t="s">
        <v>789</v>
      </c>
      <c r="J15" s="295" t="s">
        <v>789</v>
      </c>
      <c r="K15" s="295" t="s">
        <v>789</v>
      </c>
      <c r="L15" s="295" t="s">
        <v>789</v>
      </c>
      <c r="M15" s="295" t="s">
        <v>789</v>
      </c>
      <c r="N15" s="295" t="s">
        <v>789</v>
      </c>
      <c r="O15" s="295" t="s">
        <v>789</v>
      </c>
      <c r="P15" s="295" t="s">
        <v>789</v>
      </c>
      <c r="Q15" s="295" t="s">
        <v>789</v>
      </c>
      <c r="R15" s="295" t="s">
        <v>789</v>
      </c>
      <c r="S15" s="295" t="s">
        <v>789</v>
      </c>
      <c r="T15" s="295" t="s">
        <v>789</v>
      </c>
      <c r="U15" s="295" t="s">
        <v>789</v>
      </c>
      <c r="V15" s="295" t="s">
        <v>789</v>
      </c>
      <c r="W15" s="263"/>
    </row>
    <row r="16" spans="1:23" ht="13.5" thickBot="1" x14ac:dyDescent="0.25">
      <c r="A16" s="1690"/>
      <c r="B16" s="1690"/>
      <c r="C16" s="1690"/>
      <c r="D16" s="1690"/>
      <c r="E16" s="1690"/>
      <c r="F16" s="1690"/>
      <c r="G16" s="1690"/>
      <c r="H16" s="1690"/>
      <c r="I16" s="1690"/>
      <c r="J16" s="1690"/>
      <c r="K16" s="1690"/>
      <c r="L16" s="1690"/>
      <c r="M16" s="1690"/>
      <c r="N16" s="1690"/>
      <c r="O16" s="1690"/>
      <c r="P16" s="1690"/>
      <c r="Q16" s="1690"/>
      <c r="R16" s="1690"/>
      <c r="S16" s="1690"/>
      <c r="T16" s="1690"/>
      <c r="U16" s="1690"/>
      <c r="V16" s="1690"/>
      <c r="W16" s="1690"/>
    </row>
    <row r="17" spans="1:23" x14ac:dyDescent="0.2">
      <c r="A17" s="515" t="s">
        <v>571</v>
      </c>
      <c r="B17" s="512" t="s">
        <v>602</v>
      </c>
      <c r="C17" s="510">
        <v>3</v>
      </c>
      <c r="D17" s="507"/>
      <c r="E17" s="505" t="s">
        <v>789</v>
      </c>
      <c r="F17" s="505" t="s">
        <v>789</v>
      </c>
      <c r="G17" s="505" t="s">
        <v>789</v>
      </c>
      <c r="H17" s="269"/>
      <c r="I17" s="269"/>
      <c r="J17" s="269"/>
      <c r="K17" s="269"/>
      <c r="L17" s="269"/>
      <c r="M17" s="269"/>
      <c r="N17" s="269"/>
      <c r="O17" s="269"/>
      <c r="P17" s="269"/>
      <c r="Q17" s="269"/>
      <c r="R17" s="269"/>
      <c r="S17" s="269"/>
      <c r="T17" s="269"/>
      <c r="U17" s="269"/>
      <c r="V17" s="269"/>
      <c r="W17" s="270"/>
    </row>
    <row r="18" spans="1:23" s="61" customFormat="1" x14ac:dyDescent="0.2">
      <c r="A18" s="516" t="s">
        <v>572</v>
      </c>
      <c r="B18" s="513" t="s">
        <v>573</v>
      </c>
      <c r="C18" s="511">
        <v>18</v>
      </c>
      <c r="D18" s="508"/>
      <c r="E18" s="504" t="s">
        <v>789</v>
      </c>
      <c r="F18" s="504" t="s">
        <v>789</v>
      </c>
      <c r="G18" s="504" t="s">
        <v>789</v>
      </c>
      <c r="H18" s="504" t="s">
        <v>789</v>
      </c>
      <c r="I18" s="504" t="s">
        <v>789</v>
      </c>
      <c r="J18" s="504" t="s">
        <v>789</v>
      </c>
      <c r="K18" s="504" t="s">
        <v>789</v>
      </c>
      <c r="L18" s="504" t="s">
        <v>789</v>
      </c>
      <c r="M18" s="504" t="s">
        <v>789</v>
      </c>
      <c r="N18" s="504" t="s">
        <v>789</v>
      </c>
      <c r="O18" s="504" t="s">
        <v>789</v>
      </c>
      <c r="P18" s="504" t="s">
        <v>789</v>
      </c>
      <c r="Q18" s="504" t="s">
        <v>789</v>
      </c>
      <c r="R18" s="504" t="s">
        <v>789</v>
      </c>
      <c r="S18" s="504" t="s">
        <v>789</v>
      </c>
      <c r="T18" s="504" t="s">
        <v>789</v>
      </c>
      <c r="U18" s="504" t="s">
        <v>789</v>
      </c>
      <c r="V18" s="504" t="s">
        <v>789</v>
      </c>
      <c r="W18" s="506"/>
    </row>
    <row r="19" spans="1:23" ht="30" customHeight="1" x14ac:dyDescent="0.2">
      <c r="A19" s="516" t="s">
        <v>574</v>
      </c>
      <c r="B19" s="514" t="s">
        <v>575</v>
      </c>
      <c r="C19" s="511">
        <v>18</v>
      </c>
      <c r="D19" s="509"/>
      <c r="E19" s="504" t="s">
        <v>789</v>
      </c>
      <c r="F19" s="504" t="s">
        <v>789</v>
      </c>
      <c r="G19" s="504" t="s">
        <v>789</v>
      </c>
      <c r="H19" s="504" t="s">
        <v>789</v>
      </c>
      <c r="I19" s="504" t="s">
        <v>789</v>
      </c>
      <c r="J19" s="504" t="s">
        <v>789</v>
      </c>
      <c r="K19" s="504" t="s">
        <v>789</v>
      </c>
      <c r="L19" s="504" t="s">
        <v>789</v>
      </c>
      <c r="M19" s="504" t="s">
        <v>789</v>
      </c>
      <c r="N19" s="504" t="s">
        <v>789</v>
      </c>
      <c r="O19" s="504" t="s">
        <v>789</v>
      </c>
      <c r="P19" s="504" t="s">
        <v>789</v>
      </c>
      <c r="Q19" s="504" t="s">
        <v>789</v>
      </c>
      <c r="R19" s="504" t="s">
        <v>789</v>
      </c>
      <c r="S19" s="504" t="s">
        <v>789</v>
      </c>
      <c r="T19" s="504" t="s">
        <v>789</v>
      </c>
      <c r="U19" s="504" t="s">
        <v>789</v>
      </c>
      <c r="V19" s="504" t="s">
        <v>789</v>
      </c>
      <c r="W19" s="274"/>
    </row>
    <row r="20" spans="1:23" x14ac:dyDescent="0.2">
      <c r="A20" s="516" t="s">
        <v>576</v>
      </c>
      <c r="B20" s="583" t="s">
        <v>577</v>
      </c>
      <c r="C20" s="511">
        <v>4</v>
      </c>
      <c r="D20" s="509"/>
      <c r="E20" s="273"/>
      <c r="F20" s="273"/>
      <c r="G20" s="273"/>
      <c r="H20" s="273"/>
      <c r="I20" s="273"/>
      <c r="J20" s="273"/>
      <c r="K20" s="273"/>
      <c r="L20" s="273"/>
      <c r="M20" s="273"/>
      <c r="N20" s="273"/>
      <c r="O20" s="504" t="s">
        <v>789</v>
      </c>
      <c r="P20" s="504" t="s">
        <v>789</v>
      </c>
      <c r="Q20" s="504" t="s">
        <v>789</v>
      </c>
      <c r="R20" s="504" t="s">
        <v>789</v>
      </c>
      <c r="S20" s="273"/>
      <c r="T20" s="273"/>
      <c r="U20" s="273"/>
      <c r="V20" s="273"/>
      <c r="W20" s="274"/>
    </row>
    <row r="21" spans="1:23" ht="13.5" thickBot="1" x14ac:dyDescent="0.25">
      <c r="A21" s="590" t="s">
        <v>941</v>
      </c>
      <c r="B21" s="591" t="s">
        <v>940</v>
      </c>
      <c r="C21" s="592">
        <v>4</v>
      </c>
      <c r="D21" s="318"/>
      <c r="E21" s="593"/>
      <c r="F21" s="593"/>
      <c r="G21" s="593"/>
      <c r="H21" s="594" t="s">
        <v>789</v>
      </c>
      <c r="I21" s="594" t="s">
        <v>789</v>
      </c>
      <c r="J21" s="594" t="s">
        <v>789</v>
      </c>
      <c r="K21" s="594" t="s">
        <v>789</v>
      </c>
      <c r="L21" s="594" t="s">
        <v>789</v>
      </c>
      <c r="M21" s="594" t="s">
        <v>789</v>
      </c>
      <c r="N21" s="593"/>
      <c r="O21" s="593"/>
      <c r="P21" s="593"/>
      <c r="Q21" s="593"/>
      <c r="R21" s="593"/>
      <c r="S21" s="593"/>
      <c r="T21" s="593"/>
      <c r="U21" s="593"/>
      <c r="V21" s="593"/>
      <c r="W21" s="595"/>
    </row>
    <row r="22" spans="1:23" ht="13.5" thickBot="1" x14ac:dyDescent="0.25">
      <c r="A22" s="584"/>
      <c r="B22" s="584"/>
      <c r="C22" s="584"/>
      <c r="D22" s="584"/>
      <c r="E22" s="584"/>
      <c r="F22" s="584"/>
      <c r="G22" s="584"/>
      <c r="H22" s="584"/>
      <c r="I22" s="584"/>
      <c r="J22" s="584"/>
      <c r="K22" s="584"/>
      <c r="L22" s="584"/>
      <c r="M22" s="584"/>
      <c r="N22" s="584"/>
      <c r="O22" s="584"/>
      <c r="P22" s="584"/>
      <c r="Q22" s="584"/>
      <c r="R22" s="584"/>
      <c r="S22" s="584"/>
      <c r="T22" s="584"/>
      <c r="U22" s="584"/>
      <c r="V22" s="584"/>
      <c r="W22" s="584"/>
    </row>
    <row r="23" spans="1:23" ht="13.5" thickBot="1" x14ac:dyDescent="0.25">
      <c r="A23" s="264" t="s">
        <v>267</v>
      </c>
      <c r="B23" s="294" t="s">
        <v>578</v>
      </c>
      <c r="C23" s="340">
        <v>18</v>
      </c>
      <c r="D23" s="284"/>
      <c r="E23" s="301" t="s">
        <v>789</v>
      </c>
      <c r="F23" s="301" t="s">
        <v>789</v>
      </c>
      <c r="G23" s="301" t="s">
        <v>789</v>
      </c>
      <c r="H23" s="301" t="s">
        <v>789</v>
      </c>
      <c r="I23" s="301" t="s">
        <v>789</v>
      </c>
      <c r="J23" s="301" t="s">
        <v>789</v>
      </c>
      <c r="K23" s="301" t="s">
        <v>789</v>
      </c>
      <c r="L23" s="301" t="s">
        <v>789</v>
      </c>
      <c r="M23" s="301" t="s">
        <v>789</v>
      </c>
      <c r="N23" s="301" t="s">
        <v>789</v>
      </c>
      <c r="O23" s="301" t="s">
        <v>789</v>
      </c>
      <c r="P23" s="301" t="s">
        <v>789</v>
      </c>
      <c r="Q23" s="301" t="s">
        <v>789</v>
      </c>
      <c r="R23" s="301" t="s">
        <v>789</v>
      </c>
      <c r="S23" s="301" t="s">
        <v>789</v>
      </c>
      <c r="T23" s="301" t="s">
        <v>789</v>
      </c>
      <c r="U23" s="301" t="s">
        <v>789</v>
      </c>
      <c r="V23" s="301" t="s">
        <v>789</v>
      </c>
      <c r="W23" s="263"/>
    </row>
    <row r="24" spans="1:23" ht="13.5" thickBot="1" x14ac:dyDescent="0.25">
      <c r="A24" s="1690"/>
      <c r="B24" s="1690"/>
      <c r="C24" s="1690"/>
      <c r="D24" s="1690"/>
      <c r="E24" s="1690"/>
      <c r="F24" s="1690"/>
      <c r="G24" s="1690"/>
      <c r="H24" s="1690"/>
      <c r="I24" s="1690"/>
      <c r="J24" s="1690"/>
      <c r="K24" s="1690"/>
      <c r="L24" s="1690"/>
      <c r="M24" s="1690"/>
      <c r="N24" s="1690"/>
      <c r="O24" s="1690"/>
      <c r="P24" s="1690"/>
      <c r="Q24" s="1690"/>
      <c r="R24" s="1690"/>
      <c r="S24" s="1690"/>
      <c r="T24" s="1690"/>
      <c r="U24" s="1690"/>
      <c r="V24" s="1690"/>
      <c r="W24" s="1690"/>
    </row>
    <row r="25" spans="1:23" ht="24.95" customHeight="1" x14ac:dyDescent="0.2">
      <c r="A25" s="515" t="s">
        <v>603</v>
      </c>
      <c r="B25" s="518" t="s">
        <v>790</v>
      </c>
      <c r="C25" s="268">
        <v>1</v>
      </c>
      <c r="D25" s="267"/>
      <c r="E25" s="296" t="s">
        <v>789</v>
      </c>
      <c r="F25" s="269"/>
      <c r="G25" s="269"/>
      <c r="H25" s="269"/>
      <c r="I25" s="269"/>
      <c r="J25" s="269"/>
      <c r="K25" s="269"/>
      <c r="L25" s="269"/>
      <c r="M25" s="269"/>
      <c r="N25" s="269"/>
      <c r="O25" s="269"/>
      <c r="P25" s="269"/>
      <c r="Q25" s="269"/>
      <c r="R25" s="269"/>
      <c r="S25" s="269"/>
      <c r="T25" s="269"/>
      <c r="U25" s="269"/>
      <c r="V25" s="269"/>
      <c r="W25" s="270"/>
    </row>
    <row r="26" spans="1:23" ht="24.95" customHeight="1" x14ac:dyDescent="0.2">
      <c r="A26" s="516" t="s">
        <v>604</v>
      </c>
      <c r="B26" s="519" t="s">
        <v>791</v>
      </c>
      <c r="C26" s="272" t="s">
        <v>610</v>
      </c>
      <c r="D26" s="271"/>
      <c r="E26" s="287"/>
      <c r="F26" s="297" t="s">
        <v>789</v>
      </c>
      <c r="G26" s="273"/>
      <c r="H26" s="273"/>
      <c r="I26" s="273"/>
      <c r="J26" s="273"/>
      <c r="K26" s="273"/>
      <c r="L26" s="273"/>
      <c r="M26" s="273"/>
      <c r="N26" s="273"/>
      <c r="O26" s="273"/>
      <c r="P26" s="273"/>
      <c r="Q26" s="273"/>
      <c r="R26" s="273"/>
      <c r="S26" s="273"/>
      <c r="T26" s="273"/>
      <c r="U26" s="273"/>
      <c r="V26" s="273"/>
      <c r="W26" s="274"/>
    </row>
    <row r="27" spans="1:23" ht="24.95" customHeight="1" x14ac:dyDescent="0.2">
      <c r="A27" s="516" t="s">
        <v>605</v>
      </c>
      <c r="B27" s="519" t="s">
        <v>792</v>
      </c>
      <c r="C27" s="272" t="s">
        <v>611</v>
      </c>
      <c r="D27" s="271"/>
      <c r="E27" s="273"/>
      <c r="F27" s="273"/>
      <c r="G27" s="297" t="s">
        <v>789</v>
      </c>
      <c r="H27" s="273"/>
      <c r="I27" s="273"/>
      <c r="J27" s="273"/>
      <c r="K27" s="273"/>
      <c r="L27" s="273"/>
      <c r="M27" s="273"/>
      <c r="N27" s="273"/>
      <c r="O27" s="273"/>
      <c r="P27" s="273"/>
      <c r="Q27" s="273"/>
      <c r="R27" s="273"/>
      <c r="S27" s="273"/>
      <c r="T27" s="273"/>
      <c r="U27" s="273"/>
      <c r="V27" s="273"/>
      <c r="W27" s="274"/>
    </row>
    <row r="28" spans="1:23" ht="24.95" customHeight="1" x14ac:dyDescent="0.2">
      <c r="A28" s="516" t="s">
        <v>606</v>
      </c>
      <c r="B28" s="519" t="s">
        <v>793</v>
      </c>
      <c r="C28" s="272">
        <v>7</v>
      </c>
      <c r="D28" s="271"/>
      <c r="E28" s="273"/>
      <c r="F28" s="273"/>
      <c r="G28" s="287"/>
      <c r="H28" s="297" t="s">
        <v>789</v>
      </c>
      <c r="I28" s="297" t="s">
        <v>789</v>
      </c>
      <c r="J28" s="297" t="s">
        <v>789</v>
      </c>
      <c r="K28" s="297" t="s">
        <v>789</v>
      </c>
      <c r="L28" s="297" t="s">
        <v>789</v>
      </c>
      <c r="M28" s="297" t="s">
        <v>789</v>
      </c>
      <c r="N28" s="297" t="s">
        <v>789</v>
      </c>
      <c r="O28" s="273"/>
      <c r="P28" s="273"/>
      <c r="Q28" s="273"/>
      <c r="R28" s="273"/>
      <c r="S28" s="273"/>
      <c r="T28" s="273"/>
      <c r="U28" s="273"/>
      <c r="V28" s="273"/>
      <c r="W28" s="274"/>
    </row>
    <row r="29" spans="1:23" ht="24.95" customHeight="1" x14ac:dyDescent="0.2">
      <c r="A29" s="516" t="s">
        <v>607</v>
      </c>
      <c r="B29" s="519" t="s">
        <v>794</v>
      </c>
      <c r="C29" s="272">
        <v>10</v>
      </c>
      <c r="D29" s="271"/>
      <c r="E29" s="273"/>
      <c r="F29" s="273"/>
      <c r="G29" s="273"/>
      <c r="H29" s="273"/>
      <c r="I29" s="273"/>
      <c r="J29" s="273"/>
      <c r="K29" s="273"/>
      <c r="L29" s="273"/>
      <c r="M29" s="273"/>
      <c r="N29" s="287"/>
      <c r="O29" s="297" t="s">
        <v>789</v>
      </c>
      <c r="P29" s="297" t="s">
        <v>789</v>
      </c>
      <c r="Q29" s="297" t="s">
        <v>789</v>
      </c>
      <c r="R29" s="297" t="s">
        <v>789</v>
      </c>
      <c r="S29" s="297" t="s">
        <v>789</v>
      </c>
      <c r="T29" s="297" t="s">
        <v>789</v>
      </c>
      <c r="U29" s="297" t="s">
        <v>789</v>
      </c>
      <c r="V29" s="273"/>
      <c r="W29" s="274"/>
    </row>
    <row r="30" spans="1:23" ht="24.95" customHeight="1" x14ac:dyDescent="0.2">
      <c r="A30" s="516" t="s">
        <v>609</v>
      </c>
      <c r="B30" s="519" t="s">
        <v>795</v>
      </c>
      <c r="C30" s="272">
        <v>18</v>
      </c>
      <c r="D30" s="271"/>
      <c r="E30" s="297" t="s">
        <v>789</v>
      </c>
      <c r="F30" s="297" t="s">
        <v>789</v>
      </c>
      <c r="G30" s="297" t="s">
        <v>789</v>
      </c>
      <c r="H30" s="297" t="s">
        <v>789</v>
      </c>
      <c r="I30" s="297" t="s">
        <v>789</v>
      </c>
      <c r="J30" s="297" t="s">
        <v>789</v>
      </c>
      <c r="K30" s="297" t="s">
        <v>789</v>
      </c>
      <c r="L30" s="297" t="s">
        <v>789</v>
      </c>
      <c r="M30" s="297" t="s">
        <v>789</v>
      </c>
      <c r="N30" s="297" t="s">
        <v>789</v>
      </c>
      <c r="O30" s="297" t="s">
        <v>789</v>
      </c>
      <c r="P30" s="297" t="s">
        <v>789</v>
      </c>
      <c r="Q30" s="297" t="s">
        <v>789</v>
      </c>
      <c r="R30" s="297" t="s">
        <v>789</v>
      </c>
      <c r="S30" s="297" t="s">
        <v>789</v>
      </c>
      <c r="T30" s="297" t="s">
        <v>789</v>
      </c>
      <c r="U30" s="297" t="s">
        <v>789</v>
      </c>
      <c r="V30" s="297" t="s">
        <v>789</v>
      </c>
      <c r="W30" s="274"/>
    </row>
    <row r="31" spans="1:23" ht="24.95" customHeight="1" thickBot="1" x14ac:dyDescent="0.25">
      <c r="A31" s="517" t="s">
        <v>608</v>
      </c>
      <c r="B31" s="520" t="s">
        <v>796</v>
      </c>
      <c r="C31" s="276">
        <v>7</v>
      </c>
      <c r="D31" s="275"/>
      <c r="E31" s="277"/>
      <c r="F31" s="305" t="s">
        <v>789</v>
      </c>
      <c r="G31" s="305" t="s">
        <v>789</v>
      </c>
      <c r="H31" s="305" t="s">
        <v>789</v>
      </c>
      <c r="I31" s="305" t="s">
        <v>789</v>
      </c>
      <c r="J31" s="305" t="s">
        <v>789</v>
      </c>
      <c r="K31" s="305" t="s">
        <v>789</v>
      </c>
      <c r="L31" s="305" t="s">
        <v>789</v>
      </c>
      <c r="M31" s="277"/>
      <c r="N31" s="277"/>
      <c r="O31" s="277"/>
      <c r="P31" s="277"/>
      <c r="Q31" s="277"/>
      <c r="R31" s="277"/>
      <c r="S31" s="277"/>
      <c r="T31" s="277"/>
      <c r="U31" s="277"/>
      <c r="V31" s="277"/>
      <c r="W31" s="278"/>
    </row>
    <row r="32" spans="1:23" ht="13.5" thickBot="1" x14ac:dyDescent="0.25">
      <c r="A32" s="1690"/>
      <c r="B32" s="1690"/>
      <c r="C32" s="1690"/>
      <c r="D32" s="1690"/>
      <c r="E32" s="1690"/>
      <c r="F32" s="1690"/>
      <c r="G32" s="1690"/>
      <c r="H32" s="1690"/>
      <c r="I32" s="1690"/>
      <c r="J32" s="1690"/>
      <c r="K32" s="1690"/>
      <c r="L32" s="1690"/>
      <c r="M32" s="1690"/>
      <c r="N32" s="1690"/>
      <c r="O32" s="1690"/>
      <c r="P32" s="1690"/>
      <c r="Q32" s="1690"/>
      <c r="R32" s="1690"/>
      <c r="S32" s="1690"/>
      <c r="T32" s="1690"/>
      <c r="U32" s="1690"/>
      <c r="V32" s="1690"/>
      <c r="W32" s="1690"/>
    </row>
    <row r="33" spans="1:23" ht="20.100000000000001" customHeight="1" thickBot="1" x14ac:dyDescent="0.25">
      <c r="A33" s="264" t="s">
        <v>409</v>
      </c>
      <c r="B33" s="342" t="s">
        <v>236</v>
      </c>
      <c r="C33" s="343">
        <v>3</v>
      </c>
      <c r="D33" s="266"/>
      <c r="E33" s="262"/>
      <c r="F33" s="262"/>
      <c r="G33" s="262"/>
      <c r="H33" s="262"/>
      <c r="I33" s="262"/>
      <c r="J33" s="262"/>
      <c r="K33" s="262"/>
      <c r="L33" s="262"/>
      <c r="M33" s="295" t="s">
        <v>789</v>
      </c>
      <c r="N33" s="295" t="s">
        <v>789</v>
      </c>
      <c r="O33" s="295" t="s">
        <v>789</v>
      </c>
      <c r="P33" s="289"/>
      <c r="Q33" s="289"/>
      <c r="R33" s="262"/>
      <c r="S33" s="262"/>
      <c r="T33" s="262"/>
      <c r="U33" s="262"/>
      <c r="V33" s="262"/>
      <c r="W33" s="263"/>
    </row>
    <row r="34" spans="1:23" ht="13.5" thickBot="1" x14ac:dyDescent="0.25">
      <c r="A34" s="1690"/>
      <c r="B34" s="1690"/>
      <c r="C34" s="1690"/>
      <c r="D34" s="1690"/>
      <c r="E34" s="1690"/>
      <c r="F34" s="1690"/>
      <c r="G34" s="1690"/>
      <c r="H34" s="1690"/>
      <c r="I34" s="1690"/>
      <c r="J34" s="1690"/>
      <c r="K34" s="1690"/>
      <c r="L34" s="1690"/>
      <c r="M34" s="1690"/>
      <c r="N34" s="1690"/>
      <c r="O34" s="1690"/>
      <c r="P34" s="1690"/>
      <c r="Q34" s="1690"/>
      <c r="R34" s="1690"/>
      <c r="S34" s="1690"/>
      <c r="T34" s="1690"/>
      <c r="U34" s="1690"/>
      <c r="V34" s="1690"/>
      <c r="W34" s="1690"/>
    </row>
    <row r="35" spans="1:23" ht="20.100000000000001" customHeight="1" thickBot="1" x14ac:dyDescent="0.25">
      <c r="A35" s="264" t="s">
        <v>410</v>
      </c>
      <c r="B35" s="294" t="s">
        <v>579</v>
      </c>
      <c r="C35" s="340">
        <v>12</v>
      </c>
      <c r="D35" s="306"/>
      <c r="E35" s="295" t="s">
        <v>789</v>
      </c>
      <c r="F35" s="295" t="s">
        <v>789</v>
      </c>
      <c r="G35" s="295" t="s">
        <v>789</v>
      </c>
      <c r="H35" s="295" t="s">
        <v>789</v>
      </c>
      <c r="I35" s="295" t="s">
        <v>789</v>
      </c>
      <c r="J35" s="295" t="s">
        <v>789</v>
      </c>
      <c r="K35" s="1691" t="s">
        <v>860</v>
      </c>
      <c r="L35" s="1691"/>
      <c r="M35" s="1691"/>
      <c r="N35" s="1691"/>
      <c r="O35" s="1691"/>
      <c r="P35" s="1691"/>
      <c r="Q35" s="295" t="s">
        <v>789</v>
      </c>
      <c r="R35" s="295" t="s">
        <v>789</v>
      </c>
      <c r="S35" s="295" t="s">
        <v>789</v>
      </c>
      <c r="T35" s="295" t="s">
        <v>789</v>
      </c>
      <c r="U35" s="295" t="s">
        <v>789</v>
      </c>
      <c r="V35" s="295" t="s">
        <v>789</v>
      </c>
      <c r="W35" s="307"/>
    </row>
    <row r="36" spans="1:23" ht="13.5" thickBot="1" x14ac:dyDescent="0.25">
      <c r="A36" s="1690"/>
      <c r="B36" s="1690"/>
      <c r="C36" s="1690"/>
      <c r="D36" s="1690"/>
      <c r="E36" s="1690"/>
      <c r="F36" s="1690"/>
      <c r="G36" s="1690"/>
      <c r="H36" s="1690"/>
      <c r="I36" s="1690"/>
      <c r="J36" s="1690"/>
      <c r="K36" s="1690"/>
      <c r="L36" s="1690"/>
      <c r="M36" s="1690"/>
      <c r="N36" s="1690"/>
      <c r="O36" s="1690"/>
      <c r="P36" s="1690"/>
      <c r="Q36" s="1690"/>
      <c r="R36" s="1690"/>
      <c r="S36" s="1690"/>
      <c r="T36" s="1690"/>
      <c r="U36" s="1690"/>
      <c r="V36" s="1690"/>
      <c r="W36" s="1690"/>
    </row>
    <row r="37" spans="1:23" ht="20.100000000000001" customHeight="1" thickBot="1" x14ac:dyDescent="0.25">
      <c r="A37" s="264" t="s">
        <v>411</v>
      </c>
      <c r="B37" s="294" t="s">
        <v>808</v>
      </c>
      <c r="C37" s="340">
        <v>18</v>
      </c>
      <c r="D37" s="284"/>
      <c r="E37" s="295" t="s">
        <v>789</v>
      </c>
      <c r="F37" s="295" t="s">
        <v>789</v>
      </c>
      <c r="G37" s="295" t="s">
        <v>789</v>
      </c>
      <c r="H37" s="295" t="s">
        <v>789</v>
      </c>
      <c r="I37" s="295" t="s">
        <v>789</v>
      </c>
      <c r="J37" s="295" t="s">
        <v>789</v>
      </c>
      <c r="K37" s="295" t="s">
        <v>789</v>
      </c>
      <c r="L37" s="295" t="s">
        <v>789</v>
      </c>
      <c r="M37" s="295" t="s">
        <v>789</v>
      </c>
      <c r="N37" s="295" t="s">
        <v>789</v>
      </c>
      <c r="O37" s="295" t="s">
        <v>789</v>
      </c>
      <c r="P37" s="295" t="s">
        <v>789</v>
      </c>
      <c r="Q37" s="295" t="s">
        <v>789</v>
      </c>
      <c r="R37" s="295" t="s">
        <v>789</v>
      </c>
      <c r="S37" s="295" t="s">
        <v>789</v>
      </c>
      <c r="T37" s="295" t="s">
        <v>789</v>
      </c>
      <c r="U37" s="295" t="s">
        <v>789</v>
      </c>
      <c r="V37" s="295" t="s">
        <v>789</v>
      </c>
      <c r="W37" s="263"/>
    </row>
    <row r="38" spans="1:23" ht="13.5" thickBot="1" x14ac:dyDescent="0.25">
      <c r="A38" s="1690"/>
      <c r="B38" s="1690"/>
      <c r="C38" s="1690"/>
      <c r="D38" s="1690"/>
      <c r="E38" s="1690"/>
      <c r="F38" s="1690"/>
      <c r="G38" s="1690"/>
      <c r="H38" s="1690"/>
      <c r="I38" s="1690"/>
      <c r="J38" s="1690"/>
      <c r="K38" s="1690"/>
      <c r="L38" s="1690"/>
      <c r="M38" s="1690"/>
      <c r="N38" s="1690"/>
      <c r="O38" s="1690"/>
      <c r="P38" s="1690"/>
      <c r="Q38" s="1690"/>
      <c r="R38" s="1690"/>
      <c r="S38" s="1690"/>
      <c r="T38" s="1690"/>
      <c r="U38" s="1690"/>
      <c r="V38" s="1690"/>
      <c r="W38" s="1690"/>
    </row>
    <row r="39" spans="1:23" ht="20.100000000000001" customHeight="1" thickBot="1" x14ac:dyDescent="0.25">
      <c r="A39" s="264" t="s">
        <v>412</v>
      </c>
      <c r="B39" s="294" t="s">
        <v>237</v>
      </c>
      <c r="C39" s="340">
        <v>12</v>
      </c>
      <c r="D39" s="266"/>
      <c r="E39" s="295" t="s">
        <v>789</v>
      </c>
      <c r="F39" s="295" t="s">
        <v>789</v>
      </c>
      <c r="G39" s="295" t="s">
        <v>789</v>
      </c>
      <c r="H39" s="295" t="s">
        <v>789</v>
      </c>
      <c r="I39" s="295" t="s">
        <v>789</v>
      </c>
      <c r="J39" s="295" t="s">
        <v>789</v>
      </c>
      <c r="K39" s="1691" t="s">
        <v>860</v>
      </c>
      <c r="L39" s="1691"/>
      <c r="M39" s="1691"/>
      <c r="N39" s="1691"/>
      <c r="O39" s="1691"/>
      <c r="P39" s="1691"/>
      <c r="Q39" s="295" t="s">
        <v>789</v>
      </c>
      <c r="R39" s="295" t="s">
        <v>789</v>
      </c>
      <c r="S39" s="295" t="s">
        <v>789</v>
      </c>
      <c r="T39" s="295" t="s">
        <v>789</v>
      </c>
      <c r="U39" s="295" t="s">
        <v>789</v>
      </c>
      <c r="V39" s="295" t="s">
        <v>789</v>
      </c>
      <c r="W39" s="263"/>
    </row>
    <row r="40" spans="1:23" ht="13.5" thickBot="1" x14ac:dyDescent="0.25">
      <c r="A40" s="1690"/>
      <c r="B40" s="1690"/>
      <c r="C40" s="1690"/>
      <c r="D40" s="1690"/>
      <c r="E40" s="1690"/>
      <c r="F40" s="1690"/>
      <c r="G40" s="1690"/>
      <c r="H40" s="1690"/>
      <c r="I40" s="1690"/>
      <c r="J40" s="1690"/>
      <c r="K40" s="1690"/>
      <c r="L40" s="1690"/>
      <c r="M40" s="1690"/>
      <c r="N40" s="1690"/>
      <c r="O40" s="1690"/>
      <c r="P40" s="1690"/>
      <c r="Q40" s="1690"/>
      <c r="R40" s="1690"/>
      <c r="S40" s="1690"/>
      <c r="T40" s="1690"/>
      <c r="U40" s="1690"/>
      <c r="V40" s="1690"/>
      <c r="W40" s="1690"/>
    </row>
    <row r="41" spans="1:23" ht="20.100000000000001" customHeight="1" thickBot="1" x14ac:dyDescent="0.25">
      <c r="A41" s="264" t="s">
        <v>413</v>
      </c>
      <c r="B41" s="294" t="s">
        <v>797</v>
      </c>
      <c r="C41" s="340">
        <v>18</v>
      </c>
      <c r="D41" s="266"/>
      <c r="E41" s="295" t="s">
        <v>789</v>
      </c>
      <c r="F41" s="295" t="s">
        <v>789</v>
      </c>
      <c r="G41" s="295" t="s">
        <v>789</v>
      </c>
      <c r="H41" s="295" t="s">
        <v>789</v>
      </c>
      <c r="I41" s="295" t="s">
        <v>789</v>
      </c>
      <c r="J41" s="295" t="s">
        <v>789</v>
      </c>
      <c r="K41" s="295" t="s">
        <v>789</v>
      </c>
      <c r="L41" s="295" t="s">
        <v>789</v>
      </c>
      <c r="M41" s="295" t="s">
        <v>789</v>
      </c>
      <c r="N41" s="295" t="s">
        <v>789</v>
      </c>
      <c r="O41" s="295" t="s">
        <v>789</v>
      </c>
      <c r="P41" s="295" t="s">
        <v>789</v>
      </c>
      <c r="Q41" s="295" t="s">
        <v>789</v>
      </c>
      <c r="R41" s="295" t="s">
        <v>789</v>
      </c>
      <c r="S41" s="295" t="s">
        <v>789</v>
      </c>
      <c r="T41" s="295" t="s">
        <v>789</v>
      </c>
      <c r="U41" s="295" t="s">
        <v>789</v>
      </c>
      <c r="V41" s="295" t="s">
        <v>789</v>
      </c>
      <c r="W41" s="263"/>
    </row>
    <row r="42" spans="1:23" ht="13.5" thickBot="1" x14ac:dyDescent="0.25">
      <c r="A42" s="1690"/>
      <c r="B42" s="1690"/>
      <c r="C42" s="1690"/>
      <c r="D42" s="1690"/>
      <c r="E42" s="1690"/>
      <c r="F42" s="1690"/>
      <c r="G42" s="1690"/>
      <c r="H42" s="1690"/>
      <c r="I42" s="1690"/>
      <c r="J42" s="1690"/>
      <c r="K42" s="1690"/>
      <c r="L42" s="1690"/>
      <c r="M42" s="1690"/>
      <c r="N42" s="1690"/>
      <c r="O42" s="1690"/>
      <c r="P42" s="1690"/>
      <c r="Q42" s="1690"/>
      <c r="R42" s="1690"/>
      <c r="S42" s="1690"/>
      <c r="T42" s="1690"/>
      <c r="U42" s="1690"/>
      <c r="V42" s="1690"/>
      <c r="W42" s="1690"/>
    </row>
    <row r="43" spans="1:23" ht="20.100000000000001" customHeight="1" thickBot="1" x14ac:dyDescent="0.25">
      <c r="A43" s="264" t="s">
        <v>260</v>
      </c>
      <c r="B43" s="294" t="s">
        <v>612</v>
      </c>
      <c r="C43" s="340">
        <v>1</v>
      </c>
      <c r="D43" s="284"/>
      <c r="E43" s="262"/>
      <c r="F43" s="262"/>
      <c r="G43" s="262"/>
      <c r="H43" s="262"/>
      <c r="I43" s="262"/>
      <c r="J43" s="262"/>
      <c r="K43" s="262"/>
      <c r="L43" s="262"/>
      <c r="M43" s="262"/>
      <c r="N43" s="262"/>
      <c r="O43" s="262"/>
      <c r="P43" s="262"/>
      <c r="Q43" s="262"/>
      <c r="R43" s="262"/>
      <c r="S43" s="262"/>
      <c r="T43" s="262"/>
      <c r="U43" s="262"/>
      <c r="V43" s="262"/>
      <c r="W43" s="308" t="s">
        <v>789</v>
      </c>
    </row>
    <row r="44" spans="1:23" x14ac:dyDescent="0.2">
      <c r="A44" s="1692"/>
      <c r="B44" s="1692"/>
      <c r="C44" s="1692"/>
      <c r="D44" s="1692"/>
      <c r="E44" s="1692"/>
      <c r="F44" s="1692"/>
      <c r="G44" s="1692"/>
      <c r="H44" s="1692"/>
      <c r="I44" s="1692"/>
      <c r="J44" s="1692"/>
      <c r="K44" s="1692"/>
      <c r="L44" s="1692"/>
      <c r="M44" s="1692"/>
      <c r="N44" s="1692"/>
      <c r="O44" s="1692"/>
      <c r="P44" s="1692"/>
      <c r="Q44" s="1692"/>
      <c r="R44" s="1692"/>
      <c r="S44" s="1692"/>
      <c r="T44" s="1692"/>
      <c r="U44" s="1692"/>
      <c r="V44" s="1692"/>
      <c r="W44" s="1692"/>
    </row>
    <row r="45" spans="1:23" ht="13.5" thickBot="1" x14ac:dyDescent="0.25">
      <c r="A45" s="143"/>
      <c r="B45" s="143"/>
      <c r="C45" s="290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143"/>
      <c r="W45" s="143"/>
    </row>
    <row r="46" spans="1:23" x14ac:dyDescent="0.2">
      <c r="A46" s="1693" t="s">
        <v>798</v>
      </c>
      <c r="B46" s="1694"/>
      <c r="C46" s="1694"/>
      <c r="D46" s="1694"/>
      <c r="E46" s="1694"/>
      <c r="F46" s="1694"/>
      <c r="G46" s="1694"/>
      <c r="H46" s="1694"/>
      <c r="I46" s="1694"/>
      <c r="J46" s="1694"/>
      <c r="K46" s="1694"/>
      <c r="L46" s="1694"/>
      <c r="M46" s="1694"/>
      <c r="N46" s="1694"/>
      <c r="O46" s="1694"/>
      <c r="P46" s="1694"/>
      <c r="Q46" s="1694"/>
      <c r="R46" s="1694"/>
      <c r="S46" s="1694"/>
      <c r="T46" s="1694"/>
      <c r="U46" s="1694"/>
      <c r="V46" s="1694"/>
      <c r="W46" s="1695"/>
    </row>
    <row r="47" spans="1:23" x14ac:dyDescent="0.2">
      <c r="A47" s="291" t="s">
        <v>99</v>
      </c>
      <c r="B47" s="1696" t="s">
        <v>799</v>
      </c>
      <c r="C47" s="1696"/>
      <c r="D47" s="1696"/>
      <c r="E47" s="1696"/>
      <c r="F47" s="1696"/>
      <c r="G47" s="1696"/>
      <c r="H47" s="1696"/>
      <c r="I47" s="1696"/>
      <c r="J47" s="1696"/>
      <c r="K47" s="1696"/>
      <c r="L47" s="1696"/>
      <c r="M47" s="1696"/>
      <c r="N47" s="1696"/>
      <c r="O47" s="1696"/>
      <c r="P47" s="1696"/>
      <c r="Q47" s="1696"/>
      <c r="R47" s="1696"/>
      <c r="S47" s="1696"/>
      <c r="T47" s="1696"/>
      <c r="U47" s="1696"/>
      <c r="V47" s="1696"/>
      <c r="W47" s="1697"/>
    </row>
    <row r="48" spans="1:23" ht="13.5" thickBot="1" x14ac:dyDescent="0.25">
      <c r="A48" s="292" t="s">
        <v>100</v>
      </c>
      <c r="B48" s="1688"/>
      <c r="C48" s="1688"/>
      <c r="D48" s="1688"/>
      <c r="E48" s="1688"/>
      <c r="F48" s="1688"/>
      <c r="G48" s="1688"/>
      <c r="H48" s="1688"/>
      <c r="I48" s="1688"/>
      <c r="J48" s="1688"/>
      <c r="K48" s="1688"/>
      <c r="L48" s="1688"/>
      <c r="M48" s="1688"/>
      <c r="N48" s="1688"/>
      <c r="O48" s="1688"/>
      <c r="P48" s="1688"/>
      <c r="Q48" s="1688"/>
      <c r="R48" s="1688"/>
      <c r="S48" s="1688"/>
      <c r="T48" s="1688"/>
      <c r="U48" s="1688"/>
      <c r="V48" s="1688"/>
      <c r="W48" s="1689"/>
    </row>
  </sheetData>
  <mergeCells count="25">
    <mergeCell ref="A24:W24"/>
    <mergeCell ref="A1:W1"/>
    <mergeCell ref="A2:W2"/>
    <mergeCell ref="A3:W3"/>
    <mergeCell ref="A4:W5"/>
    <mergeCell ref="A7:W8"/>
    <mergeCell ref="A10:A11"/>
    <mergeCell ref="B10:B11"/>
    <mergeCell ref="C10:C11"/>
    <mergeCell ref="D10:W10"/>
    <mergeCell ref="A12:W12"/>
    <mergeCell ref="A14:W14"/>
    <mergeCell ref="A16:W16"/>
    <mergeCell ref="B48:W48"/>
    <mergeCell ref="A32:W32"/>
    <mergeCell ref="A34:W34"/>
    <mergeCell ref="K35:P35"/>
    <mergeCell ref="A36:W36"/>
    <mergeCell ref="A38:W38"/>
    <mergeCell ref="K39:P39"/>
    <mergeCell ref="A40:W40"/>
    <mergeCell ref="A42:W42"/>
    <mergeCell ref="A44:W44"/>
    <mergeCell ref="A46:W46"/>
    <mergeCell ref="B47:W47"/>
  </mergeCells>
  <printOptions horizontalCentered="1" verticalCentered="1"/>
  <pageMargins left="0.59055118110236227" right="0.98425196850393704" top="0.98425196850393704" bottom="0.59055118110236227" header="0.31496062992125984" footer="0.31496062992125984"/>
  <pageSetup paperSize="9" scale="50" orientation="landscape" horizontalDpi="4294967294" verticalDpi="4294967294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X78"/>
  <sheetViews>
    <sheetView topLeftCell="A42" zoomScale="60" zoomScaleNormal="60" workbookViewId="0">
      <selection activeCell="A24" sqref="A24:X24"/>
    </sheetView>
  </sheetViews>
  <sheetFormatPr defaultRowHeight="12.75" x14ac:dyDescent="0.2"/>
  <cols>
    <col min="1" max="1" width="7.7109375" style="453" bestFit="1" customWidth="1"/>
    <col min="2" max="2" width="67.5703125" style="453" customWidth="1"/>
    <col min="3" max="3" width="24" style="453" bestFit="1" customWidth="1"/>
    <col min="4" max="4" width="18" style="453" bestFit="1" customWidth="1"/>
    <col min="5" max="5" width="12.7109375" style="453" customWidth="1"/>
    <col min="6" max="24" width="13.28515625" style="453" customWidth="1"/>
    <col min="25" max="16384" width="9.140625" style="453"/>
  </cols>
  <sheetData>
    <row r="1" spans="1:24" x14ac:dyDescent="0.2">
      <c r="A1" s="1228" t="s">
        <v>294</v>
      </c>
      <c r="B1" s="1229"/>
      <c r="C1" s="1229"/>
      <c r="D1" s="1229"/>
      <c r="E1" s="1229"/>
      <c r="F1" s="1229"/>
      <c r="G1" s="1229"/>
      <c r="H1" s="1229"/>
      <c r="I1" s="1229"/>
      <c r="J1" s="1229"/>
      <c r="K1" s="1229"/>
      <c r="L1" s="1229"/>
      <c r="M1" s="1229"/>
      <c r="N1" s="1229"/>
      <c r="O1" s="1229"/>
      <c r="P1" s="1229"/>
      <c r="Q1" s="1229"/>
      <c r="R1" s="1229"/>
      <c r="S1" s="1229"/>
      <c r="T1" s="1229"/>
      <c r="U1" s="1229"/>
      <c r="V1" s="1229"/>
      <c r="W1" s="1229"/>
      <c r="X1" s="1230"/>
    </row>
    <row r="2" spans="1:24" x14ac:dyDescent="0.2">
      <c r="A2" s="1231" t="s">
        <v>295</v>
      </c>
      <c r="B2" s="1232"/>
      <c r="C2" s="1232"/>
      <c r="D2" s="1232"/>
      <c r="E2" s="1232"/>
      <c r="F2" s="1232"/>
      <c r="G2" s="1232"/>
      <c r="H2" s="1232"/>
      <c r="I2" s="1232"/>
      <c r="J2" s="1232"/>
      <c r="K2" s="1232"/>
      <c r="L2" s="1232"/>
      <c r="M2" s="1232"/>
      <c r="N2" s="1232"/>
      <c r="O2" s="1232"/>
      <c r="P2" s="1232"/>
      <c r="Q2" s="1232"/>
      <c r="R2" s="1232"/>
      <c r="S2" s="1232"/>
      <c r="T2" s="1232"/>
      <c r="U2" s="1232"/>
      <c r="V2" s="1232"/>
      <c r="W2" s="1232"/>
      <c r="X2" s="1233"/>
    </row>
    <row r="3" spans="1:24" ht="13.5" thickBot="1" x14ac:dyDescent="0.25">
      <c r="A3" s="447"/>
      <c r="B3" s="448"/>
      <c r="C3" s="448"/>
      <c r="D3" s="448"/>
      <c r="E3" s="448"/>
      <c r="F3" s="448"/>
      <c r="G3" s="448"/>
      <c r="H3" s="448"/>
      <c r="I3" s="448"/>
      <c r="J3" s="448"/>
      <c r="K3" s="448"/>
      <c r="L3" s="448"/>
      <c r="M3" s="448"/>
      <c r="N3" s="448"/>
      <c r="O3" s="448"/>
      <c r="P3" s="448"/>
      <c r="Q3" s="448"/>
      <c r="R3" s="448"/>
      <c r="S3" s="448"/>
      <c r="T3" s="448"/>
      <c r="U3" s="448"/>
      <c r="V3" s="448"/>
      <c r="W3" s="448"/>
      <c r="X3" s="449"/>
    </row>
    <row r="4" spans="1:24" ht="13.5" thickBot="1" x14ac:dyDescent="0.25">
      <c r="A4" s="1389"/>
      <c r="B4" s="1390"/>
      <c r="C4" s="1390"/>
      <c r="D4" s="1390"/>
      <c r="E4" s="1390"/>
      <c r="F4" s="1390"/>
      <c r="G4" s="1390"/>
      <c r="H4" s="1390"/>
      <c r="I4" s="1390"/>
      <c r="J4" s="1390"/>
      <c r="K4" s="1390"/>
      <c r="L4" s="1390"/>
      <c r="M4" s="1390"/>
      <c r="N4" s="1390"/>
      <c r="O4" s="1390"/>
      <c r="P4" s="1390"/>
      <c r="Q4" s="1390"/>
      <c r="R4" s="1390"/>
      <c r="S4" s="1390"/>
      <c r="T4" s="1390"/>
      <c r="U4" s="1390"/>
      <c r="V4" s="1390"/>
      <c r="W4" s="1390"/>
      <c r="X4" s="1390"/>
    </row>
    <row r="5" spans="1:24" x14ac:dyDescent="0.2">
      <c r="A5" s="1237" t="s">
        <v>292</v>
      </c>
      <c r="B5" s="1238"/>
      <c r="C5" s="1238"/>
      <c r="D5" s="1238"/>
      <c r="E5" s="1238"/>
      <c r="F5" s="1238"/>
      <c r="G5" s="1238"/>
      <c r="H5" s="1238"/>
      <c r="I5" s="1238"/>
      <c r="J5" s="1238"/>
      <c r="K5" s="1238"/>
      <c r="L5" s="1238"/>
      <c r="M5" s="1238"/>
      <c r="N5" s="1238"/>
      <c r="O5" s="1238"/>
      <c r="P5" s="1238"/>
      <c r="Q5" s="1238"/>
      <c r="R5" s="1238"/>
      <c r="S5" s="1238"/>
      <c r="T5" s="1238"/>
      <c r="U5" s="1238"/>
      <c r="V5" s="1238"/>
      <c r="W5" s="1238"/>
      <c r="X5" s="1239"/>
    </row>
    <row r="6" spans="1:24" ht="13.5" thickBot="1" x14ac:dyDescent="0.25">
      <c r="A6" s="1240"/>
      <c r="B6" s="1241"/>
      <c r="C6" s="1241"/>
      <c r="D6" s="1241"/>
      <c r="E6" s="1241"/>
      <c r="F6" s="1241"/>
      <c r="G6" s="1241"/>
      <c r="H6" s="1241"/>
      <c r="I6" s="1241"/>
      <c r="J6" s="1241"/>
      <c r="K6" s="1241"/>
      <c r="L6" s="1241"/>
      <c r="M6" s="1241"/>
      <c r="N6" s="1241"/>
      <c r="O6" s="1241"/>
      <c r="P6" s="1241"/>
      <c r="Q6" s="1241"/>
      <c r="R6" s="1241"/>
      <c r="S6" s="1241"/>
      <c r="T6" s="1241"/>
      <c r="U6" s="1241"/>
      <c r="V6" s="1241"/>
      <c r="W6" s="1241"/>
      <c r="X6" s="1242"/>
    </row>
    <row r="7" spans="1:24" ht="13.5" thickBot="1" x14ac:dyDescent="0.25">
      <c r="A7" s="454"/>
      <c r="B7" s="454"/>
      <c r="C7" s="454"/>
      <c r="D7" s="454"/>
      <c r="E7" s="454"/>
      <c r="F7" s="454"/>
      <c r="G7" s="454"/>
      <c r="H7" s="454"/>
      <c r="I7" s="454"/>
      <c r="J7" s="454"/>
      <c r="K7" s="454"/>
      <c r="L7" s="454"/>
      <c r="M7" s="454"/>
      <c r="N7" s="454"/>
      <c r="O7" s="454"/>
      <c r="P7" s="454"/>
      <c r="Q7" s="454"/>
      <c r="R7" s="454"/>
      <c r="S7" s="454"/>
      <c r="T7" s="454"/>
      <c r="U7" s="454"/>
      <c r="V7" s="454"/>
      <c r="W7" s="454"/>
      <c r="X7" s="454"/>
    </row>
    <row r="8" spans="1:24" x14ac:dyDescent="0.2">
      <c r="A8" s="1756" t="s">
        <v>882</v>
      </c>
      <c r="B8" s="1757"/>
      <c r="C8" s="1757"/>
      <c r="D8" s="1757"/>
      <c r="E8" s="1757"/>
      <c r="F8" s="1757"/>
      <c r="G8" s="1757"/>
      <c r="H8" s="1757"/>
      <c r="I8" s="1757"/>
      <c r="J8" s="1757"/>
      <c r="K8" s="1757"/>
      <c r="L8" s="1757"/>
      <c r="M8" s="1757"/>
      <c r="N8" s="1757"/>
      <c r="O8" s="1757"/>
      <c r="P8" s="1757"/>
      <c r="Q8" s="1757"/>
      <c r="R8" s="1757"/>
      <c r="S8" s="1757"/>
      <c r="T8" s="1757"/>
      <c r="U8" s="1757"/>
      <c r="V8" s="1757"/>
      <c r="W8" s="1757"/>
      <c r="X8" s="1758"/>
    </row>
    <row r="9" spans="1:24" ht="13.5" thickBot="1" x14ac:dyDescent="0.25">
      <c r="A9" s="1759"/>
      <c r="B9" s="1760"/>
      <c r="C9" s="1760"/>
      <c r="D9" s="1760"/>
      <c r="E9" s="1760"/>
      <c r="F9" s="1760"/>
      <c r="G9" s="1760"/>
      <c r="H9" s="1760"/>
      <c r="I9" s="1760"/>
      <c r="J9" s="1760"/>
      <c r="K9" s="1760"/>
      <c r="L9" s="1760"/>
      <c r="M9" s="1760"/>
      <c r="N9" s="1760"/>
      <c r="O9" s="1760"/>
      <c r="P9" s="1760"/>
      <c r="Q9" s="1760"/>
      <c r="R9" s="1760"/>
      <c r="S9" s="1760"/>
      <c r="T9" s="1760"/>
      <c r="U9" s="1760"/>
      <c r="V9" s="1760"/>
      <c r="W9" s="1760"/>
      <c r="X9" s="1761"/>
    </row>
    <row r="10" spans="1:24" ht="15.75" x14ac:dyDescent="0.2">
      <c r="A10" s="455"/>
      <c r="B10" s="455"/>
      <c r="C10" s="455"/>
      <c r="D10" s="455"/>
      <c r="E10" s="455"/>
      <c r="F10" s="455"/>
      <c r="G10" s="455"/>
      <c r="H10" s="455"/>
      <c r="I10" s="455"/>
      <c r="J10" s="455"/>
      <c r="K10" s="455"/>
      <c r="L10" s="455"/>
      <c r="M10" s="455"/>
      <c r="N10" s="455"/>
      <c r="O10" s="455"/>
      <c r="P10" s="455"/>
      <c r="Q10" s="455"/>
      <c r="R10" s="455"/>
      <c r="S10" s="455"/>
      <c r="T10" s="455"/>
      <c r="U10" s="455"/>
      <c r="V10" s="455"/>
      <c r="W10" s="455"/>
      <c r="X10" s="455"/>
    </row>
    <row r="11" spans="1:24" ht="15.75" x14ac:dyDescent="0.2">
      <c r="A11" s="455"/>
      <c r="B11" s="455"/>
      <c r="C11" s="455"/>
      <c r="D11" s="455"/>
      <c r="E11" s="455"/>
      <c r="F11" s="455"/>
      <c r="G11" s="455"/>
      <c r="H11" s="455"/>
      <c r="I11" s="455"/>
      <c r="J11" s="455"/>
      <c r="K11" s="455"/>
      <c r="L11" s="455"/>
      <c r="M11" s="455"/>
      <c r="N11" s="455"/>
      <c r="O11" s="455"/>
      <c r="P11" s="455"/>
      <c r="Q11" s="455"/>
      <c r="R11" s="455"/>
      <c r="S11" s="455"/>
      <c r="T11" s="455"/>
      <c r="U11" s="455"/>
      <c r="V11" s="455"/>
      <c r="W11" s="455"/>
      <c r="X11" s="455"/>
    </row>
    <row r="12" spans="1:24" ht="16.5" thickBot="1" x14ac:dyDescent="0.25">
      <c r="A12" s="455"/>
      <c r="B12" s="455"/>
      <c r="C12" s="455"/>
      <c r="D12" s="455"/>
      <c r="E12" s="455"/>
      <c r="F12" s="455"/>
      <c r="G12" s="455"/>
      <c r="H12" s="455"/>
      <c r="I12" s="455"/>
      <c r="J12" s="455"/>
      <c r="K12" s="455"/>
      <c r="L12" s="455"/>
      <c r="M12" s="455"/>
      <c r="N12" s="455"/>
      <c r="O12" s="455"/>
      <c r="P12" s="455"/>
      <c r="Q12" s="455"/>
      <c r="R12" s="455"/>
      <c r="S12" s="455"/>
      <c r="T12" s="455"/>
      <c r="U12" s="455"/>
      <c r="V12" s="455"/>
      <c r="W12" s="455"/>
      <c r="X12" s="455"/>
    </row>
    <row r="13" spans="1:24" x14ac:dyDescent="0.2">
      <c r="A13" s="1750" t="s">
        <v>884</v>
      </c>
      <c r="B13" s="1751"/>
      <c r="C13" s="1751"/>
      <c r="D13" s="1751"/>
      <c r="E13" s="1751"/>
      <c r="F13" s="1751"/>
      <c r="G13" s="1751"/>
      <c r="H13" s="1751"/>
      <c r="I13" s="1751"/>
      <c r="J13" s="1751"/>
      <c r="K13" s="1751"/>
      <c r="L13" s="1751"/>
      <c r="M13" s="1751"/>
      <c r="N13" s="1751"/>
      <c r="O13" s="1751"/>
      <c r="P13" s="1751"/>
      <c r="Q13" s="1751"/>
      <c r="R13" s="1751"/>
      <c r="S13" s="1751"/>
      <c r="T13" s="1751"/>
      <c r="U13" s="1751"/>
      <c r="V13" s="1751"/>
      <c r="W13" s="1751"/>
      <c r="X13" s="1752"/>
    </row>
    <row r="14" spans="1:24" ht="13.5" thickBot="1" x14ac:dyDescent="0.25">
      <c r="A14" s="1753"/>
      <c r="B14" s="1754"/>
      <c r="C14" s="1754"/>
      <c r="D14" s="1754"/>
      <c r="E14" s="1754"/>
      <c r="F14" s="1754"/>
      <c r="G14" s="1754"/>
      <c r="H14" s="1754"/>
      <c r="I14" s="1754"/>
      <c r="J14" s="1754"/>
      <c r="K14" s="1754"/>
      <c r="L14" s="1754"/>
      <c r="M14" s="1754"/>
      <c r="N14" s="1754"/>
      <c r="O14" s="1754"/>
      <c r="P14" s="1754"/>
      <c r="Q14" s="1754"/>
      <c r="R14" s="1754"/>
      <c r="S14" s="1754"/>
      <c r="T14" s="1754"/>
      <c r="U14" s="1754"/>
      <c r="V14" s="1754"/>
      <c r="W14" s="1754"/>
      <c r="X14" s="1755"/>
    </row>
    <row r="15" spans="1:24" ht="13.5" thickBot="1" x14ac:dyDescent="0.25">
      <c r="A15" s="146"/>
      <c r="B15" s="456"/>
      <c r="C15" s="456"/>
      <c r="D15" s="457"/>
      <c r="E15" s="146"/>
      <c r="F15" s="146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  <c r="S15" s="146"/>
      <c r="T15" s="146"/>
      <c r="U15" s="146"/>
      <c r="V15" s="146"/>
      <c r="W15" s="146"/>
      <c r="X15" s="146"/>
    </row>
    <row r="16" spans="1:24" ht="32.1" customHeight="1" thickBot="1" x14ac:dyDescent="0.25">
      <c r="A16" s="1737" t="s">
        <v>0</v>
      </c>
      <c r="B16" s="1739" t="s">
        <v>787</v>
      </c>
      <c r="C16" s="1748" t="s">
        <v>880</v>
      </c>
      <c r="D16" s="1741" t="s">
        <v>879</v>
      </c>
      <c r="E16" s="1743" t="s">
        <v>883</v>
      </c>
      <c r="F16" s="1744"/>
      <c r="G16" s="1744"/>
      <c r="H16" s="1744"/>
      <c r="I16" s="1744"/>
      <c r="J16" s="1744"/>
      <c r="K16" s="1744"/>
      <c r="L16" s="1744"/>
      <c r="M16" s="1744"/>
      <c r="N16" s="1744"/>
      <c r="O16" s="1744"/>
      <c r="P16" s="1744"/>
      <c r="Q16" s="1744"/>
      <c r="R16" s="1744"/>
      <c r="S16" s="1744"/>
      <c r="T16" s="1744"/>
      <c r="U16" s="1744"/>
      <c r="V16" s="1744"/>
      <c r="W16" s="1744"/>
      <c r="X16" s="1745"/>
    </row>
    <row r="17" spans="1:24" ht="32.1" customHeight="1" thickBot="1" x14ac:dyDescent="0.25">
      <c r="A17" s="1738"/>
      <c r="B17" s="1740"/>
      <c r="C17" s="1749"/>
      <c r="D17" s="1742"/>
      <c r="E17" s="458" t="s">
        <v>583</v>
      </c>
      <c r="F17" s="459" t="s">
        <v>584</v>
      </c>
      <c r="G17" s="459" t="s">
        <v>585</v>
      </c>
      <c r="H17" s="459" t="s">
        <v>586</v>
      </c>
      <c r="I17" s="459" t="s">
        <v>587</v>
      </c>
      <c r="J17" s="459" t="s">
        <v>588</v>
      </c>
      <c r="K17" s="459" t="s">
        <v>589</v>
      </c>
      <c r="L17" s="459" t="s">
        <v>590</v>
      </c>
      <c r="M17" s="459" t="s">
        <v>591</v>
      </c>
      <c r="N17" s="459" t="s">
        <v>592</v>
      </c>
      <c r="O17" s="459" t="s">
        <v>593</v>
      </c>
      <c r="P17" s="459" t="s">
        <v>594</v>
      </c>
      <c r="Q17" s="459" t="s">
        <v>595</v>
      </c>
      <c r="R17" s="459" t="s">
        <v>596</v>
      </c>
      <c r="S17" s="459" t="s">
        <v>597</v>
      </c>
      <c r="T17" s="459" t="s">
        <v>598</v>
      </c>
      <c r="U17" s="459" t="s">
        <v>599</v>
      </c>
      <c r="V17" s="459" t="s">
        <v>600</v>
      </c>
      <c r="W17" s="459" t="s">
        <v>601</v>
      </c>
      <c r="X17" s="460" t="s">
        <v>788</v>
      </c>
    </row>
    <row r="18" spans="1:24" ht="9.9499999999999993" customHeight="1" thickBot="1" x14ac:dyDescent="0.25">
      <c r="A18" s="1715"/>
      <c r="B18" s="1715"/>
      <c r="C18" s="1715"/>
      <c r="D18" s="1715"/>
      <c r="E18" s="1715"/>
      <c r="F18" s="1715"/>
      <c r="G18" s="1715"/>
      <c r="H18" s="1715"/>
      <c r="I18" s="1715"/>
      <c r="J18" s="1715"/>
      <c r="K18" s="1715"/>
      <c r="L18" s="1715"/>
      <c r="M18" s="1715"/>
      <c r="N18" s="1715"/>
      <c r="O18" s="1715"/>
      <c r="P18" s="1715"/>
      <c r="Q18" s="1715"/>
      <c r="R18" s="1715"/>
      <c r="S18" s="1715"/>
      <c r="T18" s="1715"/>
      <c r="U18" s="1715"/>
      <c r="V18" s="1715"/>
      <c r="W18" s="1715"/>
      <c r="X18" s="1715"/>
    </row>
    <row r="19" spans="1:24" ht="32.1" customHeight="1" x14ac:dyDescent="0.2">
      <c r="A19" s="1724"/>
      <c r="B19" s="1766" t="s">
        <v>580</v>
      </c>
      <c r="C19" s="1720">
        <v>1</v>
      </c>
      <c r="D19" s="1728">
        <f>Mobilizacao_Desmobilizacao!I24</f>
        <v>0</v>
      </c>
      <c r="E19" s="461" t="s">
        <v>789</v>
      </c>
      <c r="F19" s="462"/>
      <c r="G19" s="462"/>
      <c r="H19" s="462"/>
      <c r="I19" s="462"/>
      <c r="J19" s="462"/>
      <c r="K19" s="462"/>
      <c r="L19" s="462"/>
      <c r="M19" s="462"/>
      <c r="N19" s="462"/>
      <c r="O19" s="462"/>
      <c r="P19" s="462"/>
      <c r="Q19" s="462"/>
      <c r="R19" s="462"/>
      <c r="S19" s="462"/>
      <c r="T19" s="462"/>
      <c r="U19" s="462"/>
      <c r="V19" s="462"/>
      <c r="W19" s="462"/>
      <c r="X19" s="463"/>
    </row>
    <row r="20" spans="1:24" ht="32.1" customHeight="1" thickBot="1" x14ac:dyDescent="0.25">
      <c r="A20" s="1725"/>
      <c r="B20" s="1767"/>
      <c r="C20" s="1721"/>
      <c r="D20" s="1729"/>
      <c r="E20" s="464">
        <f>$D$19*100%</f>
        <v>0</v>
      </c>
      <c r="F20" s="465"/>
      <c r="G20" s="465"/>
      <c r="H20" s="466"/>
      <c r="I20" s="465"/>
      <c r="J20" s="465"/>
      <c r="K20" s="465"/>
      <c r="L20" s="465"/>
      <c r="M20" s="465"/>
      <c r="N20" s="465"/>
      <c r="O20" s="466"/>
      <c r="P20" s="465"/>
      <c r="Q20" s="465"/>
      <c r="R20" s="465"/>
      <c r="S20" s="466"/>
      <c r="T20" s="465"/>
      <c r="U20" s="465"/>
      <c r="V20" s="465"/>
      <c r="W20" s="466"/>
      <c r="X20" s="467"/>
    </row>
    <row r="21" spans="1:24" ht="9.75" customHeight="1" thickBot="1" x14ac:dyDescent="0.25">
      <c r="A21" s="1715"/>
      <c r="B21" s="1715"/>
      <c r="C21" s="1715"/>
      <c r="D21" s="1715"/>
      <c r="E21" s="1715"/>
      <c r="F21" s="1715"/>
      <c r="G21" s="1715"/>
      <c r="H21" s="1715"/>
      <c r="I21" s="1715"/>
      <c r="J21" s="1715"/>
      <c r="K21" s="1715"/>
      <c r="L21" s="1715"/>
      <c r="M21" s="1715"/>
      <c r="N21" s="1715"/>
      <c r="O21" s="1715"/>
      <c r="P21" s="1715"/>
      <c r="Q21" s="1715"/>
      <c r="R21" s="1715"/>
      <c r="S21" s="1715"/>
      <c r="T21" s="1715"/>
      <c r="U21" s="1715"/>
      <c r="V21" s="1715"/>
      <c r="W21" s="1715"/>
      <c r="X21" s="1715"/>
    </row>
    <row r="22" spans="1:24" ht="32.1" customHeight="1" x14ac:dyDescent="0.2">
      <c r="A22" s="1724" t="s">
        <v>266</v>
      </c>
      <c r="B22" s="1726" t="s">
        <v>802</v>
      </c>
      <c r="C22" s="1768">
        <v>18</v>
      </c>
      <c r="D22" s="1764" t="e">
        <f>'(Resumo - Calculo)'!G23</f>
        <v>#REF!</v>
      </c>
      <c r="E22" s="468"/>
      <c r="F22" s="469" t="s">
        <v>789</v>
      </c>
      <c r="G22" s="469" t="s">
        <v>789</v>
      </c>
      <c r="H22" s="469" t="s">
        <v>789</v>
      </c>
      <c r="I22" s="469" t="s">
        <v>789</v>
      </c>
      <c r="J22" s="469" t="s">
        <v>789</v>
      </c>
      <c r="K22" s="469" t="s">
        <v>789</v>
      </c>
      <c r="L22" s="469" t="s">
        <v>789</v>
      </c>
      <c r="M22" s="469" t="s">
        <v>789</v>
      </c>
      <c r="N22" s="469" t="s">
        <v>789</v>
      </c>
      <c r="O22" s="469" t="s">
        <v>789</v>
      </c>
      <c r="P22" s="469" t="s">
        <v>789</v>
      </c>
      <c r="Q22" s="469" t="s">
        <v>789</v>
      </c>
      <c r="R22" s="469" t="s">
        <v>789</v>
      </c>
      <c r="S22" s="469" t="s">
        <v>789</v>
      </c>
      <c r="T22" s="469" t="s">
        <v>789</v>
      </c>
      <c r="U22" s="469" t="s">
        <v>789</v>
      </c>
      <c r="V22" s="469" t="s">
        <v>789</v>
      </c>
      <c r="W22" s="469" t="s">
        <v>789</v>
      </c>
      <c r="X22" s="470"/>
    </row>
    <row r="23" spans="1:24" ht="32.1" customHeight="1" thickBot="1" x14ac:dyDescent="0.25">
      <c r="A23" s="1725"/>
      <c r="B23" s="1727"/>
      <c r="C23" s="1769"/>
      <c r="D23" s="1765"/>
      <c r="E23" s="471"/>
      <c r="F23" s="465" t="e">
        <f>(7.45%)*$D$22</f>
        <v>#REF!</v>
      </c>
      <c r="G23" s="465" t="e">
        <f>(7.14%)*$D$22</f>
        <v>#REF!</v>
      </c>
      <c r="H23" s="465" t="e">
        <f>(8.14%)*$D$22</f>
        <v>#REF!</v>
      </c>
      <c r="I23" s="465" t="e">
        <f>(6.31%)*$D$22</f>
        <v>#REF!</v>
      </c>
      <c r="J23" s="465" t="e">
        <f>(8%)*$D$22</f>
        <v>#REF!</v>
      </c>
      <c r="K23" s="465" t="e">
        <f>(6.31%)*$D$22</f>
        <v>#REF!</v>
      </c>
      <c r="L23" s="465" t="e">
        <f>(6.31%)*$D$22</f>
        <v>#REF!</v>
      </c>
      <c r="M23" s="465" t="e">
        <f>(6.31%)*$D$22</f>
        <v>#REF!</v>
      </c>
      <c r="N23" s="465" t="e">
        <f>(7.62%)*$D$22</f>
        <v>#REF!</v>
      </c>
      <c r="O23" s="465" t="e">
        <f>(12.31%)*$D$22</f>
        <v>#REF!</v>
      </c>
      <c r="P23" s="465" t="e">
        <f>(2.99%)*$D$22</f>
        <v>#REF!</v>
      </c>
      <c r="Q23" s="465" t="e">
        <f>(2.99%)*$D$22</f>
        <v>#REF!</v>
      </c>
      <c r="R23" s="465" t="e">
        <f>(2.99%)*$D$22</f>
        <v>#REF!</v>
      </c>
      <c r="S23" s="465" t="e">
        <f>(4.49%)*$D$22</f>
        <v>#REF!</v>
      </c>
      <c r="T23" s="465" t="e">
        <f>(2.16%)*$D$22</f>
        <v>#REF!</v>
      </c>
      <c r="U23" s="465" t="e">
        <f>(2.16%)*$D$22</f>
        <v>#REF!</v>
      </c>
      <c r="V23" s="465" t="e">
        <f>(2.16%)*$D$22</f>
        <v>#REF!</v>
      </c>
      <c r="W23" s="465" t="e">
        <f>(4.16%)*$D$22</f>
        <v>#REF!</v>
      </c>
      <c r="X23" s="472"/>
    </row>
    <row r="24" spans="1:24" ht="9.9499999999999993" customHeight="1" thickBot="1" x14ac:dyDescent="0.25">
      <c r="A24" s="1715"/>
      <c r="B24" s="1715"/>
      <c r="C24" s="1715"/>
      <c r="D24" s="1715"/>
      <c r="E24" s="1715"/>
      <c r="F24" s="1715"/>
      <c r="G24" s="1715"/>
      <c r="H24" s="1715"/>
      <c r="I24" s="1715"/>
      <c r="J24" s="1715"/>
      <c r="K24" s="1715"/>
      <c r="L24" s="1715"/>
      <c r="M24" s="1715"/>
      <c r="N24" s="1715"/>
      <c r="O24" s="1715"/>
      <c r="P24" s="1715"/>
      <c r="Q24" s="1715"/>
      <c r="R24" s="1715"/>
      <c r="S24" s="1715"/>
      <c r="T24" s="1715"/>
      <c r="U24" s="1715"/>
      <c r="V24" s="1715"/>
      <c r="W24" s="1715"/>
      <c r="X24" s="1715"/>
    </row>
    <row r="25" spans="1:24" ht="32.1" customHeight="1" x14ac:dyDescent="0.2">
      <c r="A25" s="1724" t="s">
        <v>267</v>
      </c>
      <c r="B25" s="1726" t="s">
        <v>578</v>
      </c>
      <c r="C25" s="1720">
        <v>18</v>
      </c>
      <c r="D25" s="1716" t="e">
        <f>'(Resumo - Calculo)'!G24</f>
        <v>#REF!</v>
      </c>
      <c r="E25" s="473"/>
      <c r="F25" s="469" t="s">
        <v>789</v>
      </c>
      <c r="G25" s="469" t="s">
        <v>789</v>
      </c>
      <c r="H25" s="469" t="s">
        <v>789</v>
      </c>
      <c r="I25" s="469" t="s">
        <v>789</v>
      </c>
      <c r="J25" s="469" t="s">
        <v>789</v>
      </c>
      <c r="K25" s="469" t="s">
        <v>789</v>
      </c>
      <c r="L25" s="469" t="s">
        <v>789</v>
      </c>
      <c r="M25" s="469" t="s">
        <v>789</v>
      </c>
      <c r="N25" s="469" t="s">
        <v>789</v>
      </c>
      <c r="O25" s="469" t="s">
        <v>789</v>
      </c>
      <c r="P25" s="469" t="s">
        <v>789</v>
      </c>
      <c r="Q25" s="469" t="s">
        <v>789</v>
      </c>
      <c r="R25" s="469" t="s">
        <v>789</v>
      </c>
      <c r="S25" s="469" t="s">
        <v>789</v>
      </c>
      <c r="T25" s="469" t="s">
        <v>789</v>
      </c>
      <c r="U25" s="469" t="s">
        <v>789</v>
      </c>
      <c r="V25" s="469" t="s">
        <v>789</v>
      </c>
      <c r="W25" s="469" t="s">
        <v>789</v>
      </c>
      <c r="X25" s="463"/>
    </row>
    <row r="26" spans="1:24" ht="32.1" customHeight="1" thickBot="1" x14ac:dyDescent="0.25">
      <c r="A26" s="1725"/>
      <c r="B26" s="1727"/>
      <c r="C26" s="1721"/>
      <c r="D26" s="1717"/>
      <c r="E26" s="474"/>
      <c r="F26" s="475" t="e">
        <f>(7.56%)*$D$25</f>
        <v>#REF!</v>
      </c>
      <c r="G26" s="475" t="e">
        <f>(10.84%)*$D$25</f>
        <v>#REF!</v>
      </c>
      <c r="H26" s="475" t="e">
        <f>(11.34%)*$D$25</f>
        <v>#REF!</v>
      </c>
      <c r="I26" s="475" t="e">
        <f>(7.06%)*$D$25</f>
        <v>#REF!</v>
      </c>
      <c r="J26" s="475" t="e">
        <f>(6.56%)*$D$25</f>
        <v>#REF!</v>
      </c>
      <c r="K26" s="475" t="e">
        <f>(7.06%)*$D$25</f>
        <v>#REF!</v>
      </c>
      <c r="L26" s="475" t="e">
        <f>(6.56%)*$D$25</f>
        <v>#REF!</v>
      </c>
      <c r="M26" s="475" t="e">
        <f>(7.56%)*$D$25</f>
        <v>#REF!</v>
      </c>
      <c r="N26" s="475" t="e">
        <f>(3.78%)*$D$25</f>
        <v>#REF!</v>
      </c>
      <c r="O26" s="475" t="e">
        <f>(3.28%)*$D$25</f>
        <v>#REF!</v>
      </c>
      <c r="P26" s="475" t="e">
        <f>(3.28%)*$D$25</f>
        <v>#REF!</v>
      </c>
      <c r="Q26" s="475" t="e">
        <f>(3.78%)*$D$25</f>
        <v>#REF!</v>
      </c>
      <c r="R26" s="475" t="e">
        <f>(3.28%)*$D$25</f>
        <v>#REF!</v>
      </c>
      <c r="S26" s="475" t="e">
        <f>(3.28%)*$D$25</f>
        <v>#REF!</v>
      </c>
      <c r="T26" s="475" t="e">
        <f>(3.78%)*$D$25</f>
        <v>#REF!</v>
      </c>
      <c r="U26" s="475" t="e">
        <f>(3.28%)*$D$25</f>
        <v>#REF!</v>
      </c>
      <c r="V26" s="475" t="e">
        <f>(3.28%)*$D$25</f>
        <v>#REF!</v>
      </c>
      <c r="W26" s="475" t="e">
        <f>(4.44%)*$D$25</f>
        <v>#REF!</v>
      </c>
      <c r="X26" s="467"/>
    </row>
    <row r="27" spans="1:24" ht="9.9499999999999993" customHeight="1" thickBot="1" x14ac:dyDescent="0.25">
      <c r="A27" s="1715"/>
      <c r="B27" s="1715"/>
      <c r="C27" s="1715"/>
      <c r="D27" s="1715"/>
      <c r="E27" s="1715"/>
      <c r="F27" s="1715"/>
      <c r="G27" s="1715"/>
      <c r="H27" s="1715"/>
      <c r="I27" s="1715"/>
      <c r="J27" s="1715"/>
      <c r="K27" s="1715"/>
      <c r="L27" s="1715"/>
      <c r="M27" s="1715"/>
      <c r="N27" s="1715"/>
      <c r="O27" s="1715"/>
      <c r="P27" s="1715"/>
      <c r="Q27" s="1715"/>
      <c r="R27" s="1715"/>
      <c r="S27" s="1715"/>
      <c r="T27" s="1715"/>
      <c r="U27" s="1715"/>
      <c r="V27" s="1715"/>
      <c r="W27" s="1715"/>
      <c r="X27" s="1715"/>
    </row>
    <row r="28" spans="1:24" ht="32.1" customHeight="1" x14ac:dyDescent="0.2">
      <c r="A28" s="1724" t="s">
        <v>409</v>
      </c>
      <c r="B28" s="1726" t="s">
        <v>236</v>
      </c>
      <c r="C28" s="1720">
        <v>3</v>
      </c>
      <c r="D28" s="1716" t="e">
        <f>'(Resumo - Calculo)'!G26</f>
        <v>#REF!</v>
      </c>
      <c r="E28" s="476"/>
      <c r="F28" s="462"/>
      <c r="G28" s="462"/>
      <c r="H28" s="462"/>
      <c r="I28" s="462"/>
      <c r="J28" s="462"/>
      <c r="K28" s="462"/>
      <c r="L28" s="462"/>
      <c r="M28" s="462"/>
      <c r="N28" s="462"/>
      <c r="O28" s="462"/>
      <c r="P28" s="469" t="s">
        <v>789</v>
      </c>
      <c r="Q28" s="469" t="s">
        <v>789</v>
      </c>
      <c r="R28" s="469" t="s">
        <v>789</v>
      </c>
      <c r="S28" s="462"/>
      <c r="T28" s="462"/>
      <c r="U28" s="462"/>
      <c r="V28" s="462"/>
      <c r="W28" s="462"/>
      <c r="X28" s="463"/>
    </row>
    <row r="29" spans="1:24" ht="32.1" customHeight="1" thickBot="1" x14ac:dyDescent="0.25">
      <c r="A29" s="1725"/>
      <c r="B29" s="1727"/>
      <c r="C29" s="1721"/>
      <c r="D29" s="1717"/>
      <c r="E29" s="474"/>
      <c r="F29" s="477"/>
      <c r="G29" s="477"/>
      <c r="H29" s="477"/>
      <c r="I29" s="477"/>
      <c r="J29" s="477"/>
      <c r="K29" s="477"/>
      <c r="L29" s="477"/>
      <c r="M29" s="477"/>
      <c r="N29" s="477"/>
      <c r="O29" s="477"/>
      <c r="P29" s="465" t="e">
        <f>$D$28*32%</f>
        <v>#REF!</v>
      </c>
      <c r="Q29" s="465" t="e">
        <f>$D$28*32%</f>
        <v>#REF!</v>
      </c>
      <c r="R29" s="465" t="e">
        <f>$D$28*36%</f>
        <v>#REF!</v>
      </c>
      <c r="S29" s="477"/>
      <c r="T29" s="477"/>
      <c r="U29" s="477"/>
      <c r="V29" s="477"/>
      <c r="W29" s="477"/>
      <c r="X29" s="478"/>
    </row>
    <row r="30" spans="1:24" ht="9.9499999999999993" customHeight="1" thickBot="1" x14ac:dyDescent="0.25">
      <c r="A30" s="1715"/>
      <c r="B30" s="1715"/>
      <c r="C30" s="1715"/>
      <c r="D30" s="1715"/>
      <c r="E30" s="1715"/>
      <c r="F30" s="1715"/>
      <c r="G30" s="1715"/>
      <c r="H30" s="1715"/>
      <c r="I30" s="1715"/>
      <c r="J30" s="1715"/>
      <c r="K30" s="1715"/>
      <c r="L30" s="1715"/>
      <c r="M30" s="1715"/>
      <c r="N30" s="1715"/>
      <c r="O30" s="1715"/>
      <c r="P30" s="1715"/>
      <c r="Q30" s="1715"/>
      <c r="R30" s="1715"/>
      <c r="S30" s="1715"/>
      <c r="T30" s="1715"/>
      <c r="U30" s="1715"/>
      <c r="V30" s="1715"/>
      <c r="W30" s="1715"/>
      <c r="X30" s="1715"/>
    </row>
    <row r="31" spans="1:24" ht="32.1" customHeight="1" thickBot="1" x14ac:dyDescent="0.25">
      <c r="A31" s="1724" t="s">
        <v>410</v>
      </c>
      <c r="B31" s="1726" t="s">
        <v>579</v>
      </c>
      <c r="C31" s="1720">
        <v>12</v>
      </c>
      <c r="D31" s="1716" t="e">
        <f>'(Resumo - Calculo)'!G27</f>
        <v>#REF!</v>
      </c>
      <c r="E31" s="479"/>
      <c r="F31" s="469" t="s">
        <v>789</v>
      </c>
      <c r="G31" s="469" t="s">
        <v>789</v>
      </c>
      <c r="H31" s="469" t="s">
        <v>789</v>
      </c>
      <c r="I31" s="469" t="s">
        <v>789</v>
      </c>
      <c r="J31" s="469" t="s">
        <v>789</v>
      </c>
      <c r="K31" s="480" t="s">
        <v>789</v>
      </c>
      <c r="L31" s="1734" t="s">
        <v>860</v>
      </c>
      <c r="M31" s="1735"/>
      <c r="N31" s="1735"/>
      <c r="O31" s="1735"/>
      <c r="P31" s="1735"/>
      <c r="Q31" s="1736"/>
      <c r="R31" s="469" t="s">
        <v>789</v>
      </c>
      <c r="S31" s="469" t="s">
        <v>789</v>
      </c>
      <c r="T31" s="469" t="s">
        <v>789</v>
      </c>
      <c r="U31" s="469" t="s">
        <v>789</v>
      </c>
      <c r="V31" s="469" t="s">
        <v>789</v>
      </c>
      <c r="W31" s="469" t="s">
        <v>789</v>
      </c>
      <c r="X31" s="481"/>
    </row>
    <row r="32" spans="1:24" ht="32.1" customHeight="1" thickBot="1" x14ac:dyDescent="0.25">
      <c r="A32" s="1725"/>
      <c r="B32" s="1727"/>
      <c r="C32" s="1721"/>
      <c r="D32" s="1717"/>
      <c r="E32" s="482"/>
      <c r="F32" s="477" t="e">
        <f>(8%)*$D$31</f>
        <v>#REF!</v>
      </c>
      <c r="G32" s="477" t="e">
        <f>(8%)*$D$31</f>
        <v>#REF!</v>
      </c>
      <c r="H32" s="477" t="e">
        <f>(8%)*$D$31</f>
        <v>#REF!</v>
      </c>
      <c r="I32" s="477" t="e">
        <f>(8%)*$D$31</f>
        <v>#REF!</v>
      </c>
      <c r="J32" s="477" t="e">
        <f>(8%)*$D$31</f>
        <v>#REF!</v>
      </c>
      <c r="K32" s="477" t="e">
        <f>(10%)*$D$31</f>
        <v>#REF!</v>
      </c>
      <c r="L32" s="483"/>
      <c r="M32" s="483"/>
      <c r="N32" s="483"/>
      <c r="O32" s="483"/>
      <c r="P32" s="483"/>
      <c r="Q32" s="483"/>
      <c r="R32" s="477" t="e">
        <f>(8%)*$D$31</f>
        <v>#REF!</v>
      </c>
      <c r="S32" s="477" t="e">
        <f>(8%)*$D$31</f>
        <v>#REF!</v>
      </c>
      <c r="T32" s="477" t="e">
        <f>(8%)*$D$31</f>
        <v>#REF!</v>
      </c>
      <c r="U32" s="477" t="e">
        <f>(8%)*$D$31</f>
        <v>#REF!</v>
      </c>
      <c r="V32" s="477" t="e">
        <f>(8%)*$D$31</f>
        <v>#REF!</v>
      </c>
      <c r="W32" s="477" t="e">
        <f>(10%)*$D$31</f>
        <v>#REF!</v>
      </c>
      <c r="X32" s="484"/>
    </row>
    <row r="33" spans="1:24" ht="9.9499999999999993" customHeight="1" thickBot="1" x14ac:dyDescent="0.25">
      <c r="A33" s="1715"/>
      <c r="B33" s="1715"/>
      <c r="C33" s="1715"/>
      <c r="D33" s="1715"/>
      <c r="E33" s="1715"/>
      <c r="F33" s="1715"/>
      <c r="G33" s="1715"/>
      <c r="H33" s="1715"/>
      <c r="I33" s="1715"/>
      <c r="J33" s="1715"/>
      <c r="K33" s="1715"/>
      <c r="L33" s="1715"/>
      <c r="M33" s="1715"/>
      <c r="N33" s="1715"/>
      <c r="O33" s="1715"/>
      <c r="P33" s="1715"/>
      <c r="Q33" s="1715"/>
      <c r="R33" s="1715"/>
      <c r="S33" s="1715"/>
      <c r="T33" s="1715"/>
      <c r="U33" s="1715"/>
      <c r="V33" s="1715"/>
      <c r="W33" s="1715"/>
      <c r="X33" s="1715"/>
    </row>
    <row r="34" spans="1:24" ht="32.1" customHeight="1" thickBot="1" x14ac:dyDescent="0.25">
      <c r="A34" s="1724" t="s">
        <v>412</v>
      </c>
      <c r="B34" s="1726" t="s">
        <v>237</v>
      </c>
      <c r="C34" s="1720">
        <v>12</v>
      </c>
      <c r="D34" s="1716" t="e">
        <f>'(Resumo - Calculo)'!G29</f>
        <v>#REF!</v>
      </c>
      <c r="E34" s="476"/>
      <c r="F34" s="469" t="s">
        <v>789</v>
      </c>
      <c r="G34" s="469" t="s">
        <v>789</v>
      </c>
      <c r="H34" s="469" t="s">
        <v>789</v>
      </c>
      <c r="I34" s="469" t="s">
        <v>789</v>
      </c>
      <c r="J34" s="469" t="s">
        <v>789</v>
      </c>
      <c r="K34" s="480" t="s">
        <v>789</v>
      </c>
      <c r="L34" s="1734" t="s">
        <v>860</v>
      </c>
      <c r="M34" s="1735"/>
      <c r="N34" s="1735"/>
      <c r="O34" s="1735"/>
      <c r="P34" s="1735"/>
      <c r="Q34" s="1736"/>
      <c r="R34" s="469" t="s">
        <v>789</v>
      </c>
      <c r="S34" s="469" t="s">
        <v>789</v>
      </c>
      <c r="T34" s="469" t="s">
        <v>789</v>
      </c>
      <c r="U34" s="469" t="s">
        <v>789</v>
      </c>
      <c r="V34" s="469" t="s">
        <v>789</v>
      </c>
      <c r="W34" s="469" t="s">
        <v>789</v>
      </c>
      <c r="X34" s="463"/>
    </row>
    <row r="35" spans="1:24" ht="32.1" customHeight="1" thickBot="1" x14ac:dyDescent="0.25">
      <c r="A35" s="1725"/>
      <c r="B35" s="1727"/>
      <c r="C35" s="1721"/>
      <c r="D35" s="1717"/>
      <c r="E35" s="485"/>
      <c r="F35" s="486" t="e">
        <f>(8%)*$D$34</f>
        <v>#REF!</v>
      </c>
      <c r="G35" s="486" t="e">
        <f>(8%)*$D$34</f>
        <v>#REF!</v>
      </c>
      <c r="H35" s="486" t="e">
        <f>(8%)*$D$34</f>
        <v>#REF!</v>
      </c>
      <c r="I35" s="486" t="e">
        <f>(8%)*$D$34</f>
        <v>#REF!</v>
      </c>
      <c r="J35" s="486" t="e">
        <f>(8%)*$D$34</f>
        <v>#REF!</v>
      </c>
      <c r="K35" s="486" t="e">
        <f>(10%)*$D$34</f>
        <v>#REF!</v>
      </c>
      <c r="L35" s="486"/>
      <c r="M35" s="486"/>
      <c r="N35" s="486"/>
      <c r="O35" s="487"/>
      <c r="P35" s="486"/>
      <c r="Q35" s="486"/>
      <c r="R35" s="488" t="e">
        <f>(8%)*$D$34</f>
        <v>#REF!</v>
      </c>
      <c r="S35" s="488" t="e">
        <f>(8%)*$D$34</f>
        <v>#REF!</v>
      </c>
      <c r="T35" s="488" t="e">
        <f>(8%)*$D$34</f>
        <v>#REF!</v>
      </c>
      <c r="U35" s="488" t="e">
        <f>(8%)*$D$34</f>
        <v>#REF!</v>
      </c>
      <c r="V35" s="488" t="e">
        <f>(8%)*$D$34</f>
        <v>#REF!</v>
      </c>
      <c r="W35" s="488" t="e">
        <f>(10%)*$D$34</f>
        <v>#REF!</v>
      </c>
      <c r="X35" s="488"/>
    </row>
    <row r="36" spans="1:24" ht="9.9499999999999993" customHeight="1" thickBot="1" x14ac:dyDescent="0.25">
      <c r="A36" s="1715"/>
      <c r="B36" s="1715"/>
      <c r="C36" s="1715"/>
      <c r="D36" s="1715"/>
      <c r="E36" s="1715"/>
      <c r="F36" s="1715"/>
      <c r="G36" s="1715"/>
      <c r="H36" s="1715"/>
      <c r="I36" s="1715"/>
      <c r="J36" s="1715"/>
      <c r="K36" s="1715"/>
      <c r="L36" s="1715"/>
      <c r="M36" s="1715"/>
      <c r="N36" s="1715"/>
      <c r="O36" s="1715"/>
      <c r="P36" s="1715"/>
      <c r="Q36" s="1715"/>
      <c r="R36" s="1715"/>
      <c r="S36" s="1715"/>
      <c r="T36" s="1715"/>
      <c r="U36" s="1715"/>
      <c r="V36" s="1715"/>
      <c r="W36" s="1715"/>
      <c r="X36" s="1715"/>
    </row>
    <row r="37" spans="1:24" ht="32.1" customHeight="1" x14ac:dyDescent="0.2">
      <c r="A37" s="1746" t="s">
        <v>413</v>
      </c>
      <c r="B37" s="1726" t="s">
        <v>797</v>
      </c>
      <c r="C37" s="1720">
        <v>18</v>
      </c>
      <c r="D37" s="1716" t="e">
        <f>'(Resumo - Calculo)'!G30</f>
        <v>#REF!</v>
      </c>
      <c r="E37" s="479"/>
      <c r="F37" s="469" t="s">
        <v>789</v>
      </c>
      <c r="G37" s="469" t="s">
        <v>789</v>
      </c>
      <c r="H37" s="469" t="s">
        <v>789</v>
      </c>
      <c r="I37" s="469" t="s">
        <v>789</v>
      </c>
      <c r="J37" s="469" t="s">
        <v>789</v>
      </c>
      <c r="K37" s="469" t="s">
        <v>789</v>
      </c>
      <c r="L37" s="469" t="s">
        <v>789</v>
      </c>
      <c r="M37" s="469" t="s">
        <v>789</v>
      </c>
      <c r="N37" s="469" t="s">
        <v>789</v>
      </c>
      <c r="O37" s="469" t="s">
        <v>789</v>
      </c>
      <c r="P37" s="469" t="s">
        <v>789</v>
      </c>
      <c r="Q37" s="469" t="s">
        <v>789</v>
      </c>
      <c r="R37" s="469" t="s">
        <v>789</v>
      </c>
      <c r="S37" s="469" t="s">
        <v>789</v>
      </c>
      <c r="T37" s="469" t="s">
        <v>789</v>
      </c>
      <c r="U37" s="469" t="s">
        <v>789</v>
      </c>
      <c r="V37" s="469" t="s">
        <v>789</v>
      </c>
      <c r="W37" s="469" t="s">
        <v>789</v>
      </c>
      <c r="X37" s="481"/>
    </row>
    <row r="38" spans="1:24" ht="32.1" customHeight="1" thickBot="1" x14ac:dyDescent="0.25">
      <c r="A38" s="1747"/>
      <c r="B38" s="1727"/>
      <c r="C38" s="1721"/>
      <c r="D38" s="1717"/>
      <c r="E38" s="464"/>
      <c r="F38" s="465" t="e">
        <f t="shared" ref="F38:V38" si="0">(5.5%)*$D$37</f>
        <v>#REF!</v>
      </c>
      <c r="G38" s="465" t="e">
        <f t="shared" si="0"/>
        <v>#REF!</v>
      </c>
      <c r="H38" s="465" t="e">
        <f t="shared" si="0"/>
        <v>#REF!</v>
      </c>
      <c r="I38" s="465" t="e">
        <f t="shared" si="0"/>
        <v>#REF!</v>
      </c>
      <c r="J38" s="465" t="e">
        <f t="shared" si="0"/>
        <v>#REF!</v>
      </c>
      <c r="K38" s="465" t="e">
        <f t="shared" si="0"/>
        <v>#REF!</v>
      </c>
      <c r="L38" s="465" t="e">
        <f t="shared" si="0"/>
        <v>#REF!</v>
      </c>
      <c r="M38" s="465" t="e">
        <f t="shared" si="0"/>
        <v>#REF!</v>
      </c>
      <c r="N38" s="465" t="e">
        <f t="shared" si="0"/>
        <v>#REF!</v>
      </c>
      <c r="O38" s="465" t="e">
        <f t="shared" si="0"/>
        <v>#REF!</v>
      </c>
      <c r="P38" s="465" t="e">
        <f t="shared" si="0"/>
        <v>#REF!</v>
      </c>
      <c r="Q38" s="465" t="e">
        <f t="shared" si="0"/>
        <v>#REF!</v>
      </c>
      <c r="R38" s="465" t="e">
        <f t="shared" si="0"/>
        <v>#REF!</v>
      </c>
      <c r="S38" s="465" t="e">
        <f t="shared" si="0"/>
        <v>#REF!</v>
      </c>
      <c r="T38" s="465" t="e">
        <f t="shared" si="0"/>
        <v>#REF!</v>
      </c>
      <c r="U38" s="465" t="e">
        <f t="shared" si="0"/>
        <v>#REF!</v>
      </c>
      <c r="V38" s="465" t="e">
        <f t="shared" si="0"/>
        <v>#REF!</v>
      </c>
      <c r="W38" s="465" t="e">
        <f>(6.5%)*$D$37</f>
        <v>#REF!</v>
      </c>
      <c r="X38" s="467"/>
    </row>
    <row r="39" spans="1:24" ht="9.9499999999999993" customHeight="1" thickBot="1" x14ac:dyDescent="0.25">
      <c r="A39" s="1715"/>
      <c r="B39" s="1715"/>
      <c r="C39" s="1715"/>
      <c r="D39" s="1715"/>
      <c r="E39" s="1715"/>
      <c r="F39" s="1715"/>
      <c r="G39" s="1715"/>
      <c r="H39" s="1715"/>
      <c r="I39" s="1715"/>
      <c r="J39" s="1715"/>
      <c r="K39" s="1715"/>
      <c r="L39" s="1715"/>
      <c r="M39" s="1715"/>
      <c r="N39" s="1715"/>
      <c r="O39" s="1715"/>
      <c r="P39" s="1715"/>
      <c r="Q39" s="1715"/>
      <c r="R39" s="1715"/>
      <c r="S39" s="1715"/>
      <c r="T39" s="1715"/>
      <c r="U39" s="1715"/>
      <c r="V39" s="1715"/>
      <c r="W39" s="1715"/>
      <c r="X39" s="1715"/>
    </row>
    <row r="40" spans="1:24" ht="32.1" customHeight="1" x14ac:dyDescent="0.2">
      <c r="A40" s="1724"/>
      <c r="B40" s="1726" t="s">
        <v>886</v>
      </c>
      <c r="C40" s="1720">
        <v>18</v>
      </c>
      <c r="D40" s="1716" t="e">
        <f>'(Resumo - Calculo)'!C42</f>
        <v>#REF!</v>
      </c>
      <c r="E40" s="473"/>
      <c r="F40" s="469" t="s">
        <v>789</v>
      </c>
      <c r="G40" s="469" t="s">
        <v>789</v>
      </c>
      <c r="H40" s="469" t="s">
        <v>789</v>
      </c>
      <c r="I40" s="469" t="s">
        <v>789</v>
      </c>
      <c r="J40" s="469" t="s">
        <v>789</v>
      </c>
      <c r="K40" s="469" t="s">
        <v>789</v>
      </c>
      <c r="L40" s="469" t="s">
        <v>789</v>
      </c>
      <c r="M40" s="469" t="s">
        <v>789</v>
      </c>
      <c r="N40" s="469" t="s">
        <v>789</v>
      </c>
      <c r="O40" s="469" t="s">
        <v>789</v>
      </c>
      <c r="P40" s="469" t="s">
        <v>789</v>
      </c>
      <c r="Q40" s="469" t="s">
        <v>789</v>
      </c>
      <c r="R40" s="469" t="s">
        <v>789</v>
      </c>
      <c r="S40" s="469" t="s">
        <v>789</v>
      </c>
      <c r="T40" s="469" t="s">
        <v>789</v>
      </c>
      <c r="U40" s="469" t="s">
        <v>789</v>
      </c>
      <c r="V40" s="469" t="s">
        <v>789</v>
      </c>
      <c r="W40" s="469" t="s">
        <v>789</v>
      </c>
      <c r="X40" s="481"/>
    </row>
    <row r="41" spans="1:24" ht="32.1" customHeight="1" thickBot="1" x14ac:dyDescent="0.25">
      <c r="A41" s="1725"/>
      <c r="B41" s="1727"/>
      <c r="C41" s="1721"/>
      <c r="D41" s="1717"/>
      <c r="E41" s="464"/>
      <c r="F41" s="465" t="e">
        <f>(5.65%)*$D$40</f>
        <v>#REF!</v>
      </c>
      <c r="G41" s="465" t="e">
        <f>(5.55%)*$D$40</f>
        <v>#REF!</v>
      </c>
      <c r="H41" s="465" t="e">
        <f t="shared" ref="H41:W41" si="1">(5.55%)*$D$40</f>
        <v>#REF!</v>
      </c>
      <c r="I41" s="465" t="e">
        <f t="shared" si="1"/>
        <v>#REF!</v>
      </c>
      <c r="J41" s="465" t="e">
        <f t="shared" si="1"/>
        <v>#REF!</v>
      </c>
      <c r="K41" s="465" t="e">
        <f t="shared" si="1"/>
        <v>#REF!</v>
      </c>
      <c r="L41" s="465" t="e">
        <f t="shared" si="1"/>
        <v>#REF!</v>
      </c>
      <c r="M41" s="465" t="e">
        <f t="shared" si="1"/>
        <v>#REF!</v>
      </c>
      <c r="N41" s="465" t="e">
        <f t="shared" si="1"/>
        <v>#REF!</v>
      </c>
      <c r="O41" s="465" t="e">
        <f t="shared" si="1"/>
        <v>#REF!</v>
      </c>
      <c r="P41" s="465" t="e">
        <f t="shared" si="1"/>
        <v>#REF!</v>
      </c>
      <c r="Q41" s="465" t="e">
        <f t="shared" si="1"/>
        <v>#REF!</v>
      </c>
      <c r="R41" s="465" t="e">
        <f t="shared" si="1"/>
        <v>#REF!</v>
      </c>
      <c r="S41" s="465" t="e">
        <f t="shared" si="1"/>
        <v>#REF!</v>
      </c>
      <c r="T41" s="465" t="e">
        <f t="shared" si="1"/>
        <v>#REF!</v>
      </c>
      <c r="U41" s="465" t="e">
        <f t="shared" si="1"/>
        <v>#REF!</v>
      </c>
      <c r="V41" s="465" t="e">
        <f t="shared" si="1"/>
        <v>#REF!</v>
      </c>
      <c r="W41" s="465" t="e">
        <f t="shared" si="1"/>
        <v>#REF!</v>
      </c>
      <c r="X41" s="467"/>
    </row>
    <row r="42" spans="1:24" ht="13.5" thickBot="1" x14ac:dyDescent="0.25">
      <c r="A42" s="1715"/>
      <c r="B42" s="1715"/>
      <c r="C42" s="1715"/>
      <c r="D42" s="1715"/>
      <c r="E42" s="1715"/>
      <c r="F42" s="1715"/>
      <c r="G42" s="1715"/>
      <c r="H42" s="1715"/>
      <c r="I42" s="1715"/>
      <c r="J42" s="1715"/>
      <c r="K42" s="1715"/>
      <c r="L42" s="1715"/>
      <c r="M42" s="1715"/>
      <c r="N42" s="1715"/>
      <c r="O42" s="1715"/>
      <c r="P42" s="1715"/>
      <c r="Q42" s="1715"/>
      <c r="R42" s="1715"/>
      <c r="S42" s="1715"/>
      <c r="T42" s="1715"/>
      <c r="U42" s="1715"/>
      <c r="V42" s="1715"/>
      <c r="W42" s="1715"/>
      <c r="X42" s="1715"/>
    </row>
    <row r="43" spans="1:24" ht="32.1" customHeight="1" x14ac:dyDescent="0.2">
      <c r="A43" s="1724"/>
      <c r="B43" s="1726" t="s">
        <v>612</v>
      </c>
      <c r="C43" s="1720">
        <v>1</v>
      </c>
      <c r="D43" s="1716">
        <f>Mobilizacao_Desmobilizacao!F37</f>
        <v>0</v>
      </c>
      <c r="E43" s="473"/>
      <c r="F43" s="462"/>
      <c r="G43" s="462"/>
      <c r="H43" s="462"/>
      <c r="I43" s="462"/>
      <c r="J43" s="462"/>
      <c r="K43" s="462"/>
      <c r="L43" s="462"/>
      <c r="M43" s="462"/>
      <c r="N43" s="462"/>
      <c r="O43" s="462"/>
      <c r="P43" s="462"/>
      <c r="Q43" s="462"/>
      <c r="R43" s="462"/>
      <c r="S43" s="462"/>
      <c r="T43" s="462"/>
      <c r="U43" s="462"/>
      <c r="V43" s="462"/>
      <c r="W43" s="462"/>
      <c r="X43" s="469" t="s">
        <v>789</v>
      </c>
    </row>
    <row r="44" spans="1:24" ht="32.1" customHeight="1" thickBot="1" x14ac:dyDescent="0.25">
      <c r="A44" s="1725"/>
      <c r="B44" s="1727"/>
      <c r="C44" s="1721"/>
      <c r="D44" s="1717"/>
      <c r="E44" s="464"/>
      <c r="F44" s="465"/>
      <c r="G44" s="465"/>
      <c r="H44" s="466"/>
      <c r="I44" s="465"/>
      <c r="J44" s="465"/>
      <c r="K44" s="465"/>
      <c r="L44" s="465"/>
      <c r="M44" s="465"/>
      <c r="N44" s="465"/>
      <c r="O44" s="466"/>
      <c r="P44" s="465"/>
      <c r="Q44" s="465"/>
      <c r="R44" s="465"/>
      <c r="S44" s="466"/>
      <c r="T44" s="465"/>
      <c r="U44" s="465"/>
      <c r="V44" s="465"/>
      <c r="W44" s="466"/>
      <c r="X44" s="467">
        <f>100%*D43</f>
        <v>0</v>
      </c>
    </row>
    <row r="45" spans="1:24" ht="13.5" thickBot="1" x14ac:dyDescent="0.25">
      <c r="A45" s="489"/>
      <c r="B45" s="489"/>
      <c r="C45" s="489"/>
      <c r="D45" s="489"/>
      <c r="E45" s="489"/>
      <c r="F45" s="489"/>
      <c r="G45" s="489"/>
      <c r="H45" s="489"/>
      <c r="I45" s="489"/>
      <c r="J45" s="489"/>
      <c r="K45" s="489"/>
      <c r="L45" s="489"/>
      <c r="M45" s="489"/>
      <c r="N45" s="489"/>
      <c r="O45" s="489"/>
      <c r="P45" s="489"/>
      <c r="Q45" s="489"/>
      <c r="R45" s="489"/>
      <c r="S45" s="489"/>
      <c r="T45" s="489"/>
      <c r="U45" s="489"/>
      <c r="V45" s="489"/>
      <c r="W45" s="489"/>
      <c r="X45" s="489"/>
    </row>
    <row r="46" spans="1:24" ht="32.1" customHeight="1" x14ac:dyDescent="0.2">
      <c r="A46" s="1730" t="s">
        <v>881</v>
      </c>
      <c r="B46" s="1731"/>
      <c r="C46" s="1720">
        <v>18</v>
      </c>
      <c r="D46" s="1728" t="e">
        <f>SUM(D19:D44)</f>
        <v>#REF!</v>
      </c>
      <c r="E46" s="461" t="s">
        <v>789</v>
      </c>
      <c r="F46" s="469" t="s">
        <v>789</v>
      </c>
      <c r="G46" s="469" t="s">
        <v>789</v>
      </c>
      <c r="H46" s="469" t="s">
        <v>789</v>
      </c>
      <c r="I46" s="469" t="s">
        <v>789</v>
      </c>
      <c r="J46" s="469" t="s">
        <v>789</v>
      </c>
      <c r="K46" s="469" t="s">
        <v>789</v>
      </c>
      <c r="L46" s="469" t="s">
        <v>789</v>
      </c>
      <c r="M46" s="469" t="s">
        <v>789</v>
      </c>
      <c r="N46" s="469" t="s">
        <v>789</v>
      </c>
      <c r="O46" s="469" t="s">
        <v>789</v>
      </c>
      <c r="P46" s="469" t="s">
        <v>789</v>
      </c>
      <c r="Q46" s="469" t="s">
        <v>789</v>
      </c>
      <c r="R46" s="469" t="s">
        <v>789</v>
      </c>
      <c r="S46" s="469" t="s">
        <v>789</v>
      </c>
      <c r="T46" s="469" t="s">
        <v>789</v>
      </c>
      <c r="U46" s="469" t="s">
        <v>789</v>
      </c>
      <c r="V46" s="469" t="s">
        <v>789</v>
      </c>
      <c r="W46" s="469" t="s">
        <v>789</v>
      </c>
      <c r="X46" s="490" t="s">
        <v>789</v>
      </c>
    </row>
    <row r="47" spans="1:24" ht="32.1" customHeight="1" thickBot="1" x14ac:dyDescent="0.25">
      <c r="A47" s="1732"/>
      <c r="B47" s="1733"/>
      <c r="C47" s="1721"/>
      <c r="D47" s="1729"/>
      <c r="E47" s="464">
        <f>SUM(E19:E44)</f>
        <v>0</v>
      </c>
      <c r="F47" s="465" t="e">
        <f t="shared" ref="F47:X47" si="2">SUM(F19:F44)</f>
        <v>#REF!</v>
      </c>
      <c r="G47" s="465" t="e">
        <f t="shared" si="2"/>
        <v>#REF!</v>
      </c>
      <c r="H47" s="465" t="e">
        <f t="shared" si="2"/>
        <v>#REF!</v>
      </c>
      <c r="I47" s="465" t="e">
        <f t="shared" si="2"/>
        <v>#REF!</v>
      </c>
      <c r="J47" s="465" t="e">
        <f t="shared" si="2"/>
        <v>#REF!</v>
      </c>
      <c r="K47" s="465" t="e">
        <f t="shared" si="2"/>
        <v>#REF!</v>
      </c>
      <c r="L47" s="465" t="e">
        <f t="shared" si="2"/>
        <v>#REF!</v>
      </c>
      <c r="M47" s="465" t="e">
        <f t="shared" si="2"/>
        <v>#REF!</v>
      </c>
      <c r="N47" s="465" t="e">
        <f t="shared" si="2"/>
        <v>#REF!</v>
      </c>
      <c r="O47" s="465" t="e">
        <f t="shared" si="2"/>
        <v>#REF!</v>
      </c>
      <c r="P47" s="465" t="e">
        <f t="shared" si="2"/>
        <v>#REF!</v>
      </c>
      <c r="Q47" s="465" t="e">
        <f t="shared" si="2"/>
        <v>#REF!</v>
      </c>
      <c r="R47" s="465" t="e">
        <f t="shared" si="2"/>
        <v>#REF!</v>
      </c>
      <c r="S47" s="465" t="e">
        <f t="shared" si="2"/>
        <v>#REF!</v>
      </c>
      <c r="T47" s="465" t="e">
        <f t="shared" si="2"/>
        <v>#REF!</v>
      </c>
      <c r="U47" s="465" t="e">
        <f t="shared" si="2"/>
        <v>#REF!</v>
      </c>
      <c r="V47" s="465" t="e">
        <f t="shared" si="2"/>
        <v>#REF!</v>
      </c>
      <c r="W47" s="465" t="e">
        <f t="shared" si="2"/>
        <v>#REF!</v>
      </c>
      <c r="X47" s="467">
        <f t="shared" si="2"/>
        <v>0</v>
      </c>
    </row>
    <row r="48" spans="1:24" x14ac:dyDescent="0.2">
      <c r="A48" s="145"/>
      <c r="B48" s="145"/>
      <c r="C48" s="145"/>
      <c r="D48" s="491"/>
      <c r="E48" s="145"/>
      <c r="F48" s="145"/>
      <c r="G48" s="145"/>
      <c r="H48" s="145"/>
      <c r="I48" s="145"/>
      <c r="J48" s="145"/>
      <c r="K48" s="145"/>
      <c r="L48" s="145"/>
      <c r="M48" s="145"/>
      <c r="N48" s="145"/>
      <c r="O48" s="145"/>
      <c r="P48" s="145"/>
      <c r="Q48" s="145"/>
      <c r="R48" s="145"/>
      <c r="S48" s="145"/>
      <c r="T48" s="145"/>
      <c r="U48" s="145"/>
      <c r="V48" s="145"/>
      <c r="W48" s="145"/>
      <c r="X48" s="145"/>
    </row>
    <row r="49" spans="1:24" x14ac:dyDescent="0.2">
      <c r="A49" s="145"/>
      <c r="B49" s="145"/>
      <c r="C49" s="145"/>
      <c r="D49" s="491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145"/>
      <c r="V49" s="145"/>
      <c r="W49" s="145"/>
      <c r="X49" s="145"/>
    </row>
    <row r="50" spans="1:24" ht="13.5" thickBot="1" x14ac:dyDescent="0.25">
      <c r="A50" s="145"/>
      <c r="B50" s="145"/>
      <c r="C50" s="145"/>
      <c r="D50" s="491"/>
      <c r="E50" s="145"/>
      <c r="F50" s="145"/>
      <c r="G50" s="145"/>
      <c r="H50" s="145"/>
      <c r="I50" s="145"/>
      <c r="J50" s="145"/>
      <c r="K50" s="145"/>
      <c r="L50" s="145"/>
      <c r="M50" s="145"/>
      <c r="N50" s="145"/>
      <c r="O50" s="145"/>
      <c r="P50" s="145"/>
      <c r="Q50" s="145"/>
      <c r="R50" s="145"/>
      <c r="S50" s="145"/>
      <c r="T50" s="145"/>
      <c r="U50" s="145"/>
      <c r="V50" s="145"/>
      <c r="W50" s="145"/>
      <c r="X50" s="145"/>
    </row>
    <row r="51" spans="1:24" ht="12.75" customHeight="1" x14ac:dyDescent="0.2">
      <c r="A51" s="1750" t="s">
        <v>885</v>
      </c>
      <c r="B51" s="1751"/>
      <c r="C51" s="1752"/>
      <c r="D51" s="527"/>
      <c r="E51" s="527"/>
      <c r="F51" s="527"/>
      <c r="G51" s="527"/>
      <c r="H51" s="527"/>
      <c r="I51" s="527"/>
      <c r="J51" s="527"/>
      <c r="K51" s="527"/>
      <c r="L51" s="527"/>
      <c r="M51" s="527"/>
      <c r="N51" s="527"/>
      <c r="O51" s="527"/>
      <c r="P51" s="527"/>
      <c r="Q51" s="527"/>
      <c r="R51" s="527"/>
      <c r="S51" s="527"/>
      <c r="T51" s="527"/>
      <c r="U51" s="527"/>
      <c r="V51" s="527"/>
      <c r="W51" s="527"/>
      <c r="X51" s="527"/>
    </row>
    <row r="52" spans="1:24" ht="13.5" customHeight="1" thickBot="1" x14ac:dyDescent="0.25">
      <c r="A52" s="1753"/>
      <c r="B52" s="1754"/>
      <c r="C52" s="1755"/>
      <c r="D52" s="527"/>
      <c r="E52" s="527"/>
      <c r="F52" s="527"/>
      <c r="G52" s="527"/>
      <c r="H52" s="527"/>
      <c r="I52" s="527"/>
      <c r="J52" s="527"/>
      <c r="K52" s="527"/>
      <c r="L52" s="527"/>
      <c r="M52" s="527"/>
      <c r="N52" s="527"/>
      <c r="O52" s="527"/>
      <c r="P52" s="527"/>
      <c r="Q52" s="527"/>
      <c r="R52" s="527"/>
      <c r="S52" s="527"/>
      <c r="T52" s="527"/>
      <c r="U52" s="527"/>
      <c r="V52" s="527"/>
      <c r="W52" s="527"/>
      <c r="X52" s="527"/>
    </row>
    <row r="53" spans="1:24" x14ac:dyDescent="0.2">
      <c r="A53" s="145"/>
      <c r="B53" s="145"/>
      <c r="C53" s="145"/>
      <c r="D53" s="491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45"/>
      <c r="V53" s="145"/>
      <c r="W53" s="145"/>
      <c r="X53" s="145"/>
    </row>
    <row r="54" spans="1:24" x14ac:dyDescent="0.2">
      <c r="A54" s="145"/>
      <c r="B54" s="145"/>
      <c r="C54" s="145"/>
      <c r="D54" s="529"/>
      <c r="E54" s="529"/>
      <c r="F54" s="529"/>
      <c r="G54" s="529"/>
      <c r="H54" s="529"/>
      <c r="I54" s="529"/>
      <c r="J54" s="529"/>
      <c r="K54" s="529"/>
      <c r="L54" s="529"/>
      <c r="M54" s="529"/>
      <c r="N54" s="529"/>
      <c r="O54" s="529"/>
      <c r="P54" s="529"/>
      <c r="Q54" s="529"/>
      <c r="R54" s="529"/>
      <c r="S54" s="529"/>
      <c r="T54" s="529"/>
      <c r="U54" s="529"/>
      <c r="V54" s="529"/>
      <c r="W54" s="529"/>
      <c r="X54" s="529"/>
    </row>
    <row r="55" spans="1:24" ht="13.5" thickBot="1" x14ac:dyDescent="0.25">
      <c r="A55" s="528"/>
      <c r="B55" s="528"/>
      <c r="C55" s="528"/>
      <c r="D55" s="529"/>
      <c r="E55" s="529"/>
      <c r="F55" s="529"/>
      <c r="G55" s="529"/>
      <c r="H55" s="529"/>
      <c r="I55" s="529"/>
      <c r="J55" s="529"/>
      <c r="K55" s="529"/>
      <c r="L55" s="529"/>
      <c r="M55" s="529"/>
      <c r="N55" s="529"/>
      <c r="O55" s="529"/>
      <c r="P55" s="529"/>
      <c r="Q55" s="529"/>
      <c r="R55" s="529"/>
      <c r="S55" s="529"/>
      <c r="T55" s="529"/>
      <c r="U55" s="529"/>
      <c r="V55" s="529"/>
      <c r="W55" s="529"/>
      <c r="X55" s="529"/>
    </row>
    <row r="56" spans="1:24" ht="16.5" thickBot="1" x14ac:dyDescent="0.25">
      <c r="A56" s="1770" t="s">
        <v>887</v>
      </c>
      <c r="B56" s="1771"/>
      <c r="C56" s="1772"/>
      <c r="D56" s="531"/>
      <c r="E56" s="529"/>
      <c r="F56" s="529"/>
      <c r="G56" s="529"/>
      <c r="H56" s="529"/>
      <c r="I56" s="529"/>
      <c r="J56" s="529"/>
      <c r="K56" s="529"/>
      <c r="L56" s="529"/>
      <c r="M56" s="529"/>
      <c r="N56" s="529"/>
      <c r="O56" s="529"/>
      <c r="P56" s="529"/>
      <c r="Q56" s="529"/>
      <c r="R56" s="529"/>
      <c r="S56" s="529"/>
      <c r="T56" s="529"/>
      <c r="U56" s="529"/>
      <c r="V56" s="529"/>
      <c r="W56" s="529"/>
      <c r="X56" s="529"/>
    </row>
    <row r="57" spans="1:24" ht="15.75" customHeight="1" x14ac:dyDescent="0.2">
      <c r="A57" s="1773" t="s">
        <v>44</v>
      </c>
      <c r="B57" s="1774"/>
      <c r="C57" s="501" t="e">
        <f>#REF!</f>
        <v>#REF!</v>
      </c>
      <c r="D57" s="532"/>
      <c r="E57" s="529"/>
      <c r="F57" s="529"/>
      <c r="G57" s="529"/>
      <c r="H57" s="529"/>
      <c r="I57" s="529"/>
      <c r="J57" s="529"/>
      <c r="K57" s="529"/>
      <c r="L57" s="529"/>
      <c r="M57" s="529"/>
      <c r="N57" s="529"/>
      <c r="O57" s="529"/>
      <c r="P57" s="529"/>
      <c r="Q57" s="529"/>
      <c r="R57" s="529"/>
      <c r="S57" s="529"/>
      <c r="T57" s="529"/>
      <c r="U57" s="529"/>
      <c r="V57" s="529"/>
      <c r="W57" s="529"/>
      <c r="X57" s="529"/>
    </row>
    <row r="58" spans="1:24" ht="16.5" customHeight="1" thickBot="1" x14ac:dyDescent="0.25">
      <c r="A58" s="1775" t="s">
        <v>678</v>
      </c>
      <c r="B58" s="1776"/>
      <c r="C58" s="502" t="e">
        <f>#REF!</f>
        <v>#REF!</v>
      </c>
      <c r="D58" s="531"/>
      <c r="E58" s="529"/>
      <c r="F58" s="529"/>
      <c r="G58" s="529"/>
      <c r="H58" s="529"/>
      <c r="I58" s="529"/>
      <c r="J58" s="529"/>
      <c r="K58" s="529"/>
      <c r="L58" s="529"/>
      <c r="M58" s="529"/>
      <c r="N58" s="529"/>
      <c r="O58" s="529"/>
      <c r="P58" s="529"/>
      <c r="Q58" s="529"/>
      <c r="R58" s="529"/>
      <c r="S58" s="529"/>
      <c r="T58" s="529"/>
      <c r="U58" s="529"/>
      <c r="V58" s="529"/>
      <c r="W58" s="529"/>
      <c r="X58" s="529"/>
    </row>
    <row r="59" spans="1:24" ht="16.5" thickBot="1" x14ac:dyDescent="0.25">
      <c r="A59" s="1770" t="s">
        <v>750</v>
      </c>
      <c r="B59" s="1771"/>
      <c r="C59" s="1772"/>
      <c r="D59" s="531"/>
      <c r="E59" s="529"/>
      <c r="F59" s="529"/>
      <c r="G59" s="529"/>
      <c r="H59" s="529"/>
      <c r="I59" s="529"/>
      <c r="J59" s="529"/>
      <c r="K59" s="529"/>
      <c r="L59" s="529"/>
      <c r="M59" s="529"/>
      <c r="N59" s="529"/>
      <c r="O59" s="529"/>
      <c r="P59" s="529"/>
      <c r="Q59" s="529"/>
      <c r="R59" s="529"/>
      <c r="S59" s="529"/>
      <c r="T59" s="529"/>
      <c r="U59" s="529"/>
      <c r="V59" s="529"/>
      <c r="W59" s="529"/>
      <c r="X59" s="529"/>
    </row>
    <row r="60" spans="1:24" ht="15" customHeight="1" x14ac:dyDescent="0.2">
      <c r="A60" s="1777" t="s">
        <v>751</v>
      </c>
      <c r="B60" s="1778"/>
      <c r="C60" s="409">
        <f>'Viagens e Diárias (Por Demanda)'!I14</f>
        <v>0</v>
      </c>
      <c r="D60" s="531"/>
      <c r="E60" s="529"/>
      <c r="F60" s="529"/>
      <c r="G60" s="529"/>
      <c r="H60" s="529"/>
      <c r="I60" s="529"/>
      <c r="J60" s="529"/>
      <c r="K60" s="529"/>
      <c r="L60" s="529"/>
      <c r="M60" s="529"/>
      <c r="N60" s="529"/>
      <c r="O60" s="529"/>
      <c r="P60" s="529"/>
      <c r="Q60" s="529"/>
      <c r="R60" s="529"/>
      <c r="S60" s="529"/>
      <c r="T60" s="529"/>
      <c r="U60" s="529"/>
      <c r="V60" s="529"/>
      <c r="W60" s="529"/>
      <c r="X60" s="529"/>
    </row>
    <row r="61" spans="1:24" ht="15.75" thickBot="1" x14ac:dyDescent="0.25">
      <c r="A61" s="1762" t="s">
        <v>752</v>
      </c>
      <c r="B61" s="1763"/>
      <c r="C61" s="414">
        <f>'Viagens e Diárias (Por Demanda)'!I21</f>
        <v>0</v>
      </c>
      <c r="D61" s="532"/>
      <c r="E61" s="529"/>
      <c r="F61" s="529"/>
      <c r="G61" s="529"/>
      <c r="H61" s="529"/>
      <c r="I61" s="529"/>
      <c r="J61" s="529"/>
      <c r="K61" s="529"/>
      <c r="L61" s="529"/>
      <c r="M61" s="529"/>
      <c r="N61" s="529"/>
      <c r="O61" s="529"/>
      <c r="P61" s="529"/>
      <c r="Q61" s="529"/>
      <c r="R61" s="529"/>
      <c r="S61" s="529"/>
      <c r="T61" s="529"/>
      <c r="U61" s="529"/>
      <c r="V61" s="529"/>
      <c r="W61" s="529"/>
      <c r="X61" s="529"/>
    </row>
    <row r="62" spans="1:24" ht="15.75" customHeight="1" thickBot="1" x14ac:dyDescent="0.25">
      <c r="A62" s="1722" t="s">
        <v>888</v>
      </c>
      <c r="B62" s="1723"/>
      <c r="C62" s="503" t="e">
        <f>C57+C58+C60+C61</f>
        <v>#REF!</v>
      </c>
      <c r="D62" s="532"/>
      <c r="E62" s="529"/>
      <c r="F62" s="529"/>
      <c r="G62" s="529"/>
      <c r="H62" s="529"/>
      <c r="I62" s="529"/>
      <c r="J62" s="529"/>
      <c r="K62" s="529"/>
      <c r="L62" s="529"/>
      <c r="M62" s="529"/>
      <c r="N62" s="529"/>
      <c r="O62" s="529"/>
      <c r="P62" s="529"/>
      <c r="Q62" s="529"/>
      <c r="R62" s="529"/>
      <c r="S62" s="529"/>
      <c r="T62" s="529"/>
      <c r="U62" s="529"/>
      <c r="V62" s="529"/>
      <c r="W62" s="529"/>
      <c r="X62" s="529"/>
    </row>
    <row r="63" spans="1:24" x14ac:dyDescent="0.2">
      <c r="A63" s="144"/>
      <c r="B63" s="144"/>
      <c r="C63" s="144"/>
      <c r="D63" s="529"/>
      <c r="E63" s="529"/>
      <c r="F63" s="529"/>
      <c r="G63" s="529"/>
      <c r="H63" s="529"/>
      <c r="I63" s="529"/>
      <c r="J63" s="529"/>
      <c r="K63" s="529"/>
      <c r="L63" s="529"/>
      <c r="M63" s="529"/>
      <c r="N63" s="529"/>
      <c r="O63" s="529"/>
      <c r="P63" s="529"/>
      <c r="Q63" s="529"/>
      <c r="R63" s="529"/>
      <c r="S63" s="529"/>
      <c r="T63" s="529"/>
      <c r="U63" s="529"/>
      <c r="V63" s="529"/>
      <c r="W63" s="529"/>
      <c r="X63" s="529"/>
    </row>
    <row r="64" spans="1:24" x14ac:dyDescent="0.2">
      <c r="D64" s="530"/>
      <c r="E64" s="530"/>
      <c r="F64" s="530"/>
      <c r="G64" s="530"/>
      <c r="H64" s="530"/>
      <c r="I64" s="530"/>
      <c r="J64" s="530"/>
      <c r="K64" s="530"/>
      <c r="L64" s="530"/>
      <c r="M64" s="530"/>
      <c r="N64" s="530"/>
      <c r="O64" s="530"/>
      <c r="P64" s="530"/>
      <c r="Q64" s="530"/>
      <c r="R64" s="530"/>
      <c r="S64" s="530"/>
      <c r="T64" s="530"/>
      <c r="U64" s="530"/>
      <c r="V64" s="530"/>
      <c r="W64" s="530"/>
      <c r="X64" s="530"/>
    </row>
    <row r="65" spans="1:24" ht="13.5" thickBot="1" x14ac:dyDescent="0.25">
      <c r="D65" s="530"/>
      <c r="E65" s="530"/>
      <c r="F65" s="530"/>
      <c r="G65" s="530"/>
      <c r="H65" s="530"/>
      <c r="I65" s="530"/>
      <c r="J65" s="530"/>
      <c r="K65" s="530"/>
      <c r="L65" s="530"/>
      <c r="M65" s="530"/>
      <c r="N65" s="530"/>
      <c r="O65" s="530"/>
      <c r="P65" s="530"/>
      <c r="Q65" s="530"/>
      <c r="R65" s="530"/>
      <c r="S65" s="530"/>
      <c r="T65" s="530"/>
      <c r="U65" s="530"/>
      <c r="V65" s="530"/>
      <c r="W65" s="530"/>
      <c r="X65" s="530"/>
    </row>
    <row r="66" spans="1:24" ht="12.75" customHeight="1" x14ac:dyDescent="0.2">
      <c r="A66" s="1750" t="s">
        <v>921</v>
      </c>
      <c r="B66" s="1751"/>
      <c r="C66" s="1752"/>
      <c r="D66" s="527"/>
      <c r="E66" s="527"/>
      <c r="F66" s="527"/>
      <c r="G66" s="527"/>
      <c r="H66" s="527"/>
      <c r="I66" s="527"/>
      <c r="J66" s="527"/>
      <c r="K66" s="527"/>
      <c r="L66" s="527"/>
      <c r="M66" s="527"/>
      <c r="N66" s="527"/>
      <c r="O66" s="527"/>
      <c r="P66" s="527"/>
      <c r="Q66" s="527"/>
      <c r="R66" s="527"/>
      <c r="S66" s="527"/>
      <c r="T66" s="527"/>
      <c r="U66" s="527"/>
      <c r="V66" s="527"/>
      <c r="W66" s="527"/>
      <c r="X66" s="527"/>
    </row>
    <row r="67" spans="1:24" ht="13.5" customHeight="1" thickBot="1" x14ac:dyDescent="0.25">
      <c r="A67" s="1753"/>
      <c r="B67" s="1754"/>
      <c r="C67" s="1755"/>
      <c r="D67" s="527"/>
      <c r="E67" s="527"/>
      <c r="F67" s="527"/>
      <c r="G67" s="527"/>
      <c r="H67" s="527"/>
      <c r="I67" s="527"/>
      <c r="J67" s="527"/>
      <c r="K67" s="527"/>
      <c r="L67" s="527"/>
      <c r="M67" s="527"/>
      <c r="N67" s="527"/>
      <c r="O67" s="527"/>
      <c r="P67" s="527"/>
      <c r="Q67" s="527"/>
      <c r="R67" s="527"/>
      <c r="S67" s="527"/>
      <c r="T67" s="527"/>
      <c r="U67" s="527"/>
      <c r="V67" s="527"/>
      <c r="W67" s="527"/>
      <c r="X67" s="527"/>
    </row>
    <row r="68" spans="1:24" x14ac:dyDescent="0.2">
      <c r="D68" s="530"/>
      <c r="E68" s="530"/>
      <c r="F68" s="530"/>
      <c r="G68" s="530"/>
      <c r="H68" s="530"/>
      <c r="I68" s="530"/>
      <c r="J68" s="530"/>
      <c r="K68" s="530"/>
      <c r="L68" s="530"/>
      <c r="M68" s="530"/>
      <c r="N68" s="530"/>
      <c r="O68" s="530"/>
      <c r="P68" s="530"/>
      <c r="Q68" s="530"/>
      <c r="R68" s="530"/>
      <c r="S68" s="530"/>
      <c r="T68" s="530"/>
      <c r="U68" s="530"/>
      <c r="V68" s="530"/>
      <c r="W68" s="530"/>
      <c r="X68" s="530"/>
    </row>
    <row r="69" spans="1:24" ht="13.5" thickBot="1" x14ac:dyDescent="0.25">
      <c r="D69" s="530"/>
      <c r="E69" s="530"/>
      <c r="F69" s="530"/>
      <c r="G69" s="530"/>
      <c r="H69" s="530"/>
      <c r="I69" s="530"/>
      <c r="J69" s="530"/>
      <c r="K69" s="530"/>
      <c r="L69" s="530"/>
      <c r="M69" s="530"/>
      <c r="N69" s="530"/>
      <c r="O69" s="530"/>
      <c r="P69" s="530"/>
      <c r="Q69" s="530"/>
      <c r="R69" s="530"/>
      <c r="S69" s="530"/>
      <c r="T69" s="530"/>
      <c r="U69" s="530"/>
      <c r="V69" s="530"/>
      <c r="W69" s="530"/>
      <c r="X69" s="530"/>
    </row>
    <row r="70" spans="1:24" ht="16.5" thickBot="1" x14ac:dyDescent="0.25">
      <c r="A70" s="1363" t="s">
        <v>922</v>
      </c>
      <c r="B70" s="1364"/>
      <c r="C70" s="1365"/>
      <c r="D70" s="530"/>
      <c r="E70" s="530"/>
      <c r="F70" s="530"/>
      <c r="G70" s="530"/>
      <c r="H70" s="530"/>
      <c r="I70" s="530"/>
      <c r="J70" s="530"/>
      <c r="K70" s="530"/>
      <c r="L70" s="530"/>
      <c r="M70" s="530"/>
      <c r="N70" s="530"/>
      <c r="O70" s="530"/>
      <c r="P70" s="530"/>
      <c r="Q70" s="530"/>
      <c r="R70" s="530"/>
      <c r="S70" s="530"/>
      <c r="T70" s="530"/>
      <c r="U70" s="530"/>
      <c r="V70" s="530"/>
      <c r="W70" s="530"/>
      <c r="X70" s="530"/>
    </row>
    <row r="71" spans="1:24" ht="15" x14ac:dyDescent="0.2">
      <c r="A71" s="493" t="s">
        <v>496</v>
      </c>
      <c r="B71" s="494" t="s">
        <v>889</v>
      </c>
      <c r="C71" s="495" t="e">
        <f>D46</f>
        <v>#REF!</v>
      </c>
      <c r="D71" s="530"/>
      <c r="E71" s="530"/>
      <c r="F71" s="530"/>
      <c r="G71" s="530"/>
      <c r="H71" s="530"/>
      <c r="I71" s="530"/>
      <c r="J71" s="530"/>
      <c r="K71" s="530"/>
      <c r="L71" s="530"/>
      <c r="M71" s="530"/>
      <c r="N71" s="530"/>
      <c r="O71" s="530"/>
      <c r="P71" s="530"/>
      <c r="Q71" s="530"/>
      <c r="R71" s="530"/>
      <c r="S71" s="530"/>
      <c r="T71" s="530"/>
      <c r="U71" s="530"/>
      <c r="V71" s="530"/>
      <c r="W71" s="530"/>
      <c r="X71" s="530"/>
    </row>
    <row r="72" spans="1:24" ht="15.75" thickBot="1" x14ac:dyDescent="0.25">
      <c r="A72" s="496" t="s">
        <v>497</v>
      </c>
      <c r="B72" s="497" t="s">
        <v>900</v>
      </c>
      <c r="C72" s="498" t="e">
        <f>C62</f>
        <v>#REF!</v>
      </c>
      <c r="D72" s="530"/>
      <c r="E72" s="530"/>
      <c r="F72" s="530"/>
      <c r="G72" s="530"/>
      <c r="H72" s="530"/>
      <c r="I72" s="530"/>
      <c r="J72" s="530"/>
      <c r="K72" s="530"/>
      <c r="L72" s="530"/>
      <c r="M72" s="530"/>
      <c r="N72" s="530"/>
      <c r="O72" s="530"/>
      <c r="P72" s="530"/>
      <c r="Q72" s="530"/>
      <c r="R72" s="530"/>
      <c r="S72" s="530"/>
      <c r="T72" s="530"/>
      <c r="U72" s="530"/>
      <c r="V72" s="530"/>
      <c r="W72" s="530"/>
      <c r="X72" s="530"/>
    </row>
    <row r="73" spans="1:24" ht="16.5" thickBot="1" x14ac:dyDescent="0.3">
      <c r="A73" s="1718" t="s">
        <v>890</v>
      </c>
      <c r="B73" s="1719"/>
      <c r="C73" s="492" t="e">
        <f>SUM(C71:C72)</f>
        <v>#REF!</v>
      </c>
      <c r="D73" s="530"/>
      <c r="E73" s="530"/>
      <c r="F73" s="530"/>
      <c r="G73" s="530"/>
      <c r="H73" s="530"/>
      <c r="I73" s="530"/>
      <c r="J73" s="530"/>
      <c r="K73" s="530"/>
      <c r="L73" s="530"/>
      <c r="M73" s="530"/>
      <c r="N73" s="530"/>
      <c r="O73" s="530"/>
      <c r="P73" s="530"/>
      <c r="Q73" s="530"/>
      <c r="R73" s="530"/>
      <c r="S73" s="530"/>
      <c r="T73" s="530"/>
      <c r="U73" s="530"/>
      <c r="V73" s="530"/>
      <c r="W73" s="530"/>
      <c r="X73" s="530"/>
    </row>
    <row r="75" spans="1:24" x14ac:dyDescent="0.2">
      <c r="C75" s="499"/>
    </row>
    <row r="78" spans="1:24" x14ac:dyDescent="0.2">
      <c r="B78" s="499"/>
    </row>
  </sheetData>
  <mergeCells count="72">
    <mergeCell ref="A66:C67"/>
    <mergeCell ref="A56:C56"/>
    <mergeCell ref="A59:C59"/>
    <mergeCell ref="A57:B57"/>
    <mergeCell ref="A58:B58"/>
    <mergeCell ref="A60:B60"/>
    <mergeCell ref="A18:X18"/>
    <mergeCell ref="B22:B23"/>
    <mergeCell ref="A22:A23"/>
    <mergeCell ref="A61:B61"/>
    <mergeCell ref="A51:C52"/>
    <mergeCell ref="D22:D23"/>
    <mergeCell ref="A19:A20"/>
    <mergeCell ref="A25:A26"/>
    <mergeCell ref="A28:A29"/>
    <mergeCell ref="A31:A32"/>
    <mergeCell ref="A24:X24"/>
    <mergeCell ref="A21:X21"/>
    <mergeCell ref="B19:B20"/>
    <mergeCell ref="C19:C20"/>
    <mergeCell ref="D19:D20"/>
    <mergeCell ref="C22:C23"/>
    <mergeCell ref="A13:X14"/>
    <mergeCell ref="A1:X1"/>
    <mergeCell ref="A2:X2"/>
    <mergeCell ref="A4:X4"/>
    <mergeCell ref="A5:X6"/>
    <mergeCell ref="A8:X9"/>
    <mergeCell ref="A16:A17"/>
    <mergeCell ref="B16:B17"/>
    <mergeCell ref="D16:D17"/>
    <mergeCell ref="E16:X16"/>
    <mergeCell ref="A42:X42"/>
    <mergeCell ref="C37:C38"/>
    <mergeCell ref="C40:C41"/>
    <mergeCell ref="A37:A38"/>
    <mergeCell ref="A40:A41"/>
    <mergeCell ref="B40:B41"/>
    <mergeCell ref="B37:B38"/>
    <mergeCell ref="D40:D41"/>
    <mergeCell ref="D37:D38"/>
    <mergeCell ref="B31:B32"/>
    <mergeCell ref="B34:B35"/>
    <mergeCell ref="C16:C17"/>
    <mergeCell ref="D34:D35"/>
    <mergeCell ref="D25:D26"/>
    <mergeCell ref="D31:D32"/>
    <mergeCell ref="A27:X27"/>
    <mergeCell ref="B28:B29"/>
    <mergeCell ref="C25:C26"/>
    <mergeCell ref="B25:B26"/>
    <mergeCell ref="A30:X30"/>
    <mergeCell ref="L31:Q31"/>
    <mergeCell ref="A33:X33"/>
    <mergeCell ref="C28:C29"/>
    <mergeCell ref="C31:C32"/>
    <mergeCell ref="A36:X36"/>
    <mergeCell ref="A39:X39"/>
    <mergeCell ref="D28:D29"/>
    <mergeCell ref="A73:B73"/>
    <mergeCell ref="A70:C70"/>
    <mergeCell ref="C43:C44"/>
    <mergeCell ref="D43:D44"/>
    <mergeCell ref="A62:B62"/>
    <mergeCell ref="A43:A44"/>
    <mergeCell ref="B43:B44"/>
    <mergeCell ref="C46:C47"/>
    <mergeCell ref="D46:D47"/>
    <mergeCell ref="A46:B47"/>
    <mergeCell ref="A34:A35"/>
    <mergeCell ref="L34:Q34"/>
    <mergeCell ref="C34:C35"/>
  </mergeCells>
  <printOptions horizontalCentered="1" verticalCentered="1"/>
  <pageMargins left="0.59055118110236227" right="0.59055118110236227" top="0.98425196850393704" bottom="0.39370078740157483" header="0.31496062992125984" footer="0.31496062992125984"/>
  <pageSetup paperSize="9" scale="35" orientation="landscape" horizontalDpi="4294967294" verticalDpi="4294967294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Z54"/>
  <sheetViews>
    <sheetView topLeftCell="A4" zoomScale="70" zoomScaleNormal="70" workbookViewId="0">
      <selection activeCell="AA23" sqref="AA23"/>
    </sheetView>
  </sheetViews>
  <sheetFormatPr defaultRowHeight="12.75" x14ac:dyDescent="0.2"/>
  <cols>
    <col min="1" max="1" width="11.140625" style="325" bestFit="1" customWidth="1"/>
    <col min="2" max="2" width="101.7109375" style="325" customWidth="1"/>
    <col min="3" max="3" width="12.85546875" style="325" customWidth="1"/>
    <col min="4" max="4" width="3.140625" style="325" bestFit="1" customWidth="1"/>
    <col min="5" max="23" width="6.7109375" style="325" customWidth="1"/>
    <col min="24" max="24" width="15.85546875" style="339" customWidth="1"/>
    <col min="25" max="16384" width="9.140625" style="325"/>
  </cols>
  <sheetData>
    <row r="1" spans="1:26" x14ac:dyDescent="0.2">
      <c r="A1" s="1228" t="s">
        <v>294</v>
      </c>
      <c r="B1" s="1229"/>
      <c r="C1" s="1229"/>
      <c r="D1" s="1229"/>
      <c r="E1" s="1229"/>
      <c r="F1" s="1229"/>
      <c r="G1" s="1229"/>
      <c r="H1" s="1229"/>
      <c r="I1" s="1229"/>
      <c r="J1" s="1229"/>
      <c r="K1" s="1229"/>
      <c r="L1" s="1229"/>
      <c r="M1" s="1229"/>
      <c r="N1" s="1229"/>
      <c r="O1" s="1229"/>
      <c r="P1" s="1229"/>
      <c r="Q1" s="1229"/>
      <c r="R1" s="1229"/>
      <c r="S1" s="1229"/>
      <c r="T1" s="1229"/>
      <c r="U1" s="1229"/>
      <c r="V1" s="1229"/>
      <c r="W1" s="1229"/>
      <c r="X1" s="1230"/>
    </row>
    <row r="2" spans="1:26" ht="13.5" thickBot="1" x14ac:dyDescent="0.25">
      <c r="A2" s="1789" t="s">
        <v>295</v>
      </c>
      <c r="B2" s="1790"/>
      <c r="C2" s="1790"/>
      <c r="D2" s="1790"/>
      <c r="E2" s="1790"/>
      <c r="F2" s="1790"/>
      <c r="G2" s="1790"/>
      <c r="H2" s="1790"/>
      <c r="I2" s="1790"/>
      <c r="J2" s="1790"/>
      <c r="K2" s="1790"/>
      <c r="L2" s="1790"/>
      <c r="M2" s="1790"/>
      <c r="N2" s="1790"/>
      <c r="O2" s="1790"/>
      <c r="P2" s="1790"/>
      <c r="Q2" s="1790"/>
      <c r="R2" s="1790"/>
      <c r="S2" s="1790"/>
      <c r="T2" s="1790"/>
      <c r="U2" s="1790"/>
      <c r="V2" s="1790"/>
      <c r="W2" s="1790"/>
      <c r="X2" s="1791"/>
    </row>
    <row r="3" spans="1:26" ht="13.5" thickBot="1" x14ac:dyDescent="0.25">
      <c r="A3" s="1389"/>
      <c r="B3" s="1390"/>
      <c r="C3" s="1390"/>
      <c r="D3" s="1390"/>
      <c r="E3" s="1390"/>
      <c r="F3" s="1390"/>
      <c r="G3" s="1390"/>
      <c r="H3" s="1390"/>
      <c r="I3" s="1390"/>
      <c r="J3" s="1390"/>
      <c r="K3" s="1390"/>
      <c r="L3" s="1390"/>
      <c r="M3" s="1390"/>
      <c r="N3" s="1390"/>
      <c r="O3" s="1390"/>
      <c r="P3" s="1390"/>
      <c r="Q3" s="1390"/>
      <c r="R3" s="1390"/>
      <c r="S3" s="1390"/>
      <c r="T3" s="1390"/>
      <c r="U3" s="1390"/>
      <c r="V3" s="1390"/>
      <c r="W3" s="1390"/>
      <c r="X3" s="329"/>
    </row>
    <row r="4" spans="1:26" x14ac:dyDescent="0.2">
      <c r="A4" s="1237" t="s">
        <v>292</v>
      </c>
      <c r="B4" s="1238"/>
      <c r="C4" s="1238"/>
      <c r="D4" s="1238"/>
      <c r="E4" s="1238"/>
      <c r="F4" s="1238"/>
      <c r="G4" s="1238"/>
      <c r="H4" s="1238"/>
      <c r="I4" s="1238"/>
      <c r="J4" s="1238"/>
      <c r="K4" s="1238"/>
      <c r="L4" s="1238"/>
      <c r="M4" s="1238"/>
      <c r="N4" s="1238"/>
      <c r="O4" s="1238"/>
      <c r="P4" s="1238"/>
      <c r="Q4" s="1238"/>
      <c r="R4" s="1238"/>
      <c r="S4" s="1238"/>
      <c r="T4" s="1238"/>
      <c r="U4" s="1238"/>
      <c r="V4" s="1238"/>
      <c r="W4" s="1238"/>
      <c r="X4" s="1239"/>
    </row>
    <row r="5" spans="1:26" ht="13.5" thickBot="1" x14ac:dyDescent="0.25">
      <c r="A5" s="1240"/>
      <c r="B5" s="1241"/>
      <c r="C5" s="1241"/>
      <c r="D5" s="1241"/>
      <c r="E5" s="1241"/>
      <c r="F5" s="1241"/>
      <c r="G5" s="1241"/>
      <c r="H5" s="1241"/>
      <c r="I5" s="1241"/>
      <c r="J5" s="1241"/>
      <c r="K5" s="1241"/>
      <c r="L5" s="1241"/>
      <c r="M5" s="1241"/>
      <c r="N5" s="1241"/>
      <c r="O5" s="1241"/>
      <c r="P5" s="1241"/>
      <c r="Q5" s="1241"/>
      <c r="R5" s="1241"/>
      <c r="S5" s="1241"/>
      <c r="T5" s="1241"/>
      <c r="U5" s="1241"/>
      <c r="V5" s="1241"/>
      <c r="W5" s="1241"/>
      <c r="X5" s="1242"/>
    </row>
    <row r="6" spans="1:26" ht="13.5" thickBot="1" x14ac:dyDescent="0.25">
      <c r="A6" s="254"/>
      <c r="B6" s="254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254"/>
      <c r="X6" s="332"/>
    </row>
    <row r="7" spans="1:26" x14ac:dyDescent="0.2">
      <c r="A7" s="1792" t="s">
        <v>581</v>
      </c>
      <c r="B7" s="1793"/>
      <c r="C7" s="1793"/>
      <c r="D7" s="1793"/>
      <c r="E7" s="1793"/>
      <c r="F7" s="1793"/>
      <c r="G7" s="1793"/>
      <c r="H7" s="1793"/>
      <c r="I7" s="1793"/>
      <c r="J7" s="1793"/>
      <c r="K7" s="1793"/>
      <c r="L7" s="1793"/>
      <c r="M7" s="1793"/>
      <c r="N7" s="1793"/>
      <c r="O7" s="1793"/>
      <c r="P7" s="1793"/>
      <c r="Q7" s="1793"/>
      <c r="R7" s="1793"/>
      <c r="S7" s="1793"/>
      <c r="T7" s="1793"/>
      <c r="U7" s="1793"/>
      <c r="V7" s="1793"/>
      <c r="W7" s="1793"/>
      <c r="X7" s="1794"/>
    </row>
    <row r="8" spans="1:26" ht="13.5" thickBot="1" x14ac:dyDescent="0.25">
      <c r="A8" s="1795"/>
      <c r="B8" s="1796"/>
      <c r="C8" s="1796"/>
      <c r="D8" s="1796"/>
      <c r="E8" s="1796"/>
      <c r="F8" s="1796"/>
      <c r="G8" s="1796"/>
      <c r="H8" s="1796"/>
      <c r="I8" s="1796"/>
      <c r="J8" s="1796"/>
      <c r="K8" s="1796"/>
      <c r="L8" s="1796"/>
      <c r="M8" s="1796"/>
      <c r="N8" s="1796"/>
      <c r="O8" s="1796"/>
      <c r="P8" s="1796"/>
      <c r="Q8" s="1796"/>
      <c r="R8" s="1796"/>
      <c r="S8" s="1796"/>
      <c r="T8" s="1796"/>
      <c r="U8" s="1796"/>
      <c r="V8" s="1796"/>
      <c r="W8" s="1796"/>
      <c r="X8" s="1797"/>
    </row>
    <row r="9" spans="1:26" ht="13.5" thickBot="1" x14ac:dyDescent="0.25">
      <c r="A9" s="310"/>
      <c r="B9" s="326"/>
      <c r="C9" s="311"/>
      <c r="D9" s="310"/>
      <c r="E9" s="310"/>
      <c r="F9" s="310"/>
      <c r="G9" s="310"/>
      <c r="H9" s="310"/>
      <c r="I9" s="310"/>
      <c r="J9" s="310"/>
      <c r="K9" s="310"/>
      <c r="L9" s="310"/>
      <c r="M9" s="310"/>
      <c r="N9" s="310"/>
      <c r="O9" s="310"/>
      <c r="P9" s="310"/>
      <c r="Q9" s="310"/>
      <c r="R9" s="310"/>
      <c r="S9" s="310"/>
      <c r="T9" s="310"/>
      <c r="U9" s="310"/>
      <c r="V9" s="310"/>
      <c r="W9" s="310"/>
      <c r="X9" s="333"/>
    </row>
    <row r="10" spans="1:26" ht="14.25" thickTop="1" thickBot="1" x14ac:dyDescent="0.25">
      <c r="A10" s="1798" t="s">
        <v>0</v>
      </c>
      <c r="B10" s="1800" t="s">
        <v>787</v>
      </c>
      <c r="C10" s="1802" t="s">
        <v>582</v>
      </c>
      <c r="D10" s="1804" t="s">
        <v>63</v>
      </c>
      <c r="E10" s="1805"/>
      <c r="F10" s="1805"/>
      <c r="G10" s="1805"/>
      <c r="H10" s="1805"/>
      <c r="I10" s="1805"/>
      <c r="J10" s="1805"/>
      <c r="K10" s="1805"/>
      <c r="L10" s="1805"/>
      <c r="M10" s="1805"/>
      <c r="N10" s="1805"/>
      <c r="O10" s="1805"/>
      <c r="P10" s="1805"/>
      <c r="Q10" s="1805"/>
      <c r="R10" s="1805"/>
      <c r="S10" s="1805"/>
      <c r="T10" s="1805"/>
      <c r="U10" s="1805"/>
      <c r="V10" s="1805"/>
      <c r="W10" s="1806"/>
      <c r="X10" s="1807" t="s">
        <v>800</v>
      </c>
    </row>
    <row r="11" spans="1:26" ht="13.5" thickBot="1" x14ac:dyDescent="0.25">
      <c r="A11" s="1799"/>
      <c r="B11" s="1801"/>
      <c r="C11" s="1803"/>
      <c r="D11" s="312" t="s">
        <v>583</v>
      </c>
      <c r="E11" s="313" t="s">
        <v>584</v>
      </c>
      <c r="F11" s="313" t="s">
        <v>585</v>
      </c>
      <c r="G11" s="313" t="s">
        <v>586</v>
      </c>
      <c r="H11" s="313" t="s">
        <v>587</v>
      </c>
      <c r="I11" s="313" t="s">
        <v>588</v>
      </c>
      <c r="J11" s="313" t="s">
        <v>589</v>
      </c>
      <c r="K11" s="313" t="s">
        <v>590</v>
      </c>
      <c r="L11" s="313" t="s">
        <v>591</v>
      </c>
      <c r="M11" s="313" t="s">
        <v>592</v>
      </c>
      <c r="N11" s="313" t="s">
        <v>593</v>
      </c>
      <c r="O11" s="313" t="s">
        <v>594</v>
      </c>
      <c r="P11" s="313" t="s">
        <v>595</v>
      </c>
      <c r="Q11" s="313" t="s">
        <v>596</v>
      </c>
      <c r="R11" s="313" t="s">
        <v>597</v>
      </c>
      <c r="S11" s="313" t="s">
        <v>598</v>
      </c>
      <c r="T11" s="313" t="s">
        <v>599</v>
      </c>
      <c r="U11" s="313" t="s">
        <v>600</v>
      </c>
      <c r="V11" s="313" t="s">
        <v>601</v>
      </c>
      <c r="W11" s="314" t="s">
        <v>788</v>
      </c>
      <c r="X11" s="1808"/>
    </row>
    <row r="12" spans="1:26" ht="14.25" thickTop="1" thickBot="1" x14ac:dyDescent="0.25">
      <c r="A12" s="1690"/>
      <c r="B12" s="1690"/>
      <c r="C12" s="1690"/>
      <c r="D12" s="1690"/>
      <c r="E12" s="1690"/>
      <c r="F12" s="1690"/>
      <c r="G12" s="1690"/>
      <c r="H12" s="1690"/>
      <c r="I12" s="1690"/>
      <c r="J12" s="1690"/>
      <c r="K12" s="1690"/>
      <c r="L12" s="1690"/>
      <c r="M12" s="1690"/>
      <c r="N12" s="1690"/>
      <c r="O12" s="1690"/>
      <c r="P12" s="1690"/>
      <c r="Q12" s="1690"/>
      <c r="R12" s="1690"/>
      <c r="S12" s="1690"/>
      <c r="T12" s="1690"/>
      <c r="U12" s="1690"/>
      <c r="V12" s="1690"/>
      <c r="W12" s="1690"/>
      <c r="X12" s="329"/>
    </row>
    <row r="13" spans="1:26" ht="27" customHeight="1" thickBot="1" x14ac:dyDescent="0.25">
      <c r="A13" s="315" t="s">
        <v>260</v>
      </c>
      <c r="B13" s="327" t="s">
        <v>580</v>
      </c>
      <c r="C13" s="260">
        <v>1</v>
      </c>
      <c r="D13" s="316"/>
      <c r="E13" s="262"/>
      <c r="F13" s="262"/>
      <c r="G13" s="262"/>
      <c r="H13" s="262"/>
      <c r="I13" s="262"/>
      <c r="J13" s="262"/>
      <c r="K13" s="262"/>
      <c r="L13" s="262"/>
      <c r="M13" s="262"/>
      <c r="N13" s="262"/>
      <c r="O13" s="262"/>
      <c r="P13" s="262"/>
      <c r="Q13" s="262"/>
      <c r="R13" s="262"/>
      <c r="S13" s="262"/>
      <c r="T13" s="262"/>
      <c r="U13" s="262"/>
      <c r="V13" s="262"/>
      <c r="W13" s="263"/>
      <c r="X13" s="328" t="s">
        <v>801</v>
      </c>
    </row>
    <row r="14" spans="1:26" ht="13.5" thickBot="1" x14ac:dyDescent="0.25">
      <c r="A14" s="1690"/>
      <c r="B14" s="1690"/>
      <c r="C14" s="1690"/>
      <c r="D14" s="1690"/>
      <c r="E14" s="1690"/>
      <c r="F14" s="1690"/>
      <c r="G14" s="1690"/>
      <c r="H14" s="1690"/>
      <c r="I14" s="1690"/>
      <c r="J14" s="1690"/>
      <c r="K14" s="1690"/>
      <c r="L14" s="1690"/>
      <c r="M14" s="1690"/>
      <c r="N14" s="1690"/>
      <c r="O14" s="1690"/>
      <c r="P14" s="1690"/>
      <c r="Q14" s="1690"/>
      <c r="R14" s="1690"/>
      <c r="S14" s="1690"/>
      <c r="T14" s="1690"/>
      <c r="U14" s="1690"/>
      <c r="V14" s="1690"/>
      <c r="W14" s="1690"/>
      <c r="X14" s="329"/>
    </row>
    <row r="15" spans="1:26" ht="39" thickBot="1" x14ac:dyDescent="0.25">
      <c r="A15" s="282" t="s">
        <v>266</v>
      </c>
      <c r="B15" s="300" t="s">
        <v>802</v>
      </c>
      <c r="C15" s="283">
        <v>18</v>
      </c>
      <c r="D15" s="266"/>
      <c r="E15" s="398" t="s">
        <v>870</v>
      </c>
      <c r="F15" s="398" t="s">
        <v>870</v>
      </c>
      <c r="G15" s="399" t="s">
        <v>872</v>
      </c>
      <c r="H15" s="398" t="s">
        <v>870</v>
      </c>
      <c r="I15" s="398" t="s">
        <v>870</v>
      </c>
      <c r="J15" s="398" t="s">
        <v>876</v>
      </c>
      <c r="K15" s="398" t="s">
        <v>870</v>
      </c>
      <c r="L15" s="398" t="s">
        <v>870</v>
      </c>
      <c r="M15" s="398" t="s">
        <v>876</v>
      </c>
      <c r="N15" s="398" t="s">
        <v>870</v>
      </c>
      <c r="O15" s="398" t="s">
        <v>870</v>
      </c>
      <c r="P15" s="398" t="s">
        <v>876</v>
      </c>
      <c r="Q15" s="398" t="s">
        <v>870</v>
      </c>
      <c r="R15" s="399" t="s">
        <v>924</v>
      </c>
      <c r="S15" s="398" t="s">
        <v>876</v>
      </c>
      <c r="T15" s="398" t="s">
        <v>870</v>
      </c>
      <c r="U15" s="398" t="s">
        <v>870</v>
      </c>
      <c r="V15" s="399" t="s">
        <v>925</v>
      </c>
      <c r="W15" s="400"/>
      <c r="X15" s="328" t="s">
        <v>942</v>
      </c>
      <c r="Z15" s="500"/>
    </row>
    <row r="16" spans="1:26" ht="13.5" thickBot="1" x14ac:dyDescent="0.25">
      <c r="A16" s="1690"/>
      <c r="B16" s="1690"/>
      <c r="C16" s="1690"/>
      <c r="D16" s="1690"/>
      <c r="E16" s="1690"/>
      <c r="F16" s="1690"/>
      <c r="G16" s="1690"/>
      <c r="H16" s="1690"/>
      <c r="I16" s="1690"/>
      <c r="J16" s="1690"/>
      <c r="K16" s="1690"/>
      <c r="L16" s="1690"/>
      <c r="M16" s="1690"/>
      <c r="N16" s="1690"/>
      <c r="O16" s="1690"/>
      <c r="P16" s="1690"/>
      <c r="Q16" s="1690"/>
      <c r="R16" s="1690"/>
      <c r="S16" s="1690"/>
      <c r="T16" s="1690"/>
      <c r="U16" s="1690"/>
      <c r="V16" s="1690"/>
      <c r="W16" s="1690"/>
      <c r="X16" s="329"/>
    </row>
    <row r="17" spans="1:24" ht="15.95" customHeight="1" thickBot="1" x14ac:dyDescent="0.25">
      <c r="A17" s="279" t="s">
        <v>571</v>
      </c>
      <c r="B17" s="450" t="s">
        <v>602</v>
      </c>
      <c r="C17" s="265">
        <v>3</v>
      </c>
      <c r="D17" s="266"/>
      <c r="E17" s="401"/>
      <c r="F17" s="401"/>
      <c r="G17" s="401" t="s">
        <v>803</v>
      </c>
      <c r="H17" s="262"/>
      <c r="I17" s="262"/>
      <c r="J17" s="262"/>
      <c r="K17" s="262"/>
      <c r="L17" s="262"/>
      <c r="M17" s="262"/>
      <c r="N17" s="262"/>
      <c r="O17" s="262"/>
      <c r="P17" s="262"/>
      <c r="Q17" s="262"/>
      <c r="R17" s="262"/>
      <c r="S17" s="262"/>
      <c r="T17" s="262"/>
      <c r="U17" s="262"/>
      <c r="V17" s="262"/>
      <c r="W17" s="263"/>
      <c r="X17" s="328" t="s">
        <v>804</v>
      </c>
    </row>
    <row r="18" spans="1:24" ht="24.95" customHeight="1" thickBot="1" x14ac:dyDescent="0.25">
      <c r="A18" s="522" t="s">
        <v>572</v>
      </c>
      <c r="B18" s="521" t="s">
        <v>573</v>
      </c>
      <c r="C18" s="265">
        <v>18</v>
      </c>
      <c r="D18" s="266"/>
      <c r="E18" s="401"/>
      <c r="F18" s="401"/>
      <c r="G18" s="401" t="s">
        <v>805</v>
      </c>
      <c r="H18" s="401"/>
      <c r="I18" s="401"/>
      <c r="J18" s="401" t="s">
        <v>805</v>
      </c>
      <c r="K18" s="401"/>
      <c r="L18" s="401"/>
      <c r="M18" s="401" t="s">
        <v>805</v>
      </c>
      <c r="N18" s="401"/>
      <c r="O18" s="401"/>
      <c r="P18" s="401" t="s">
        <v>805</v>
      </c>
      <c r="Q18" s="401"/>
      <c r="R18" s="401"/>
      <c r="S18" s="401" t="s">
        <v>805</v>
      </c>
      <c r="T18" s="401"/>
      <c r="U18" s="401"/>
      <c r="V18" s="404" t="s">
        <v>873</v>
      </c>
      <c r="W18" s="258"/>
      <c r="X18" s="336" t="s">
        <v>923</v>
      </c>
    </row>
    <row r="19" spans="1:24" ht="24.95" customHeight="1" thickBot="1" x14ac:dyDescent="0.25">
      <c r="A19" s="279" t="s">
        <v>574</v>
      </c>
      <c r="B19" s="298" t="s">
        <v>575</v>
      </c>
      <c r="C19" s="265">
        <v>18</v>
      </c>
      <c r="D19" s="266"/>
      <c r="E19" s="401" t="s">
        <v>805</v>
      </c>
      <c r="F19" s="401" t="s">
        <v>805</v>
      </c>
      <c r="G19" s="401" t="s">
        <v>805</v>
      </c>
      <c r="H19" s="401" t="s">
        <v>805</v>
      </c>
      <c r="I19" s="401" t="s">
        <v>805</v>
      </c>
      <c r="J19" s="401" t="s">
        <v>805</v>
      </c>
      <c r="K19" s="401" t="s">
        <v>805</v>
      </c>
      <c r="L19" s="401" t="s">
        <v>805</v>
      </c>
      <c r="M19" s="401" t="s">
        <v>805</v>
      </c>
      <c r="N19" s="401" t="s">
        <v>805</v>
      </c>
      <c r="O19" s="401" t="s">
        <v>805</v>
      </c>
      <c r="P19" s="401" t="s">
        <v>805</v>
      </c>
      <c r="Q19" s="401" t="s">
        <v>805</v>
      </c>
      <c r="R19" s="401" t="s">
        <v>805</v>
      </c>
      <c r="S19" s="401" t="s">
        <v>805</v>
      </c>
      <c r="T19" s="401" t="s">
        <v>805</v>
      </c>
      <c r="U19" s="401" t="s">
        <v>805</v>
      </c>
      <c r="V19" s="404" t="s">
        <v>873</v>
      </c>
      <c r="W19" s="258"/>
      <c r="X19" s="336" t="s">
        <v>807</v>
      </c>
    </row>
    <row r="20" spans="1:24" ht="24.95" customHeight="1" thickBot="1" x14ac:dyDescent="0.25">
      <c r="A20" s="280" t="s">
        <v>576</v>
      </c>
      <c r="B20" s="299" t="s">
        <v>577</v>
      </c>
      <c r="C20" s="281">
        <v>4</v>
      </c>
      <c r="D20" s="318"/>
      <c r="E20" s="405"/>
      <c r="F20" s="405"/>
      <c r="G20" s="405"/>
      <c r="H20" s="405"/>
      <c r="I20" s="405"/>
      <c r="J20" s="405"/>
      <c r="K20" s="405"/>
      <c r="L20" s="405"/>
      <c r="M20" s="405"/>
      <c r="N20" s="405"/>
      <c r="O20" s="406"/>
      <c r="P20" s="406"/>
      <c r="Q20" s="406"/>
      <c r="R20" s="406" t="s">
        <v>803</v>
      </c>
      <c r="S20" s="405"/>
      <c r="T20" s="405"/>
      <c r="U20" s="405"/>
      <c r="V20" s="405"/>
      <c r="W20" s="330"/>
      <c r="X20" s="337" t="s">
        <v>804</v>
      </c>
    </row>
    <row r="21" spans="1:24" ht="24.95" customHeight="1" thickBot="1" x14ac:dyDescent="0.25">
      <c r="A21" s="280" t="s">
        <v>576</v>
      </c>
      <c r="B21" s="299" t="s">
        <v>940</v>
      </c>
      <c r="C21" s="281">
        <v>4</v>
      </c>
      <c r="D21" s="318"/>
      <c r="E21" s="405"/>
      <c r="F21" s="405"/>
      <c r="G21" s="405"/>
      <c r="H21" s="406"/>
      <c r="I21" s="406"/>
      <c r="J21" s="406"/>
      <c r="K21" s="406"/>
      <c r="L21" s="406"/>
      <c r="M21" s="406" t="s">
        <v>803</v>
      </c>
      <c r="N21" s="405"/>
      <c r="O21" s="405"/>
      <c r="P21" s="405"/>
      <c r="Q21" s="405"/>
      <c r="R21" s="405"/>
      <c r="S21" s="405"/>
      <c r="T21" s="405"/>
      <c r="U21" s="405"/>
      <c r="V21" s="405"/>
      <c r="W21" s="330"/>
      <c r="X21" s="337" t="s">
        <v>804</v>
      </c>
    </row>
    <row r="22" spans="1:24" ht="13.5" thickBot="1" x14ac:dyDescent="0.25">
      <c r="A22" s="584"/>
      <c r="B22" s="584"/>
      <c r="C22" s="584"/>
      <c r="D22" s="584"/>
      <c r="E22" s="584"/>
      <c r="F22" s="584"/>
      <c r="G22" s="584"/>
      <c r="H22" s="584"/>
      <c r="I22" s="584"/>
      <c r="J22" s="584"/>
      <c r="K22" s="584"/>
      <c r="L22" s="584"/>
      <c r="M22" s="584"/>
      <c r="N22" s="584"/>
      <c r="O22" s="584"/>
      <c r="P22" s="584"/>
      <c r="Q22" s="584"/>
      <c r="R22" s="584"/>
      <c r="S22" s="584"/>
      <c r="T22" s="584"/>
      <c r="U22" s="584"/>
      <c r="V22" s="584"/>
      <c r="W22" s="584"/>
      <c r="X22" s="329"/>
    </row>
    <row r="23" spans="1:24" ht="39" thickBot="1" x14ac:dyDescent="0.25">
      <c r="A23" s="282" t="s">
        <v>267</v>
      </c>
      <c r="B23" s="300" t="s">
        <v>578</v>
      </c>
      <c r="C23" s="283">
        <v>18</v>
      </c>
      <c r="D23" s="408"/>
      <c r="E23" s="399" t="s">
        <v>875</v>
      </c>
      <c r="F23" s="399" t="s">
        <v>875</v>
      </c>
      <c r="G23" s="399" t="s">
        <v>871</v>
      </c>
      <c r="H23" s="399" t="s">
        <v>875</v>
      </c>
      <c r="I23" s="399"/>
      <c r="J23" s="399" t="s">
        <v>876</v>
      </c>
      <c r="K23" s="399"/>
      <c r="L23" s="399" t="s">
        <v>875</v>
      </c>
      <c r="M23" s="399" t="s">
        <v>870</v>
      </c>
      <c r="N23" s="399" t="s">
        <v>875</v>
      </c>
      <c r="O23" s="399"/>
      <c r="P23" s="399" t="s">
        <v>870</v>
      </c>
      <c r="Q23" s="399" t="s">
        <v>870</v>
      </c>
      <c r="R23" s="399"/>
      <c r="S23" s="399" t="s">
        <v>870</v>
      </c>
      <c r="T23" s="399"/>
      <c r="U23" s="399" t="s">
        <v>875</v>
      </c>
      <c r="V23" s="399" t="s">
        <v>875</v>
      </c>
      <c r="W23" s="400"/>
      <c r="X23" s="328" t="s">
        <v>877</v>
      </c>
    </row>
    <row r="24" spans="1:24" ht="13.5" thickBot="1" x14ac:dyDescent="0.25">
      <c r="A24" s="1690"/>
      <c r="B24" s="1690"/>
      <c r="C24" s="1690"/>
      <c r="D24" s="1690"/>
      <c r="E24" s="1690"/>
      <c r="F24" s="1690"/>
      <c r="G24" s="1690"/>
      <c r="H24" s="1690"/>
      <c r="I24" s="1690"/>
      <c r="J24" s="1690"/>
      <c r="K24" s="1690"/>
      <c r="L24" s="1690"/>
      <c r="M24" s="1690"/>
      <c r="N24" s="1690"/>
      <c r="O24" s="1690"/>
      <c r="P24" s="1690"/>
      <c r="Q24" s="1690"/>
      <c r="R24" s="1690"/>
      <c r="S24" s="1690"/>
      <c r="T24" s="1690"/>
      <c r="U24" s="1690"/>
      <c r="V24" s="1690"/>
      <c r="W24" s="1690"/>
      <c r="X24" s="329"/>
    </row>
    <row r="25" spans="1:24" x14ac:dyDescent="0.2">
      <c r="A25" s="285" t="s">
        <v>603</v>
      </c>
      <c r="B25" s="302" t="s">
        <v>790</v>
      </c>
      <c r="C25" s="268">
        <v>1</v>
      </c>
      <c r="D25" s="267"/>
      <c r="E25" s="402" t="s">
        <v>803</v>
      </c>
      <c r="F25" s="269"/>
      <c r="G25" s="269"/>
      <c r="H25" s="269"/>
      <c r="I25" s="269"/>
      <c r="J25" s="269"/>
      <c r="K25" s="269"/>
      <c r="L25" s="269"/>
      <c r="M25" s="269"/>
      <c r="N25" s="269"/>
      <c r="O25" s="269"/>
      <c r="P25" s="269"/>
      <c r="Q25" s="269"/>
      <c r="R25" s="269"/>
      <c r="S25" s="269"/>
      <c r="T25" s="269"/>
      <c r="U25" s="269"/>
      <c r="V25" s="269"/>
      <c r="W25" s="270"/>
      <c r="X25" s="334" t="s">
        <v>804</v>
      </c>
    </row>
    <row r="26" spans="1:24" x14ac:dyDescent="0.2">
      <c r="A26" s="286" t="s">
        <v>604</v>
      </c>
      <c r="B26" s="303" t="s">
        <v>791</v>
      </c>
      <c r="C26" s="272" t="s">
        <v>610</v>
      </c>
      <c r="D26" s="271"/>
      <c r="E26" s="287"/>
      <c r="F26" s="403" t="s">
        <v>803</v>
      </c>
      <c r="G26" s="273"/>
      <c r="H26" s="273"/>
      <c r="I26" s="273"/>
      <c r="J26" s="273"/>
      <c r="K26" s="273"/>
      <c r="L26" s="273"/>
      <c r="M26" s="273"/>
      <c r="N26" s="273"/>
      <c r="O26" s="273"/>
      <c r="P26" s="273"/>
      <c r="Q26" s="273"/>
      <c r="R26" s="273"/>
      <c r="S26" s="273"/>
      <c r="T26" s="273"/>
      <c r="U26" s="273"/>
      <c r="V26" s="273"/>
      <c r="W26" s="274"/>
      <c r="X26" s="335" t="s">
        <v>804</v>
      </c>
    </row>
    <row r="27" spans="1:24" x14ac:dyDescent="0.2">
      <c r="A27" s="286" t="s">
        <v>605</v>
      </c>
      <c r="B27" s="303" t="s">
        <v>792</v>
      </c>
      <c r="C27" s="272" t="s">
        <v>611</v>
      </c>
      <c r="D27" s="271"/>
      <c r="E27" s="273"/>
      <c r="F27" s="273"/>
      <c r="G27" s="403" t="s">
        <v>803</v>
      </c>
      <c r="H27" s="273"/>
      <c r="I27" s="273"/>
      <c r="J27" s="273"/>
      <c r="K27" s="273"/>
      <c r="L27" s="273"/>
      <c r="M27" s="273"/>
      <c r="N27" s="273"/>
      <c r="O27" s="273"/>
      <c r="P27" s="273"/>
      <c r="Q27" s="273"/>
      <c r="R27" s="273"/>
      <c r="S27" s="273"/>
      <c r="T27" s="273"/>
      <c r="U27" s="273"/>
      <c r="V27" s="273"/>
      <c r="W27" s="274"/>
      <c r="X27" s="335" t="s">
        <v>804</v>
      </c>
    </row>
    <row r="28" spans="1:24" x14ac:dyDescent="0.2">
      <c r="A28" s="286" t="s">
        <v>606</v>
      </c>
      <c r="B28" s="303" t="s">
        <v>793</v>
      </c>
      <c r="C28" s="272">
        <v>7</v>
      </c>
      <c r="D28" s="271"/>
      <c r="E28" s="273"/>
      <c r="F28" s="273"/>
      <c r="G28" s="287"/>
      <c r="H28" s="319"/>
      <c r="I28" s="319"/>
      <c r="J28" s="403" t="s">
        <v>805</v>
      </c>
      <c r="K28" s="319"/>
      <c r="L28" s="319"/>
      <c r="M28" s="319"/>
      <c r="N28" s="403" t="s">
        <v>803</v>
      </c>
      <c r="O28" s="273"/>
      <c r="P28" s="273"/>
      <c r="Q28" s="273"/>
      <c r="R28" s="273"/>
      <c r="S28" s="273"/>
      <c r="T28" s="273"/>
      <c r="U28" s="273"/>
      <c r="V28" s="273"/>
      <c r="W28" s="274"/>
      <c r="X28" s="335" t="s">
        <v>806</v>
      </c>
    </row>
    <row r="29" spans="1:24" ht="25.5" x14ac:dyDescent="0.2">
      <c r="A29" s="286" t="s">
        <v>607</v>
      </c>
      <c r="B29" s="303" t="s">
        <v>794</v>
      </c>
      <c r="C29" s="272">
        <v>10</v>
      </c>
      <c r="D29" s="271"/>
      <c r="E29" s="273"/>
      <c r="F29" s="273"/>
      <c r="G29" s="273"/>
      <c r="H29" s="273"/>
      <c r="I29" s="273"/>
      <c r="J29" s="273"/>
      <c r="K29" s="273"/>
      <c r="L29" s="273"/>
      <c r="M29" s="273"/>
      <c r="N29" s="287"/>
      <c r="O29" s="319"/>
      <c r="P29" s="319"/>
      <c r="Q29" s="403" t="s">
        <v>805</v>
      </c>
      <c r="R29" s="319"/>
      <c r="S29" s="319"/>
      <c r="T29" s="319"/>
      <c r="U29" s="403" t="s">
        <v>803</v>
      </c>
      <c r="V29" s="273"/>
      <c r="W29" s="274"/>
      <c r="X29" s="335" t="s">
        <v>806</v>
      </c>
    </row>
    <row r="30" spans="1:24" x14ac:dyDescent="0.2">
      <c r="A30" s="286" t="s">
        <v>609</v>
      </c>
      <c r="B30" s="303" t="s">
        <v>795</v>
      </c>
      <c r="C30" s="272">
        <v>18</v>
      </c>
      <c r="D30" s="271"/>
      <c r="E30" s="319"/>
      <c r="F30" s="319"/>
      <c r="G30" s="403" t="s">
        <v>805</v>
      </c>
      <c r="H30" s="319"/>
      <c r="I30" s="319"/>
      <c r="J30" s="403" t="s">
        <v>805</v>
      </c>
      <c r="K30" s="319"/>
      <c r="L30" s="319"/>
      <c r="M30" s="403" t="s">
        <v>805</v>
      </c>
      <c r="N30" s="319"/>
      <c r="O30" s="319"/>
      <c r="P30" s="403" t="s">
        <v>805</v>
      </c>
      <c r="Q30" s="319"/>
      <c r="R30" s="319"/>
      <c r="S30" s="403" t="s">
        <v>805</v>
      </c>
      <c r="T30" s="319"/>
      <c r="U30" s="319"/>
      <c r="V30" s="403" t="s">
        <v>803</v>
      </c>
      <c r="W30" s="274"/>
      <c r="X30" s="335" t="s">
        <v>824</v>
      </c>
    </row>
    <row r="31" spans="1:24" ht="13.5" thickBot="1" x14ac:dyDescent="0.25">
      <c r="A31" s="288" t="s">
        <v>608</v>
      </c>
      <c r="B31" s="304" t="s">
        <v>796</v>
      </c>
      <c r="C31" s="276">
        <v>7</v>
      </c>
      <c r="D31" s="275"/>
      <c r="E31" s="277"/>
      <c r="F31" s="320"/>
      <c r="G31" s="320"/>
      <c r="H31" s="407" t="s">
        <v>805</v>
      </c>
      <c r="I31" s="320"/>
      <c r="J31" s="320"/>
      <c r="K31" s="320"/>
      <c r="L31" s="407" t="s">
        <v>803</v>
      </c>
      <c r="M31" s="277"/>
      <c r="N31" s="277"/>
      <c r="O31" s="277"/>
      <c r="P31" s="277"/>
      <c r="Q31" s="277"/>
      <c r="R31" s="277"/>
      <c r="S31" s="277"/>
      <c r="T31" s="277"/>
      <c r="U31" s="277"/>
      <c r="V31" s="277"/>
      <c r="W31" s="278"/>
      <c r="X31" s="344" t="s">
        <v>806</v>
      </c>
    </row>
    <row r="32" spans="1:24" ht="13.5" thickBot="1" x14ac:dyDescent="0.25">
      <c r="A32" s="1690"/>
      <c r="B32" s="1690"/>
      <c r="C32" s="1690"/>
      <c r="D32" s="1690"/>
      <c r="E32" s="1690"/>
      <c r="F32" s="1690"/>
      <c r="G32" s="1690"/>
      <c r="H32" s="1690"/>
      <c r="I32" s="1690"/>
      <c r="J32" s="1690"/>
      <c r="K32" s="1690"/>
      <c r="L32" s="1690"/>
      <c r="M32" s="1690"/>
      <c r="N32" s="1690"/>
      <c r="O32" s="1690"/>
      <c r="P32" s="1690"/>
      <c r="Q32" s="1690"/>
      <c r="R32" s="1690"/>
      <c r="S32" s="1690"/>
      <c r="T32" s="1690"/>
      <c r="U32" s="1690"/>
      <c r="V32" s="1690"/>
      <c r="W32" s="1690"/>
      <c r="X32" s="329"/>
    </row>
    <row r="33" spans="1:24" ht="13.5" thickBot="1" x14ac:dyDescent="0.25">
      <c r="A33" s="282" t="s">
        <v>409</v>
      </c>
      <c r="B33" s="300" t="s">
        <v>236</v>
      </c>
      <c r="C33" s="265">
        <v>3</v>
      </c>
      <c r="D33" s="266"/>
      <c r="E33" s="262"/>
      <c r="F33" s="262"/>
      <c r="G33" s="262"/>
      <c r="H33" s="262"/>
      <c r="I33" s="262"/>
      <c r="J33" s="262"/>
      <c r="K33" s="262"/>
      <c r="L33" s="262"/>
      <c r="M33" s="262"/>
      <c r="N33" s="262"/>
      <c r="O33" s="317"/>
      <c r="P33" s="317"/>
      <c r="Q33" s="301" t="s">
        <v>878</v>
      </c>
      <c r="R33" s="262"/>
      <c r="S33" s="262"/>
      <c r="T33" s="262"/>
      <c r="U33" s="262"/>
      <c r="V33" s="262"/>
      <c r="W33" s="263"/>
      <c r="X33" s="328" t="s">
        <v>835</v>
      </c>
    </row>
    <row r="34" spans="1:24" ht="13.5" thickBot="1" x14ac:dyDescent="0.25">
      <c r="A34" s="1690"/>
      <c r="B34" s="1690"/>
      <c r="C34" s="1690"/>
      <c r="D34" s="1690"/>
      <c r="E34" s="1690"/>
      <c r="F34" s="1690"/>
      <c r="G34" s="1690"/>
      <c r="H34" s="1690"/>
      <c r="I34" s="1690"/>
      <c r="J34" s="1690"/>
      <c r="K34" s="1690"/>
      <c r="L34" s="1690"/>
      <c r="M34" s="1690"/>
      <c r="N34" s="1690"/>
      <c r="O34" s="1690"/>
      <c r="P34" s="1690"/>
      <c r="Q34" s="1690"/>
      <c r="R34" s="1690"/>
      <c r="S34" s="1690"/>
      <c r="T34" s="1690"/>
      <c r="U34" s="1690"/>
      <c r="V34" s="1690"/>
      <c r="W34" s="1690"/>
      <c r="X34" s="329"/>
    </row>
    <row r="35" spans="1:24" ht="13.5" thickBot="1" x14ac:dyDescent="0.25">
      <c r="A35" s="282" t="s">
        <v>410</v>
      </c>
      <c r="B35" s="300" t="s">
        <v>579</v>
      </c>
      <c r="C35" s="265">
        <v>12</v>
      </c>
      <c r="D35" s="306"/>
      <c r="E35" s="317"/>
      <c r="F35" s="317"/>
      <c r="G35" s="317"/>
      <c r="H35" s="317"/>
      <c r="I35" s="317"/>
      <c r="J35" s="301" t="s">
        <v>803</v>
      </c>
      <c r="K35" s="1691" t="s">
        <v>860</v>
      </c>
      <c r="L35" s="1691"/>
      <c r="M35" s="1691"/>
      <c r="N35" s="1691"/>
      <c r="O35" s="1691"/>
      <c r="P35" s="1691"/>
      <c r="Q35" s="317"/>
      <c r="R35" s="317"/>
      <c r="S35" s="317"/>
      <c r="T35" s="317"/>
      <c r="U35" s="317"/>
      <c r="V35" s="301" t="s">
        <v>803</v>
      </c>
      <c r="W35" s="307"/>
      <c r="X35" s="328" t="s">
        <v>809</v>
      </c>
    </row>
    <row r="36" spans="1:24" ht="13.5" thickBot="1" x14ac:dyDescent="0.25">
      <c r="A36" s="1690"/>
      <c r="B36" s="1690"/>
      <c r="C36" s="1690"/>
      <c r="D36" s="1690"/>
      <c r="E36" s="1690"/>
      <c r="F36" s="1690"/>
      <c r="G36" s="1690"/>
      <c r="H36" s="1690"/>
      <c r="I36" s="1690"/>
      <c r="J36" s="1690"/>
      <c r="K36" s="1690"/>
      <c r="L36" s="1690"/>
      <c r="M36" s="1690"/>
      <c r="N36" s="1690"/>
      <c r="O36" s="1690"/>
      <c r="P36" s="1690"/>
      <c r="Q36" s="1690"/>
      <c r="R36" s="1690"/>
      <c r="S36" s="1690"/>
      <c r="T36" s="1690"/>
      <c r="U36" s="1690"/>
      <c r="V36" s="1690"/>
      <c r="W36" s="1690"/>
      <c r="X36" s="329"/>
    </row>
    <row r="37" spans="1:24" ht="13.5" thickBot="1" x14ac:dyDescent="0.25">
      <c r="A37" s="282" t="s">
        <v>411</v>
      </c>
      <c r="B37" s="300" t="s">
        <v>808</v>
      </c>
      <c r="C37" s="265">
        <v>18</v>
      </c>
      <c r="D37" s="284"/>
      <c r="E37" s="317"/>
      <c r="F37" s="317"/>
      <c r="G37" s="317"/>
      <c r="H37" s="317"/>
      <c r="I37" s="317"/>
      <c r="J37" s="317"/>
      <c r="K37" s="317"/>
      <c r="L37" s="317"/>
      <c r="M37" s="317"/>
      <c r="N37" s="317"/>
      <c r="O37" s="317"/>
      <c r="P37" s="317"/>
      <c r="Q37" s="317"/>
      <c r="R37" s="317"/>
      <c r="S37" s="317"/>
      <c r="T37" s="317"/>
      <c r="U37" s="317"/>
      <c r="V37" s="301" t="s">
        <v>803</v>
      </c>
      <c r="W37" s="263"/>
      <c r="X37" s="328" t="s">
        <v>838</v>
      </c>
    </row>
    <row r="38" spans="1:24" ht="13.5" thickBot="1" x14ac:dyDescent="0.25">
      <c r="A38" s="1690"/>
      <c r="B38" s="1690"/>
      <c r="C38" s="1690"/>
      <c r="D38" s="1690"/>
      <c r="E38" s="1690"/>
      <c r="F38" s="1690"/>
      <c r="G38" s="1690"/>
      <c r="H38" s="1690"/>
      <c r="I38" s="1690"/>
      <c r="J38" s="1690"/>
      <c r="K38" s="1690"/>
      <c r="L38" s="1690"/>
      <c r="M38" s="1690"/>
      <c r="N38" s="1690"/>
      <c r="O38" s="1690"/>
      <c r="P38" s="1690"/>
      <c r="Q38" s="1690"/>
      <c r="R38" s="1690"/>
      <c r="S38" s="1690"/>
      <c r="T38" s="1690"/>
      <c r="U38" s="1690"/>
      <c r="V38" s="1690"/>
      <c r="W38" s="1690"/>
      <c r="X38" s="329"/>
    </row>
    <row r="39" spans="1:24" ht="13.5" thickBot="1" x14ac:dyDescent="0.25">
      <c r="A39" s="282" t="s">
        <v>412</v>
      </c>
      <c r="B39" s="300" t="s">
        <v>237</v>
      </c>
      <c r="C39" s="265">
        <v>12</v>
      </c>
      <c r="D39" s="266"/>
      <c r="E39" s="317"/>
      <c r="F39" s="317"/>
      <c r="G39" s="317"/>
      <c r="H39" s="317"/>
      <c r="I39" s="317"/>
      <c r="J39" s="301" t="s">
        <v>803</v>
      </c>
      <c r="K39" s="1691" t="s">
        <v>860</v>
      </c>
      <c r="L39" s="1691"/>
      <c r="M39" s="1691"/>
      <c r="N39" s="1691"/>
      <c r="O39" s="1691"/>
      <c r="P39" s="1691"/>
      <c r="Q39" s="317"/>
      <c r="R39" s="317"/>
      <c r="S39" s="317"/>
      <c r="T39" s="317"/>
      <c r="U39" s="317"/>
      <c r="V39" s="301" t="s">
        <v>803</v>
      </c>
      <c r="W39" s="263"/>
      <c r="X39" s="328" t="s">
        <v>809</v>
      </c>
    </row>
    <row r="40" spans="1:24" ht="13.5" thickBot="1" x14ac:dyDescent="0.25">
      <c r="A40" s="1690"/>
      <c r="B40" s="1690"/>
      <c r="C40" s="1690"/>
      <c r="D40" s="1690"/>
      <c r="E40" s="1690"/>
      <c r="F40" s="1690"/>
      <c r="G40" s="1690"/>
      <c r="H40" s="1690"/>
      <c r="I40" s="1690"/>
      <c r="J40" s="1690"/>
      <c r="K40" s="1690"/>
      <c r="L40" s="1690"/>
      <c r="M40" s="1690"/>
      <c r="N40" s="1690"/>
      <c r="O40" s="1690"/>
      <c r="P40" s="1690"/>
      <c r="Q40" s="1690"/>
      <c r="R40" s="1690"/>
      <c r="S40" s="1690"/>
      <c r="T40" s="1690"/>
      <c r="U40" s="1690"/>
      <c r="V40" s="1690"/>
      <c r="W40" s="1690"/>
      <c r="X40" s="329"/>
    </row>
    <row r="41" spans="1:24" ht="26.25" thickBot="1" x14ac:dyDescent="0.25">
      <c r="A41" s="321" t="s">
        <v>413</v>
      </c>
      <c r="B41" s="300" t="s">
        <v>797</v>
      </c>
      <c r="C41" s="265">
        <v>18</v>
      </c>
      <c r="D41" s="306"/>
      <c r="E41" s="331" t="s">
        <v>810</v>
      </c>
      <c r="F41" s="331" t="s">
        <v>810</v>
      </c>
      <c r="G41" s="331" t="s">
        <v>810</v>
      </c>
      <c r="H41" s="331" t="s">
        <v>810</v>
      </c>
      <c r="I41" s="331" t="s">
        <v>810</v>
      </c>
      <c r="J41" s="331" t="s">
        <v>810</v>
      </c>
      <c r="K41" s="331" t="s">
        <v>810</v>
      </c>
      <c r="L41" s="331" t="s">
        <v>810</v>
      </c>
      <c r="M41" s="331" t="s">
        <v>810</v>
      </c>
      <c r="N41" s="331" t="s">
        <v>810</v>
      </c>
      <c r="O41" s="331" t="s">
        <v>810</v>
      </c>
      <c r="P41" s="331" t="s">
        <v>810</v>
      </c>
      <c r="Q41" s="331" t="s">
        <v>810</v>
      </c>
      <c r="R41" s="331" t="s">
        <v>810</v>
      </c>
      <c r="S41" s="331" t="s">
        <v>810</v>
      </c>
      <c r="T41" s="331" t="s">
        <v>810</v>
      </c>
      <c r="U41" s="331" t="s">
        <v>810</v>
      </c>
      <c r="V41" s="331" t="s">
        <v>811</v>
      </c>
      <c r="W41" s="307"/>
      <c r="X41" s="328" t="s">
        <v>812</v>
      </c>
    </row>
    <row r="42" spans="1:24" ht="13.5" thickBot="1" x14ac:dyDescent="0.25">
      <c r="A42" s="1690"/>
      <c r="B42" s="1690"/>
      <c r="C42" s="1690"/>
      <c r="D42" s="1690"/>
      <c r="E42" s="1690"/>
      <c r="F42" s="1690"/>
      <c r="G42" s="1690"/>
      <c r="H42" s="1690"/>
      <c r="I42" s="1690"/>
      <c r="J42" s="1690"/>
      <c r="K42" s="1690"/>
      <c r="L42" s="1690"/>
      <c r="M42" s="1690"/>
      <c r="N42" s="1690"/>
      <c r="O42" s="1690"/>
      <c r="P42" s="1690"/>
      <c r="Q42" s="1690"/>
      <c r="R42" s="1690"/>
      <c r="S42" s="1690"/>
      <c r="T42" s="1690"/>
      <c r="U42" s="1690"/>
      <c r="V42" s="1690"/>
      <c r="W42" s="1690"/>
      <c r="X42" s="329"/>
    </row>
    <row r="43" spans="1:24" ht="26.25" thickBot="1" x14ac:dyDescent="0.25">
      <c r="A43" s="282" t="s">
        <v>260</v>
      </c>
      <c r="B43" s="300" t="s">
        <v>612</v>
      </c>
      <c r="C43" s="265">
        <v>1</v>
      </c>
      <c r="D43" s="284"/>
      <c r="E43" s="262"/>
      <c r="F43" s="262"/>
      <c r="G43" s="262"/>
      <c r="H43" s="262"/>
      <c r="I43" s="262"/>
      <c r="J43" s="262"/>
      <c r="K43" s="262"/>
      <c r="L43" s="262"/>
      <c r="M43" s="262"/>
      <c r="N43" s="262"/>
      <c r="O43" s="262"/>
      <c r="P43" s="262"/>
      <c r="Q43" s="262"/>
      <c r="R43" s="262"/>
      <c r="S43" s="262"/>
      <c r="T43" s="262"/>
      <c r="U43" s="262"/>
      <c r="V43" s="262"/>
      <c r="W43" s="322"/>
      <c r="X43" s="328" t="s">
        <v>801</v>
      </c>
    </row>
    <row r="44" spans="1:24" x14ac:dyDescent="0.2">
      <c r="A44" s="1692"/>
      <c r="B44" s="1692"/>
      <c r="C44" s="1692"/>
      <c r="D44" s="1692"/>
      <c r="E44" s="1692"/>
      <c r="F44" s="1692"/>
      <c r="G44" s="1692"/>
      <c r="H44" s="1692"/>
      <c r="I44" s="1692"/>
      <c r="J44" s="1692"/>
      <c r="K44" s="1692"/>
      <c r="L44" s="1692"/>
      <c r="M44" s="1692"/>
      <c r="N44" s="1692"/>
      <c r="O44" s="1692"/>
      <c r="P44" s="1692"/>
      <c r="Q44" s="1692"/>
      <c r="R44" s="1692"/>
      <c r="S44" s="1692"/>
      <c r="T44" s="1692"/>
      <c r="U44" s="1692"/>
      <c r="V44" s="1692"/>
      <c r="W44" s="1692"/>
      <c r="X44" s="329"/>
    </row>
    <row r="45" spans="1:24" ht="13.5" thickBot="1" x14ac:dyDescent="0.25">
      <c r="A45" s="143"/>
      <c r="B45" s="143"/>
      <c r="C45" s="290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  <c r="Q45" s="143"/>
      <c r="R45" s="143"/>
      <c r="S45" s="143"/>
      <c r="T45" s="143"/>
      <c r="U45" s="143"/>
      <c r="V45" s="143"/>
      <c r="W45" s="143"/>
      <c r="X45" s="338"/>
    </row>
    <row r="46" spans="1:24" x14ac:dyDescent="0.2">
      <c r="A46" s="1781" t="s">
        <v>813</v>
      </c>
      <c r="B46" s="1782"/>
      <c r="C46" s="1782"/>
      <c r="D46" s="1782"/>
      <c r="E46" s="1782"/>
      <c r="F46" s="1782"/>
      <c r="G46" s="1782"/>
      <c r="H46" s="1782"/>
      <c r="I46" s="1782"/>
      <c r="J46" s="1782"/>
      <c r="K46" s="1782"/>
      <c r="L46" s="1782"/>
      <c r="M46" s="1782"/>
      <c r="N46" s="1782"/>
      <c r="O46" s="1782"/>
      <c r="P46" s="1782"/>
      <c r="Q46" s="1782"/>
      <c r="R46" s="1782"/>
      <c r="S46" s="1782"/>
      <c r="T46" s="1782"/>
      <c r="U46" s="1782"/>
      <c r="V46" s="1782"/>
      <c r="W46" s="1782"/>
      <c r="X46" s="1783"/>
    </row>
    <row r="47" spans="1:24" ht="13.5" thickBot="1" x14ac:dyDescent="0.25">
      <c r="A47" s="292" t="s">
        <v>99</v>
      </c>
      <c r="B47" s="1784" t="s">
        <v>799</v>
      </c>
      <c r="C47" s="1784"/>
      <c r="D47" s="1784"/>
      <c r="E47" s="1784"/>
      <c r="F47" s="1784"/>
      <c r="G47" s="1784"/>
      <c r="H47" s="1784"/>
      <c r="I47" s="1784"/>
      <c r="J47" s="1784"/>
      <c r="K47" s="1784"/>
      <c r="L47" s="1784"/>
      <c r="M47" s="1784"/>
      <c r="N47" s="1784"/>
      <c r="O47" s="1784"/>
      <c r="P47" s="1784"/>
      <c r="Q47" s="1784"/>
      <c r="R47" s="1784"/>
      <c r="S47" s="1784"/>
      <c r="T47" s="1784"/>
      <c r="U47" s="1784"/>
      <c r="V47" s="1784"/>
      <c r="W47" s="1784"/>
      <c r="X47" s="1785"/>
    </row>
    <row r="48" spans="1:24" ht="13.5" thickBot="1" x14ac:dyDescent="0.25">
      <c r="A48" s="1786"/>
      <c r="B48" s="1786"/>
      <c r="C48" s="1786"/>
      <c r="D48" s="1786"/>
      <c r="E48" s="1786"/>
      <c r="F48" s="1786"/>
      <c r="G48" s="1786"/>
      <c r="H48" s="1786"/>
      <c r="I48" s="1786"/>
      <c r="J48" s="1786"/>
      <c r="K48" s="1786"/>
      <c r="L48" s="1786"/>
      <c r="M48" s="1786"/>
      <c r="N48" s="1786"/>
      <c r="O48" s="1786"/>
      <c r="P48" s="1786"/>
      <c r="Q48" s="1786"/>
      <c r="R48" s="1786"/>
      <c r="S48" s="1786"/>
      <c r="T48" s="1786"/>
      <c r="U48" s="1786"/>
      <c r="V48" s="1786"/>
      <c r="W48" s="1786"/>
      <c r="X48" s="1786"/>
    </row>
    <row r="49" spans="1:24" x14ac:dyDescent="0.2">
      <c r="A49" s="1781" t="s">
        <v>798</v>
      </c>
      <c r="B49" s="1782"/>
      <c r="C49" s="1782"/>
      <c r="D49" s="1782"/>
      <c r="E49" s="1782"/>
      <c r="F49" s="1782"/>
      <c r="G49" s="1782"/>
      <c r="H49" s="1782"/>
      <c r="I49" s="1782"/>
      <c r="J49" s="1782"/>
      <c r="K49" s="1782"/>
      <c r="L49" s="1782"/>
      <c r="M49" s="1782"/>
      <c r="N49" s="1782"/>
      <c r="O49" s="1782"/>
      <c r="P49" s="1782"/>
      <c r="Q49" s="1782"/>
      <c r="R49" s="1782"/>
      <c r="S49" s="1782"/>
      <c r="T49" s="1782"/>
      <c r="U49" s="1782"/>
      <c r="V49" s="1782"/>
      <c r="W49" s="1782"/>
      <c r="X49" s="1783"/>
    </row>
    <row r="50" spans="1:24" x14ac:dyDescent="0.2">
      <c r="A50" s="323" t="s">
        <v>814</v>
      </c>
      <c r="B50" s="1787" t="s">
        <v>815</v>
      </c>
      <c r="C50" s="1787"/>
      <c r="D50" s="1787"/>
      <c r="E50" s="1787"/>
      <c r="F50" s="1787"/>
      <c r="G50" s="1787"/>
      <c r="H50" s="1787"/>
      <c r="I50" s="1787"/>
      <c r="J50" s="1787"/>
      <c r="K50" s="1787"/>
      <c r="L50" s="1787"/>
      <c r="M50" s="1787"/>
      <c r="N50" s="1787"/>
      <c r="O50" s="1787"/>
      <c r="P50" s="1787"/>
      <c r="Q50" s="1787"/>
      <c r="R50" s="1787"/>
      <c r="S50" s="1787"/>
      <c r="T50" s="1787"/>
      <c r="U50" s="1787"/>
      <c r="V50" s="1787"/>
      <c r="W50" s="1787"/>
      <c r="X50" s="1788"/>
    </row>
    <row r="51" spans="1:24" x14ac:dyDescent="0.2">
      <c r="A51" s="323" t="s">
        <v>816</v>
      </c>
      <c r="B51" s="1787" t="s">
        <v>817</v>
      </c>
      <c r="C51" s="1787"/>
      <c r="D51" s="1787"/>
      <c r="E51" s="1787"/>
      <c r="F51" s="1787"/>
      <c r="G51" s="1787"/>
      <c r="H51" s="1787"/>
      <c r="I51" s="1787"/>
      <c r="J51" s="1787"/>
      <c r="K51" s="1787"/>
      <c r="L51" s="1787"/>
      <c r="M51" s="1787"/>
      <c r="N51" s="1787"/>
      <c r="O51" s="1787"/>
      <c r="P51" s="1787"/>
      <c r="Q51" s="1787"/>
      <c r="R51" s="1787"/>
      <c r="S51" s="1787"/>
      <c r="T51" s="1787"/>
      <c r="U51" s="1787"/>
      <c r="V51" s="1787"/>
      <c r="W51" s="1787"/>
      <c r="X51" s="1788"/>
    </row>
    <row r="52" spans="1:24" x14ac:dyDescent="0.2">
      <c r="A52" s="323" t="s">
        <v>818</v>
      </c>
      <c r="B52" s="1787" t="s">
        <v>819</v>
      </c>
      <c r="C52" s="1787"/>
      <c r="D52" s="1787"/>
      <c r="E52" s="1787"/>
      <c r="F52" s="1787"/>
      <c r="G52" s="1787"/>
      <c r="H52" s="1787"/>
      <c r="I52" s="1787"/>
      <c r="J52" s="1787"/>
      <c r="K52" s="1787"/>
      <c r="L52" s="1787"/>
      <c r="M52" s="1787"/>
      <c r="N52" s="1787"/>
      <c r="O52" s="1787"/>
      <c r="P52" s="1787"/>
      <c r="Q52" s="1787"/>
      <c r="R52" s="1787"/>
      <c r="S52" s="1787"/>
      <c r="T52" s="1787"/>
      <c r="U52" s="1787"/>
      <c r="V52" s="1787"/>
      <c r="W52" s="1787"/>
      <c r="X52" s="1788"/>
    </row>
    <row r="53" spans="1:24" x14ac:dyDescent="0.2">
      <c r="A53" s="323" t="s">
        <v>820</v>
      </c>
      <c r="B53" s="1787" t="s">
        <v>821</v>
      </c>
      <c r="C53" s="1787"/>
      <c r="D53" s="1787"/>
      <c r="E53" s="1787"/>
      <c r="F53" s="1787"/>
      <c r="G53" s="1787"/>
      <c r="H53" s="1787"/>
      <c r="I53" s="1787"/>
      <c r="J53" s="1787"/>
      <c r="K53" s="1787"/>
      <c r="L53" s="1787"/>
      <c r="M53" s="1787"/>
      <c r="N53" s="1787"/>
      <c r="O53" s="1787"/>
      <c r="P53" s="1787"/>
      <c r="Q53" s="1787"/>
      <c r="R53" s="1787"/>
      <c r="S53" s="1787"/>
      <c r="T53" s="1787"/>
      <c r="U53" s="1787"/>
      <c r="V53" s="1787"/>
      <c r="W53" s="1787"/>
      <c r="X53" s="1788"/>
    </row>
    <row r="54" spans="1:24" ht="13.5" thickBot="1" x14ac:dyDescent="0.25">
      <c r="A54" s="324" t="s">
        <v>822</v>
      </c>
      <c r="B54" s="1779" t="s">
        <v>823</v>
      </c>
      <c r="C54" s="1779"/>
      <c r="D54" s="1779"/>
      <c r="E54" s="1779"/>
      <c r="F54" s="1779"/>
      <c r="G54" s="1779"/>
      <c r="H54" s="1779"/>
      <c r="I54" s="1779"/>
      <c r="J54" s="1779"/>
      <c r="K54" s="1779"/>
      <c r="L54" s="1779"/>
      <c r="M54" s="1779"/>
      <c r="N54" s="1779"/>
      <c r="O54" s="1779"/>
      <c r="P54" s="1779"/>
      <c r="Q54" s="1779"/>
      <c r="R54" s="1779"/>
      <c r="S54" s="1779"/>
      <c r="T54" s="1779"/>
      <c r="U54" s="1779"/>
      <c r="V54" s="1779"/>
      <c r="W54" s="1779"/>
      <c r="X54" s="1780"/>
    </row>
  </sheetData>
  <mergeCells count="32">
    <mergeCell ref="A10:A11"/>
    <mergeCell ref="B10:B11"/>
    <mergeCell ref="C10:C11"/>
    <mergeCell ref="D10:W10"/>
    <mergeCell ref="X10:X11"/>
    <mergeCell ref="A1:X1"/>
    <mergeCell ref="A2:X2"/>
    <mergeCell ref="A3:W3"/>
    <mergeCell ref="A4:X5"/>
    <mergeCell ref="A7:X8"/>
    <mergeCell ref="K39:P39"/>
    <mergeCell ref="A12:W12"/>
    <mergeCell ref="A14:W14"/>
    <mergeCell ref="A16:W16"/>
    <mergeCell ref="A24:W24"/>
    <mergeCell ref="A32:W32"/>
    <mergeCell ref="A34:W34"/>
    <mergeCell ref="K35:P35"/>
    <mergeCell ref="A36:W36"/>
    <mergeCell ref="A38:W38"/>
    <mergeCell ref="B54:X54"/>
    <mergeCell ref="A40:W40"/>
    <mergeCell ref="A42:W42"/>
    <mergeCell ref="A44:W44"/>
    <mergeCell ref="A46:X46"/>
    <mergeCell ref="B47:X47"/>
    <mergeCell ref="A48:X48"/>
    <mergeCell ref="A49:X49"/>
    <mergeCell ref="B50:X50"/>
    <mergeCell ref="B51:X51"/>
    <mergeCell ref="B52:X52"/>
    <mergeCell ref="B53:X53"/>
  </mergeCells>
  <printOptions horizontalCentered="1" verticalCentered="1"/>
  <pageMargins left="0.59055118110236227" right="0.98425196850393704" top="0.98425196850393704" bottom="0.59055118110236227" header="0.31496062992125984" footer="0.31496062992125984"/>
  <pageSetup paperSize="9" scale="47" orientation="landscape" horizontalDpi="4294967294" verticalDpi="4294967294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J70"/>
  <sheetViews>
    <sheetView view="pageBreakPreview" zoomScale="60" zoomScaleNormal="110" workbookViewId="0">
      <selection activeCell="N50" sqref="N50:O50"/>
    </sheetView>
  </sheetViews>
  <sheetFormatPr defaultRowHeight="12" x14ac:dyDescent="0.2"/>
  <cols>
    <col min="1" max="1" width="9.140625" style="5"/>
    <col min="2" max="2" width="20.85546875" style="5" bestFit="1" customWidth="1"/>
    <col min="3" max="3" width="27.140625" style="5" bestFit="1" customWidth="1"/>
    <col min="4" max="4" width="15.5703125" style="5" bestFit="1" customWidth="1"/>
    <col min="5" max="5" width="12.85546875" style="5" bestFit="1" customWidth="1"/>
    <col min="6" max="6" width="14.5703125" style="5" bestFit="1" customWidth="1"/>
    <col min="7" max="7" width="10.7109375" style="5" bestFit="1" customWidth="1"/>
    <col min="8" max="8" width="8.42578125" style="5" bestFit="1" customWidth="1"/>
    <col min="9" max="9" width="7.42578125" style="5" bestFit="1" customWidth="1"/>
    <col min="10" max="10" width="15.5703125" style="5" bestFit="1" customWidth="1"/>
    <col min="11" max="16384" width="9.140625" style="5"/>
  </cols>
  <sheetData>
    <row r="1" spans="2:10" x14ac:dyDescent="0.2">
      <c r="B1" s="1541" t="s">
        <v>294</v>
      </c>
      <c r="C1" s="1542"/>
      <c r="D1" s="1542"/>
      <c r="E1" s="1542"/>
      <c r="F1" s="1542"/>
      <c r="G1" s="1542"/>
      <c r="H1" s="1542"/>
      <c r="I1" s="1542"/>
      <c r="J1" s="1543"/>
    </row>
    <row r="2" spans="2:10" x14ac:dyDescent="0.2">
      <c r="B2" s="1544" t="s">
        <v>295</v>
      </c>
      <c r="C2" s="1545"/>
      <c r="D2" s="1545"/>
      <c r="E2" s="1545"/>
      <c r="F2" s="1545"/>
      <c r="G2" s="1545"/>
      <c r="H2" s="1545"/>
      <c r="I2" s="1545"/>
      <c r="J2" s="1546"/>
    </row>
    <row r="3" spans="2:10" ht="12.75" thickBot="1" x14ac:dyDescent="0.25">
      <c r="B3" s="1547"/>
      <c r="C3" s="1548"/>
      <c r="D3" s="1548"/>
      <c r="E3" s="1548"/>
      <c r="F3" s="1548"/>
      <c r="G3" s="1548"/>
      <c r="H3" s="1548"/>
      <c r="I3" s="1548"/>
      <c r="J3" s="1549"/>
    </row>
    <row r="4" spans="2:10" ht="12.75" thickBot="1" x14ac:dyDescent="0.25">
      <c r="B4" s="35"/>
      <c r="C4" s="63"/>
      <c r="D4" s="35"/>
      <c r="E4" s="64"/>
      <c r="F4" s="64"/>
      <c r="G4" s="64"/>
      <c r="H4" s="64"/>
      <c r="I4" s="64"/>
    </row>
    <row r="5" spans="2:10" x14ac:dyDescent="0.2">
      <c r="B5" s="1400" t="s">
        <v>292</v>
      </c>
      <c r="C5" s="1401"/>
      <c r="D5" s="1401"/>
      <c r="E5" s="1401"/>
      <c r="F5" s="1401"/>
      <c r="G5" s="1401"/>
      <c r="H5" s="1401"/>
      <c r="I5" s="1401"/>
      <c r="J5" s="1402"/>
    </row>
    <row r="6" spans="2:10" ht="12.75" thickBot="1" x14ac:dyDescent="0.25">
      <c r="B6" s="1406"/>
      <c r="C6" s="1407"/>
      <c r="D6" s="1407"/>
      <c r="E6" s="1407"/>
      <c r="F6" s="1407"/>
      <c r="G6" s="1407"/>
      <c r="H6" s="1407"/>
      <c r="I6" s="1407"/>
      <c r="J6" s="1408"/>
    </row>
    <row r="7" spans="2:10" ht="12.75" thickBot="1" x14ac:dyDescent="0.25">
      <c r="B7" s="35"/>
      <c r="C7" s="63"/>
      <c r="D7" s="64"/>
      <c r="E7" s="64"/>
      <c r="F7" s="64"/>
      <c r="G7" s="64"/>
      <c r="H7" s="64"/>
      <c r="I7" s="64"/>
    </row>
    <row r="8" spans="2:10" ht="12.75" thickBot="1" x14ac:dyDescent="0.25">
      <c r="B8" s="1580" t="s">
        <v>424</v>
      </c>
      <c r="C8" s="1581"/>
      <c r="D8" s="1581"/>
      <c r="E8" s="1581"/>
      <c r="F8" s="1581"/>
      <c r="G8" s="1581"/>
      <c r="H8" s="1581"/>
      <c r="I8" s="1581"/>
      <c r="J8" s="1582"/>
    </row>
    <row r="9" spans="2:10" ht="12.75" thickBot="1" x14ac:dyDescent="0.25"/>
    <row r="10" spans="2:10" ht="12.75" thickBot="1" x14ac:dyDescent="0.25">
      <c r="B10" s="1809" t="s">
        <v>224</v>
      </c>
      <c r="C10" s="1810"/>
      <c r="D10" s="1810"/>
      <c r="E10" s="1810"/>
      <c r="F10" s="1810"/>
      <c r="G10" s="1810"/>
      <c r="H10" s="1810"/>
      <c r="I10" s="1810"/>
      <c r="J10" s="1811"/>
    </row>
    <row r="11" spans="2:10" x14ac:dyDescent="0.2">
      <c r="B11" s="24" t="s">
        <v>163</v>
      </c>
      <c r="C11" s="1812" t="s">
        <v>223</v>
      </c>
      <c r="D11" s="1812"/>
      <c r="E11" s="1812"/>
      <c r="F11" s="1812"/>
      <c r="G11" s="1812"/>
      <c r="H11" s="1812"/>
      <c r="I11" s="1812"/>
      <c r="J11" s="1813"/>
    </row>
    <row r="12" spans="2:10" x14ac:dyDescent="0.2">
      <c r="B12" s="25" t="s">
        <v>164</v>
      </c>
      <c r="C12" s="26" t="s">
        <v>953</v>
      </c>
      <c r="D12" s="27"/>
      <c r="E12" s="27"/>
      <c r="F12" s="27"/>
      <c r="G12" s="27"/>
      <c r="H12" s="27"/>
      <c r="I12" s="27"/>
      <c r="J12" s="28"/>
    </row>
    <row r="13" spans="2:10" ht="12.75" thickBot="1" x14ac:dyDescent="0.25">
      <c r="B13" s="29" t="s">
        <v>165</v>
      </c>
      <c r="C13" s="1814" t="s">
        <v>222</v>
      </c>
      <c r="D13" s="1814"/>
      <c r="E13" s="1814"/>
      <c r="F13" s="1814"/>
      <c r="G13" s="30"/>
      <c r="H13" s="30"/>
      <c r="I13" s="30"/>
      <c r="J13" s="31"/>
    </row>
    <row r="14" spans="2:10" ht="12.75" thickBot="1" x14ac:dyDescent="0.25">
      <c r="B14" s="32"/>
      <c r="C14" s="33"/>
      <c r="D14" s="33"/>
      <c r="E14" s="33"/>
      <c r="F14" s="33"/>
      <c r="G14" s="33"/>
      <c r="H14" s="33"/>
      <c r="I14" s="33"/>
      <c r="J14" s="34"/>
    </row>
    <row r="15" spans="2:10" ht="12.75" thickBot="1" x14ac:dyDescent="0.25">
      <c r="B15" s="1817" t="s">
        <v>170</v>
      </c>
      <c r="C15" s="1818"/>
      <c r="D15" s="1819"/>
      <c r="E15" s="33"/>
      <c r="F15" s="33"/>
      <c r="G15" s="33"/>
      <c r="H15" s="33"/>
      <c r="I15" s="33"/>
      <c r="J15" s="34"/>
    </row>
    <row r="16" spans="2:10" ht="12.75" thickBot="1" x14ac:dyDescent="0.25">
      <c r="B16" s="36" t="s">
        <v>181</v>
      </c>
      <c r="C16" s="1820" t="s">
        <v>171</v>
      </c>
      <c r="D16" s="1821"/>
      <c r="E16" s="23"/>
      <c r="F16" s="33"/>
      <c r="G16" s="33"/>
      <c r="H16" s="33"/>
      <c r="I16" s="33"/>
      <c r="J16" s="34"/>
    </row>
    <row r="17" spans="2:10" x14ac:dyDescent="0.2">
      <c r="B17" s="37" t="s">
        <v>173</v>
      </c>
      <c r="C17" s="1822">
        <v>0</v>
      </c>
      <c r="D17" s="1823"/>
      <c r="E17" s="23"/>
      <c r="F17" s="33"/>
      <c r="G17" s="33"/>
      <c r="H17" s="33"/>
      <c r="I17" s="33"/>
      <c r="J17" s="34"/>
    </row>
    <row r="18" spans="2:10" ht="12.75" thickBot="1" x14ac:dyDescent="0.25">
      <c r="B18" s="38" t="s">
        <v>174</v>
      </c>
      <c r="C18" s="1815">
        <v>0</v>
      </c>
      <c r="D18" s="1816"/>
      <c r="E18" s="23"/>
      <c r="F18" s="33"/>
      <c r="G18" s="33"/>
      <c r="H18" s="33"/>
      <c r="I18" s="33"/>
      <c r="J18" s="34"/>
    </row>
    <row r="19" spans="2:10" ht="15.75" customHeight="1" x14ac:dyDescent="0.2">
      <c r="B19" s="38" t="s">
        <v>175</v>
      </c>
      <c r="C19" s="1815">
        <v>0</v>
      </c>
      <c r="D19" s="1816"/>
      <c r="E19" s="23"/>
      <c r="F19" s="1824" t="s">
        <v>705</v>
      </c>
      <c r="G19" s="1825"/>
      <c r="H19" s="1825"/>
      <c r="I19" s="1825"/>
      <c r="J19" s="166">
        <f>E70</f>
        <v>0</v>
      </c>
    </row>
    <row r="20" spans="2:10" ht="12.75" thickBot="1" x14ac:dyDescent="0.25">
      <c r="B20" s="38" t="s">
        <v>176</v>
      </c>
      <c r="C20" s="1815">
        <v>0</v>
      </c>
      <c r="D20" s="1816"/>
      <c r="E20" s="23"/>
      <c r="F20" s="1826"/>
      <c r="G20" s="1827"/>
      <c r="H20" s="1827"/>
      <c r="I20" s="1827"/>
      <c r="J20" s="167"/>
    </row>
    <row r="21" spans="2:10" x14ac:dyDescent="0.2">
      <c r="B21" s="38" t="s">
        <v>177</v>
      </c>
      <c r="C21" s="1815">
        <v>0</v>
      </c>
      <c r="D21" s="1816"/>
      <c r="E21" s="23"/>
      <c r="F21" s="33"/>
      <c r="G21" s="33"/>
      <c r="H21" s="33"/>
      <c r="I21" s="33"/>
      <c r="J21" s="34"/>
    </row>
    <row r="22" spans="2:10" x14ac:dyDescent="0.2">
      <c r="B22" s="38" t="s">
        <v>178</v>
      </c>
      <c r="C22" s="1815">
        <v>0</v>
      </c>
      <c r="D22" s="1816"/>
      <c r="E22" s="23"/>
      <c r="F22" s="33"/>
      <c r="G22" s="33"/>
      <c r="H22" s="33"/>
      <c r="I22" s="33"/>
      <c r="J22" s="34"/>
    </row>
    <row r="23" spans="2:10" x14ac:dyDescent="0.2">
      <c r="B23" s="20" t="s">
        <v>179</v>
      </c>
      <c r="C23" s="1815">
        <v>0</v>
      </c>
      <c r="D23" s="1816"/>
      <c r="E23" s="23"/>
      <c r="F23" s="33"/>
      <c r="G23" s="33"/>
      <c r="H23" s="33"/>
      <c r="I23" s="33"/>
      <c r="J23" s="34"/>
    </row>
    <row r="24" spans="2:10" x14ac:dyDescent="0.2">
      <c r="B24" s="38" t="s">
        <v>180</v>
      </c>
      <c r="C24" s="1815">
        <v>0</v>
      </c>
      <c r="D24" s="1816"/>
      <c r="E24" s="23"/>
      <c r="F24" s="33"/>
      <c r="G24" s="33"/>
      <c r="H24" s="33"/>
      <c r="I24" s="33"/>
      <c r="J24" s="34"/>
    </row>
    <row r="25" spans="2:10" ht="12.75" thickBot="1" x14ac:dyDescent="0.25">
      <c r="B25" s="104" t="s">
        <v>172</v>
      </c>
      <c r="C25" s="1815">
        <v>0</v>
      </c>
      <c r="D25" s="1816"/>
      <c r="E25" s="23"/>
      <c r="F25" s="33"/>
      <c r="G25" s="33"/>
      <c r="H25" s="33"/>
      <c r="I25" s="33"/>
      <c r="J25" s="34"/>
    </row>
    <row r="26" spans="2:10" ht="12.75" thickBot="1" x14ac:dyDescent="0.25">
      <c r="B26" s="23"/>
      <c r="C26" s="23"/>
      <c r="D26" s="23"/>
      <c r="E26" s="43"/>
      <c r="F26" s="43"/>
      <c r="G26" s="43"/>
      <c r="H26" s="44"/>
      <c r="I26" s="43"/>
      <c r="J26" s="44"/>
    </row>
    <row r="27" spans="2:10" ht="15.75" customHeight="1" thickBot="1" x14ac:dyDescent="0.25">
      <c r="B27" s="1832" t="s">
        <v>955</v>
      </c>
      <c r="C27" s="1833"/>
      <c r="D27" s="1833"/>
      <c r="E27" s="1834"/>
      <c r="F27" s="617"/>
      <c r="G27" s="618"/>
      <c r="H27" s="618"/>
      <c r="I27" s="618"/>
      <c r="J27" s="618"/>
    </row>
    <row r="28" spans="2:10" x14ac:dyDescent="0.2">
      <c r="B28" s="1828" t="s">
        <v>166</v>
      </c>
      <c r="C28" s="612" t="s">
        <v>951</v>
      </c>
      <c r="D28" s="1830" t="s">
        <v>167</v>
      </c>
      <c r="E28" s="1830" t="s">
        <v>168</v>
      </c>
    </row>
    <row r="29" spans="2:10" ht="12.75" thickBot="1" x14ac:dyDescent="0.25">
      <c r="B29" s="1829"/>
      <c r="C29" s="613" t="s">
        <v>952</v>
      </c>
      <c r="D29" s="1831"/>
      <c r="E29" s="1831"/>
    </row>
    <row r="30" spans="2:10" ht="12.75" thickTop="1" x14ac:dyDescent="0.2">
      <c r="B30" s="42" t="s">
        <v>188</v>
      </c>
      <c r="C30" s="642">
        <v>0</v>
      </c>
      <c r="D30" s="642">
        <f>$C$17</f>
        <v>0</v>
      </c>
      <c r="E30" s="643">
        <f>C30+D30</f>
        <v>0</v>
      </c>
    </row>
    <row r="31" spans="2:10" x14ac:dyDescent="0.2">
      <c r="B31" s="40" t="s">
        <v>215</v>
      </c>
      <c r="C31" s="644">
        <v>0</v>
      </c>
      <c r="D31" s="644">
        <f>$C$17</f>
        <v>0</v>
      </c>
      <c r="E31" s="645">
        <f>C31+D31</f>
        <v>0</v>
      </c>
    </row>
    <row r="32" spans="2:10" x14ac:dyDescent="0.2">
      <c r="B32" s="40" t="s">
        <v>194</v>
      </c>
      <c r="C32" s="644">
        <v>0</v>
      </c>
      <c r="D32" s="644">
        <f>$C$17</f>
        <v>0</v>
      </c>
      <c r="E32" s="645">
        <f t="shared" ref="E32:E37" si="0">C32+D32</f>
        <v>0</v>
      </c>
    </row>
    <row r="33" spans="2:5" x14ac:dyDescent="0.2">
      <c r="B33" s="40" t="s">
        <v>218</v>
      </c>
      <c r="C33" s="644">
        <v>0</v>
      </c>
      <c r="D33" s="644">
        <f>$C$20</f>
        <v>0</v>
      </c>
      <c r="E33" s="645">
        <f t="shared" si="0"/>
        <v>0</v>
      </c>
    </row>
    <row r="34" spans="2:5" x14ac:dyDescent="0.2">
      <c r="B34" s="40" t="s">
        <v>197</v>
      </c>
      <c r="C34" s="644">
        <v>0</v>
      </c>
      <c r="D34" s="644">
        <f>$C$20</f>
        <v>0</v>
      </c>
      <c r="E34" s="645">
        <f t="shared" si="0"/>
        <v>0</v>
      </c>
    </row>
    <row r="35" spans="2:5" x14ac:dyDescent="0.2">
      <c r="B35" s="40" t="s">
        <v>191</v>
      </c>
      <c r="C35" s="644">
        <v>0</v>
      </c>
      <c r="D35" s="644">
        <f>$C$20</f>
        <v>0</v>
      </c>
      <c r="E35" s="645">
        <f t="shared" si="0"/>
        <v>0</v>
      </c>
    </row>
    <row r="36" spans="2:5" x14ac:dyDescent="0.2">
      <c r="B36" s="40" t="s">
        <v>217</v>
      </c>
      <c r="C36" s="644">
        <v>0</v>
      </c>
      <c r="D36" s="644">
        <f>$C$19</f>
        <v>0</v>
      </c>
      <c r="E36" s="645">
        <f t="shared" si="0"/>
        <v>0</v>
      </c>
    </row>
    <row r="37" spans="2:5" x14ac:dyDescent="0.2">
      <c r="B37" s="40" t="s">
        <v>196</v>
      </c>
      <c r="C37" s="644">
        <v>0</v>
      </c>
      <c r="D37" s="644">
        <f>$C$19</f>
        <v>0</v>
      </c>
      <c r="E37" s="645">
        <f t="shared" si="0"/>
        <v>0</v>
      </c>
    </row>
    <row r="38" spans="2:5" x14ac:dyDescent="0.2">
      <c r="B38" s="40" t="s">
        <v>190</v>
      </c>
      <c r="C38" s="644">
        <v>0</v>
      </c>
      <c r="D38" s="644">
        <f>$C$19</f>
        <v>0</v>
      </c>
      <c r="E38" s="645">
        <f>C38+D38</f>
        <v>0</v>
      </c>
    </row>
    <row r="39" spans="2:5" x14ac:dyDescent="0.2">
      <c r="B39" s="40" t="s">
        <v>216</v>
      </c>
      <c r="C39" s="644">
        <v>0</v>
      </c>
      <c r="D39" s="644">
        <f>$C$18</f>
        <v>0</v>
      </c>
      <c r="E39" s="645">
        <f t="shared" ref="E39:E69" si="1">C39+D39</f>
        <v>0</v>
      </c>
    </row>
    <row r="40" spans="2:5" x14ac:dyDescent="0.2">
      <c r="B40" s="40" t="s">
        <v>195</v>
      </c>
      <c r="C40" s="644">
        <v>0</v>
      </c>
      <c r="D40" s="644">
        <f>$C$18</f>
        <v>0</v>
      </c>
      <c r="E40" s="645">
        <f t="shared" si="1"/>
        <v>0</v>
      </c>
    </row>
    <row r="41" spans="2:5" x14ac:dyDescent="0.2">
      <c r="B41" s="40" t="s">
        <v>189</v>
      </c>
      <c r="C41" s="644">
        <v>0</v>
      </c>
      <c r="D41" s="644">
        <f>$C$18</f>
        <v>0</v>
      </c>
      <c r="E41" s="645">
        <f t="shared" si="1"/>
        <v>0</v>
      </c>
    </row>
    <row r="42" spans="2:5" x14ac:dyDescent="0.2">
      <c r="B42" s="40" t="s">
        <v>208</v>
      </c>
      <c r="C42" s="644">
        <v>0</v>
      </c>
      <c r="D42" s="644">
        <f t="shared" ref="D42:D48" si="2">$C$25</f>
        <v>0</v>
      </c>
      <c r="E42" s="645">
        <f t="shared" si="1"/>
        <v>0</v>
      </c>
    </row>
    <row r="43" spans="2:5" x14ac:dyDescent="0.2">
      <c r="B43" s="40" t="s">
        <v>211</v>
      </c>
      <c r="C43" s="644">
        <v>0</v>
      </c>
      <c r="D43" s="644">
        <f t="shared" si="2"/>
        <v>0</v>
      </c>
      <c r="E43" s="645">
        <f t="shared" si="1"/>
        <v>0</v>
      </c>
    </row>
    <row r="44" spans="2:5" x14ac:dyDescent="0.2">
      <c r="B44" s="40" t="s">
        <v>210</v>
      </c>
      <c r="C44" s="644">
        <v>0</v>
      </c>
      <c r="D44" s="644">
        <f t="shared" si="2"/>
        <v>0</v>
      </c>
      <c r="E44" s="645">
        <f t="shared" si="1"/>
        <v>0</v>
      </c>
    </row>
    <row r="45" spans="2:5" x14ac:dyDescent="0.2">
      <c r="B45" s="40" t="s">
        <v>209</v>
      </c>
      <c r="C45" s="644">
        <v>0</v>
      </c>
      <c r="D45" s="644">
        <f t="shared" si="2"/>
        <v>0</v>
      </c>
      <c r="E45" s="645">
        <f t="shared" si="1"/>
        <v>0</v>
      </c>
    </row>
    <row r="46" spans="2:5" x14ac:dyDescent="0.2">
      <c r="B46" s="40" t="s">
        <v>213</v>
      </c>
      <c r="C46" s="644">
        <v>0</v>
      </c>
      <c r="D46" s="644">
        <f t="shared" si="2"/>
        <v>0</v>
      </c>
      <c r="E46" s="645">
        <f t="shared" si="1"/>
        <v>0</v>
      </c>
    </row>
    <row r="47" spans="2:5" x14ac:dyDescent="0.2">
      <c r="B47" s="40" t="s">
        <v>214</v>
      </c>
      <c r="C47" s="644">
        <v>0</v>
      </c>
      <c r="D47" s="644">
        <f t="shared" si="2"/>
        <v>0</v>
      </c>
      <c r="E47" s="645">
        <f t="shared" si="1"/>
        <v>0</v>
      </c>
    </row>
    <row r="48" spans="2:5" x14ac:dyDescent="0.2">
      <c r="B48" s="40" t="s">
        <v>212</v>
      </c>
      <c r="C48" s="644">
        <v>0</v>
      </c>
      <c r="D48" s="644">
        <f t="shared" si="2"/>
        <v>0</v>
      </c>
      <c r="E48" s="645">
        <f t="shared" si="1"/>
        <v>0</v>
      </c>
    </row>
    <row r="49" spans="2:5" x14ac:dyDescent="0.2">
      <c r="B49" s="40" t="s">
        <v>201</v>
      </c>
      <c r="C49" s="644">
        <v>0</v>
      </c>
      <c r="D49" s="644">
        <f t="shared" ref="D49:D55" si="3">$C$24</f>
        <v>0</v>
      </c>
      <c r="E49" s="645">
        <f t="shared" si="1"/>
        <v>0</v>
      </c>
    </row>
    <row r="50" spans="2:5" x14ac:dyDescent="0.2">
      <c r="B50" s="40" t="s">
        <v>204</v>
      </c>
      <c r="C50" s="644">
        <v>0</v>
      </c>
      <c r="D50" s="644">
        <f t="shared" si="3"/>
        <v>0</v>
      </c>
      <c r="E50" s="645">
        <f t="shared" si="1"/>
        <v>0</v>
      </c>
    </row>
    <row r="51" spans="2:5" x14ac:dyDescent="0.2">
      <c r="B51" s="40" t="s">
        <v>203</v>
      </c>
      <c r="C51" s="644">
        <v>0</v>
      </c>
      <c r="D51" s="644">
        <f t="shared" si="3"/>
        <v>0</v>
      </c>
      <c r="E51" s="645">
        <f t="shared" si="1"/>
        <v>0</v>
      </c>
    </row>
    <row r="52" spans="2:5" x14ac:dyDescent="0.2">
      <c r="B52" s="40" t="s">
        <v>202</v>
      </c>
      <c r="C52" s="644">
        <v>0</v>
      </c>
      <c r="D52" s="644">
        <f t="shared" si="3"/>
        <v>0</v>
      </c>
      <c r="E52" s="645">
        <f t="shared" si="1"/>
        <v>0</v>
      </c>
    </row>
    <row r="53" spans="2:5" x14ac:dyDescent="0.2">
      <c r="B53" s="40" t="s">
        <v>206</v>
      </c>
      <c r="C53" s="644">
        <v>0</v>
      </c>
      <c r="D53" s="644">
        <f t="shared" si="3"/>
        <v>0</v>
      </c>
      <c r="E53" s="645">
        <f t="shared" si="1"/>
        <v>0</v>
      </c>
    </row>
    <row r="54" spans="2:5" x14ac:dyDescent="0.2">
      <c r="B54" s="40" t="s">
        <v>207</v>
      </c>
      <c r="C54" s="644">
        <v>0</v>
      </c>
      <c r="D54" s="644">
        <f t="shared" si="3"/>
        <v>0</v>
      </c>
      <c r="E54" s="645">
        <f t="shared" si="1"/>
        <v>0</v>
      </c>
    </row>
    <row r="55" spans="2:5" x14ac:dyDescent="0.2">
      <c r="B55" s="40" t="s">
        <v>205</v>
      </c>
      <c r="C55" s="644">
        <v>0</v>
      </c>
      <c r="D55" s="644">
        <f t="shared" si="3"/>
        <v>0</v>
      </c>
      <c r="E55" s="645">
        <f t="shared" si="1"/>
        <v>0</v>
      </c>
    </row>
    <row r="56" spans="2:5" x14ac:dyDescent="0.2">
      <c r="B56" s="40" t="s">
        <v>220</v>
      </c>
      <c r="C56" s="644">
        <v>0</v>
      </c>
      <c r="D56" s="644">
        <f>$C$22</f>
        <v>0</v>
      </c>
      <c r="E56" s="645">
        <f t="shared" si="1"/>
        <v>0</v>
      </c>
    </row>
    <row r="57" spans="2:5" x14ac:dyDescent="0.2">
      <c r="B57" s="40" t="s">
        <v>199</v>
      </c>
      <c r="C57" s="644">
        <v>0</v>
      </c>
      <c r="D57" s="644">
        <f>$C$22</f>
        <v>0</v>
      </c>
      <c r="E57" s="645">
        <f t="shared" si="1"/>
        <v>0</v>
      </c>
    </row>
    <row r="58" spans="2:5" x14ac:dyDescent="0.2">
      <c r="B58" s="40" t="s">
        <v>193</v>
      </c>
      <c r="C58" s="644">
        <v>0</v>
      </c>
      <c r="D58" s="644">
        <f>$C$22</f>
        <v>0</v>
      </c>
      <c r="E58" s="645">
        <f t="shared" si="1"/>
        <v>0</v>
      </c>
    </row>
    <row r="59" spans="2:5" x14ac:dyDescent="0.2">
      <c r="B59" s="40" t="s">
        <v>182</v>
      </c>
      <c r="C59" s="644">
        <v>0</v>
      </c>
      <c r="D59" s="644">
        <f>$C$23</f>
        <v>0</v>
      </c>
      <c r="E59" s="645">
        <f t="shared" si="1"/>
        <v>0</v>
      </c>
    </row>
    <row r="60" spans="2:5" x14ac:dyDescent="0.2">
      <c r="B60" s="40" t="s">
        <v>185</v>
      </c>
      <c r="C60" s="644">
        <v>0</v>
      </c>
      <c r="D60" s="644">
        <f t="shared" ref="D60:D66" si="4">$C$23</f>
        <v>0</v>
      </c>
      <c r="E60" s="645">
        <f t="shared" si="1"/>
        <v>0</v>
      </c>
    </row>
    <row r="61" spans="2:5" x14ac:dyDescent="0.2">
      <c r="B61" s="40" t="s">
        <v>184</v>
      </c>
      <c r="C61" s="644">
        <v>0</v>
      </c>
      <c r="D61" s="644">
        <f t="shared" si="4"/>
        <v>0</v>
      </c>
      <c r="E61" s="645">
        <f t="shared" si="1"/>
        <v>0</v>
      </c>
    </row>
    <row r="62" spans="2:5" x14ac:dyDescent="0.2">
      <c r="B62" s="40" t="s">
        <v>183</v>
      </c>
      <c r="C62" s="644">
        <v>0</v>
      </c>
      <c r="D62" s="644">
        <f t="shared" si="4"/>
        <v>0</v>
      </c>
      <c r="E62" s="645">
        <f t="shared" si="1"/>
        <v>0</v>
      </c>
    </row>
    <row r="63" spans="2:5" x14ac:dyDescent="0.2">
      <c r="B63" s="40" t="s">
        <v>221</v>
      </c>
      <c r="C63" s="644">
        <v>0</v>
      </c>
      <c r="D63" s="644">
        <f t="shared" si="4"/>
        <v>0</v>
      </c>
      <c r="E63" s="645">
        <f t="shared" si="1"/>
        <v>0</v>
      </c>
    </row>
    <row r="64" spans="2:5" x14ac:dyDescent="0.2">
      <c r="B64" s="40" t="s">
        <v>200</v>
      </c>
      <c r="C64" s="644">
        <v>0</v>
      </c>
      <c r="D64" s="644">
        <f t="shared" si="4"/>
        <v>0</v>
      </c>
      <c r="E64" s="645">
        <f t="shared" si="1"/>
        <v>0</v>
      </c>
    </row>
    <row r="65" spans="2:5" x14ac:dyDescent="0.2">
      <c r="B65" s="40" t="s">
        <v>187</v>
      </c>
      <c r="C65" s="644">
        <v>0</v>
      </c>
      <c r="D65" s="644">
        <f t="shared" si="4"/>
        <v>0</v>
      </c>
      <c r="E65" s="645">
        <f t="shared" si="1"/>
        <v>0</v>
      </c>
    </row>
    <row r="66" spans="2:5" x14ac:dyDescent="0.2">
      <c r="B66" s="40" t="s">
        <v>186</v>
      </c>
      <c r="C66" s="644">
        <v>0</v>
      </c>
      <c r="D66" s="644">
        <f t="shared" si="4"/>
        <v>0</v>
      </c>
      <c r="E66" s="645">
        <f t="shared" si="1"/>
        <v>0</v>
      </c>
    </row>
    <row r="67" spans="2:5" x14ac:dyDescent="0.2">
      <c r="B67" s="40" t="s">
        <v>219</v>
      </c>
      <c r="C67" s="644">
        <v>0</v>
      </c>
      <c r="D67" s="644">
        <f>$C$21</f>
        <v>0</v>
      </c>
      <c r="E67" s="645">
        <f t="shared" si="1"/>
        <v>0</v>
      </c>
    </row>
    <row r="68" spans="2:5" x14ac:dyDescent="0.2">
      <c r="B68" s="40" t="s">
        <v>198</v>
      </c>
      <c r="C68" s="644">
        <v>0</v>
      </c>
      <c r="D68" s="644">
        <f>$C$21</f>
        <v>0</v>
      </c>
      <c r="E68" s="645">
        <f t="shared" si="1"/>
        <v>0</v>
      </c>
    </row>
    <row r="69" spans="2:5" ht="12.75" thickBot="1" x14ac:dyDescent="0.25">
      <c r="B69" s="41" t="s">
        <v>192</v>
      </c>
      <c r="C69" s="646">
        <v>0</v>
      </c>
      <c r="D69" s="646">
        <f>$C$21</f>
        <v>0</v>
      </c>
      <c r="E69" s="647">
        <f t="shared" si="1"/>
        <v>0</v>
      </c>
    </row>
    <row r="70" spans="2:5" ht="12.75" thickBot="1" x14ac:dyDescent="0.25">
      <c r="B70" s="614" t="s">
        <v>300</v>
      </c>
      <c r="C70" s="615"/>
      <c r="D70" s="616"/>
      <c r="E70" s="39">
        <f>(ROUND(AVERAGE(E30:E69),2))</f>
        <v>0</v>
      </c>
    </row>
  </sheetData>
  <mergeCells count="24">
    <mergeCell ref="C24:D24"/>
    <mergeCell ref="C25:D25"/>
    <mergeCell ref="B28:B29"/>
    <mergeCell ref="D28:D29"/>
    <mergeCell ref="E28:E29"/>
    <mergeCell ref="B27:E27"/>
    <mergeCell ref="B10:J10"/>
    <mergeCell ref="C11:J11"/>
    <mergeCell ref="C13:F13"/>
    <mergeCell ref="C23:D23"/>
    <mergeCell ref="B15:D15"/>
    <mergeCell ref="C16:D16"/>
    <mergeCell ref="C20:D20"/>
    <mergeCell ref="C18:D18"/>
    <mergeCell ref="C17:D17"/>
    <mergeCell ref="F19:I20"/>
    <mergeCell ref="C19:D19"/>
    <mergeCell ref="C21:D21"/>
    <mergeCell ref="C22:D22"/>
    <mergeCell ref="B8:J8"/>
    <mergeCell ref="B5:J6"/>
    <mergeCell ref="B1:J1"/>
    <mergeCell ref="B2:J2"/>
    <mergeCell ref="B3:J3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64" orientation="portrait" horizontalDpi="4294967294" verticalDpi="4294967294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V250"/>
  <sheetViews>
    <sheetView view="pageBreakPreview" topLeftCell="A220" zoomScaleNormal="100" zoomScaleSheetLayoutView="100" workbookViewId="0">
      <selection activeCell="C222" sqref="C222"/>
    </sheetView>
  </sheetViews>
  <sheetFormatPr defaultRowHeight="12" x14ac:dyDescent="0.25"/>
  <cols>
    <col min="1" max="1" width="6.85546875" style="7" bestFit="1" customWidth="1"/>
    <col min="2" max="2" width="50.85546875" style="7" customWidth="1"/>
    <col min="3" max="3" width="10.7109375" style="7" customWidth="1"/>
    <col min="4" max="4" width="12.7109375" style="7" customWidth="1"/>
    <col min="5" max="5" width="13.140625" style="7" customWidth="1"/>
    <col min="6" max="6" width="12.42578125" style="7" bestFit="1" customWidth="1"/>
    <col min="7" max="7" width="10.7109375" style="7" bestFit="1" customWidth="1"/>
    <col min="8" max="8" width="17" style="7" customWidth="1"/>
    <col min="9" max="9" width="14.140625" style="7" bestFit="1" customWidth="1"/>
    <col min="10" max="10" width="52.5703125" style="7" customWidth="1"/>
    <col min="11" max="11" width="12.140625" style="7" bestFit="1" customWidth="1"/>
    <col min="12" max="12" width="5" style="50" bestFit="1" customWidth="1"/>
    <col min="13" max="13" width="12.140625" style="7" bestFit="1" customWidth="1"/>
    <col min="14" max="14" width="4.42578125" style="7" bestFit="1" customWidth="1"/>
    <col min="15" max="15" width="3" style="7" bestFit="1" customWidth="1"/>
    <col min="16" max="16" width="4.42578125" style="7" bestFit="1" customWidth="1"/>
    <col min="17" max="17" width="8.28515625" style="7" bestFit="1" customWidth="1"/>
    <col min="18" max="18" width="11.140625" style="7" bestFit="1" customWidth="1"/>
    <col min="19" max="16384" width="9.140625" style="7"/>
  </cols>
  <sheetData>
    <row r="1" spans="1:13" x14ac:dyDescent="0.25">
      <c r="A1" s="1541" t="s">
        <v>294</v>
      </c>
      <c r="B1" s="1542"/>
      <c r="C1" s="1542"/>
      <c r="D1" s="1542"/>
      <c r="E1" s="1542"/>
      <c r="F1" s="1543"/>
    </row>
    <row r="2" spans="1:13" ht="12.75" thickBot="1" x14ac:dyDescent="0.3">
      <c r="A2" s="1862" t="s">
        <v>295</v>
      </c>
      <c r="B2" s="1863"/>
      <c r="C2" s="1863"/>
      <c r="D2" s="1863"/>
      <c r="E2" s="1863"/>
      <c r="F2" s="1864"/>
    </row>
    <row r="3" spans="1:13" ht="12.75" thickBot="1" x14ac:dyDescent="0.3">
      <c r="A3" s="169"/>
      <c r="B3" s="63"/>
      <c r="C3" s="169"/>
      <c r="D3" s="64"/>
      <c r="E3" s="64"/>
      <c r="F3" s="64"/>
    </row>
    <row r="4" spans="1:13" x14ac:dyDescent="0.25">
      <c r="A4" s="1400" t="s">
        <v>292</v>
      </c>
      <c r="B4" s="1401"/>
      <c r="C4" s="1401"/>
      <c r="D4" s="1401"/>
      <c r="E4" s="1401"/>
      <c r="F4" s="1402"/>
    </row>
    <row r="5" spans="1:13" ht="12.75" thickBot="1" x14ac:dyDescent="0.3">
      <c r="A5" s="1406"/>
      <c r="B5" s="1407"/>
      <c r="C5" s="1407"/>
      <c r="D5" s="1407"/>
      <c r="E5" s="1407"/>
      <c r="F5" s="1408"/>
    </row>
    <row r="6" spans="1:13" ht="12.75" thickBot="1" x14ac:dyDescent="0.3">
      <c r="A6" s="169"/>
      <c r="B6" s="63"/>
      <c r="C6" s="64"/>
      <c r="D6" s="64"/>
      <c r="E6" s="64"/>
      <c r="F6" s="64"/>
    </row>
    <row r="7" spans="1:13" ht="12.75" thickBot="1" x14ac:dyDescent="0.3">
      <c r="A7" s="1580" t="s">
        <v>425</v>
      </c>
      <c r="B7" s="1581"/>
      <c r="C7" s="1581"/>
      <c r="D7" s="1581"/>
      <c r="E7" s="1581"/>
      <c r="F7" s="1582"/>
    </row>
    <row r="8" spans="1:13" ht="12.75" thickBot="1" x14ac:dyDescent="0.3">
      <c r="A8" s="1859" t="s">
        <v>54</v>
      </c>
      <c r="B8" s="1860"/>
      <c r="C8" s="1860"/>
      <c r="D8" s="1861"/>
      <c r="E8" s="98" t="s">
        <v>64</v>
      </c>
      <c r="F8" s="82">
        <v>18</v>
      </c>
    </row>
    <row r="9" spans="1:13" ht="12.75" thickBot="1" x14ac:dyDescent="0.3">
      <c r="A9" s="1859" t="s">
        <v>948</v>
      </c>
      <c r="B9" s="1860"/>
      <c r="C9" s="1860"/>
      <c r="D9" s="1860"/>
      <c r="E9" s="1860"/>
      <c r="F9" s="1861"/>
    </row>
    <row r="10" spans="1:13" x14ac:dyDescent="0.25">
      <c r="A10" s="1858"/>
      <c r="B10" s="1858"/>
      <c r="C10" s="1858"/>
      <c r="D10" s="1858"/>
      <c r="E10" s="1858"/>
      <c r="F10" s="1858"/>
    </row>
    <row r="11" spans="1:13" ht="12.75" thickBot="1" x14ac:dyDescent="0.3">
      <c r="A11" s="1858"/>
      <c r="B11" s="1858"/>
      <c r="C11" s="1858"/>
      <c r="D11" s="1858"/>
      <c r="E11" s="1858"/>
      <c r="F11" s="1858"/>
    </row>
    <row r="12" spans="1:13" ht="12.75" thickBot="1" x14ac:dyDescent="0.3">
      <c r="A12" s="598" t="s">
        <v>0</v>
      </c>
      <c r="B12" s="78" t="s">
        <v>1</v>
      </c>
      <c r="C12" s="599" t="s">
        <v>55</v>
      </c>
      <c r="D12" s="600" t="s">
        <v>56</v>
      </c>
      <c r="E12" s="600" t="s">
        <v>321</v>
      </c>
      <c r="F12" s="601" t="s">
        <v>329</v>
      </c>
    </row>
    <row r="13" spans="1:13" ht="12.75" thickBot="1" x14ac:dyDescent="0.3">
      <c r="A13" s="86" t="s">
        <v>99</v>
      </c>
      <c r="B13" s="1838" t="s">
        <v>356</v>
      </c>
      <c r="C13" s="1554"/>
      <c r="D13" s="1554"/>
      <c r="E13" s="1554"/>
      <c r="F13" s="1559"/>
      <c r="H13" s="620"/>
      <c r="I13" s="620"/>
      <c r="J13" s="620"/>
      <c r="K13" s="620"/>
      <c r="L13" s="228"/>
      <c r="M13" s="620"/>
    </row>
    <row r="14" spans="1:13" x14ac:dyDescent="0.25">
      <c r="A14" s="419" t="s">
        <v>29</v>
      </c>
      <c r="B14" s="420" t="s">
        <v>109</v>
      </c>
      <c r="C14" s="11" t="s">
        <v>61</v>
      </c>
      <c r="D14" s="69">
        <f>30*0.5</f>
        <v>15</v>
      </c>
      <c r="E14" s="947">
        <v>0</v>
      </c>
      <c r="F14" s="822">
        <f t="shared" ref="F14:F54" si="0">D14*E14</f>
        <v>0</v>
      </c>
      <c r="H14" s="533"/>
      <c r="I14" s="627"/>
      <c r="J14" s="77"/>
      <c r="K14" s="628"/>
      <c r="L14" s="626"/>
      <c r="M14" s="620"/>
    </row>
    <row r="15" spans="1:13" x14ac:dyDescent="0.25">
      <c r="A15" s="134" t="s">
        <v>30</v>
      </c>
      <c r="B15" s="89" t="s">
        <v>110</v>
      </c>
      <c r="C15" s="9" t="s">
        <v>61</v>
      </c>
      <c r="D15" s="70">
        <v>50</v>
      </c>
      <c r="E15" s="391">
        <v>0</v>
      </c>
      <c r="F15" s="939">
        <f t="shared" si="0"/>
        <v>0</v>
      </c>
      <c r="H15" s="533"/>
      <c r="I15" s="627"/>
      <c r="J15" s="77"/>
      <c r="K15" s="628"/>
      <c r="L15" s="626"/>
      <c r="M15" s="620"/>
    </row>
    <row r="16" spans="1:13" x14ac:dyDescent="0.25">
      <c r="A16" s="134" t="s">
        <v>31</v>
      </c>
      <c r="B16" s="89" t="s">
        <v>111</v>
      </c>
      <c r="C16" s="9" t="s">
        <v>61</v>
      </c>
      <c r="D16" s="70">
        <v>50</v>
      </c>
      <c r="E16" s="391">
        <v>0</v>
      </c>
      <c r="F16" s="939">
        <f t="shared" si="0"/>
        <v>0</v>
      </c>
      <c r="H16" s="533"/>
      <c r="I16" s="627"/>
      <c r="J16" s="77"/>
      <c r="K16" s="628"/>
      <c r="L16" s="626"/>
      <c r="M16" s="620"/>
    </row>
    <row r="17" spans="1:13" x14ac:dyDescent="0.25">
      <c r="A17" s="134" t="s">
        <v>32</v>
      </c>
      <c r="B17" s="89" t="s">
        <v>112</v>
      </c>
      <c r="C17" s="9" t="s">
        <v>61</v>
      </c>
      <c r="D17" s="70">
        <f>4*2</f>
        <v>8</v>
      </c>
      <c r="E17" s="391">
        <v>0</v>
      </c>
      <c r="F17" s="939">
        <f t="shared" si="0"/>
        <v>0</v>
      </c>
      <c r="H17" s="533"/>
      <c r="I17" s="627"/>
      <c r="J17" s="77"/>
      <c r="K17" s="628"/>
      <c r="L17" s="626"/>
      <c r="M17" s="620"/>
    </row>
    <row r="18" spans="1:13" x14ac:dyDescent="0.25">
      <c r="A18" s="134" t="s">
        <v>33</v>
      </c>
      <c r="B18" s="89" t="s">
        <v>113</v>
      </c>
      <c r="C18" s="9" t="s">
        <v>61</v>
      </c>
      <c r="D18" s="70">
        <f>4*2</f>
        <v>8</v>
      </c>
      <c r="E18" s="391">
        <v>0</v>
      </c>
      <c r="F18" s="939">
        <f t="shared" si="0"/>
        <v>0</v>
      </c>
      <c r="H18" s="533"/>
      <c r="I18" s="627"/>
      <c r="J18" s="77"/>
      <c r="K18" s="628"/>
      <c r="L18" s="626"/>
      <c r="M18" s="620"/>
    </row>
    <row r="19" spans="1:13" x14ac:dyDescent="0.25">
      <c r="A19" s="134" t="s">
        <v>90</v>
      </c>
      <c r="B19" s="89" t="s">
        <v>114</v>
      </c>
      <c r="C19" s="9" t="s">
        <v>61</v>
      </c>
      <c r="D19" s="70">
        <v>100</v>
      </c>
      <c r="E19" s="391">
        <v>0</v>
      </c>
      <c r="F19" s="939">
        <f t="shared" si="0"/>
        <v>0</v>
      </c>
      <c r="H19" s="533"/>
      <c r="I19" s="627"/>
      <c r="J19" s="77"/>
      <c r="K19" s="628"/>
      <c r="L19" s="626"/>
      <c r="M19" s="620"/>
    </row>
    <row r="20" spans="1:13" x14ac:dyDescent="0.25">
      <c r="A20" s="134" t="s">
        <v>91</v>
      </c>
      <c r="B20" s="89" t="s">
        <v>116</v>
      </c>
      <c r="C20" s="9" t="s">
        <v>61</v>
      </c>
      <c r="D20" s="70">
        <v>100</v>
      </c>
      <c r="E20" s="391">
        <v>0</v>
      </c>
      <c r="F20" s="939">
        <f t="shared" si="0"/>
        <v>0</v>
      </c>
      <c r="H20" s="533"/>
      <c r="I20" s="627"/>
      <c r="J20" s="77"/>
      <c r="K20" s="628"/>
      <c r="L20" s="626"/>
      <c r="M20" s="620"/>
    </row>
    <row r="21" spans="1:13" x14ac:dyDescent="0.25">
      <c r="A21" s="134" t="s">
        <v>231</v>
      </c>
      <c r="B21" s="89" t="s">
        <v>328</v>
      </c>
      <c r="C21" s="71" t="s">
        <v>61</v>
      </c>
      <c r="D21" s="70">
        <v>15</v>
      </c>
      <c r="E21" s="391">
        <v>0</v>
      </c>
      <c r="F21" s="939">
        <f t="shared" si="0"/>
        <v>0</v>
      </c>
      <c r="H21" s="533"/>
      <c r="I21" s="627"/>
      <c r="J21" s="77"/>
      <c r="K21" s="628"/>
      <c r="L21" s="626"/>
      <c r="M21" s="620"/>
    </row>
    <row r="22" spans="1:13" x14ac:dyDescent="0.25">
      <c r="A22" s="134" t="s">
        <v>232</v>
      </c>
      <c r="B22" s="89" t="s">
        <v>326</v>
      </c>
      <c r="C22" s="71" t="s">
        <v>61</v>
      </c>
      <c r="D22" s="70">
        <v>15</v>
      </c>
      <c r="E22" s="391">
        <v>0</v>
      </c>
      <c r="F22" s="939">
        <f t="shared" si="0"/>
        <v>0</v>
      </c>
      <c r="H22" s="533"/>
      <c r="I22" s="627"/>
      <c r="J22" s="77"/>
      <c r="K22" s="628"/>
      <c r="L22" s="626"/>
      <c r="M22" s="620"/>
    </row>
    <row r="23" spans="1:13" x14ac:dyDescent="0.25">
      <c r="A23" s="134" t="s">
        <v>233</v>
      </c>
      <c r="B23" s="89" t="s">
        <v>327</v>
      </c>
      <c r="C23" s="71" t="s">
        <v>61</v>
      </c>
      <c r="D23" s="70">
        <v>15</v>
      </c>
      <c r="E23" s="391">
        <v>0</v>
      </c>
      <c r="F23" s="939">
        <f t="shared" si="0"/>
        <v>0</v>
      </c>
      <c r="H23" s="533"/>
      <c r="I23" s="627"/>
      <c r="J23" s="77"/>
      <c r="K23" s="628"/>
      <c r="L23" s="626"/>
      <c r="M23" s="620"/>
    </row>
    <row r="24" spans="1:13" x14ac:dyDescent="0.25">
      <c r="A24" s="134" t="s">
        <v>246</v>
      </c>
      <c r="B24" s="89" t="s">
        <v>325</v>
      </c>
      <c r="C24" s="71" t="s">
        <v>61</v>
      </c>
      <c r="D24" s="70">
        <v>15</v>
      </c>
      <c r="E24" s="391">
        <v>0</v>
      </c>
      <c r="F24" s="939">
        <f t="shared" si="0"/>
        <v>0</v>
      </c>
      <c r="H24" s="533"/>
      <c r="I24" s="627"/>
      <c r="J24" s="77"/>
      <c r="K24" s="628"/>
      <c r="L24" s="626"/>
      <c r="M24" s="620"/>
    </row>
    <row r="25" spans="1:13" x14ac:dyDescent="0.25">
      <c r="A25" s="134" t="s">
        <v>247</v>
      </c>
      <c r="B25" s="89" t="s">
        <v>324</v>
      </c>
      <c r="C25" s="71" t="s">
        <v>61</v>
      </c>
      <c r="D25" s="70">
        <v>15</v>
      </c>
      <c r="E25" s="391">
        <v>0</v>
      </c>
      <c r="F25" s="939">
        <f t="shared" si="0"/>
        <v>0</v>
      </c>
      <c r="H25" s="533"/>
      <c r="I25" s="627"/>
      <c r="J25" s="77"/>
      <c r="K25" s="628"/>
      <c r="L25" s="626"/>
      <c r="M25" s="620"/>
    </row>
    <row r="26" spans="1:13" x14ac:dyDescent="0.25">
      <c r="A26" s="134" t="s">
        <v>248</v>
      </c>
      <c r="B26" s="89" t="s">
        <v>117</v>
      </c>
      <c r="C26" s="71" t="s">
        <v>61</v>
      </c>
      <c r="D26" s="70">
        <v>5</v>
      </c>
      <c r="E26" s="391">
        <v>0</v>
      </c>
      <c r="F26" s="939">
        <f t="shared" si="0"/>
        <v>0</v>
      </c>
      <c r="H26" s="533"/>
      <c r="I26" s="627"/>
      <c r="J26" s="77"/>
      <c r="K26" s="628"/>
      <c r="L26" s="626"/>
      <c r="M26" s="620"/>
    </row>
    <row r="27" spans="1:13" x14ac:dyDescent="0.25">
      <c r="A27" s="134" t="s">
        <v>249</v>
      </c>
      <c r="B27" s="89" t="s">
        <v>118</v>
      </c>
      <c r="C27" s="71" t="s">
        <v>61</v>
      </c>
      <c r="D27" s="70">
        <v>10</v>
      </c>
      <c r="E27" s="391">
        <v>0</v>
      </c>
      <c r="F27" s="939">
        <f t="shared" si="0"/>
        <v>0</v>
      </c>
      <c r="H27" s="533"/>
      <c r="I27" s="627"/>
      <c r="J27" s="77"/>
      <c r="K27" s="628"/>
      <c r="L27" s="626"/>
      <c r="M27" s="620"/>
    </row>
    <row r="28" spans="1:13" x14ac:dyDescent="0.25">
      <c r="A28" s="134" t="s">
        <v>250</v>
      </c>
      <c r="B28" s="89" t="s">
        <v>122</v>
      </c>
      <c r="C28" s="71" t="s">
        <v>61</v>
      </c>
      <c r="D28" s="70">
        <v>100</v>
      </c>
      <c r="E28" s="391">
        <v>0</v>
      </c>
      <c r="F28" s="939">
        <f t="shared" si="0"/>
        <v>0</v>
      </c>
      <c r="H28" s="533"/>
      <c r="I28" s="627"/>
      <c r="J28" s="77"/>
      <c r="K28" s="628"/>
      <c r="L28" s="626"/>
      <c r="M28" s="620"/>
    </row>
    <row r="29" spans="1:13" x14ac:dyDescent="0.25">
      <c r="A29" s="134" t="s">
        <v>251</v>
      </c>
      <c r="B29" s="89" t="s">
        <v>123</v>
      </c>
      <c r="C29" s="71" t="s">
        <v>61</v>
      </c>
      <c r="D29" s="70">
        <v>100</v>
      </c>
      <c r="E29" s="391">
        <v>0</v>
      </c>
      <c r="F29" s="939">
        <f t="shared" si="0"/>
        <v>0</v>
      </c>
      <c r="H29" s="533"/>
      <c r="I29" s="627"/>
      <c r="J29" s="77"/>
      <c r="K29" s="628"/>
      <c r="L29" s="626"/>
      <c r="M29" s="620"/>
    </row>
    <row r="30" spans="1:13" x14ac:dyDescent="0.25">
      <c r="A30" s="134" t="s">
        <v>252</v>
      </c>
      <c r="B30" s="89" t="s">
        <v>124</v>
      </c>
      <c r="C30" s="71" t="s">
        <v>61</v>
      </c>
      <c r="D30" s="70">
        <v>20</v>
      </c>
      <c r="E30" s="391">
        <v>0</v>
      </c>
      <c r="F30" s="939">
        <f t="shared" si="0"/>
        <v>0</v>
      </c>
      <c r="H30" s="533"/>
      <c r="I30" s="627"/>
      <c r="J30" s="77"/>
      <c r="K30" s="628"/>
      <c r="L30" s="626"/>
      <c r="M30" s="620"/>
    </row>
    <row r="31" spans="1:13" x14ac:dyDescent="0.25">
      <c r="A31" s="134" t="s">
        <v>253</v>
      </c>
      <c r="B31" s="89" t="s">
        <v>125</v>
      </c>
      <c r="C31" s="71" t="s">
        <v>61</v>
      </c>
      <c r="D31" s="70">
        <v>30</v>
      </c>
      <c r="E31" s="391">
        <v>0</v>
      </c>
      <c r="F31" s="939">
        <f t="shared" si="0"/>
        <v>0</v>
      </c>
      <c r="H31" s="533"/>
      <c r="I31" s="627"/>
      <c r="J31" s="77"/>
      <c r="K31" s="628"/>
      <c r="L31" s="626"/>
      <c r="M31" s="620"/>
    </row>
    <row r="32" spans="1:13" x14ac:dyDescent="0.25">
      <c r="A32" s="134" t="s">
        <v>254</v>
      </c>
      <c r="B32" s="89" t="s">
        <v>127</v>
      </c>
      <c r="C32" s="71" t="s">
        <v>61</v>
      </c>
      <c r="D32" s="70">
        <v>4</v>
      </c>
      <c r="E32" s="391">
        <v>0</v>
      </c>
      <c r="F32" s="939">
        <f t="shared" si="0"/>
        <v>0</v>
      </c>
      <c r="H32" s="533"/>
      <c r="I32" s="627"/>
      <c r="J32" s="77"/>
      <c r="K32" s="628"/>
      <c r="L32" s="626"/>
      <c r="M32" s="620"/>
    </row>
    <row r="33" spans="1:13" x14ac:dyDescent="0.25">
      <c r="A33" s="134" t="s">
        <v>255</v>
      </c>
      <c r="B33" s="89" t="s">
        <v>128</v>
      </c>
      <c r="C33" s="71" t="s">
        <v>61</v>
      </c>
      <c r="D33" s="70">
        <f>1*4</f>
        <v>4</v>
      </c>
      <c r="E33" s="391">
        <v>0</v>
      </c>
      <c r="F33" s="939">
        <f t="shared" si="0"/>
        <v>0</v>
      </c>
      <c r="H33" s="533"/>
      <c r="I33" s="627"/>
      <c r="J33" s="77"/>
      <c r="K33" s="628"/>
      <c r="L33" s="626"/>
      <c r="M33" s="620"/>
    </row>
    <row r="34" spans="1:13" x14ac:dyDescent="0.25">
      <c r="A34" s="134" t="s">
        <v>331</v>
      </c>
      <c r="B34" s="89" t="s">
        <v>129</v>
      </c>
      <c r="C34" s="71" t="s">
        <v>61</v>
      </c>
      <c r="D34" s="70">
        <f>1*4</f>
        <v>4</v>
      </c>
      <c r="E34" s="391">
        <v>0</v>
      </c>
      <c r="F34" s="939">
        <f t="shared" si="0"/>
        <v>0</v>
      </c>
      <c r="H34" s="533"/>
      <c r="I34" s="627"/>
      <c r="J34" s="77"/>
      <c r="K34" s="628"/>
      <c r="L34" s="626"/>
      <c r="M34" s="620"/>
    </row>
    <row r="35" spans="1:13" x14ac:dyDescent="0.25">
      <c r="A35" s="134" t="s">
        <v>332</v>
      </c>
      <c r="B35" s="89" t="s">
        <v>130</v>
      </c>
      <c r="C35" s="71" t="s">
        <v>61</v>
      </c>
      <c r="D35" s="70">
        <f>1*4</f>
        <v>4</v>
      </c>
      <c r="E35" s="391">
        <v>0</v>
      </c>
      <c r="F35" s="939">
        <f t="shared" si="0"/>
        <v>0</v>
      </c>
      <c r="H35" s="533"/>
      <c r="I35" s="627"/>
      <c r="J35" s="77"/>
      <c r="K35" s="628"/>
      <c r="L35" s="626"/>
      <c r="M35" s="620"/>
    </row>
    <row r="36" spans="1:13" x14ac:dyDescent="0.25">
      <c r="A36" s="134" t="s">
        <v>333</v>
      </c>
      <c r="B36" s="89" t="s">
        <v>353</v>
      </c>
      <c r="C36" s="71" t="s">
        <v>61</v>
      </c>
      <c r="D36" s="68">
        <f>8/$F$8</f>
        <v>0.44444444444444442</v>
      </c>
      <c r="E36" s="391">
        <v>0</v>
      </c>
      <c r="F36" s="939">
        <f t="shared" si="0"/>
        <v>0</v>
      </c>
      <c r="H36" s="533"/>
      <c r="I36" s="627"/>
      <c r="J36" s="77"/>
      <c r="K36" s="628"/>
      <c r="L36" s="626"/>
      <c r="M36" s="620"/>
    </row>
    <row r="37" spans="1:13" x14ac:dyDescent="0.25">
      <c r="A37" s="134" t="s">
        <v>334</v>
      </c>
      <c r="B37" s="632" t="s">
        <v>355</v>
      </c>
      <c r="C37" s="71" t="s">
        <v>61</v>
      </c>
      <c r="D37" s="68">
        <f>2/$F$8</f>
        <v>0.1111111111111111</v>
      </c>
      <c r="E37" s="391">
        <v>0</v>
      </c>
      <c r="F37" s="939">
        <f t="shared" si="0"/>
        <v>0</v>
      </c>
      <c r="H37" s="533"/>
      <c r="I37" s="627"/>
      <c r="J37" s="77"/>
      <c r="K37" s="628"/>
      <c r="L37" s="626"/>
      <c r="M37" s="620"/>
    </row>
    <row r="38" spans="1:13" x14ac:dyDescent="0.25">
      <c r="A38" s="134" t="s">
        <v>335</v>
      </c>
      <c r="B38" s="632" t="s">
        <v>323</v>
      </c>
      <c r="C38" s="71" t="s">
        <v>61</v>
      </c>
      <c r="D38" s="70">
        <v>1</v>
      </c>
      <c r="E38" s="391">
        <v>0</v>
      </c>
      <c r="F38" s="939">
        <f t="shared" si="0"/>
        <v>0</v>
      </c>
      <c r="H38" s="533"/>
      <c r="I38" s="627"/>
      <c r="J38" s="77"/>
      <c r="K38" s="628"/>
      <c r="L38" s="626"/>
      <c r="M38" s="620"/>
    </row>
    <row r="39" spans="1:13" x14ac:dyDescent="0.25">
      <c r="A39" s="134" t="s">
        <v>336</v>
      </c>
      <c r="B39" s="632" t="s">
        <v>954</v>
      </c>
      <c r="C39" s="71" t="s">
        <v>61</v>
      </c>
      <c r="D39" s="70">
        <f>1/2</f>
        <v>0.5</v>
      </c>
      <c r="E39" s="391">
        <v>0</v>
      </c>
      <c r="F39" s="939">
        <f t="shared" si="0"/>
        <v>0</v>
      </c>
      <c r="H39" s="533"/>
      <c r="I39" s="627"/>
      <c r="J39" s="77"/>
      <c r="K39" s="628"/>
      <c r="L39" s="626"/>
      <c r="M39" s="620"/>
    </row>
    <row r="40" spans="1:13" x14ac:dyDescent="0.25">
      <c r="A40" s="134" t="s">
        <v>337</v>
      </c>
      <c r="B40" s="89" t="s">
        <v>322</v>
      </c>
      <c r="C40" s="71" t="s">
        <v>61</v>
      </c>
      <c r="D40" s="70">
        <v>20</v>
      </c>
      <c r="E40" s="391">
        <v>0</v>
      </c>
      <c r="F40" s="939">
        <f t="shared" si="0"/>
        <v>0</v>
      </c>
      <c r="H40" s="533"/>
      <c r="I40" s="627"/>
      <c r="J40" s="77"/>
      <c r="K40" s="628"/>
      <c r="L40" s="626"/>
      <c r="M40" s="620"/>
    </row>
    <row r="41" spans="1:13" x14ac:dyDescent="0.25">
      <c r="A41" s="134" t="s">
        <v>338</v>
      </c>
      <c r="B41" s="89" t="s">
        <v>132</v>
      </c>
      <c r="C41" s="71" t="s">
        <v>61</v>
      </c>
      <c r="D41" s="70">
        <v>40</v>
      </c>
      <c r="E41" s="391">
        <v>0</v>
      </c>
      <c r="F41" s="939">
        <f t="shared" si="0"/>
        <v>0</v>
      </c>
      <c r="H41" s="533"/>
      <c r="I41" s="627"/>
      <c r="J41" s="77"/>
      <c r="K41" s="628"/>
      <c r="L41" s="626"/>
      <c r="M41" s="620"/>
    </row>
    <row r="42" spans="1:13" x14ac:dyDescent="0.25">
      <c r="A42" s="134" t="s">
        <v>339</v>
      </c>
      <c r="B42" s="89" t="s">
        <v>319</v>
      </c>
      <c r="C42" s="71" t="s">
        <v>61</v>
      </c>
      <c r="D42" s="70">
        <v>15</v>
      </c>
      <c r="E42" s="391">
        <v>0</v>
      </c>
      <c r="F42" s="939">
        <f t="shared" si="0"/>
        <v>0</v>
      </c>
      <c r="H42" s="533"/>
      <c r="I42" s="627"/>
      <c r="J42" s="77"/>
      <c r="K42" s="628"/>
      <c r="L42" s="626"/>
      <c r="M42" s="620"/>
    </row>
    <row r="43" spans="1:13" x14ac:dyDescent="0.25">
      <c r="A43" s="134" t="s">
        <v>340</v>
      </c>
      <c r="B43" s="89" t="s">
        <v>320</v>
      </c>
      <c r="C43" s="71" t="s">
        <v>61</v>
      </c>
      <c r="D43" s="70">
        <v>15</v>
      </c>
      <c r="E43" s="391">
        <v>0</v>
      </c>
      <c r="F43" s="939">
        <f t="shared" si="0"/>
        <v>0</v>
      </c>
      <c r="H43" s="533"/>
      <c r="I43" s="627"/>
      <c r="J43" s="77"/>
      <c r="K43" s="628"/>
      <c r="L43" s="626"/>
      <c r="M43" s="620"/>
    </row>
    <row r="44" spans="1:13" x14ac:dyDescent="0.25">
      <c r="A44" s="134" t="s">
        <v>341</v>
      </c>
      <c r="B44" s="89" t="s">
        <v>133</v>
      </c>
      <c r="C44" s="71" t="s">
        <v>61</v>
      </c>
      <c r="D44" s="70">
        <v>2</v>
      </c>
      <c r="E44" s="391">
        <v>0</v>
      </c>
      <c r="F44" s="939">
        <f t="shared" si="0"/>
        <v>0</v>
      </c>
      <c r="H44" s="533"/>
      <c r="I44" s="627"/>
      <c r="J44" s="77"/>
      <c r="K44" s="628"/>
      <c r="L44" s="626"/>
      <c r="M44" s="620"/>
    </row>
    <row r="45" spans="1:13" x14ac:dyDescent="0.25">
      <c r="A45" s="134" t="s">
        <v>342</v>
      </c>
      <c r="B45" s="89" t="s">
        <v>134</v>
      </c>
      <c r="C45" s="71" t="s">
        <v>61</v>
      </c>
      <c r="D45" s="70">
        <v>2</v>
      </c>
      <c r="E45" s="391">
        <v>0</v>
      </c>
      <c r="F45" s="939">
        <f t="shared" si="0"/>
        <v>0</v>
      </c>
      <c r="H45" s="533"/>
      <c r="I45" s="627"/>
      <c r="J45" s="77"/>
      <c r="K45" s="628"/>
      <c r="L45" s="626"/>
      <c r="M45" s="620"/>
    </row>
    <row r="46" spans="1:13" x14ac:dyDescent="0.25">
      <c r="A46" s="134" t="s">
        <v>343</v>
      </c>
      <c r="B46" s="89" t="s">
        <v>135</v>
      </c>
      <c r="C46" s="71" t="s">
        <v>61</v>
      </c>
      <c r="D46" s="70">
        <v>20</v>
      </c>
      <c r="E46" s="391">
        <v>0</v>
      </c>
      <c r="F46" s="939">
        <f t="shared" si="0"/>
        <v>0</v>
      </c>
      <c r="H46" s="533"/>
      <c r="I46" s="627"/>
      <c r="J46" s="77"/>
      <c r="K46" s="628"/>
      <c r="L46" s="626"/>
      <c r="M46" s="620"/>
    </row>
    <row r="47" spans="1:13" x14ac:dyDescent="0.25">
      <c r="A47" s="134" t="s">
        <v>344</v>
      </c>
      <c r="B47" s="89" t="s">
        <v>136</v>
      </c>
      <c r="C47" s="71" t="s">
        <v>61</v>
      </c>
      <c r="D47" s="70">
        <v>15</v>
      </c>
      <c r="E47" s="391">
        <v>0</v>
      </c>
      <c r="F47" s="939">
        <f t="shared" si="0"/>
        <v>0</v>
      </c>
      <c r="H47" s="533"/>
      <c r="I47" s="627"/>
      <c r="J47" s="77"/>
      <c r="K47" s="628"/>
      <c r="L47" s="626"/>
      <c r="M47" s="620"/>
    </row>
    <row r="48" spans="1:13" x14ac:dyDescent="0.25">
      <c r="A48" s="134" t="s">
        <v>345</v>
      </c>
      <c r="B48" s="89" t="s">
        <v>137</v>
      </c>
      <c r="C48" s="71" t="s">
        <v>61</v>
      </c>
      <c r="D48" s="70">
        <v>15</v>
      </c>
      <c r="E48" s="391">
        <v>0</v>
      </c>
      <c r="F48" s="939">
        <f t="shared" si="0"/>
        <v>0</v>
      </c>
      <c r="H48" s="533"/>
      <c r="I48" s="627"/>
      <c r="J48" s="77"/>
      <c r="K48" s="628"/>
      <c r="L48" s="626"/>
      <c r="M48" s="620"/>
    </row>
    <row r="49" spans="1:13" x14ac:dyDescent="0.25">
      <c r="A49" s="134" t="s">
        <v>346</v>
      </c>
      <c r="B49" s="89" t="s">
        <v>143</v>
      </c>
      <c r="C49" s="71" t="s">
        <v>61</v>
      </c>
      <c r="D49" s="70">
        <v>17</v>
      </c>
      <c r="E49" s="391">
        <v>0</v>
      </c>
      <c r="F49" s="939">
        <f t="shared" si="0"/>
        <v>0</v>
      </c>
      <c r="H49" s="533"/>
      <c r="I49" s="627"/>
      <c r="J49" s="77"/>
      <c r="K49" s="628"/>
      <c r="L49" s="626"/>
      <c r="M49" s="620"/>
    </row>
    <row r="50" spans="1:13" x14ac:dyDescent="0.25">
      <c r="A50" s="134" t="s">
        <v>354</v>
      </c>
      <c r="B50" s="89" t="s">
        <v>144</v>
      </c>
      <c r="C50" s="71" t="s">
        <v>61</v>
      </c>
      <c r="D50" s="70">
        <v>17</v>
      </c>
      <c r="E50" s="391">
        <v>0</v>
      </c>
      <c r="F50" s="939">
        <f t="shared" si="0"/>
        <v>0</v>
      </c>
      <c r="H50" s="533"/>
      <c r="I50" s="627"/>
      <c r="J50" s="77"/>
      <c r="K50" s="628"/>
      <c r="L50" s="626"/>
      <c r="M50" s="620"/>
    </row>
    <row r="51" spans="1:13" x14ac:dyDescent="0.25">
      <c r="A51" s="134" t="s">
        <v>357</v>
      </c>
      <c r="B51" s="89" t="s">
        <v>145</v>
      </c>
      <c r="C51" s="71" t="s">
        <v>61</v>
      </c>
      <c r="D51" s="70">
        <f>60/24</f>
        <v>2.5</v>
      </c>
      <c r="E51" s="391">
        <v>0</v>
      </c>
      <c r="F51" s="939">
        <f t="shared" si="0"/>
        <v>0</v>
      </c>
      <c r="H51" s="533"/>
      <c r="I51" s="627"/>
      <c r="J51" s="77"/>
      <c r="K51" s="628"/>
      <c r="L51" s="626"/>
      <c r="M51" s="620"/>
    </row>
    <row r="52" spans="1:13" x14ac:dyDescent="0.25">
      <c r="A52" s="134" t="s">
        <v>693</v>
      </c>
      <c r="B52" s="89" t="s">
        <v>146</v>
      </c>
      <c r="C52" s="71" t="s">
        <v>61</v>
      </c>
      <c r="D52" s="70">
        <v>40</v>
      </c>
      <c r="E52" s="391">
        <v>0</v>
      </c>
      <c r="F52" s="939">
        <f t="shared" si="0"/>
        <v>0</v>
      </c>
      <c r="H52" s="533"/>
      <c r="I52" s="627"/>
      <c r="J52" s="77"/>
      <c r="K52" s="628"/>
      <c r="L52" s="626"/>
      <c r="M52" s="620"/>
    </row>
    <row r="53" spans="1:13" x14ac:dyDescent="0.25">
      <c r="A53" s="134" t="s">
        <v>696</v>
      </c>
      <c r="B53" s="89" t="s">
        <v>147</v>
      </c>
      <c r="C53" s="71" t="s">
        <v>61</v>
      </c>
      <c r="D53" s="70">
        <f>192/24</f>
        <v>8</v>
      </c>
      <c r="E53" s="391">
        <v>0</v>
      </c>
      <c r="F53" s="939">
        <f t="shared" si="0"/>
        <v>0</v>
      </c>
      <c r="H53" s="533"/>
      <c r="I53" s="627"/>
      <c r="J53" s="77"/>
      <c r="K53" s="628"/>
      <c r="L53" s="626"/>
      <c r="M53" s="620"/>
    </row>
    <row r="54" spans="1:13" ht="12.75" thickBot="1" x14ac:dyDescent="0.3">
      <c r="A54" s="139" t="s">
        <v>697</v>
      </c>
      <c r="B54" s="157" t="s">
        <v>153</v>
      </c>
      <c r="C54" s="80" t="s">
        <v>61</v>
      </c>
      <c r="D54" s="84">
        <v>1</v>
      </c>
      <c r="E54" s="948">
        <v>0</v>
      </c>
      <c r="F54" s="940">
        <f t="shared" si="0"/>
        <v>0</v>
      </c>
      <c r="H54" s="533"/>
      <c r="I54" s="627"/>
      <c r="J54" s="77"/>
      <c r="K54" s="628"/>
      <c r="L54" s="626"/>
      <c r="M54" s="620"/>
    </row>
    <row r="55" spans="1:13" ht="12.75" thickBot="1" x14ac:dyDescent="0.3">
      <c r="A55" s="1839" t="s">
        <v>330</v>
      </c>
      <c r="B55" s="1840"/>
      <c r="C55" s="1840"/>
      <c r="D55" s="1840"/>
      <c r="E55" s="1840"/>
      <c r="F55" s="85">
        <f>SUM(F14:F54)</f>
        <v>0</v>
      </c>
      <c r="H55" s="73"/>
      <c r="I55" s="73"/>
      <c r="J55" s="73"/>
      <c r="K55" s="73"/>
      <c r="L55" s="626"/>
      <c r="M55" s="620"/>
    </row>
    <row r="56" spans="1:13" ht="12.75" thickBot="1" x14ac:dyDescent="0.3">
      <c r="D56" s="8"/>
      <c r="E56" s="8"/>
      <c r="F56" s="8"/>
      <c r="H56" s="73"/>
      <c r="I56" s="73"/>
      <c r="J56" s="73"/>
      <c r="K56" s="73"/>
      <c r="L56" s="626"/>
      <c r="M56" s="620"/>
    </row>
    <row r="57" spans="1:13" ht="12.75" thickBot="1" x14ac:dyDescent="0.3">
      <c r="A57" s="86" t="s">
        <v>100</v>
      </c>
      <c r="B57" s="1838" t="s">
        <v>934</v>
      </c>
      <c r="C57" s="1554"/>
      <c r="D57" s="1554"/>
      <c r="E57" s="1554"/>
      <c r="F57" s="1559"/>
      <c r="H57" s="73"/>
      <c r="I57" s="73"/>
      <c r="J57" s="73"/>
      <c r="K57" s="73"/>
      <c r="L57" s="626"/>
      <c r="M57" s="620"/>
    </row>
    <row r="58" spans="1:13" x14ac:dyDescent="0.25">
      <c r="A58" s="944" t="s">
        <v>81</v>
      </c>
      <c r="B58" s="943" t="s">
        <v>58</v>
      </c>
      <c r="C58" s="11" t="s">
        <v>61</v>
      </c>
      <c r="D58" s="12">
        <f>1/$F$8</f>
        <v>5.5555555555555552E-2</v>
      </c>
      <c r="E58" s="391">
        <v>0</v>
      </c>
      <c r="F58" s="822">
        <f t="shared" ref="F58:F79" si="1">D58*E58</f>
        <v>0</v>
      </c>
      <c r="H58" s="533"/>
      <c r="I58" s="627"/>
      <c r="J58" s="74"/>
      <c r="K58" s="628"/>
      <c r="L58" s="626"/>
      <c r="M58" s="620"/>
    </row>
    <row r="59" spans="1:13" x14ac:dyDescent="0.25">
      <c r="A59" s="945" t="s">
        <v>82</v>
      </c>
      <c r="B59" s="933" t="s">
        <v>69</v>
      </c>
      <c r="C59" s="9" t="s">
        <v>61</v>
      </c>
      <c r="D59" s="10">
        <f>1/$F$8</f>
        <v>5.5555555555555552E-2</v>
      </c>
      <c r="E59" s="391">
        <v>0</v>
      </c>
      <c r="F59" s="939">
        <f t="shared" si="1"/>
        <v>0</v>
      </c>
      <c r="H59" s="533"/>
      <c r="I59" s="627"/>
      <c r="J59" s="74"/>
      <c r="K59" s="628"/>
      <c r="L59" s="626"/>
      <c r="M59" s="620"/>
    </row>
    <row r="60" spans="1:13" x14ac:dyDescent="0.25">
      <c r="A60" s="945" t="s">
        <v>286</v>
      </c>
      <c r="B60" s="632" t="s">
        <v>109</v>
      </c>
      <c r="C60" s="9" t="s">
        <v>61</v>
      </c>
      <c r="D60" s="550">
        <v>10</v>
      </c>
      <c r="E60" s="391">
        <v>0</v>
      </c>
      <c r="F60" s="939">
        <f t="shared" si="1"/>
        <v>0</v>
      </c>
      <c r="H60" s="533"/>
      <c r="I60" s="627"/>
      <c r="J60" s="77"/>
      <c r="K60" s="628"/>
      <c r="L60" s="626"/>
      <c r="M60" s="620"/>
    </row>
    <row r="61" spans="1:13" x14ac:dyDescent="0.25">
      <c r="A61" s="419" t="s">
        <v>287</v>
      </c>
      <c r="B61" s="89" t="s">
        <v>112</v>
      </c>
      <c r="C61" s="9" t="s">
        <v>61</v>
      </c>
      <c r="D61" s="65">
        <v>2</v>
      </c>
      <c r="E61" s="391">
        <v>0</v>
      </c>
      <c r="F61" s="939">
        <f t="shared" si="1"/>
        <v>0</v>
      </c>
      <c r="H61" s="533"/>
      <c r="I61" s="627"/>
      <c r="J61" s="77"/>
      <c r="K61" s="628"/>
      <c r="L61" s="626"/>
      <c r="M61" s="620"/>
    </row>
    <row r="62" spans="1:13" x14ac:dyDescent="0.25">
      <c r="A62" s="419" t="s">
        <v>288</v>
      </c>
      <c r="B62" s="89" t="s">
        <v>113</v>
      </c>
      <c r="C62" s="9" t="s">
        <v>61</v>
      </c>
      <c r="D62" s="65">
        <v>2</v>
      </c>
      <c r="E62" s="391">
        <v>0</v>
      </c>
      <c r="F62" s="939">
        <f t="shared" si="1"/>
        <v>0</v>
      </c>
      <c r="H62" s="533"/>
      <c r="I62" s="627"/>
      <c r="J62" s="77"/>
      <c r="K62" s="628"/>
      <c r="L62" s="626"/>
      <c r="M62" s="620"/>
    </row>
    <row r="63" spans="1:13" x14ac:dyDescent="0.25">
      <c r="A63" s="419" t="s">
        <v>289</v>
      </c>
      <c r="B63" s="89" t="s">
        <v>114</v>
      </c>
      <c r="C63" s="9" t="s">
        <v>61</v>
      </c>
      <c r="D63" s="65">
        <v>30</v>
      </c>
      <c r="E63" s="391">
        <v>0</v>
      </c>
      <c r="F63" s="939">
        <f t="shared" si="1"/>
        <v>0</v>
      </c>
      <c r="H63" s="533"/>
      <c r="I63" s="627"/>
      <c r="J63" s="77"/>
      <c r="K63" s="628"/>
      <c r="L63" s="626"/>
      <c r="M63" s="620"/>
    </row>
    <row r="64" spans="1:13" x14ac:dyDescent="0.25">
      <c r="A64" s="419" t="s">
        <v>290</v>
      </c>
      <c r="B64" s="89" t="s">
        <v>328</v>
      </c>
      <c r="C64" s="71" t="s">
        <v>61</v>
      </c>
      <c r="D64" s="65">
        <v>2</v>
      </c>
      <c r="E64" s="391">
        <v>0</v>
      </c>
      <c r="F64" s="939">
        <f t="shared" si="1"/>
        <v>0</v>
      </c>
      <c r="H64" s="533"/>
      <c r="I64" s="627"/>
      <c r="J64" s="77"/>
      <c r="K64" s="628"/>
      <c r="L64" s="626"/>
      <c r="M64" s="620"/>
    </row>
    <row r="65" spans="1:13" x14ac:dyDescent="0.25">
      <c r="A65" s="419" t="s">
        <v>291</v>
      </c>
      <c r="B65" s="89" t="s">
        <v>326</v>
      </c>
      <c r="C65" s="71" t="s">
        <v>61</v>
      </c>
      <c r="D65" s="65">
        <v>2</v>
      </c>
      <c r="E65" s="70">
        <v>0</v>
      </c>
      <c r="F65" s="939">
        <f t="shared" si="1"/>
        <v>0</v>
      </c>
      <c r="H65" s="533"/>
      <c r="I65" s="627"/>
      <c r="J65" s="77"/>
      <c r="K65" s="628"/>
      <c r="L65" s="626"/>
      <c r="M65" s="620"/>
    </row>
    <row r="66" spans="1:13" x14ac:dyDescent="0.25">
      <c r="A66" s="419" t="s">
        <v>358</v>
      </c>
      <c r="B66" s="89" t="s">
        <v>324</v>
      </c>
      <c r="C66" s="71" t="s">
        <v>61</v>
      </c>
      <c r="D66" s="65">
        <v>1</v>
      </c>
      <c r="E66" s="70">
        <v>0</v>
      </c>
      <c r="F66" s="939">
        <f t="shared" si="1"/>
        <v>0</v>
      </c>
      <c r="H66" s="533"/>
      <c r="I66" s="627"/>
      <c r="J66" s="77"/>
      <c r="K66" s="628"/>
      <c r="L66" s="626"/>
      <c r="M66" s="620"/>
    </row>
    <row r="67" spans="1:13" x14ac:dyDescent="0.25">
      <c r="A67" s="945" t="s">
        <v>359</v>
      </c>
      <c r="B67" s="632" t="s">
        <v>117</v>
      </c>
      <c r="C67" s="619" t="s">
        <v>61</v>
      </c>
      <c r="D67" s="550">
        <v>5</v>
      </c>
      <c r="E67" s="942">
        <v>0</v>
      </c>
      <c r="F67" s="939">
        <f t="shared" si="1"/>
        <v>0</v>
      </c>
      <c r="H67" s="533"/>
      <c r="I67" s="627"/>
      <c r="J67" s="77"/>
      <c r="K67" s="628"/>
      <c r="L67" s="626"/>
      <c r="M67" s="620"/>
    </row>
    <row r="68" spans="1:13" x14ac:dyDescent="0.25">
      <c r="A68" s="945" t="s">
        <v>360</v>
      </c>
      <c r="B68" s="632" t="s">
        <v>118</v>
      </c>
      <c r="C68" s="619" t="s">
        <v>61</v>
      </c>
      <c r="D68" s="550">
        <v>1</v>
      </c>
      <c r="E68" s="942">
        <v>0</v>
      </c>
      <c r="F68" s="939">
        <f t="shared" si="1"/>
        <v>0</v>
      </c>
      <c r="H68" s="533"/>
      <c r="I68" s="627"/>
      <c r="J68" s="77"/>
      <c r="K68" s="628"/>
      <c r="L68" s="626"/>
      <c r="M68" s="620"/>
    </row>
    <row r="69" spans="1:13" x14ac:dyDescent="0.25">
      <c r="A69" s="945" t="s">
        <v>361</v>
      </c>
      <c r="B69" s="632" t="s">
        <v>122</v>
      </c>
      <c r="C69" s="619" t="s">
        <v>61</v>
      </c>
      <c r="D69" s="550">
        <v>20</v>
      </c>
      <c r="E69" s="942">
        <v>0</v>
      </c>
      <c r="F69" s="939">
        <f t="shared" si="1"/>
        <v>0</v>
      </c>
      <c r="H69" s="533"/>
      <c r="I69" s="627"/>
      <c r="J69" s="77"/>
      <c r="K69" s="628"/>
      <c r="L69" s="626"/>
      <c r="M69" s="620"/>
    </row>
    <row r="70" spans="1:13" x14ac:dyDescent="0.25">
      <c r="A70" s="419" t="s">
        <v>362</v>
      </c>
      <c r="B70" s="89" t="s">
        <v>123</v>
      </c>
      <c r="C70" s="71" t="s">
        <v>61</v>
      </c>
      <c r="D70" s="65">
        <v>30</v>
      </c>
      <c r="E70" s="70">
        <v>0</v>
      </c>
      <c r="F70" s="939">
        <f t="shared" si="1"/>
        <v>0</v>
      </c>
      <c r="H70" s="533"/>
      <c r="I70" s="627"/>
      <c r="J70" s="77"/>
      <c r="K70" s="628"/>
      <c r="L70" s="626"/>
      <c r="M70" s="620"/>
    </row>
    <row r="71" spans="1:13" x14ac:dyDescent="0.25">
      <c r="A71" s="419" t="s">
        <v>363</v>
      </c>
      <c r="B71" s="89" t="s">
        <v>128</v>
      </c>
      <c r="C71" s="71" t="s">
        <v>61</v>
      </c>
      <c r="D71" s="65">
        <v>1</v>
      </c>
      <c r="E71" s="70">
        <v>0</v>
      </c>
      <c r="F71" s="939">
        <f t="shared" si="1"/>
        <v>0</v>
      </c>
      <c r="H71" s="533"/>
      <c r="I71" s="627"/>
      <c r="J71" s="77"/>
      <c r="K71" s="628"/>
      <c r="L71" s="626"/>
      <c r="M71" s="620"/>
    </row>
    <row r="72" spans="1:13" x14ac:dyDescent="0.25">
      <c r="A72" s="419" t="s">
        <v>364</v>
      </c>
      <c r="B72" s="89" t="s">
        <v>353</v>
      </c>
      <c r="C72" s="71" t="s">
        <v>61</v>
      </c>
      <c r="D72" s="10">
        <f>8/$F$8</f>
        <v>0.44444444444444442</v>
      </c>
      <c r="E72" s="70">
        <v>0</v>
      </c>
      <c r="F72" s="939">
        <f t="shared" si="1"/>
        <v>0</v>
      </c>
      <c r="H72" s="533"/>
      <c r="I72" s="627"/>
      <c r="J72" s="77"/>
      <c r="K72" s="628"/>
      <c r="L72" s="626"/>
      <c r="M72" s="620"/>
    </row>
    <row r="73" spans="1:13" x14ac:dyDescent="0.25">
      <c r="A73" s="419" t="s">
        <v>365</v>
      </c>
      <c r="B73" s="632" t="s">
        <v>355</v>
      </c>
      <c r="C73" s="71" t="s">
        <v>61</v>
      </c>
      <c r="D73" s="10">
        <f>2/$F$8</f>
        <v>0.1111111111111111</v>
      </c>
      <c r="E73" s="70">
        <v>0</v>
      </c>
      <c r="F73" s="939">
        <f t="shared" si="1"/>
        <v>0</v>
      </c>
      <c r="H73" s="533"/>
      <c r="I73" s="627"/>
      <c r="J73" s="77"/>
      <c r="K73" s="628"/>
      <c r="L73" s="626"/>
      <c r="M73" s="620"/>
    </row>
    <row r="74" spans="1:13" x14ac:dyDescent="0.25">
      <c r="A74" s="419" t="s">
        <v>366</v>
      </c>
      <c r="B74" s="632" t="s">
        <v>323</v>
      </c>
      <c r="C74" s="619" t="s">
        <v>61</v>
      </c>
      <c r="D74" s="550">
        <v>1</v>
      </c>
      <c r="E74" s="942">
        <v>0</v>
      </c>
      <c r="F74" s="939">
        <f t="shared" si="1"/>
        <v>0</v>
      </c>
      <c r="H74" s="533"/>
      <c r="I74" s="627"/>
      <c r="J74" s="77"/>
      <c r="K74" s="628"/>
      <c r="L74" s="626"/>
      <c r="M74" s="620"/>
    </row>
    <row r="75" spans="1:13" x14ac:dyDescent="0.25">
      <c r="A75" s="419" t="s">
        <v>367</v>
      </c>
      <c r="B75" s="632" t="s">
        <v>954</v>
      </c>
      <c r="C75" s="619" t="s">
        <v>61</v>
      </c>
      <c r="D75" s="550">
        <f>1/4</f>
        <v>0.25</v>
      </c>
      <c r="E75" s="942">
        <v>0</v>
      </c>
      <c r="F75" s="939">
        <f t="shared" si="1"/>
        <v>0</v>
      </c>
      <c r="H75" s="533"/>
      <c r="I75" s="627"/>
      <c r="J75" s="77"/>
      <c r="K75" s="628"/>
      <c r="L75" s="626"/>
      <c r="M75" s="620"/>
    </row>
    <row r="76" spans="1:13" x14ac:dyDescent="0.25">
      <c r="A76" s="419" t="s">
        <v>368</v>
      </c>
      <c r="B76" s="89" t="s">
        <v>132</v>
      </c>
      <c r="C76" s="619" t="s">
        <v>61</v>
      </c>
      <c r="D76" s="550">
        <v>10</v>
      </c>
      <c r="E76" s="942">
        <v>0</v>
      </c>
      <c r="F76" s="939">
        <f t="shared" si="1"/>
        <v>0</v>
      </c>
      <c r="H76" s="533"/>
      <c r="I76" s="627"/>
      <c r="J76" s="77"/>
      <c r="K76" s="628"/>
      <c r="L76" s="626"/>
      <c r="M76" s="620"/>
    </row>
    <row r="77" spans="1:13" x14ac:dyDescent="0.25">
      <c r="A77" s="419" t="s">
        <v>369</v>
      </c>
      <c r="B77" s="89" t="s">
        <v>135</v>
      </c>
      <c r="C77" s="71" t="s">
        <v>61</v>
      </c>
      <c r="D77" s="65">
        <v>3</v>
      </c>
      <c r="E77" s="70">
        <v>0</v>
      </c>
      <c r="F77" s="939">
        <f t="shared" si="1"/>
        <v>0</v>
      </c>
      <c r="H77" s="533"/>
      <c r="I77" s="627"/>
      <c r="J77" s="77"/>
      <c r="K77" s="628"/>
      <c r="L77" s="626"/>
      <c r="M77" s="620"/>
    </row>
    <row r="78" spans="1:13" x14ac:dyDescent="0.25">
      <c r="A78" s="419" t="s">
        <v>370</v>
      </c>
      <c r="B78" s="89" t="s">
        <v>145</v>
      </c>
      <c r="C78" s="71" t="s">
        <v>61</v>
      </c>
      <c r="D78" s="65">
        <v>1</v>
      </c>
      <c r="E78" s="70">
        <v>0</v>
      </c>
      <c r="F78" s="939">
        <f t="shared" si="1"/>
        <v>0</v>
      </c>
      <c r="H78" s="533"/>
      <c r="I78" s="627"/>
      <c r="J78" s="77"/>
      <c r="K78" s="628"/>
      <c r="L78" s="626"/>
      <c r="M78" s="620"/>
    </row>
    <row r="79" spans="1:13" ht="12.75" thickBot="1" x14ac:dyDescent="0.3">
      <c r="A79" s="946" t="s">
        <v>371</v>
      </c>
      <c r="B79" s="89" t="s">
        <v>146</v>
      </c>
      <c r="C79" s="71" t="s">
        <v>61</v>
      </c>
      <c r="D79" s="65">
        <v>8</v>
      </c>
      <c r="E79" s="72">
        <v>0</v>
      </c>
      <c r="F79" s="940">
        <f t="shared" si="1"/>
        <v>0</v>
      </c>
      <c r="H79" s="533"/>
      <c r="I79" s="627"/>
      <c r="J79" s="77"/>
      <c r="K79" s="628"/>
      <c r="L79" s="626"/>
      <c r="M79" s="620"/>
    </row>
    <row r="80" spans="1:13" ht="12.75" thickBot="1" x14ac:dyDescent="0.3">
      <c r="A80" s="1846" t="s">
        <v>330</v>
      </c>
      <c r="B80" s="1840"/>
      <c r="C80" s="1840"/>
      <c r="D80" s="1840"/>
      <c r="E80" s="1840"/>
      <c r="F80" s="83">
        <f>SUM(F58:F79)</f>
        <v>0</v>
      </c>
      <c r="H80" s="73"/>
      <c r="I80" s="73"/>
      <c r="J80" s="73"/>
      <c r="K80" s="73"/>
      <c r="L80" s="626"/>
      <c r="M80" s="620"/>
    </row>
    <row r="81" spans="1:13" ht="12.75" thickBot="1" x14ac:dyDescent="0.3">
      <c r="D81" s="8"/>
      <c r="E81" s="8"/>
      <c r="F81" s="8"/>
      <c r="H81" s="73"/>
      <c r="I81" s="73"/>
      <c r="J81" s="73"/>
      <c r="K81" s="73"/>
      <c r="L81" s="626"/>
      <c r="M81" s="620"/>
    </row>
    <row r="82" spans="1:13" ht="12.75" thickBot="1" x14ac:dyDescent="0.3">
      <c r="A82" s="86" t="s">
        <v>101</v>
      </c>
      <c r="B82" s="1838" t="s">
        <v>374</v>
      </c>
      <c r="C82" s="1554"/>
      <c r="D82" s="1554"/>
      <c r="E82" s="1554"/>
      <c r="F82" s="1559"/>
      <c r="H82" s="73"/>
      <c r="I82" s="73"/>
      <c r="J82" s="73"/>
      <c r="K82" s="73"/>
      <c r="L82" s="626"/>
      <c r="M82" s="620"/>
    </row>
    <row r="83" spans="1:13" x14ac:dyDescent="0.25">
      <c r="A83" s="90" t="s">
        <v>83</v>
      </c>
      <c r="B83" s="88" t="s">
        <v>103</v>
      </c>
      <c r="C83" s="81" t="s">
        <v>104</v>
      </c>
      <c r="D83" s="99">
        <f>5*4</f>
        <v>20</v>
      </c>
      <c r="E83" s="391">
        <v>0</v>
      </c>
      <c r="F83" s="937">
        <f t="shared" ref="F83:F103" si="2">D83*E83</f>
        <v>0</v>
      </c>
      <c r="H83" s="73"/>
      <c r="I83" s="629"/>
      <c r="J83" s="77"/>
      <c r="K83" s="628"/>
      <c r="L83" s="626"/>
      <c r="M83" s="620"/>
    </row>
    <row r="84" spans="1:13" x14ac:dyDescent="0.25">
      <c r="A84" s="91" t="s">
        <v>84</v>
      </c>
      <c r="B84" s="89" t="s">
        <v>105</v>
      </c>
      <c r="C84" s="71" t="s">
        <v>106</v>
      </c>
      <c r="D84" s="65">
        <f>((70*2*22)/20)</f>
        <v>154</v>
      </c>
      <c r="E84" s="70">
        <v>0</v>
      </c>
      <c r="F84" s="930">
        <f t="shared" si="2"/>
        <v>0</v>
      </c>
      <c r="H84" s="73"/>
      <c r="I84" s="629"/>
      <c r="J84" s="77"/>
      <c r="K84" s="628"/>
      <c r="L84" s="626"/>
      <c r="M84" s="620"/>
    </row>
    <row r="85" spans="1:13" x14ac:dyDescent="0.25">
      <c r="A85" s="91" t="s">
        <v>257</v>
      </c>
      <c r="B85" s="89" t="s">
        <v>107</v>
      </c>
      <c r="C85" s="71" t="s">
        <v>102</v>
      </c>
      <c r="D85" s="65">
        <f>4*4</f>
        <v>16</v>
      </c>
      <c r="E85" s="70">
        <v>0</v>
      </c>
      <c r="F85" s="930">
        <f t="shared" si="2"/>
        <v>0</v>
      </c>
      <c r="H85" s="73"/>
      <c r="I85" s="629"/>
      <c r="J85" s="77"/>
      <c r="K85" s="628"/>
      <c r="L85" s="626"/>
      <c r="M85" s="620"/>
    </row>
    <row r="86" spans="1:13" x14ac:dyDescent="0.25">
      <c r="A86" s="91" t="s">
        <v>258</v>
      </c>
      <c r="B86" s="89" t="s">
        <v>108</v>
      </c>
      <c r="C86" s="71" t="s">
        <v>104</v>
      </c>
      <c r="D86" s="65">
        <f>4*4</f>
        <v>16</v>
      </c>
      <c r="E86" s="942">
        <v>0</v>
      </c>
      <c r="F86" s="930">
        <f t="shared" si="2"/>
        <v>0</v>
      </c>
      <c r="H86" s="73"/>
      <c r="I86" s="629"/>
      <c r="J86" s="77"/>
      <c r="K86" s="628"/>
      <c r="L86" s="626"/>
      <c r="M86" s="620"/>
    </row>
    <row r="87" spans="1:13" x14ac:dyDescent="0.25">
      <c r="A87" s="91" t="s">
        <v>313</v>
      </c>
      <c r="B87" s="89" t="s">
        <v>115</v>
      </c>
      <c r="C87" s="71" t="s">
        <v>102</v>
      </c>
      <c r="D87" s="65">
        <f>1*4</f>
        <v>4</v>
      </c>
      <c r="E87" s="942">
        <v>0</v>
      </c>
      <c r="F87" s="930">
        <f t="shared" si="2"/>
        <v>0</v>
      </c>
      <c r="H87" s="73"/>
      <c r="I87" s="629"/>
      <c r="J87" s="77"/>
      <c r="K87" s="628"/>
      <c r="L87" s="626"/>
      <c r="M87" s="620"/>
    </row>
    <row r="88" spans="1:13" x14ac:dyDescent="0.25">
      <c r="A88" s="91" t="s">
        <v>372</v>
      </c>
      <c r="B88" s="89" t="s">
        <v>347</v>
      </c>
      <c r="C88" s="9" t="s">
        <v>61</v>
      </c>
      <c r="D88" s="65">
        <v>40</v>
      </c>
      <c r="E88" s="942">
        <v>0</v>
      </c>
      <c r="F88" s="930">
        <f t="shared" si="2"/>
        <v>0</v>
      </c>
      <c r="H88" s="73"/>
      <c r="I88" s="629"/>
      <c r="J88" s="77"/>
      <c r="K88" s="628"/>
      <c r="L88" s="626"/>
      <c r="M88" s="620"/>
    </row>
    <row r="89" spans="1:13" x14ac:dyDescent="0.25">
      <c r="A89" s="91" t="s">
        <v>373</v>
      </c>
      <c r="B89" s="89" t="s">
        <v>348</v>
      </c>
      <c r="C89" s="9" t="s">
        <v>61</v>
      </c>
      <c r="D89" s="65">
        <v>40</v>
      </c>
      <c r="E89" s="70">
        <v>0</v>
      </c>
      <c r="F89" s="930">
        <f t="shared" si="2"/>
        <v>0</v>
      </c>
      <c r="H89" s="73"/>
      <c r="I89" s="629"/>
      <c r="J89" s="77"/>
      <c r="K89" s="628"/>
      <c r="L89" s="626"/>
      <c r="M89" s="620"/>
    </row>
    <row r="90" spans="1:13" x14ac:dyDescent="0.25">
      <c r="A90" s="91" t="s">
        <v>375</v>
      </c>
      <c r="B90" s="89" t="s">
        <v>119</v>
      </c>
      <c r="C90" s="71" t="s">
        <v>102</v>
      </c>
      <c r="D90" s="65">
        <f>2*4</f>
        <v>8</v>
      </c>
      <c r="E90" s="70">
        <v>0</v>
      </c>
      <c r="F90" s="930">
        <f t="shared" si="2"/>
        <v>0</v>
      </c>
      <c r="H90" s="73"/>
      <c r="I90" s="629"/>
      <c r="J90" s="77"/>
      <c r="K90" s="628"/>
      <c r="L90" s="626"/>
      <c r="M90" s="620"/>
    </row>
    <row r="91" spans="1:13" x14ac:dyDescent="0.25">
      <c r="A91" s="91" t="s">
        <v>376</v>
      </c>
      <c r="B91" s="89" t="s">
        <v>120</v>
      </c>
      <c r="C91" s="71" t="s">
        <v>102</v>
      </c>
      <c r="D91" s="65">
        <f>2*4</f>
        <v>8</v>
      </c>
      <c r="E91" s="70">
        <v>0</v>
      </c>
      <c r="F91" s="930">
        <f t="shared" si="2"/>
        <v>0</v>
      </c>
      <c r="H91" s="73"/>
      <c r="I91" s="629"/>
      <c r="J91" s="77"/>
      <c r="K91" s="628"/>
      <c r="L91" s="626"/>
      <c r="M91" s="620"/>
    </row>
    <row r="92" spans="1:13" x14ac:dyDescent="0.25">
      <c r="A92" s="91" t="s">
        <v>377</v>
      </c>
      <c r="B92" s="89" t="s">
        <v>121</v>
      </c>
      <c r="C92" s="71" t="s">
        <v>102</v>
      </c>
      <c r="D92" s="65">
        <f>2*4</f>
        <v>8</v>
      </c>
      <c r="E92" s="70">
        <v>0</v>
      </c>
      <c r="F92" s="930">
        <f t="shared" si="2"/>
        <v>0</v>
      </c>
      <c r="H92" s="73"/>
      <c r="I92" s="629"/>
      <c r="J92" s="77"/>
      <c r="K92" s="628"/>
      <c r="L92" s="626"/>
      <c r="M92" s="620"/>
    </row>
    <row r="93" spans="1:13" x14ac:dyDescent="0.25">
      <c r="A93" s="91" t="s">
        <v>378</v>
      </c>
      <c r="B93" s="89" t="s">
        <v>126</v>
      </c>
      <c r="C93" s="71" t="s">
        <v>102</v>
      </c>
      <c r="D93" s="65">
        <f>2*4</f>
        <v>8</v>
      </c>
      <c r="E93" s="942">
        <v>0</v>
      </c>
      <c r="F93" s="930">
        <f t="shared" si="2"/>
        <v>0</v>
      </c>
      <c r="H93" s="73"/>
      <c r="I93" s="629"/>
      <c r="J93" s="77"/>
      <c r="K93" s="628"/>
      <c r="L93" s="626"/>
      <c r="M93" s="620"/>
    </row>
    <row r="94" spans="1:13" x14ac:dyDescent="0.25">
      <c r="A94" s="91" t="s">
        <v>379</v>
      </c>
      <c r="B94" s="89" t="s">
        <v>131</v>
      </c>
      <c r="C94" s="71" t="s">
        <v>102</v>
      </c>
      <c r="D94" s="65">
        <v>10</v>
      </c>
      <c r="E94" s="942">
        <v>0</v>
      </c>
      <c r="F94" s="930">
        <f t="shared" si="2"/>
        <v>0</v>
      </c>
      <c r="H94" s="73"/>
      <c r="I94" s="629"/>
      <c r="J94" s="77"/>
      <c r="K94" s="628"/>
      <c r="L94" s="626"/>
      <c r="M94" s="620"/>
    </row>
    <row r="95" spans="1:13" x14ac:dyDescent="0.25">
      <c r="A95" s="91" t="s">
        <v>380</v>
      </c>
      <c r="B95" s="89" t="s">
        <v>138</v>
      </c>
      <c r="C95" s="71" t="s">
        <v>102</v>
      </c>
      <c r="D95" s="65">
        <v>2</v>
      </c>
      <c r="E95" s="70">
        <v>0</v>
      </c>
      <c r="F95" s="930">
        <f t="shared" si="2"/>
        <v>0</v>
      </c>
      <c r="H95" s="73"/>
      <c r="I95" s="629"/>
      <c r="J95" s="77"/>
      <c r="K95" s="628"/>
      <c r="L95" s="626"/>
      <c r="M95" s="620"/>
    </row>
    <row r="96" spans="1:13" x14ac:dyDescent="0.25">
      <c r="A96" s="91" t="s">
        <v>381</v>
      </c>
      <c r="B96" s="89" t="s">
        <v>139</v>
      </c>
      <c r="C96" s="71" t="s">
        <v>102</v>
      </c>
      <c r="D96" s="65">
        <v>8</v>
      </c>
      <c r="E96" s="70">
        <v>0</v>
      </c>
      <c r="F96" s="930">
        <f t="shared" si="2"/>
        <v>0</v>
      </c>
      <c r="H96" s="73"/>
      <c r="I96" s="629"/>
      <c r="J96" s="77"/>
      <c r="K96" s="628"/>
      <c r="L96" s="626"/>
      <c r="M96" s="620"/>
    </row>
    <row r="97" spans="1:13" x14ac:dyDescent="0.25">
      <c r="A97" s="91" t="s">
        <v>382</v>
      </c>
      <c r="B97" s="89" t="s">
        <v>140</v>
      </c>
      <c r="C97" s="71" t="s">
        <v>141</v>
      </c>
      <c r="D97" s="65">
        <v>6</v>
      </c>
      <c r="E97" s="70">
        <v>0</v>
      </c>
      <c r="F97" s="930">
        <f t="shared" si="2"/>
        <v>0</v>
      </c>
      <c r="H97" s="73"/>
      <c r="I97" s="629"/>
      <c r="J97" s="77"/>
      <c r="K97" s="628"/>
      <c r="L97" s="626"/>
      <c r="M97" s="620"/>
    </row>
    <row r="98" spans="1:13" x14ac:dyDescent="0.25">
      <c r="A98" s="91" t="s">
        <v>383</v>
      </c>
      <c r="B98" s="89" t="s">
        <v>142</v>
      </c>
      <c r="C98" s="71" t="s">
        <v>102</v>
      </c>
      <c r="D98" s="65">
        <v>5</v>
      </c>
      <c r="E98" s="942">
        <v>0</v>
      </c>
      <c r="F98" s="930">
        <f t="shared" si="2"/>
        <v>0</v>
      </c>
      <c r="H98" s="73"/>
      <c r="I98" s="629"/>
      <c r="J98" s="77"/>
      <c r="K98" s="628"/>
      <c r="L98" s="626"/>
      <c r="M98" s="620"/>
    </row>
    <row r="99" spans="1:13" x14ac:dyDescent="0.25">
      <c r="A99" s="91" t="s">
        <v>384</v>
      </c>
      <c r="B99" s="89" t="s">
        <v>148</v>
      </c>
      <c r="C99" s="71" t="s">
        <v>141</v>
      </c>
      <c r="D99" s="65">
        <f>30*4</f>
        <v>120</v>
      </c>
      <c r="E99" s="942">
        <v>0</v>
      </c>
      <c r="F99" s="930">
        <f t="shared" si="2"/>
        <v>0</v>
      </c>
      <c r="H99" s="73"/>
      <c r="I99" s="629"/>
      <c r="J99" s="77"/>
      <c r="K99" s="628"/>
      <c r="L99" s="626"/>
      <c r="M99" s="620"/>
    </row>
    <row r="100" spans="1:13" x14ac:dyDescent="0.25">
      <c r="A100" s="91" t="s">
        <v>385</v>
      </c>
      <c r="B100" s="89" t="s">
        <v>149</v>
      </c>
      <c r="C100" s="71" t="s">
        <v>102</v>
      </c>
      <c r="D100" s="65">
        <f>2*4</f>
        <v>8</v>
      </c>
      <c r="E100" s="70">
        <v>0</v>
      </c>
      <c r="F100" s="930">
        <f t="shared" si="2"/>
        <v>0</v>
      </c>
      <c r="H100" s="73"/>
      <c r="I100" s="629"/>
      <c r="J100" s="77"/>
      <c r="K100" s="628"/>
      <c r="L100" s="626"/>
      <c r="M100" s="620"/>
    </row>
    <row r="101" spans="1:13" x14ac:dyDescent="0.25">
      <c r="A101" s="91" t="s">
        <v>386</v>
      </c>
      <c r="B101" s="89" t="s">
        <v>150</v>
      </c>
      <c r="C101" s="71" t="s">
        <v>102</v>
      </c>
      <c r="D101" s="65">
        <v>5</v>
      </c>
      <c r="E101" s="70">
        <v>0</v>
      </c>
      <c r="F101" s="930">
        <f t="shared" si="2"/>
        <v>0</v>
      </c>
      <c r="H101" s="73"/>
      <c r="I101" s="629"/>
      <c r="J101" s="77"/>
      <c r="K101" s="628"/>
      <c r="L101" s="626"/>
      <c r="M101" s="620"/>
    </row>
    <row r="102" spans="1:13" x14ac:dyDescent="0.25">
      <c r="A102" s="91" t="s">
        <v>387</v>
      </c>
      <c r="B102" s="89" t="s">
        <v>151</v>
      </c>
      <c r="C102" s="71" t="s">
        <v>102</v>
      </c>
      <c r="D102" s="65">
        <v>3</v>
      </c>
      <c r="E102" s="70">
        <v>0</v>
      </c>
      <c r="F102" s="930">
        <f t="shared" si="2"/>
        <v>0</v>
      </c>
      <c r="H102" s="73"/>
      <c r="I102" s="629"/>
      <c r="J102" s="77"/>
      <c r="K102" s="628"/>
      <c r="L102" s="626"/>
      <c r="M102" s="620"/>
    </row>
    <row r="103" spans="1:13" ht="12.75" thickBot="1" x14ac:dyDescent="0.3">
      <c r="A103" s="92" t="s">
        <v>388</v>
      </c>
      <c r="B103" s="89" t="s">
        <v>152</v>
      </c>
      <c r="C103" s="71" t="s">
        <v>102</v>
      </c>
      <c r="D103" s="65">
        <v>10</v>
      </c>
      <c r="E103" s="942">
        <v>0</v>
      </c>
      <c r="F103" s="941">
        <f t="shared" si="2"/>
        <v>0</v>
      </c>
      <c r="H103" s="73"/>
      <c r="I103" s="629"/>
      <c r="J103" s="77"/>
      <c r="K103" s="628"/>
      <c r="L103" s="626"/>
      <c r="M103" s="620"/>
    </row>
    <row r="104" spans="1:13" ht="12.75" thickBot="1" x14ac:dyDescent="0.3">
      <c r="A104" s="1846" t="s">
        <v>330</v>
      </c>
      <c r="B104" s="1840"/>
      <c r="C104" s="1840"/>
      <c r="D104" s="1840"/>
      <c r="E104" s="1840"/>
      <c r="F104" s="85">
        <f>SUM(F83:F103)</f>
        <v>0</v>
      </c>
      <c r="H104" s="73"/>
      <c r="I104" s="73"/>
      <c r="J104" s="73"/>
      <c r="K104" s="73"/>
      <c r="L104" s="626"/>
      <c r="M104" s="620"/>
    </row>
    <row r="105" spans="1:13" ht="12.75" thickBot="1" x14ac:dyDescent="0.3">
      <c r="A105" s="93"/>
      <c r="B105" s="93"/>
      <c r="C105" s="93"/>
      <c r="D105" s="168"/>
      <c r="E105" s="168"/>
      <c r="F105" s="94"/>
      <c r="H105" s="73"/>
      <c r="I105" s="73"/>
      <c r="J105" s="73"/>
      <c r="K105" s="73"/>
      <c r="L105" s="626"/>
      <c r="M105" s="620"/>
    </row>
    <row r="106" spans="1:13" ht="12.75" thickBot="1" x14ac:dyDescent="0.3">
      <c r="A106" s="86" t="s">
        <v>260</v>
      </c>
      <c r="B106" s="1838" t="s">
        <v>855</v>
      </c>
      <c r="C106" s="1554"/>
      <c r="D106" s="1554"/>
      <c r="E106" s="1554"/>
      <c r="F106" s="1559"/>
      <c r="H106" s="73"/>
      <c r="I106" s="73"/>
      <c r="J106" s="73"/>
      <c r="K106" s="73"/>
      <c r="L106" s="626"/>
      <c r="M106" s="620"/>
    </row>
    <row r="107" spans="1:13" x14ac:dyDescent="0.25">
      <c r="A107" s="1909" t="s">
        <v>85</v>
      </c>
      <c r="B107" s="420" t="s">
        <v>103</v>
      </c>
      <c r="C107" s="1910" t="s">
        <v>104</v>
      </c>
      <c r="D107" s="1911">
        <v>5</v>
      </c>
      <c r="E107" s="69">
        <v>0</v>
      </c>
      <c r="F107" s="1912">
        <f t="shared" ref="F107:F127" si="3">D107*E107</f>
        <v>0</v>
      </c>
      <c r="H107" s="73"/>
      <c r="I107" s="629"/>
      <c r="J107" s="77"/>
      <c r="K107" s="628"/>
      <c r="L107" s="626"/>
      <c r="M107" s="620"/>
    </row>
    <row r="108" spans="1:13" x14ac:dyDescent="0.25">
      <c r="A108" s="91" t="s">
        <v>86</v>
      </c>
      <c r="B108" s="89" t="s">
        <v>105</v>
      </c>
      <c r="C108" s="71" t="s">
        <v>106</v>
      </c>
      <c r="D108" s="65">
        <v>5</v>
      </c>
      <c r="E108" s="942">
        <v>0</v>
      </c>
      <c r="F108" s="930">
        <f t="shared" si="3"/>
        <v>0</v>
      </c>
      <c r="H108" s="73"/>
      <c r="I108" s="629"/>
      <c r="J108" s="77"/>
      <c r="K108" s="628"/>
      <c r="L108" s="626"/>
      <c r="M108" s="620"/>
    </row>
    <row r="109" spans="1:13" x14ac:dyDescent="0.25">
      <c r="A109" s="91" t="s">
        <v>261</v>
      </c>
      <c r="B109" s="89" t="s">
        <v>107</v>
      </c>
      <c r="C109" s="71" t="s">
        <v>102</v>
      </c>
      <c r="D109" s="65">
        <v>1</v>
      </c>
      <c r="E109" s="942">
        <v>0</v>
      </c>
      <c r="F109" s="930">
        <f t="shared" si="3"/>
        <v>0</v>
      </c>
      <c r="H109" s="73"/>
      <c r="I109" s="629"/>
      <c r="J109" s="77"/>
      <c r="K109" s="628"/>
      <c r="L109" s="626"/>
      <c r="M109" s="620"/>
    </row>
    <row r="110" spans="1:13" x14ac:dyDescent="0.25">
      <c r="A110" s="91" t="s">
        <v>262</v>
      </c>
      <c r="B110" s="89" t="s">
        <v>108</v>
      </c>
      <c r="C110" s="71" t="s">
        <v>104</v>
      </c>
      <c r="D110" s="65">
        <v>4</v>
      </c>
      <c r="E110" s="942">
        <v>0</v>
      </c>
      <c r="F110" s="930">
        <f t="shared" si="3"/>
        <v>0</v>
      </c>
      <c r="H110" s="73"/>
      <c r="I110" s="629"/>
      <c r="J110" s="77"/>
      <c r="K110" s="628"/>
      <c r="L110" s="626"/>
      <c r="M110" s="620"/>
    </row>
    <row r="111" spans="1:13" x14ac:dyDescent="0.25">
      <c r="A111" s="91" t="s">
        <v>263</v>
      </c>
      <c r="B111" s="89" t="s">
        <v>115</v>
      </c>
      <c r="C111" s="71" t="s">
        <v>102</v>
      </c>
      <c r="D111" s="65">
        <v>1</v>
      </c>
      <c r="E111" s="70">
        <v>0</v>
      </c>
      <c r="F111" s="930">
        <f t="shared" si="3"/>
        <v>0</v>
      </c>
      <c r="H111" s="73"/>
      <c r="I111" s="629"/>
      <c r="J111" s="77"/>
      <c r="K111" s="628"/>
      <c r="L111" s="626"/>
      <c r="M111" s="620"/>
    </row>
    <row r="112" spans="1:13" x14ac:dyDescent="0.25">
      <c r="A112" s="91" t="s">
        <v>389</v>
      </c>
      <c r="B112" s="89" t="s">
        <v>347</v>
      </c>
      <c r="C112" s="9" t="s">
        <v>61</v>
      </c>
      <c r="D112" s="65">
        <v>2</v>
      </c>
      <c r="E112" s="70">
        <v>0</v>
      </c>
      <c r="F112" s="930">
        <f t="shared" si="3"/>
        <v>0</v>
      </c>
      <c r="H112" s="73"/>
      <c r="I112" s="629"/>
      <c r="J112" s="77"/>
      <c r="K112" s="628"/>
      <c r="L112" s="626"/>
      <c r="M112" s="620"/>
    </row>
    <row r="113" spans="1:13" x14ac:dyDescent="0.25">
      <c r="A113" s="91" t="s">
        <v>390</v>
      </c>
      <c r="B113" s="89" t="s">
        <v>348</v>
      </c>
      <c r="C113" s="9" t="s">
        <v>61</v>
      </c>
      <c r="D113" s="65">
        <v>2</v>
      </c>
      <c r="E113" s="70">
        <v>0</v>
      </c>
      <c r="F113" s="930">
        <f t="shared" si="3"/>
        <v>0</v>
      </c>
      <c r="H113" s="73"/>
      <c r="I113" s="629"/>
      <c r="J113" s="77"/>
      <c r="K113" s="628"/>
      <c r="L113" s="626"/>
      <c r="M113" s="620"/>
    </row>
    <row r="114" spans="1:13" x14ac:dyDescent="0.25">
      <c r="A114" s="91" t="s">
        <v>391</v>
      </c>
      <c r="B114" s="89" t="s">
        <v>405</v>
      </c>
      <c r="C114" s="71" t="s">
        <v>102</v>
      </c>
      <c r="D114" s="65">
        <v>2</v>
      </c>
      <c r="E114" s="70">
        <v>0</v>
      </c>
      <c r="F114" s="930">
        <f t="shared" si="3"/>
        <v>0</v>
      </c>
      <c r="H114" s="73"/>
      <c r="I114" s="629"/>
      <c r="J114" s="77"/>
      <c r="K114" s="628"/>
      <c r="L114" s="626"/>
      <c r="M114" s="620"/>
    </row>
    <row r="115" spans="1:13" x14ac:dyDescent="0.25">
      <c r="A115" s="91" t="s">
        <v>392</v>
      </c>
      <c r="B115" s="89" t="s">
        <v>120</v>
      </c>
      <c r="C115" s="71" t="s">
        <v>102</v>
      </c>
      <c r="D115" s="65">
        <v>2</v>
      </c>
      <c r="E115" s="942">
        <v>0</v>
      </c>
      <c r="F115" s="930">
        <f t="shared" si="3"/>
        <v>0</v>
      </c>
      <c r="H115" s="73"/>
      <c r="I115" s="629"/>
      <c r="J115" s="77"/>
      <c r="K115" s="628"/>
      <c r="L115" s="626"/>
      <c r="M115" s="620"/>
    </row>
    <row r="116" spans="1:13" x14ac:dyDescent="0.25">
      <c r="A116" s="91" t="s">
        <v>393</v>
      </c>
      <c r="B116" s="89" t="s">
        <v>121</v>
      </c>
      <c r="C116" s="71" t="s">
        <v>102</v>
      </c>
      <c r="D116" s="65">
        <v>2</v>
      </c>
      <c r="E116" s="942">
        <v>0</v>
      </c>
      <c r="F116" s="930">
        <f t="shared" si="3"/>
        <v>0</v>
      </c>
      <c r="H116" s="73"/>
      <c r="I116" s="629"/>
      <c r="J116" s="77"/>
      <c r="K116" s="628"/>
      <c r="L116" s="626"/>
      <c r="M116" s="620"/>
    </row>
    <row r="117" spans="1:13" x14ac:dyDescent="0.25">
      <c r="A117" s="91" t="s">
        <v>394</v>
      </c>
      <c r="B117" s="89" t="s">
        <v>126</v>
      </c>
      <c r="C117" s="71" t="s">
        <v>102</v>
      </c>
      <c r="D117" s="65">
        <v>1</v>
      </c>
      <c r="E117" s="70">
        <v>0</v>
      </c>
      <c r="F117" s="930">
        <f t="shared" si="3"/>
        <v>0</v>
      </c>
      <c r="H117" s="73"/>
      <c r="I117" s="629"/>
      <c r="J117" s="77"/>
      <c r="K117" s="628"/>
      <c r="L117" s="626"/>
      <c r="M117" s="620"/>
    </row>
    <row r="118" spans="1:13" x14ac:dyDescent="0.25">
      <c r="A118" s="91" t="s">
        <v>395</v>
      </c>
      <c r="B118" s="89" t="s">
        <v>131</v>
      </c>
      <c r="C118" s="71" t="s">
        <v>102</v>
      </c>
      <c r="D118" s="65">
        <v>2</v>
      </c>
      <c r="E118" s="70">
        <v>0</v>
      </c>
      <c r="F118" s="930">
        <f t="shared" si="3"/>
        <v>0</v>
      </c>
      <c r="H118" s="73"/>
      <c r="I118" s="629"/>
      <c r="J118" s="77"/>
      <c r="K118" s="628"/>
      <c r="L118" s="626"/>
      <c r="M118" s="620"/>
    </row>
    <row r="119" spans="1:13" x14ac:dyDescent="0.25">
      <c r="A119" s="91" t="s">
        <v>396</v>
      </c>
      <c r="B119" s="89" t="s">
        <v>138</v>
      </c>
      <c r="C119" s="71" t="s">
        <v>102</v>
      </c>
      <c r="D119" s="65">
        <f>1*4</f>
        <v>4</v>
      </c>
      <c r="E119" s="70">
        <v>0</v>
      </c>
      <c r="F119" s="930">
        <f t="shared" si="3"/>
        <v>0</v>
      </c>
      <c r="H119" s="73"/>
      <c r="I119" s="629"/>
      <c r="J119" s="77"/>
      <c r="K119" s="628"/>
      <c r="L119" s="626"/>
      <c r="M119" s="620"/>
    </row>
    <row r="120" spans="1:13" x14ac:dyDescent="0.25">
      <c r="A120" s="91" t="s">
        <v>397</v>
      </c>
      <c r="B120" s="89" t="s">
        <v>139</v>
      </c>
      <c r="C120" s="71" t="s">
        <v>102</v>
      </c>
      <c r="D120" s="65">
        <f>1*4</f>
        <v>4</v>
      </c>
      <c r="E120" s="942">
        <v>0</v>
      </c>
      <c r="F120" s="930">
        <f t="shared" si="3"/>
        <v>0</v>
      </c>
      <c r="H120" s="73"/>
      <c r="I120" s="629"/>
      <c r="J120" s="77"/>
      <c r="K120" s="628"/>
      <c r="L120" s="626"/>
      <c r="M120" s="620"/>
    </row>
    <row r="121" spans="1:13" x14ac:dyDescent="0.25">
      <c r="A121" s="91" t="s">
        <v>398</v>
      </c>
      <c r="B121" s="89" t="s">
        <v>140</v>
      </c>
      <c r="C121" s="71" t="s">
        <v>141</v>
      </c>
      <c r="D121" s="65">
        <v>1</v>
      </c>
      <c r="E121" s="942">
        <v>0</v>
      </c>
      <c r="F121" s="930">
        <f t="shared" si="3"/>
        <v>0</v>
      </c>
      <c r="H121" s="73"/>
      <c r="I121" s="629"/>
      <c r="J121" s="77"/>
      <c r="K121" s="628"/>
      <c r="L121" s="626"/>
      <c r="M121" s="620"/>
    </row>
    <row r="122" spans="1:13" x14ac:dyDescent="0.25">
      <c r="A122" s="91" t="s">
        <v>399</v>
      </c>
      <c r="B122" s="89" t="s">
        <v>142</v>
      </c>
      <c r="C122" s="71" t="s">
        <v>102</v>
      </c>
      <c r="D122" s="65">
        <v>1</v>
      </c>
      <c r="E122" s="70">
        <v>0</v>
      </c>
      <c r="F122" s="930">
        <f t="shared" si="3"/>
        <v>0</v>
      </c>
      <c r="H122" s="73"/>
      <c r="I122" s="629"/>
      <c r="J122" s="77"/>
      <c r="K122" s="628"/>
      <c r="L122" s="626"/>
      <c r="M122" s="620"/>
    </row>
    <row r="123" spans="1:13" x14ac:dyDescent="0.25">
      <c r="A123" s="91" t="s">
        <v>400</v>
      </c>
      <c r="B123" s="89" t="s">
        <v>148</v>
      </c>
      <c r="C123" s="71" t="s">
        <v>141</v>
      </c>
      <c r="D123" s="65">
        <v>8</v>
      </c>
      <c r="E123" s="70">
        <v>0</v>
      </c>
      <c r="F123" s="930">
        <f t="shared" si="3"/>
        <v>0</v>
      </c>
      <c r="H123" s="73"/>
      <c r="I123" s="629"/>
      <c r="J123" s="77"/>
      <c r="K123" s="628"/>
      <c r="L123" s="626"/>
      <c r="M123" s="620"/>
    </row>
    <row r="124" spans="1:13" x14ac:dyDescent="0.25">
      <c r="A124" s="91" t="s">
        <v>401</v>
      </c>
      <c r="B124" s="89" t="s">
        <v>149</v>
      </c>
      <c r="C124" s="71" t="s">
        <v>102</v>
      </c>
      <c r="D124" s="65">
        <v>1</v>
      </c>
      <c r="E124" s="942">
        <v>0</v>
      </c>
      <c r="F124" s="930">
        <f t="shared" si="3"/>
        <v>0</v>
      </c>
      <c r="H124" s="73"/>
      <c r="I124" s="629"/>
      <c r="J124" s="77"/>
      <c r="K124" s="628"/>
      <c r="L124" s="626"/>
      <c r="M124" s="620"/>
    </row>
    <row r="125" spans="1:13" x14ac:dyDescent="0.25">
      <c r="A125" s="91" t="s">
        <v>402</v>
      </c>
      <c r="B125" s="89" t="s">
        <v>150</v>
      </c>
      <c r="C125" s="71" t="s">
        <v>102</v>
      </c>
      <c r="D125" s="65">
        <v>1</v>
      </c>
      <c r="E125" s="942">
        <v>0</v>
      </c>
      <c r="F125" s="930">
        <f t="shared" si="3"/>
        <v>0</v>
      </c>
      <c r="H125" s="73"/>
      <c r="I125" s="629"/>
      <c r="J125" s="77"/>
      <c r="K125" s="628"/>
      <c r="L125" s="626"/>
      <c r="M125" s="620"/>
    </row>
    <row r="126" spans="1:13" x14ac:dyDescent="0.25">
      <c r="A126" s="91" t="s">
        <v>403</v>
      </c>
      <c r="B126" s="89" t="s">
        <v>151</v>
      </c>
      <c r="C126" s="71" t="s">
        <v>102</v>
      </c>
      <c r="D126" s="65">
        <v>1</v>
      </c>
      <c r="E126" s="70">
        <v>0</v>
      </c>
      <c r="F126" s="930">
        <f t="shared" si="3"/>
        <v>0</v>
      </c>
      <c r="H126" s="73"/>
      <c r="I126" s="629"/>
      <c r="J126" s="77"/>
      <c r="K126" s="628"/>
      <c r="L126" s="626"/>
      <c r="M126" s="620"/>
    </row>
    <row r="127" spans="1:13" ht="12.75" thickBot="1" x14ac:dyDescent="0.3">
      <c r="A127" s="92" t="s">
        <v>404</v>
      </c>
      <c r="B127" s="89" t="s">
        <v>152</v>
      </c>
      <c r="C127" s="71" t="s">
        <v>102</v>
      </c>
      <c r="D127" s="65">
        <v>2</v>
      </c>
      <c r="E127" s="70">
        <v>0</v>
      </c>
      <c r="F127" s="941">
        <f t="shared" si="3"/>
        <v>0</v>
      </c>
      <c r="H127" s="73"/>
      <c r="I127" s="629"/>
      <c r="J127" s="77"/>
      <c r="K127" s="628"/>
      <c r="L127" s="626"/>
      <c r="M127" s="620"/>
    </row>
    <row r="128" spans="1:13" ht="12.75" thickBot="1" x14ac:dyDescent="0.3">
      <c r="A128" s="1846" t="s">
        <v>330</v>
      </c>
      <c r="B128" s="1840"/>
      <c r="C128" s="1840"/>
      <c r="D128" s="1840"/>
      <c r="E128" s="1840"/>
      <c r="F128" s="85">
        <f>SUM(F107:F127)</f>
        <v>0</v>
      </c>
      <c r="H128" s="73"/>
      <c r="I128" s="73"/>
      <c r="J128" s="73"/>
      <c r="K128" s="73"/>
      <c r="L128" s="626"/>
      <c r="M128" s="620"/>
    </row>
    <row r="129" spans="1:13" ht="12.75" thickBot="1" x14ac:dyDescent="0.3">
      <c r="A129" s="93"/>
      <c r="B129" s="93"/>
      <c r="C129" s="93"/>
      <c r="D129" s="168"/>
      <c r="E129" s="168"/>
      <c r="F129" s="94"/>
      <c r="H129" s="73"/>
      <c r="I129" s="73"/>
      <c r="J129" s="73"/>
      <c r="K129" s="73"/>
      <c r="L129" s="626"/>
      <c r="M129" s="620"/>
    </row>
    <row r="130" spans="1:13" ht="12.75" thickBot="1" x14ac:dyDescent="0.3">
      <c r="A130" s="87" t="s">
        <v>265</v>
      </c>
      <c r="B130" s="1838" t="s">
        <v>933</v>
      </c>
      <c r="C130" s="1554"/>
      <c r="D130" s="1554"/>
      <c r="E130" s="1554"/>
      <c r="F130" s="1559"/>
      <c r="H130" s="73"/>
      <c r="I130" s="73"/>
      <c r="J130" s="73"/>
      <c r="K130" s="73"/>
      <c r="L130" s="626"/>
      <c r="M130" s="620"/>
    </row>
    <row r="131" spans="1:13" x14ac:dyDescent="0.25">
      <c r="A131" s="158" t="s">
        <v>266</v>
      </c>
      <c r="B131" s="621" t="s">
        <v>70</v>
      </c>
      <c r="C131" s="11" t="s">
        <v>61</v>
      </c>
      <c r="D131" s="12">
        <f>16/$F$8</f>
        <v>0.88888888888888884</v>
      </c>
      <c r="E131" s="69">
        <v>0</v>
      </c>
      <c r="F131" s="937">
        <f t="shared" ref="F131:F142" si="4">D131*E131</f>
        <v>0</v>
      </c>
      <c r="H131" s="73"/>
      <c r="I131" s="629"/>
      <c r="J131" s="74"/>
      <c r="K131" s="628"/>
      <c r="L131" s="626"/>
      <c r="M131" s="620"/>
    </row>
    <row r="132" spans="1:13" x14ac:dyDescent="0.25">
      <c r="A132" s="159" t="s">
        <v>267</v>
      </c>
      <c r="B132" s="161" t="s">
        <v>72</v>
      </c>
      <c r="C132" s="9" t="s">
        <v>61</v>
      </c>
      <c r="D132" s="10">
        <f>16/$F$8</f>
        <v>0.88888888888888884</v>
      </c>
      <c r="E132" s="942">
        <v>0</v>
      </c>
      <c r="F132" s="930">
        <f t="shared" si="4"/>
        <v>0</v>
      </c>
      <c r="H132" s="73"/>
      <c r="I132" s="629"/>
      <c r="J132" s="74"/>
      <c r="K132" s="628"/>
      <c r="L132" s="626"/>
      <c r="M132" s="620"/>
    </row>
    <row r="133" spans="1:13" x14ac:dyDescent="0.25">
      <c r="A133" s="159" t="s">
        <v>409</v>
      </c>
      <c r="B133" s="161" t="s">
        <v>73</v>
      </c>
      <c r="C133" s="9" t="s">
        <v>61</v>
      </c>
      <c r="D133" s="10">
        <f>8/$F$8</f>
        <v>0.44444444444444442</v>
      </c>
      <c r="E133" s="942">
        <v>0</v>
      </c>
      <c r="F133" s="930">
        <f t="shared" si="4"/>
        <v>0</v>
      </c>
      <c r="H133" s="73"/>
      <c r="I133" s="629"/>
      <c r="J133" s="74"/>
      <c r="K133" s="628"/>
      <c r="L133" s="626"/>
      <c r="M133" s="620"/>
    </row>
    <row r="134" spans="1:13" x14ac:dyDescent="0.25">
      <c r="A134" s="159" t="s">
        <v>410</v>
      </c>
      <c r="B134" s="161" t="s">
        <v>74</v>
      </c>
      <c r="C134" s="9" t="s">
        <v>61</v>
      </c>
      <c r="D134" s="10">
        <f>4/$F$8</f>
        <v>0.22222222222222221</v>
      </c>
      <c r="E134" s="942">
        <v>0</v>
      </c>
      <c r="F134" s="930">
        <f t="shared" si="4"/>
        <v>0</v>
      </c>
      <c r="H134" s="73"/>
      <c r="I134" s="629"/>
      <c r="J134" s="74"/>
      <c r="K134" s="628"/>
      <c r="L134" s="626"/>
      <c r="M134" s="620"/>
    </row>
    <row r="135" spans="1:13" x14ac:dyDescent="0.25">
      <c r="A135" s="159" t="s">
        <v>411</v>
      </c>
      <c r="B135" s="161" t="s">
        <v>71</v>
      </c>
      <c r="C135" s="9" t="s">
        <v>61</v>
      </c>
      <c r="D135" s="10">
        <f>1/$F$8</f>
        <v>5.5555555555555552E-2</v>
      </c>
      <c r="E135" s="70">
        <v>0</v>
      </c>
      <c r="F135" s="930">
        <f t="shared" si="4"/>
        <v>0</v>
      </c>
      <c r="H135" s="73"/>
      <c r="I135" s="629"/>
      <c r="J135" s="74"/>
      <c r="K135" s="628"/>
      <c r="L135" s="626"/>
      <c r="M135" s="620"/>
    </row>
    <row r="136" spans="1:13" x14ac:dyDescent="0.25">
      <c r="A136" s="159" t="s">
        <v>412</v>
      </c>
      <c r="B136" s="161" t="s">
        <v>75</v>
      </c>
      <c r="C136" s="9" t="s">
        <v>61</v>
      </c>
      <c r="D136" s="10">
        <f>16/$F$8</f>
        <v>0.88888888888888884</v>
      </c>
      <c r="E136" s="70">
        <v>0</v>
      </c>
      <c r="F136" s="930">
        <f t="shared" si="4"/>
        <v>0</v>
      </c>
      <c r="H136" s="73"/>
      <c r="I136" s="629"/>
      <c r="J136" s="74"/>
      <c r="K136" s="628"/>
      <c r="L136" s="626"/>
      <c r="M136" s="620"/>
    </row>
    <row r="137" spans="1:13" ht="24" x14ac:dyDescent="0.25">
      <c r="A137" s="159" t="s">
        <v>413</v>
      </c>
      <c r="B137" s="161" t="s">
        <v>78</v>
      </c>
      <c r="C137" s="9" t="s">
        <v>61</v>
      </c>
      <c r="D137" s="10">
        <f>8/$F$8</f>
        <v>0.44444444444444442</v>
      </c>
      <c r="E137" s="70">
        <v>0</v>
      </c>
      <c r="F137" s="930">
        <f t="shared" si="4"/>
        <v>0</v>
      </c>
      <c r="H137" s="73"/>
      <c r="I137" s="629"/>
      <c r="J137" s="74"/>
      <c r="K137" s="628"/>
      <c r="L137" s="626"/>
      <c r="M137" s="620"/>
    </row>
    <row r="138" spans="1:13" x14ac:dyDescent="0.25">
      <c r="A138" s="633" t="s">
        <v>414</v>
      </c>
      <c r="B138" s="161" t="s">
        <v>704</v>
      </c>
      <c r="C138" s="9" t="s">
        <v>61</v>
      </c>
      <c r="D138" s="10">
        <f>1/$F$8</f>
        <v>5.5555555555555552E-2</v>
      </c>
      <c r="E138" s="70">
        <v>0</v>
      </c>
      <c r="F138" s="938">
        <f t="shared" si="4"/>
        <v>0</v>
      </c>
      <c r="H138" s="73"/>
      <c r="I138" s="629"/>
      <c r="J138" s="74"/>
      <c r="K138" s="628"/>
      <c r="L138" s="626"/>
      <c r="M138" s="620"/>
    </row>
    <row r="139" spans="1:13" x14ac:dyDescent="0.25">
      <c r="A139" s="633" t="s">
        <v>415</v>
      </c>
      <c r="B139" s="161" t="s">
        <v>76</v>
      </c>
      <c r="C139" s="9" t="s">
        <v>61</v>
      </c>
      <c r="D139" s="10">
        <f>1/$F$8</f>
        <v>5.5555555555555552E-2</v>
      </c>
      <c r="E139" s="942">
        <v>0</v>
      </c>
      <c r="F139" s="938">
        <f t="shared" si="4"/>
        <v>0</v>
      </c>
      <c r="H139" s="73"/>
      <c r="I139" s="629"/>
      <c r="J139" s="74"/>
      <c r="K139" s="628"/>
      <c r="L139" s="626"/>
      <c r="M139" s="620"/>
    </row>
    <row r="140" spans="1:13" x14ac:dyDescent="0.25">
      <c r="A140" s="633" t="s">
        <v>416</v>
      </c>
      <c r="B140" s="161" t="s">
        <v>77</v>
      </c>
      <c r="C140" s="9" t="s">
        <v>61</v>
      </c>
      <c r="D140" s="10">
        <f>1/$F$8</f>
        <v>5.5555555555555552E-2</v>
      </c>
      <c r="E140" s="942">
        <v>0</v>
      </c>
      <c r="F140" s="938">
        <f t="shared" si="4"/>
        <v>0</v>
      </c>
      <c r="H140" s="73"/>
      <c r="I140" s="629"/>
      <c r="J140" s="74"/>
      <c r="K140" s="628"/>
      <c r="L140" s="626"/>
      <c r="M140" s="620"/>
    </row>
    <row r="141" spans="1:13" x14ac:dyDescent="0.25">
      <c r="A141" s="633" t="s">
        <v>417</v>
      </c>
      <c r="B141" s="161" t="s">
        <v>79</v>
      </c>
      <c r="C141" s="9" t="s">
        <v>61</v>
      </c>
      <c r="D141" s="10">
        <f>1/$F$8</f>
        <v>5.5555555555555552E-2</v>
      </c>
      <c r="E141" s="70">
        <v>0</v>
      </c>
      <c r="F141" s="938">
        <f t="shared" si="4"/>
        <v>0</v>
      </c>
      <c r="H141" s="73"/>
      <c r="I141" s="629"/>
      <c r="J141" s="74"/>
      <c r="K141" s="628"/>
      <c r="L141" s="626"/>
      <c r="M141" s="620"/>
    </row>
    <row r="142" spans="1:13" x14ac:dyDescent="0.25">
      <c r="A142" s="633" t="s">
        <v>418</v>
      </c>
      <c r="B142" s="161" t="s">
        <v>98</v>
      </c>
      <c r="C142" s="9" t="s">
        <v>61</v>
      </c>
      <c r="D142" s="10">
        <f>1/$F$8</f>
        <v>5.5555555555555552E-2</v>
      </c>
      <c r="E142" s="70">
        <v>0</v>
      </c>
      <c r="F142" s="938">
        <f t="shared" si="4"/>
        <v>0</v>
      </c>
      <c r="H142" s="73"/>
      <c r="I142" s="629"/>
      <c r="J142" s="74"/>
      <c r="K142" s="628"/>
      <c r="L142" s="626"/>
      <c r="M142" s="620"/>
    </row>
    <row r="143" spans="1:13" x14ac:dyDescent="0.25">
      <c r="A143" s="633" t="s">
        <v>420</v>
      </c>
      <c r="B143" s="161" t="s">
        <v>58</v>
      </c>
      <c r="C143" s="9" t="s">
        <v>61</v>
      </c>
      <c r="D143" s="10">
        <f>18/$F$8</f>
        <v>1</v>
      </c>
      <c r="E143" s="942">
        <v>0</v>
      </c>
      <c r="F143" s="939">
        <f>D143*E143</f>
        <v>0</v>
      </c>
      <c r="H143" s="73"/>
      <c r="I143" s="629"/>
      <c r="J143" s="74"/>
      <c r="K143" s="628"/>
      <c r="L143" s="626"/>
      <c r="M143" s="620"/>
    </row>
    <row r="144" spans="1:13" x14ac:dyDescent="0.25">
      <c r="A144" s="633" t="s">
        <v>421</v>
      </c>
      <c r="B144" s="161" t="s">
        <v>692</v>
      </c>
      <c r="C144" s="9" t="s">
        <v>61</v>
      </c>
      <c r="D144" s="10">
        <f>1/$F$8</f>
        <v>5.5555555555555552E-2</v>
      </c>
      <c r="E144" s="942">
        <v>0</v>
      </c>
      <c r="F144" s="939">
        <f>D144*E144</f>
        <v>0</v>
      </c>
      <c r="H144" s="73"/>
      <c r="I144" s="629"/>
      <c r="J144" s="74"/>
      <c r="K144" s="628"/>
      <c r="L144" s="626"/>
      <c r="M144" s="620"/>
    </row>
    <row r="145" spans="1:13" x14ac:dyDescent="0.25">
      <c r="A145" s="633" t="s">
        <v>422</v>
      </c>
      <c r="B145" s="161" t="s">
        <v>62</v>
      </c>
      <c r="C145" s="9" t="s">
        <v>61</v>
      </c>
      <c r="D145" s="10">
        <f>10/$F$8</f>
        <v>0.55555555555555558</v>
      </c>
      <c r="E145" s="70">
        <v>0</v>
      </c>
      <c r="F145" s="939">
        <f t="shared" ref="F145:F151" si="5">D145*E145</f>
        <v>0</v>
      </c>
      <c r="H145" s="73"/>
      <c r="I145" s="629"/>
      <c r="J145" s="74"/>
      <c r="K145" s="628"/>
      <c r="L145" s="626"/>
      <c r="M145" s="620"/>
    </row>
    <row r="146" spans="1:13" x14ac:dyDescent="0.25">
      <c r="A146" s="633" t="s">
        <v>423</v>
      </c>
      <c r="B146" s="161" t="s">
        <v>69</v>
      </c>
      <c r="C146" s="9" t="s">
        <v>61</v>
      </c>
      <c r="D146" s="10">
        <f>8/$F$8</f>
        <v>0.44444444444444442</v>
      </c>
      <c r="E146" s="70">
        <v>0</v>
      </c>
      <c r="F146" s="939">
        <f t="shared" si="5"/>
        <v>0</v>
      </c>
      <c r="H146" s="73"/>
      <c r="I146" s="629"/>
      <c r="J146" s="74"/>
      <c r="K146" s="628"/>
      <c r="L146" s="626"/>
      <c r="M146" s="620"/>
    </row>
    <row r="147" spans="1:13" x14ac:dyDescent="0.25">
      <c r="A147" s="633" t="s">
        <v>699</v>
      </c>
      <c r="B147" s="161" t="s">
        <v>59</v>
      </c>
      <c r="C147" s="9" t="s">
        <v>61</v>
      </c>
      <c r="D147" s="10">
        <f>1/$F$8</f>
        <v>5.5555555555555552E-2</v>
      </c>
      <c r="E147" s="942">
        <v>0</v>
      </c>
      <c r="F147" s="939">
        <f t="shared" si="5"/>
        <v>0</v>
      </c>
      <c r="H147" s="74"/>
      <c r="I147" s="629"/>
      <c r="J147" s="74"/>
      <c r="K147" s="628"/>
      <c r="L147" s="626"/>
      <c r="M147" s="620"/>
    </row>
    <row r="148" spans="1:13" x14ac:dyDescent="0.25">
      <c r="A148" s="633" t="s">
        <v>700</v>
      </c>
      <c r="B148" s="161" t="s">
        <v>60</v>
      </c>
      <c r="C148" s="9" t="s">
        <v>61</v>
      </c>
      <c r="D148" s="10">
        <f>1/$F$8</f>
        <v>5.5555555555555552E-2</v>
      </c>
      <c r="E148" s="942">
        <v>0</v>
      </c>
      <c r="F148" s="939">
        <f t="shared" si="5"/>
        <v>0</v>
      </c>
      <c r="H148" s="74"/>
      <c r="I148" s="629"/>
      <c r="J148" s="74"/>
      <c r="K148" s="628"/>
      <c r="L148" s="626"/>
      <c r="M148" s="620"/>
    </row>
    <row r="149" spans="1:13" ht="48" x14ac:dyDescent="0.25">
      <c r="A149" s="633" t="s">
        <v>701</v>
      </c>
      <c r="B149" s="161" t="s">
        <v>943</v>
      </c>
      <c r="C149" s="9" t="s">
        <v>61</v>
      </c>
      <c r="D149" s="10">
        <f>1/$F$8</f>
        <v>5.5555555555555552E-2</v>
      </c>
      <c r="E149" s="70">
        <v>0</v>
      </c>
      <c r="F149" s="939">
        <f t="shared" si="5"/>
        <v>0</v>
      </c>
      <c r="H149" s="74"/>
      <c r="I149" s="629"/>
      <c r="J149" s="74"/>
      <c r="K149" s="628"/>
      <c r="L149" s="626"/>
      <c r="M149" s="620"/>
    </row>
    <row r="150" spans="1:13" x14ac:dyDescent="0.25">
      <c r="A150" s="159" t="s">
        <v>702</v>
      </c>
      <c r="B150" s="162" t="s">
        <v>694</v>
      </c>
      <c r="C150" s="9" t="s">
        <v>61</v>
      </c>
      <c r="D150" s="10">
        <f>10/$F$8</f>
        <v>0.55555555555555558</v>
      </c>
      <c r="E150" s="70">
        <v>0</v>
      </c>
      <c r="F150" s="939">
        <f t="shared" si="5"/>
        <v>0</v>
      </c>
      <c r="H150" s="74"/>
      <c r="I150" s="629"/>
      <c r="J150" s="622"/>
      <c r="K150" s="628"/>
      <c r="L150" s="626"/>
      <c r="M150" s="620"/>
    </row>
    <row r="151" spans="1:13" ht="12.75" thickBot="1" x14ac:dyDescent="0.3">
      <c r="A151" s="160" t="s">
        <v>703</v>
      </c>
      <c r="B151" s="163" t="s">
        <v>695</v>
      </c>
      <c r="C151" s="13" t="s">
        <v>61</v>
      </c>
      <c r="D151" s="164">
        <f>8/$F$8</f>
        <v>0.44444444444444442</v>
      </c>
      <c r="E151" s="948">
        <v>0</v>
      </c>
      <c r="F151" s="940">
        <f t="shared" si="5"/>
        <v>0</v>
      </c>
      <c r="H151" s="74"/>
      <c r="I151" s="629"/>
      <c r="J151" s="74"/>
      <c r="K151" s="628"/>
      <c r="L151" s="626"/>
      <c r="M151" s="620"/>
    </row>
    <row r="152" spans="1:13" ht="12.75" thickBot="1" x14ac:dyDescent="0.3">
      <c r="A152" s="1839" t="s">
        <v>419</v>
      </c>
      <c r="B152" s="1847"/>
      <c r="C152" s="1847"/>
      <c r="D152" s="1847"/>
      <c r="E152" s="1847"/>
      <c r="F152" s="85">
        <f>SUM(F131:F151)</f>
        <v>0</v>
      </c>
      <c r="H152" s="73"/>
      <c r="I152" s="73"/>
      <c r="J152" s="73"/>
      <c r="K152" s="73"/>
      <c r="L152" s="102"/>
      <c r="M152" s="620"/>
    </row>
    <row r="153" spans="1:13" ht="12.75" thickBot="1" x14ac:dyDescent="0.3">
      <c r="H153" s="73"/>
      <c r="I153" s="73"/>
      <c r="J153" s="73"/>
      <c r="K153" s="73"/>
      <c r="L153" s="102"/>
    </row>
    <row r="154" spans="1:13" x14ac:dyDescent="0.25">
      <c r="A154" s="1841" t="s">
        <v>698</v>
      </c>
      <c r="B154" s="1842"/>
      <c r="C154" s="1842"/>
      <c r="D154" s="1842"/>
      <c r="E154" s="1842"/>
      <c r="F154" s="1843"/>
      <c r="H154" s="73"/>
      <c r="I154" s="73"/>
      <c r="J154" s="73"/>
      <c r="K154" s="73"/>
      <c r="L154" s="102"/>
    </row>
    <row r="155" spans="1:13" ht="12.75" thickBot="1" x14ac:dyDescent="0.3">
      <c r="A155" s="212">
        <v>1</v>
      </c>
      <c r="B155" s="1844"/>
      <c r="C155" s="1844"/>
      <c r="D155" s="1844"/>
      <c r="E155" s="1844"/>
      <c r="F155" s="1845"/>
      <c r="H155" s="73"/>
      <c r="I155" s="73"/>
      <c r="J155" s="73"/>
      <c r="K155" s="73"/>
      <c r="L155" s="102"/>
    </row>
    <row r="156" spans="1:13" x14ac:dyDescent="0.25">
      <c r="H156" s="73"/>
      <c r="I156" s="73"/>
      <c r="J156" s="73"/>
      <c r="K156" s="73"/>
      <c r="L156" s="102"/>
    </row>
    <row r="157" spans="1:13" ht="12.75" thickBot="1" x14ac:dyDescent="0.3">
      <c r="H157" s="73"/>
      <c r="I157" s="73"/>
      <c r="J157" s="73"/>
      <c r="K157" s="73"/>
      <c r="L157" s="102"/>
    </row>
    <row r="158" spans="1:13" ht="12.75" thickBot="1" x14ac:dyDescent="0.3">
      <c r="A158" s="935" t="s">
        <v>269</v>
      </c>
      <c r="B158" s="1554" t="s">
        <v>408</v>
      </c>
      <c r="C158" s="1554"/>
      <c r="D158" s="1554"/>
      <c r="E158" s="1554"/>
      <c r="F158" s="1559"/>
      <c r="H158" s="73"/>
      <c r="I158" s="73"/>
      <c r="J158" s="73"/>
      <c r="K158" s="73"/>
      <c r="L158" s="102"/>
    </row>
    <row r="159" spans="1:13" x14ac:dyDescent="0.25">
      <c r="A159" s="1851" t="s">
        <v>87</v>
      </c>
      <c r="B159" s="1835" t="s">
        <v>281</v>
      </c>
      <c r="C159" s="1835"/>
      <c r="D159" s="1835"/>
      <c r="E159" s="1835"/>
      <c r="F159" s="1853">
        <f>SUM(F161:F162)</f>
        <v>0</v>
      </c>
      <c r="H159" s="73"/>
      <c r="I159" s="73"/>
      <c r="J159" s="73"/>
      <c r="K159" s="73"/>
      <c r="L159" s="102"/>
    </row>
    <row r="160" spans="1:13" x14ac:dyDescent="0.25">
      <c r="A160" s="1852"/>
      <c r="B160" s="1836"/>
      <c r="C160" s="1836"/>
      <c r="D160" s="1836"/>
      <c r="E160" s="1836"/>
      <c r="F160" s="1854"/>
      <c r="H160" s="73"/>
      <c r="I160" s="73"/>
      <c r="J160" s="73"/>
      <c r="K160" s="73"/>
      <c r="L160" s="102"/>
    </row>
    <row r="161" spans="1:12" x14ac:dyDescent="0.25">
      <c r="A161" s="91" t="s">
        <v>825</v>
      </c>
      <c r="B161" s="933" t="s">
        <v>771</v>
      </c>
      <c r="C161" s="9" t="s">
        <v>80</v>
      </c>
      <c r="D161" s="10">
        <v>24</v>
      </c>
      <c r="E161" s="70">
        <v>0</v>
      </c>
      <c r="F161" s="930">
        <f>D161*E161</f>
        <v>0</v>
      </c>
      <c r="H161" s="73"/>
      <c r="I161" s="73"/>
      <c r="J161" s="73"/>
      <c r="K161" s="73"/>
      <c r="L161" s="102"/>
    </row>
    <row r="162" spans="1:12" x14ac:dyDescent="0.25">
      <c r="A162" s="91" t="s">
        <v>826</v>
      </c>
      <c r="B162" s="933" t="s">
        <v>493</v>
      </c>
      <c r="C162" s="9" t="s">
        <v>80</v>
      </c>
      <c r="D162" s="10">
        <v>5</v>
      </c>
      <c r="E162" s="70">
        <v>0</v>
      </c>
      <c r="F162" s="930">
        <f>D162*E162</f>
        <v>0</v>
      </c>
      <c r="H162" s="73"/>
      <c r="I162" s="73"/>
      <c r="J162" s="73"/>
      <c r="K162" s="73"/>
      <c r="L162" s="102"/>
    </row>
    <row r="163" spans="1:12" x14ac:dyDescent="0.25">
      <c r="A163" s="936" t="s">
        <v>88</v>
      </c>
      <c r="B163" s="1837" t="s">
        <v>44</v>
      </c>
      <c r="C163" s="1837"/>
      <c r="D163" s="1837"/>
      <c r="E163" s="1837"/>
      <c r="F163" s="931">
        <f>SUM(F164:F165)</f>
        <v>0</v>
      </c>
      <c r="H163" s="73"/>
      <c r="I163" s="73"/>
      <c r="J163" s="73"/>
      <c r="K163" s="73"/>
      <c r="L163" s="102"/>
    </row>
    <row r="164" spans="1:12" x14ac:dyDescent="0.25">
      <c r="A164" s="134" t="s">
        <v>827</v>
      </c>
      <c r="B164" s="933" t="s">
        <v>771</v>
      </c>
      <c r="C164" s="9" t="s">
        <v>80</v>
      </c>
      <c r="D164" s="10">
        <v>8</v>
      </c>
      <c r="E164" s="70">
        <v>0</v>
      </c>
      <c r="F164" s="930">
        <f>D164*E164</f>
        <v>0</v>
      </c>
      <c r="H164" s="73"/>
      <c r="I164" s="73"/>
      <c r="J164" s="73"/>
      <c r="K164" s="73"/>
      <c r="L164" s="102"/>
    </row>
    <row r="165" spans="1:12" x14ac:dyDescent="0.25">
      <c r="A165" s="134" t="s">
        <v>828</v>
      </c>
      <c r="B165" s="933" t="s">
        <v>493</v>
      </c>
      <c r="C165" s="9" t="s">
        <v>80</v>
      </c>
      <c r="D165" s="10">
        <v>7</v>
      </c>
      <c r="E165" s="70">
        <v>0</v>
      </c>
      <c r="F165" s="930">
        <f>D165*E165</f>
        <v>0</v>
      </c>
      <c r="H165" s="73"/>
      <c r="I165" s="73"/>
      <c r="J165" s="73"/>
      <c r="K165" s="73"/>
      <c r="L165" s="102"/>
    </row>
    <row r="166" spans="1:12" x14ac:dyDescent="0.25">
      <c r="A166" s="936" t="s">
        <v>270</v>
      </c>
      <c r="B166" s="1837" t="s">
        <v>225</v>
      </c>
      <c r="C166" s="1837"/>
      <c r="D166" s="1837"/>
      <c r="E166" s="1837"/>
      <c r="F166" s="931">
        <f>SUM(F167)</f>
        <v>0</v>
      </c>
      <c r="H166" s="73"/>
      <c r="I166" s="73"/>
      <c r="J166" s="73"/>
      <c r="K166" s="73"/>
      <c r="L166" s="102"/>
    </row>
    <row r="167" spans="1:12" x14ac:dyDescent="0.25">
      <c r="A167" s="134" t="s">
        <v>833</v>
      </c>
      <c r="B167" s="933" t="s">
        <v>836</v>
      </c>
      <c r="C167" s="9" t="s">
        <v>80</v>
      </c>
      <c r="D167" s="10">
        <v>4</v>
      </c>
      <c r="E167" s="70">
        <v>0</v>
      </c>
      <c r="F167" s="930">
        <f>D167*E167</f>
        <v>0</v>
      </c>
      <c r="H167" s="73"/>
      <c r="I167" s="73"/>
      <c r="J167" s="73"/>
      <c r="K167" s="73"/>
      <c r="L167" s="102"/>
    </row>
    <row r="168" spans="1:12" x14ac:dyDescent="0.25">
      <c r="A168" s="936" t="s">
        <v>829</v>
      </c>
      <c r="B168" s="1837" t="s">
        <v>677</v>
      </c>
      <c r="C168" s="1837"/>
      <c r="D168" s="1837"/>
      <c r="E168" s="1837"/>
      <c r="F168" s="931">
        <f>SUM(F169)</f>
        <v>0</v>
      </c>
      <c r="H168" s="73"/>
      <c r="I168" s="73"/>
      <c r="J168" s="73"/>
      <c r="K168" s="73"/>
      <c r="L168" s="102"/>
    </row>
    <row r="169" spans="1:12" x14ac:dyDescent="0.25">
      <c r="A169" s="134" t="s">
        <v>834</v>
      </c>
      <c r="B169" s="933" t="s">
        <v>493</v>
      </c>
      <c r="C169" s="9" t="s">
        <v>80</v>
      </c>
      <c r="D169" s="10">
        <v>2</v>
      </c>
      <c r="E169" s="70">
        <v>0</v>
      </c>
      <c r="F169" s="930">
        <f>D169*E169</f>
        <v>0</v>
      </c>
      <c r="H169" s="73"/>
      <c r="I169" s="73"/>
      <c r="J169" s="73"/>
      <c r="K169" s="73"/>
      <c r="L169" s="102"/>
    </row>
    <row r="170" spans="1:12" x14ac:dyDescent="0.25">
      <c r="A170" s="936" t="s">
        <v>830</v>
      </c>
      <c r="B170" s="1837" t="s">
        <v>45</v>
      </c>
      <c r="C170" s="1837"/>
      <c r="D170" s="1837"/>
      <c r="E170" s="1837"/>
      <c r="F170" s="931">
        <f>SUM(F171:F172)</f>
        <v>0</v>
      </c>
      <c r="H170" s="73"/>
      <c r="I170" s="73"/>
      <c r="J170" s="73"/>
      <c r="K170" s="73"/>
      <c r="L170" s="102"/>
    </row>
    <row r="171" spans="1:12" x14ac:dyDescent="0.25">
      <c r="A171" s="134" t="s">
        <v>837</v>
      </c>
      <c r="B171" s="182" t="s">
        <v>772</v>
      </c>
      <c r="C171" s="9" t="s">
        <v>80</v>
      </c>
      <c r="D171" s="10">
        <v>5</v>
      </c>
      <c r="E171" s="70">
        <v>0</v>
      </c>
      <c r="F171" s="930">
        <f>D171*E171</f>
        <v>0</v>
      </c>
      <c r="H171" s="73"/>
      <c r="I171" s="73"/>
      <c r="J171" s="73"/>
      <c r="K171" s="73"/>
      <c r="L171" s="102"/>
    </row>
    <row r="172" spans="1:12" x14ac:dyDescent="0.25">
      <c r="A172" s="134" t="s">
        <v>839</v>
      </c>
      <c r="B172" s="933" t="s">
        <v>493</v>
      </c>
      <c r="C172" s="9" t="s">
        <v>80</v>
      </c>
      <c r="D172" s="10">
        <v>1</v>
      </c>
      <c r="E172" s="70">
        <v>0</v>
      </c>
      <c r="F172" s="930">
        <f>D172*E172</f>
        <v>0</v>
      </c>
      <c r="H172" s="73"/>
      <c r="I172" s="73"/>
      <c r="J172" s="73"/>
      <c r="K172" s="73"/>
      <c r="L172" s="102"/>
    </row>
    <row r="173" spans="1:12" x14ac:dyDescent="0.25">
      <c r="A173" s="936" t="s">
        <v>841</v>
      </c>
      <c r="B173" s="1837" t="s">
        <v>283</v>
      </c>
      <c r="C173" s="1837"/>
      <c r="D173" s="1837"/>
      <c r="E173" s="1837"/>
      <c r="F173" s="931">
        <f>SUM(F174)</f>
        <v>0</v>
      </c>
      <c r="H173" s="73"/>
      <c r="I173" s="73"/>
      <c r="J173" s="73"/>
      <c r="K173" s="73"/>
      <c r="L173" s="102"/>
    </row>
    <row r="174" spans="1:12" x14ac:dyDescent="0.25">
      <c r="A174" s="134" t="s">
        <v>842</v>
      </c>
      <c r="B174" s="933" t="s">
        <v>493</v>
      </c>
      <c r="C174" s="9" t="s">
        <v>80</v>
      </c>
      <c r="D174" s="10">
        <v>2</v>
      </c>
      <c r="E174" s="70">
        <v>0</v>
      </c>
      <c r="F174" s="930">
        <f>D174*E174</f>
        <v>0</v>
      </c>
      <c r="H174" s="73"/>
      <c r="I174" s="73"/>
      <c r="J174" s="73"/>
      <c r="K174" s="73"/>
      <c r="L174" s="102"/>
    </row>
    <row r="175" spans="1:12" x14ac:dyDescent="0.25">
      <c r="A175" s="936" t="s">
        <v>831</v>
      </c>
      <c r="B175" s="1837" t="s">
        <v>832</v>
      </c>
      <c r="C175" s="1837"/>
      <c r="D175" s="1837"/>
      <c r="E175" s="1837"/>
      <c r="F175" s="931">
        <f>SUM(F176:F177)</f>
        <v>0</v>
      </c>
      <c r="H175" s="73"/>
      <c r="I175" s="73"/>
      <c r="J175" s="73"/>
      <c r="K175" s="73"/>
      <c r="L175" s="102"/>
    </row>
    <row r="176" spans="1:12" x14ac:dyDescent="0.25">
      <c r="A176" s="134" t="s">
        <v>840</v>
      </c>
      <c r="B176" s="933" t="s">
        <v>844</v>
      </c>
      <c r="C176" s="9" t="s">
        <v>80</v>
      </c>
      <c r="D176" s="10">
        <v>18</v>
      </c>
      <c r="E176" s="70">
        <v>0</v>
      </c>
      <c r="F176" s="930">
        <f>D176*E176</f>
        <v>0</v>
      </c>
      <c r="H176" s="73"/>
      <c r="I176" s="73"/>
      <c r="J176" s="73"/>
      <c r="K176" s="73"/>
      <c r="L176" s="102"/>
    </row>
    <row r="177" spans="1:22" ht="12.75" thickBot="1" x14ac:dyDescent="0.3">
      <c r="A177" s="139" t="s">
        <v>843</v>
      </c>
      <c r="B177" s="934" t="s">
        <v>845</v>
      </c>
      <c r="C177" s="211" t="s">
        <v>80</v>
      </c>
      <c r="D177" s="348">
        <v>4</v>
      </c>
      <c r="E177" s="84">
        <v>0</v>
      </c>
      <c r="F177" s="932">
        <f>D177*E177</f>
        <v>0</v>
      </c>
      <c r="H177" s="73"/>
      <c r="I177" s="73"/>
      <c r="J177" s="73"/>
      <c r="K177" s="73"/>
      <c r="L177" s="102"/>
    </row>
    <row r="178" spans="1:22" ht="12.75" thickBot="1" x14ac:dyDescent="0.3">
      <c r="A178" s="1846" t="s">
        <v>419</v>
      </c>
      <c r="B178" s="1840"/>
      <c r="C178" s="1840"/>
      <c r="D178" s="1840"/>
      <c r="E178" s="1840"/>
      <c r="F178" s="85">
        <f>F159+F163+F166+F168+F170+F173+F175</f>
        <v>0</v>
      </c>
      <c r="G178" s="625"/>
      <c r="H178" s="73"/>
      <c r="I178" s="73"/>
      <c r="J178" s="73"/>
      <c r="K178" s="73"/>
      <c r="L178" s="102"/>
    </row>
    <row r="179" spans="1:22" ht="13.5" thickBot="1" x14ac:dyDescent="0.25">
      <c r="D179" s="345"/>
      <c r="E179" s="345"/>
      <c r="F179" s="345"/>
      <c r="G179" s="623"/>
      <c r="H179" s="623"/>
      <c r="I179" s="623"/>
      <c r="J179" s="623"/>
      <c r="K179" s="623"/>
      <c r="L179" s="624"/>
      <c r="M179" s="345"/>
      <c r="N179" s="345"/>
      <c r="O179" s="345"/>
      <c r="P179" s="345"/>
      <c r="Q179" s="345"/>
      <c r="R179" s="345"/>
      <c r="S179" s="345"/>
      <c r="T179" s="345"/>
      <c r="U179" s="345"/>
      <c r="V179" s="346"/>
    </row>
    <row r="180" spans="1:22" ht="12.75" thickBot="1" x14ac:dyDescent="0.3">
      <c r="A180" s="165" t="s">
        <v>679</v>
      </c>
      <c r="B180" s="1553" t="s">
        <v>717</v>
      </c>
      <c r="C180" s="1554"/>
      <c r="D180" s="1554"/>
      <c r="E180" s="1554"/>
      <c r="F180" s="1559"/>
      <c r="G180" s="625"/>
      <c r="H180" s="73"/>
      <c r="I180" s="73"/>
      <c r="J180" s="73"/>
      <c r="K180" s="73"/>
      <c r="L180" s="102"/>
    </row>
    <row r="181" spans="1:22" ht="36.75" thickBot="1" x14ac:dyDescent="0.3">
      <c r="A181" s="605" t="s">
        <v>1025</v>
      </c>
      <c r="B181" s="220" t="s">
        <v>950</v>
      </c>
      <c r="C181" s="221" t="s">
        <v>711</v>
      </c>
      <c r="D181" s="222" t="s">
        <v>712</v>
      </c>
      <c r="E181" s="222" t="s">
        <v>718</v>
      </c>
      <c r="F181" s="223" t="s">
        <v>949</v>
      </c>
      <c r="H181" s="73"/>
      <c r="I181" s="73"/>
      <c r="J181" s="73"/>
      <c r="K181" s="73"/>
      <c r="L181" s="102"/>
    </row>
    <row r="182" spans="1:22" ht="12.75" thickBot="1" x14ac:dyDescent="0.3">
      <c r="A182" s="603" t="s">
        <v>736</v>
      </c>
      <c r="B182" s="603"/>
      <c r="C182" s="602"/>
      <c r="D182" s="602"/>
      <c r="E182" s="602"/>
      <c r="F182" s="604">
        <f>SUM(F183:F195)</f>
        <v>0</v>
      </c>
      <c r="H182" s="73"/>
      <c r="I182" s="73"/>
      <c r="J182" s="73"/>
      <c r="K182" s="73"/>
      <c r="L182" s="102"/>
    </row>
    <row r="183" spans="1:22" x14ac:dyDescent="0.2">
      <c r="A183" s="606">
        <v>3</v>
      </c>
      <c r="B183" s="224" t="s">
        <v>722</v>
      </c>
      <c r="C183" s="218" t="s">
        <v>80</v>
      </c>
      <c r="D183" s="16">
        <v>5</v>
      </c>
      <c r="E183" s="923">
        <v>0</v>
      </c>
      <c r="F183" s="926">
        <f t="shared" ref="F183:F195" si="6">(E183*A183)/D183</f>
        <v>0</v>
      </c>
      <c r="H183" s="73"/>
      <c r="I183" s="73"/>
      <c r="J183" s="73"/>
      <c r="K183" s="73"/>
      <c r="L183" s="102"/>
    </row>
    <row r="184" spans="1:22" x14ac:dyDescent="0.2">
      <c r="A184" s="607">
        <v>1</v>
      </c>
      <c r="B184" s="17" t="s">
        <v>158</v>
      </c>
      <c r="C184" s="18" t="s">
        <v>80</v>
      </c>
      <c r="D184" s="46">
        <v>10</v>
      </c>
      <c r="E184" s="923">
        <v>0</v>
      </c>
      <c r="F184" s="927">
        <f t="shared" si="6"/>
        <v>0</v>
      </c>
      <c r="H184" s="73"/>
      <c r="I184" s="73"/>
      <c r="J184" s="73"/>
      <c r="K184" s="73"/>
      <c r="L184" s="102"/>
    </row>
    <row r="185" spans="1:22" x14ac:dyDescent="0.2">
      <c r="A185" s="607">
        <v>1</v>
      </c>
      <c r="B185" s="17" t="s">
        <v>731</v>
      </c>
      <c r="C185" s="18" t="s">
        <v>725</v>
      </c>
      <c r="D185" s="46">
        <v>5</v>
      </c>
      <c r="E185" s="923">
        <v>0</v>
      </c>
      <c r="F185" s="927">
        <f t="shared" si="6"/>
        <v>0</v>
      </c>
      <c r="H185" s="73"/>
      <c r="I185" s="73"/>
      <c r="J185" s="73"/>
      <c r="K185" s="73"/>
      <c r="L185" s="102"/>
    </row>
    <row r="186" spans="1:22" x14ac:dyDescent="0.2">
      <c r="A186" s="607">
        <v>1</v>
      </c>
      <c r="B186" s="17" t="s">
        <v>735</v>
      </c>
      <c r="C186" s="18" t="s">
        <v>80</v>
      </c>
      <c r="D186" s="46">
        <v>10</v>
      </c>
      <c r="E186" s="923">
        <v>0</v>
      </c>
      <c r="F186" s="927">
        <f t="shared" si="6"/>
        <v>0</v>
      </c>
      <c r="H186" s="73"/>
      <c r="I186" s="73"/>
      <c r="J186" s="73"/>
      <c r="K186" s="73"/>
      <c r="L186" s="102"/>
    </row>
    <row r="187" spans="1:22" x14ac:dyDescent="0.2">
      <c r="A187" s="607">
        <v>1</v>
      </c>
      <c r="B187" s="17" t="s">
        <v>723</v>
      </c>
      <c r="C187" s="18" t="s">
        <v>80</v>
      </c>
      <c r="D187" s="46">
        <f>1/2</f>
        <v>0.5</v>
      </c>
      <c r="E187" s="923">
        <v>0</v>
      </c>
      <c r="F187" s="927">
        <f t="shared" si="6"/>
        <v>0</v>
      </c>
      <c r="H187" s="73"/>
      <c r="I187" s="73"/>
      <c r="J187" s="73"/>
      <c r="K187" s="73"/>
      <c r="L187" s="102"/>
    </row>
    <row r="188" spans="1:22" x14ac:dyDescent="0.2">
      <c r="A188" s="607">
        <v>1</v>
      </c>
      <c r="B188" s="17" t="s">
        <v>724</v>
      </c>
      <c r="C188" s="18" t="s">
        <v>80</v>
      </c>
      <c r="D188" s="46">
        <v>6</v>
      </c>
      <c r="E188" s="923">
        <v>0</v>
      </c>
      <c r="F188" s="927">
        <f t="shared" si="6"/>
        <v>0</v>
      </c>
      <c r="H188" s="73"/>
      <c r="I188" s="73"/>
      <c r="J188" s="73"/>
      <c r="K188" s="73"/>
      <c r="L188" s="102"/>
    </row>
    <row r="189" spans="1:22" x14ac:dyDescent="0.2">
      <c r="A189" s="607">
        <v>1</v>
      </c>
      <c r="B189" s="17" t="s">
        <v>732</v>
      </c>
      <c r="C189" s="18" t="s">
        <v>80</v>
      </c>
      <c r="D189" s="46">
        <v>4</v>
      </c>
      <c r="E189" s="923">
        <v>0</v>
      </c>
      <c r="F189" s="927">
        <f t="shared" si="6"/>
        <v>0</v>
      </c>
      <c r="H189" s="73"/>
      <c r="I189" s="73"/>
      <c r="J189" s="73"/>
      <c r="K189" s="73"/>
      <c r="L189" s="102"/>
    </row>
    <row r="190" spans="1:22" x14ac:dyDescent="0.2">
      <c r="A190" s="607">
        <v>1</v>
      </c>
      <c r="B190" s="17" t="s">
        <v>733</v>
      </c>
      <c r="C190" s="18" t="s">
        <v>80</v>
      </c>
      <c r="D190" s="46">
        <v>4</v>
      </c>
      <c r="E190" s="923">
        <v>0</v>
      </c>
      <c r="F190" s="927">
        <f t="shared" si="6"/>
        <v>0</v>
      </c>
      <c r="H190" s="73"/>
      <c r="I190" s="73"/>
      <c r="J190" s="73"/>
      <c r="K190" s="73"/>
      <c r="L190" s="102"/>
    </row>
    <row r="191" spans="1:22" x14ac:dyDescent="0.2">
      <c r="A191" s="607">
        <v>1</v>
      </c>
      <c r="B191" s="190" t="s">
        <v>155</v>
      </c>
      <c r="C191" s="18" t="s">
        <v>80</v>
      </c>
      <c r="D191" s="46">
        <v>6</v>
      </c>
      <c r="E191" s="923">
        <v>0</v>
      </c>
      <c r="F191" s="927">
        <f t="shared" si="6"/>
        <v>0</v>
      </c>
      <c r="H191" s="73"/>
      <c r="I191" s="73"/>
      <c r="J191" s="73"/>
      <c r="K191" s="73"/>
      <c r="L191" s="102"/>
    </row>
    <row r="192" spans="1:22" x14ac:dyDescent="0.2">
      <c r="A192" s="607">
        <v>1</v>
      </c>
      <c r="B192" s="190" t="s">
        <v>156</v>
      </c>
      <c r="C192" s="18" t="s">
        <v>80</v>
      </c>
      <c r="D192" s="46">
        <v>6</v>
      </c>
      <c r="E192" s="923">
        <v>0</v>
      </c>
      <c r="F192" s="927">
        <f t="shared" si="6"/>
        <v>0</v>
      </c>
      <c r="H192" s="73"/>
      <c r="I192" s="73"/>
      <c r="J192" s="73"/>
      <c r="K192" s="73"/>
      <c r="L192" s="102"/>
    </row>
    <row r="193" spans="1:12" x14ac:dyDescent="0.2">
      <c r="A193" s="607">
        <v>1</v>
      </c>
      <c r="B193" s="17" t="s">
        <v>734</v>
      </c>
      <c r="C193" s="18" t="s">
        <v>80</v>
      </c>
      <c r="D193" s="46">
        <v>6</v>
      </c>
      <c r="E193" s="923">
        <v>0</v>
      </c>
      <c r="F193" s="927">
        <f t="shared" si="6"/>
        <v>0</v>
      </c>
      <c r="H193" s="73"/>
      <c r="I193" s="73"/>
      <c r="J193" s="73"/>
      <c r="K193" s="73"/>
      <c r="L193" s="102"/>
    </row>
    <row r="194" spans="1:12" x14ac:dyDescent="0.2">
      <c r="A194" s="607">
        <v>1</v>
      </c>
      <c r="B194" s="17" t="s">
        <v>740</v>
      </c>
      <c r="C194" s="18" t="s">
        <v>80</v>
      </c>
      <c r="D194" s="46">
        <v>10</v>
      </c>
      <c r="E194" s="923">
        <v>0</v>
      </c>
      <c r="F194" s="927">
        <f t="shared" si="6"/>
        <v>0</v>
      </c>
      <c r="H194" s="73"/>
      <c r="I194" s="73"/>
      <c r="J194" s="73"/>
      <c r="K194" s="73"/>
      <c r="L194" s="102"/>
    </row>
    <row r="195" spans="1:12" ht="12.75" thickBot="1" x14ac:dyDescent="0.25">
      <c r="A195" s="608">
        <v>1</v>
      </c>
      <c r="B195" s="225" t="s">
        <v>741</v>
      </c>
      <c r="C195" s="219" t="s">
        <v>80</v>
      </c>
      <c r="D195" s="55">
        <f>1/4</f>
        <v>0.25</v>
      </c>
      <c r="E195" s="923">
        <v>0</v>
      </c>
      <c r="F195" s="928">
        <f t="shared" si="6"/>
        <v>0</v>
      </c>
      <c r="H195" s="73"/>
      <c r="I195" s="73"/>
      <c r="J195" s="73"/>
      <c r="K195" s="73"/>
      <c r="L195" s="102"/>
    </row>
    <row r="196" spans="1:12" ht="12.75" thickBot="1" x14ac:dyDescent="0.3">
      <c r="A196" s="603" t="s">
        <v>726</v>
      </c>
      <c r="B196" s="602"/>
      <c r="C196" s="602"/>
      <c r="D196" s="602"/>
      <c r="E196" s="602"/>
      <c r="F196" s="604">
        <f>SUM(F197:F200)</f>
        <v>0</v>
      </c>
      <c r="H196" s="73"/>
      <c r="I196" s="73"/>
      <c r="J196" s="73"/>
      <c r="K196" s="73"/>
      <c r="L196" s="102"/>
    </row>
    <row r="197" spans="1:12" x14ac:dyDescent="0.2">
      <c r="A197" s="609">
        <v>1</v>
      </c>
      <c r="B197" s="217" t="s">
        <v>727</v>
      </c>
      <c r="C197" s="22" t="s">
        <v>725</v>
      </c>
      <c r="D197" s="47">
        <v>12</v>
      </c>
      <c r="E197" s="923">
        <v>0</v>
      </c>
      <c r="F197" s="929">
        <f>(E197*A197)/D197</f>
        <v>0</v>
      </c>
      <c r="H197" s="73"/>
      <c r="I197" s="73"/>
      <c r="J197" s="73"/>
      <c r="K197" s="73"/>
      <c r="L197" s="102"/>
    </row>
    <row r="198" spans="1:12" x14ac:dyDescent="0.2">
      <c r="A198" s="607">
        <v>1</v>
      </c>
      <c r="B198" s="17" t="s">
        <v>729</v>
      </c>
      <c r="C198" s="18" t="s">
        <v>725</v>
      </c>
      <c r="D198" s="46">
        <v>6</v>
      </c>
      <c r="E198" s="923">
        <v>0</v>
      </c>
      <c r="F198" s="927">
        <f>(E198*A198)/D198</f>
        <v>0</v>
      </c>
      <c r="H198" s="73"/>
      <c r="I198" s="73"/>
      <c r="J198" s="73"/>
      <c r="K198" s="73"/>
      <c r="L198" s="102"/>
    </row>
    <row r="199" spans="1:12" x14ac:dyDescent="0.2">
      <c r="A199" s="607">
        <v>1</v>
      </c>
      <c r="B199" s="17" t="s">
        <v>728</v>
      </c>
      <c r="C199" s="18" t="s">
        <v>725</v>
      </c>
      <c r="D199" s="46">
        <f>1/4</f>
        <v>0.25</v>
      </c>
      <c r="E199" s="923">
        <v>0</v>
      </c>
      <c r="F199" s="927">
        <f>(E199*A199)/D199</f>
        <v>0</v>
      </c>
      <c r="H199" s="73"/>
      <c r="I199" s="73"/>
      <c r="J199" s="73"/>
      <c r="K199" s="73"/>
      <c r="L199" s="102"/>
    </row>
    <row r="200" spans="1:12" ht="12.75" thickBot="1" x14ac:dyDescent="0.25">
      <c r="A200" s="607">
        <v>1</v>
      </c>
      <c r="B200" s="17" t="s">
        <v>730</v>
      </c>
      <c r="C200" s="18" t="s">
        <v>80</v>
      </c>
      <c r="D200" s="46">
        <f>1/2</f>
        <v>0.5</v>
      </c>
      <c r="E200" s="923">
        <v>0</v>
      </c>
      <c r="F200" s="927">
        <f>(E200*A200)/D200</f>
        <v>0</v>
      </c>
      <c r="H200" s="73"/>
      <c r="I200" s="73"/>
      <c r="J200" s="73"/>
      <c r="K200" s="73"/>
      <c r="L200" s="102"/>
    </row>
    <row r="201" spans="1:12" ht="12.75" thickBot="1" x14ac:dyDescent="0.3">
      <c r="A201" s="603" t="s">
        <v>719</v>
      </c>
      <c r="B201" s="602"/>
      <c r="C201" s="602"/>
      <c r="D201" s="602"/>
      <c r="E201" s="602"/>
      <c r="F201" s="604">
        <f>SUM(F202:F212)</f>
        <v>0</v>
      </c>
      <c r="H201" s="73"/>
      <c r="I201" s="73"/>
      <c r="J201" s="73"/>
      <c r="K201" s="73"/>
      <c r="L201" s="102"/>
    </row>
    <row r="202" spans="1:12" x14ac:dyDescent="0.2">
      <c r="A202" s="606">
        <v>2</v>
      </c>
      <c r="B202" s="189" t="s">
        <v>160</v>
      </c>
      <c r="C202" s="218" t="s">
        <v>80</v>
      </c>
      <c r="D202" s="16">
        <v>4.5</v>
      </c>
      <c r="E202" s="923">
        <v>0</v>
      </c>
      <c r="F202" s="926">
        <f t="shared" ref="F202:F212" si="7">(E202*A202)/D202</f>
        <v>0</v>
      </c>
      <c r="H202" s="73"/>
      <c r="I202" s="73"/>
      <c r="J202" s="73"/>
      <c r="K202" s="73"/>
      <c r="L202" s="102"/>
    </row>
    <row r="203" spans="1:12" x14ac:dyDescent="0.2">
      <c r="A203" s="607">
        <v>1</v>
      </c>
      <c r="B203" s="17" t="s">
        <v>737</v>
      </c>
      <c r="C203" s="18" t="s">
        <v>725</v>
      </c>
      <c r="D203" s="46">
        <v>6</v>
      </c>
      <c r="E203" s="924">
        <v>0</v>
      </c>
      <c r="F203" s="927">
        <f t="shared" si="7"/>
        <v>0</v>
      </c>
      <c r="H203" s="73"/>
      <c r="I203" s="73"/>
      <c r="J203" s="73"/>
      <c r="K203" s="73"/>
      <c r="L203" s="102"/>
    </row>
    <row r="204" spans="1:12" x14ac:dyDescent="0.2">
      <c r="A204" s="117">
        <v>1</v>
      </c>
      <c r="B204" s="190" t="s">
        <v>154</v>
      </c>
      <c r="C204" s="213" t="s">
        <v>725</v>
      </c>
      <c r="D204" s="215">
        <v>6</v>
      </c>
      <c r="E204" s="924">
        <v>0</v>
      </c>
      <c r="F204" s="927">
        <f t="shared" si="7"/>
        <v>0</v>
      </c>
      <c r="H204" s="73"/>
      <c r="I204" s="73"/>
      <c r="J204" s="73"/>
      <c r="K204" s="73"/>
      <c r="L204" s="102"/>
    </row>
    <row r="205" spans="1:12" x14ac:dyDescent="0.2">
      <c r="A205" s="117">
        <v>1</v>
      </c>
      <c r="B205" s="190" t="s">
        <v>157</v>
      </c>
      <c r="C205" s="214" t="s">
        <v>725</v>
      </c>
      <c r="D205" s="216">
        <v>6</v>
      </c>
      <c r="E205" s="924">
        <v>0</v>
      </c>
      <c r="F205" s="927">
        <f t="shared" si="7"/>
        <v>0</v>
      </c>
      <c r="H205" s="73"/>
      <c r="I205" s="73"/>
      <c r="J205" s="73"/>
      <c r="K205" s="73"/>
      <c r="L205" s="102"/>
    </row>
    <row r="206" spans="1:12" x14ac:dyDescent="0.2">
      <c r="A206" s="607">
        <v>1</v>
      </c>
      <c r="B206" s="17" t="s">
        <v>739</v>
      </c>
      <c r="C206" s="18" t="s">
        <v>80</v>
      </c>
      <c r="D206" s="46">
        <v>3</v>
      </c>
      <c r="E206" s="924">
        <v>0</v>
      </c>
      <c r="F206" s="927">
        <f t="shared" si="7"/>
        <v>0</v>
      </c>
      <c r="H206" s="73"/>
      <c r="I206" s="73"/>
      <c r="J206" s="73"/>
      <c r="K206" s="73"/>
      <c r="L206" s="102"/>
    </row>
    <row r="207" spans="1:12" x14ac:dyDescent="0.2">
      <c r="A207" s="607">
        <v>1</v>
      </c>
      <c r="B207" s="17" t="s">
        <v>735</v>
      </c>
      <c r="C207" s="18" t="s">
        <v>80</v>
      </c>
      <c r="D207" s="46">
        <v>10</v>
      </c>
      <c r="E207" s="924">
        <v>0</v>
      </c>
      <c r="F207" s="927">
        <f t="shared" si="7"/>
        <v>0</v>
      </c>
      <c r="H207" s="73"/>
      <c r="I207" s="73"/>
      <c r="J207" s="73"/>
      <c r="K207" s="73"/>
      <c r="L207" s="102"/>
    </row>
    <row r="208" spans="1:12" x14ac:dyDescent="0.2">
      <c r="A208" s="607">
        <v>1</v>
      </c>
      <c r="B208" s="190" t="s">
        <v>159</v>
      </c>
      <c r="C208" s="18" t="s">
        <v>80</v>
      </c>
      <c r="D208" s="46">
        <v>6</v>
      </c>
      <c r="E208" s="924">
        <v>0</v>
      </c>
      <c r="F208" s="927">
        <f t="shared" si="7"/>
        <v>0</v>
      </c>
      <c r="H208" s="73"/>
      <c r="I208" s="73"/>
      <c r="J208" s="73"/>
      <c r="K208" s="73"/>
      <c r="L208" s="102"/>
    </row>
    <row r="209" spans="1:12" x14ac:dyDescent="0.2">
      <c r="A209" s="607">
        <v>1</v>
      </c>
      <c r="B209" s="17" t="s">
        <v>738</v>
      </c>
      <c r="C209" s="18" t="s">
        <v>80</v>
      </c>
      <c r="D209" s="46">
        <v>10</v>
      </c>
      <c r="E209" s="924">
        <v>0</v>
      </c>
      <c r="F209" s="927">
        <f t="shared" si="7"/>
        <v>0</v>
      </c>
      <c r="H209" s="73"/>
      <c r="I209" s="73"/>
      <c r="J209" s="73"/>
      <c r="K209" s="73"/>
      <c r="L209" s="102"/>
    </row>
    <row r="210" spans="1:12" x14ac:dyDescent="0.2">
      <c r="A210" s="607">
        <v>1</v>
      </c>
      <c r="B210" s="17" t="s">
        <v>723</v>
      </c>
      <c r="C210" s="18" t="s">
        <v>80</v>
      </c>
      <c r="D210" s="46">
        <f>1/2</f>
        <v>0.5</v>
      </c>
      <c r="E210" s="924">
        <v>0</v>
      </c>
      <c r="F210" s="927">
        <f t="shared" si="7"/>
        <v>0</v>
      </c>
      <c r="H210" s="73"/>
      <c r="I210" s="73"/>
      <c r="J210" s="73"/>
      <c r="K210" s="73"/>
      <c r="L210" s="102"/>
    </row>
    <row r="211" spans="1:12" x14ac:dyDescent="0.2">
      <c r="A211" s="607">
        <v>1</v>
      </c>
      <c r="B211" s="17" t="s">
        <v>724</v>
      </c>
      <c r="C211" s="18" t="s">
        <v>80</v>
      </c>
      <c r="D211" s="46">
        <v>6</v>
      </c>
      <c r="E211" s="924">
        <v>0</v>
      </c>
      <c r="F211" s="927">
        <f t="shared" si="7"/>
        <v>0</v>
      </c>
      <c r="H211" s="73"/>
      <c r="I211" s="73"/>
      <c r="J211" s="73"/>
      <c r="K211" s="73"/>
      <c r="L211" s="102"/>
    </row>
    <row r="212" spans="1:12" ht="12.75" thickBot="1" x14ac:dyDescent="0.3">
      <c r="A212" s="608">
        <v>1</v>
      </c>
      <c r="B212" s="225" t="s">
        <v>733</v>
      </c>
      <c r="C212" s="219" t="s">
        <v>80</v>
      </c>
      <c r="D212" s="55">
        <v>6</v>
      </c>
      <c r="E212" s="925">
        <v>0</v>
      </c>
      <c r="F212" s="928">
        <f t="shared" si="7"/>
        <v>0</v>
      </c>
    </row>
    <row r="214" spans="1:12" ht="12.75" thickBot="1" x14ac:dyDescent="0.3">
      <c r="A214" s="596"/>
      <c r="B214" s="596"/>
      <c r="C214" s="596"/>
      <c r="D214" s="596"/>
      <c r="E214" s="596"/>
      <c r="F214" s="596"/>
    </row>
    <row r="215" spans="1:12" ht="13.5" thickTop="1" thickBot="1" x14ac:dyDescent="0.3">
      <c r="A215" s="610"/>
      <c r="B215" s="610"/>
      <c r="C215" s="610"/>
      <c r="D215" s="610"/>
      <c r="E215" s="610"/>
      <c r="F215" s="610"/>
    </row>
    <row r="216" spans="1:12" ht="12.75" thickTop="1" x14ac:dyDescent="0.25"/>
    <row r="218" spans="1:12" x14ac:dyDescent="0.25">
      <c r="A218" s="955"/>
      <c r="B218" s="955"/>
      <c r="C218" s="955"/>
      <c r="D218" s="955"/>
      <c r="E218" s="955"/>
      <c r="F218" s="955"/>
    </row>
    <row r="220" spans="1:12" ht="12.75" thickBot="1" x14ac:dyDescent="0.3"/>
    <row r="221" spans="1:12" ht="12.75" thickBot="1" x14ac:dyDescent="0.3">
      <c r="A221" s="1855" t="s">
        <v>854</v>
      </c>
      <c r="B221" s="1856"/>
      <c r="C221" s="1857"/>
    </row>
    <row r="222" spans="1:12" x14ac:dyDescent="0.2">
      <c r="A222" s="523" t="s">
        <v>814</v>
      </c>
      <c r="B222" s="354" t="s">
        <v>815</v>
      </c>
      <c r="C222" s="639">
        <v>56.75</v>
      </c>
    </row>
    <row r="223" spans="1:12" x14ac:dyDescent="0.2">
      <c r="A223" s="524" t="s">
        <v>816</v>
      </c>
      <c r="B223" s="347" t="s">
        <v>817</v>
      </c>
      <c r="C223" s="640">
        <f>C222*2</f>
        <v>113.5</v>
      </c>
    </row>
    <row r="224" spans="1:12" x14ac:dyDescent="0.2">
      <c r="A224" s="524" t="s">
        <v>818</v>
      </c>
      <c r="B224" s="347" t="s">
        <v>819</v>
      </c>
      <c r="C224" s="640">
        <v>30</v>
      </c>
    </row>
    <row r="225" spans="1:6" x14ac:dyDescent="0.2">
      <c r="A225" s="524" t="s">
        <v>820</v>
      </c>
      <c r="B225" s="347" t="s">
        <v>821</v>
      </c>
      <c r="C225" s="640">
        <v>714</v>
      </c>
    </row>
    <row r="226" spans="1:6" ht="12.75" thickBot="1" x14ac:dyDescent="0.25">
      <c r="A226" s="525" t="s">
        <v>822</v>
      </c>
      <c r="B226" s="526" t="s">
        <v>823</v>
      </c>
      <c r="C226" s="641">
        <v>1449</v>
      </c>
    </row>
    <row r="228" spans="1:6" ht="12.75" thickBot="1" x14ac:dyDescent="0.3"/>
    <row r="229" spans="1:6" ht="12.75" thickBot="1" x14ac:dyDescent="0.3">
      <c r="A229" s="1855" t="s">
        <v>1026</v>
      </c>
      <c r="B229" s="1856"/>
      <c r="C229" s="1856"/>
      <c r="D229" s="1856"/>
      <c r="E229" s="1856"/>
      <c r="F229" s="1857"/>
    </row>
    <row r="230" spans="1:6" ht="12.75" thickBot="1" x14ac:dyDescent="0.3">
      <c r="A230" s="554" t="s">
        <v>269</v>
      </c>
      <c r="B230" s="874" t="s">
        <v>408</v>
      </c>
      <c r="C230" s="875"/>
      <c r="D230" s="875"/>
      <c r="E230" s="875"/>
      <c r="F230" s="715">
        <f>SUM(F231:F237)</f>
        <v>0</v>
      </c>
    </row>
    <row r="231" spans="1:6" ht="48" x14ac:dyDescent="0.25">
      <c r="A231" s="349" t="s">
        <v>266</v>
      </c>
      <c r="B231" s="351" t="s">
        <v>281</v>
      </c>
      <c r="C231" s="103">
        <v>1</v>
      </c>
      <c r="D231" s="549">
        <v>1</v>
      </c>
      <c r="E231" s="100">
        <f>'MemCalculo (AdmManutEscritorio)'!F159</f>
        <v>0</v>
      </c>
      <c r="F231" s="118">
        <f t="shared" ref="F231:F237" si="8">(C231*D231)*E231</f>
        <v>0</v>
      </c>
    </row>
    <row r="232" spans="1:6" x14ac:dyDescent="0.25">
      <c r="A232" s="21" t="s">
        <v>267</v>
      </c>
      <c r="B232" s="352" t="s">
        <v>44</v>
      </c>
      <c r="C232" s="14">
        <v>1</v>
      </c>
      <c r="D232" s="415">
        <v>1</v>
      </c>
      <c r="E232" s="70">
        <f>'MemCalculo (AdmManutEscritorio)'!F163</f>
        <v>0</v>
      </c>
      <c r="F232" s="119">
        <f t="shared" si="8"/>
        <v>0</v>
      </c>
    </row>
    <row r="233" spans="1:6" x14ac:dyDescent="0.25">
      <c r="A233" s="21" t="s">
        <v>409</v>
      </c>
      <c r="B233" s="352" t="s">
        <v>225</v>
      </c>
      <c r="C233" s="14">
        <v>1</v>
      </c>
      <c r="D233" s="415">
        <v>1</v>
      </c>
      <c r="E233" s="70">
        <f>'MemCalculo (AdmManutEscritorio)'!F166</f>
        <v>0</v>
      </c>
      <c r="F233" s="119">
        <f t="shared" si="8"/>
        <v>0</v>
      </c>
    </row>
    <row r="234" spans="1:6" x14ac:dyDescent="0.25">
      <c r="A234" s="21" t="s">
        <v>410</v>
      </c>
      <c r="B234" s="352" t="s">
        <v>677</v>
      </c>
      <c r="C234" s="14">
        <v>1</v>
      </c>
      <c r="D234" s="415">
        <v>1</v>
      </c>
      <c r="E234" s="70">
        <f>'MemCalculo (AdmManutEscritorio)'!F168</f>
        <v>0</v>
      </c>
      <c r="F234" s="119">
        <f t="shared" si="8"/>
        <v>0</v>
      </c>
    </row>
    <row r="235" spans="1:6" ht="24" x14ac:dyDescent="0.25">
      <c r="A235" s="21" t="s">
        <v>411</v>
      </c>
      <c r="B235" s="352" t="s">
        <v>45</v>
      </c>
      <c r="C235" s="14">
        <v>1</v>
      </c>
      <c r="D235" s="415">
        <v>1</v>
      </c>
      <c r="E235" s="70">
        <f>'MemCalculo (AdmManutEscritorio)'!F170</f>
        <v>0</v>
      </c>
      <c r="F235" s="119">
        <f t="shared" si="8"/>
        <v>0</v>
      </c>
    </row>
    <row r="236" spans="1:6" x14ac:dyDescent="0.25">
      <c r="A236" s="21" t="s">
        <v>412</v>
      </c>
      <c r="B236" s="352" t="s">
        <v>283</v>
      </c>
      <c r="C236" s="14">
        <v>1</v>
      </c>
      <c r="D236" s="415">
        <v>1</v>
      </c>
      <c r="E236" s="70">
        <f>'MemCalculo (AdmManutEscritorio)'!F173</f>
        <v>0</v>
      </c>
      <c r="F236" s="119">
        <f t="shared" si="8"/>
        <v>0</v>
      </c>
    </row>
    <row r="237" spans="1:6" ht="12.75" thickBot="1" x14ac:dyDescent="0.3">
      <c r="A237" s="350" t="s">
        <v>413</v>
      </c>
      <c r="B237" s="353" t="s">
        <v>832</v>
      </c>
      <c r="C237" s="15">
        <v>1</v>
      </c>
      <c r="D237" s="539">
        <v>1</v>
      </c>
      <c r="E237" s="72">
        <f>'MemCalculo (AdmManutEscritorio)'!F175</f>
        <v>0</v>
      </c>
      <c r="F237" s="120">
        <f t="shared" si="8"/>
        <v>0</v>
      </c>
    </row>
    <row r="239" spans="1:6" ht="12.75" thickBot="1" x14ac:dyDescent="0.3"/>
    <row r="240" spans="1:6" ht="12.75" thickBot="1" x14ac:dyDescent="0.3">
      <c r="B240" s="1848" t="s">
        <v>713</v>
      </c>
      <c r="C240" s="1849"/>
      <c r="D240" s="1849"/>
      <c r="E240" s="1849"/>
      <c r="F240" s="1850"/>
    </row>
    <row r="241" spans="1:6" ht="12.75" thickBot="1" x14ac:dyDescent="0.3">
      <c r="B241" s="949" t="s">
        <v>1016</v>
      </c>
      <c r="C241" s="881" t="s">
        <v>625</v>
      </c>
      <c r="D241" s="881" t="s">
        <v>626</v>
      </c>
      <c r="E241" s="882" t="s">
        <v>627</v>
      </c>
      <c r="F241" s="950" t="s">
        <v>632</v>
      </c>
    </row>
    <row r="242" spans="1:6" x14ac:dyDescent="0.25">
      <c r="B242" s="385" t="s">
        <v>621</v>
      </c>
      <c r="C242" s="22">
        <v>96</v>
      </c>
      <c r="D242" s="22">
        <v>58</v>
      </c>
      <c r="E242" s="880">
        <v>38</v>
      </c>
      <c r="F242" s="951">
        <v>0</v>
      </c>
    </row>
    <row r="243" spans="1:6" x14ac:dyDescent="0.25">
      <c r="B243" s="383" t="s">
        <v>624</v>
      </c>
      <c r="C243" s="687">
        <v>59</v>
      </c>
      <c r="D243" s="687">
        <v>35</v>
      </c>
      <c r="E243" s="597">
        <v>23</v>
      </c>
      <c r="F243" s="952">
        <v>1</v>
      </c>
    </row>
    <row r="244" spans="1:6" x14ac:dyDescent="0.25">
      <c r="B244" s="383"/>
      <c r="C244" s="687">
        <v>155</v>
      </c>
      <c r="D244" s="687"/>
      <c r="E244" s="597"/>
      <c r="F244" s="952"/>
    </row>
    <row r="245" spans="1:6" x14ac:dyDescent="0.25">
      <c r="B245" s="383" t="s">
        <v>714</v>
      </c>
      <c r="C245" s="687">
        <v>14</v>
      </c>
      <c r="D245" s="687">
        <v>58</v>
      </c>
      <c r="E245" s="597">
        <v>38</v>
      </c>
      <c r="F245" s="952">
        <v>0</v>
      </c>
    </row>
    <row r="246" spans="1:6" x14ac:dyDescent="0.25">
      <c r="B246" s="383" t="s">
        <v>715</v>
      </c>
      <c r="C246" s="687">
        <v>76</v>
      </c>
      <c r="D246" s="687">
        <v>35</v>
      </c>
      <c r="E246" s="597">
        <v>23</v>
      </c>
      <c r="F246" s="952">
        <v>1</v>
      </c>
    </row>
    <row r="247" spans="1:6" ht="12.75" thickBot="1" x14ac:dyDescent="0.3">
      <c r="B247" s="384" t="s">
        <v>716</v>
      </c>
      <c r="C247" s="905">
        <v>30</v>
      </c>
      <c r="D247" s="905"/>
      <c r="E247" s="953"/>
      <c r="F247" s="954"/>
    </row>
    <row r="250" spans="1:6" x14ac:dyDescent="0.25">
      <c r="A250" s="955"/>
      <c r="B250" s="955"/>
      <c r="C250" s="955"/>
      <c r="D250" s="955"/>
      <c r="E250" s="955"/>
      <c r="F250" s="955"/>
    </row>
  </sheetData>
  <sortState ref="A269:F291">
    <sortCondition ref="B161:B183"/>
  </sortState>
  <mergeCells count="34">
    <mergeCell ref="A10:F11"/>
    <mergeCell ref="A9:F9"/>
    <mergeCell ref="A1:F1"/>
    <mergeCell ref="A2:F2"/>
    <mergeCell ref="A4:F5"/>
    <mergeCell ref="A7:F7"/>
    <mergeCell ref="A8:D8"/>
    <mergeCell ref="B240:F240"/>
    <mergeCell ref="B175:E175"/>
    <mergeCell ref="B170:E170"/>
    <mergeCell ref="A159:A160"/>
    <mergeCell ref="F159:F160"/>
    <mergeCell ref="B163:E163"/>
    <mergeCell ref="B166:E166"/>
    <mergeCell ref="B168:E168"/>
    <mergeCell ref="A221:C221"/>
    <mergeCell ref="B180:F180"/>
    <mergeCell ref="A178:E178"/>
    <mergeCell ref="A229:F229"/>
    <mergeCell ref="B158:F158"/>
    <mergeCell ref="B159:E160"/>
    <mergeCell ref="B173:E173"/>
    <mergeCell ref="B13:F13"/>
    <mergeCell ref="B82:F82"/>
    <mergeCell ref="A55:E55"/>
    <mergeCell ref="A154:F154"/>
    <mergeCell ref="B155:F155"/>
    <mergeCell ref="B57:F57"/>
    <mergeCell ref="A80:E80"/>
    <mergeCell ref="B106:F106"/>
    <mergeCell ref="A128:E128"/>
    <mergeCell ref="B130:F130"/>
    <mergeCell ref="A152:E152"/>
    <mergeCell ref="A104:E104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79" fitToHeight="0" orientation="portrait" horizontalDpi="4294967294" verticalDpi="4294967294" r:id="rId1"/>
  <rowBreaks count="4" manualBreakCount="4">
    <brk id="56" max="5" man="1"/>
    <brk id="104" max="5" man="1"/>
    <brk id="157" max="5" man="1"/>
    <brk id="217" max="5" man="1"/>
  </rowBreaks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M59"/>
  <sheetViews>
    <sheetView view="pageBreakPreview" zoomScale="60" zoomScaleNormal="100" workbookViewId="0">
      <selection activeCell="U48" sqref="U48"/>
    </sheetView>
  </sheetViews>
  <sheetFormatPr defaultRowHeight="12.75" x14ac:dyDescent="0.25"/>
  <cols>
    <col min="1" max="1" width="12.7109375" style="49" bestFit="1" customWidth="1"/>
    <col min="2" max="2" width="72.28515625" style="48" bestFit="1" customWidth="1"/>
    <col min="3" max="3" width="7.5703125" style="49" bestFit="1" customWidth="1"/>
    <col min="4" max="4" width="11.140625" style="49" bestFit="1" customWidth="1"/>
    <col min="5" max="16384" width="9.140625" style="48"/>
  </cols>
  <sheetData>
    <row r="1" spans="1:4" x14ac:dyDescent="0.25">
      <c r="A1" s="1873" t="s">
        <v>294</v>
      </c>
      <c r="B1" s="1874"/>
      <c r="C1" s="1874"/>
      <c r="D1" s="1875"/>
    </row>
    <row r="2" spans="1:4" x14ac:dyDescent="0.25">
      <c r="A2" s="1876" t="s">
        <v>295</v>
      </c>
      <c r="B2" s="1877"/>
      <c r="C2" s="1877"/>
      <c r="D2" s="1878"/>
    </row>
    <row r="3" spans="1:4" ht="13.5" thickBot="1" x14ac:dyDescent="0.3">
      <c r="A3" s="1879"/>
      <c r="B3" s="1880"/>
      <c r="C3" s="1880"/>
      <c r="D3" s="1881"/>
    </row>
    <row r="4" spans="1:4" ht="13.5" thickBot="1" x14ac:dyDescent="0.3">
      <c r="A4" s="136"/>
      <c r="B4" s="63"/>
      <c r="C4" s="136"/>
      <c r="D4" s="64"/>
    </row>
    <row r="5" spans="1:4" x14ac:dyDescent="0.25">
      <c r="A5" s="1400" t="s">
        <v>292</v>
      </c>
      <c r="B5" s="1401"/>
      <c r="C5" s="1401"/>
      <c r="D5" s="1402"/>
    </row>
    <row r="6" spans="1:4" ht="13.5" thickBot="1" x14ac:dyDescent="0.3">
      <c r="A6" s="1406"/>
      <c r="B6" s="1407"/>
      <c r="C6" s="1407"/>
      <c r="D6" s="1408"/>
    </row>
    <row r="7" spans="1:4" ht="13.5" thickBot="1" x14ac:dyDescent="0.3">
      <c r="A7" s="136"/>
      <c r="B7" s="63"/>
      <c r="C7" s="64"/>
      <c r="D7" s="64"/>
    </row>
    <row r="8" spans="1:4" ht="13.5" thickBot="1" x14ac:dyDescent="0.3">
      <c r="A8" s="1580" t="s">
        <v>856</v>
      </c>
      <c r="B8" s="1581"/>
      <c r="C8" s="1581"/>
      <c r="D8" s="1582"/>
    </row>
    <row r="9" spans="1:4" x14ac:dyDescent="0.25">
      <c r="A9" s="59"/>
      <c r="B9" s="57"/>
      <c r="C9" s="59"/>
      <c r="D9" s="59"/>
    </row>
    <row r="10" spans="1:4" ht="13.5" thickBot="1" x14ac:dyDescent="0.3">
      <c r="A10" s="59"/>
      <c r="B10" s="57"/>
      <c r="C10" s="59"/>
      <c r="D10" s="59"/>
    </row>
    <row r="11" spans="1:4" x14ac:dyDescent="0.25">
      <c r="A11" s="1868" t="s">
        <v>651</v>
      </c>
      <c r="B11" s="1870" t="s">
        <v>652</v>
      </c>
      <c r="C11" s="1870" t="s">
        <v>655</v>
      </c>
      <c r="D11" s="1872"/>
    </row>
    <row r="12" spans="1:4" ht="13.5" thickBot="1" x14ac:dyDescent="0.3">
      <c r="A12" s="1869"/>
      <c r="B12" s="1871"/>
      <c r="C12" s="835" t="s">
        <v>653</v>
      </c>
      <c r="D12" s="836" t="s">
        <v>654</v>
      </c>
    </row>
    <row r="13" spans="1:4" x14ac:dyDescent="0.25">
      <c r="A13" s="837" t="s">
        <v>13</v>
      </c>
      <c r="B13" s="838" t="s">
        <v>650</v>
      </c>
      <c r="C13" s="839">
        <v>0</v>
      </c>
      <c r="D13" s="839">
        <f>C13*176</f>
        <v>0</v>
      </c>
    </row>
    <row r="14" spans="1:4" x14ac:dyDescent="0.25">
      <c r="A14" s="840" t="s">
        <v>14</v>
      </c>
      <c r="B14" s="841" t="s">
        <v>657</v>
      </c>
      <c r="C14" s="842">
        <v>0</v>
      </c>
      <c r="D14" s="842">
        <f t="shared" ref="D14:D30" si="0">C14*176</f>
        <v>0</v>
      </c>
    </row>
    <row r="15" spans="1:4" x14ac:dyDescent="0.25">
      <c r="A15" s="840" t="s">
        <v>15</v>
      </c>
      <c r="B15" s="841" t="s">
        <v>659</v>
      </c>
      <c r="C15" s="842">
        <v>0</v>
      </c>
      <c r="D15" s="842">
        <f t="shared" si="0"/>
        <v>0</v>
      </c>
    </row>
    <row r="16" spans="1:4" x14ac:dyDescent="0.25">
      <c r="A16" s="840" t="s">
        <v>17</v>
      </c>
      <c r="B16" s="841" t="s">
        <v>660</v>
      </c>
      <c r="C16" s="842">
        <v>0</v>
      </c>
      <c r="D16" s="842">
        <f t="shared" si="0"/>
        <v>0</v>
      </c>
    </row>
    <row r="17" spans="1:13" x14ac:dyDescent="0.25">
      <c r="A17" s="840" t="s">
        <v>227</v>
      </c>
      <c r="B17" s="841" t="s">
        <v>658</v>
      </c>
      <c r="C17" s="842">
        <v>0</v>
      </c>
      <c r="D17" s="842">
        <f t="shared" si="0"/>
        <v>0</v>
      </c>
    </row>
    <row r="18" spans="1:13" x14ac:dyDescent="0.25">
      <c r="A18" s="840" t="s">
        <v>36</v>
      </c>
      <c r="B18" s="841" t="s">
        <v>661</v>
      </c>
      <c r="C18" s="842">
        <v>0</v>
      </c>
      <c r="D18" s="842">
        <f t="shared" si="0"/>
        <v>0</v>
      </c>
    </row>
    <row r="19" spans="1:13" x14ac:dyDescent="0.25">
      <c r="A19" s="840" t="s">
        <v>22</v>
      </c>
      <c r="B19" s="841" t="s">
        <v>662</v>
      </c>
      <c r="C19" s="842">
        <v>0</v>
      </c>
      <c r="D19" s="842">
        <f t="shared" si="0"/>
        <v>0</v>
      </c>
    </row>
    <row r="20" spans="1:13" x14ac:dyDescent="0.25">
      <c r="A20" s="840" t="s">
        <v>19</v>
      </c>
      <c r="B20" s="841" t="s">
        <v>663</v>
      </c>
      <c r="C20" s="842">
        <v>0</v>
      </c>
      <c r="D20" s="842">
        <f t="shared" si="0"/>
        <v>0</v>
      </c>
    </row>
    <row r="21" spans="1:13" x14ac:dyDescent="0.25">
      <c r="A21" s="840" t="s">
        <v>20</v>
      </c>
      <c r="B21" s="841" t="s">
        <v>664</v>
      </c>
      <c r="C21" s="842">
        <v>0</v>
      </c>
      <c r="D21" s="842">
        <f t="shared" si="0"/>
        <v>0</v>
      </c>
    </row>
    <row r="22" spans="1:13" x14ac:dyDescent="0.25">
      <c r="A22" s="840" t="s">
        <v>568</v>
      </c>
      <c r="B22" s="841" t="s">
        <v>665</v>
      </c>
      <c r="C22" s="842">
        <v>0</v>
      </c>
      <c r="D22" s="842">
        <f t="shared" si="0"/>
        <v>0</v>
      </c>
    </row>
    <row r="23" spans="1:13" x14ac:dyDescent="0.25">
      <c r="A23" s="840" t="s">
        <v>24</v>
      </c>
      <c r="B23" s="841" t="s">
        <v>666</v>
      </c>
      <c r="C23" s="842">
        <v>0</v>
      </c>
      <c r="D23" s="842">
        <f t="shared" si="0"/>
        <v>0</v>
      </c>
    </row>
    <row r="24" spans="1:13" x14ac:dyDescent="0.25">
      <c r="A24" s="840" t="s">
        <v>656</v>
      </c>
      <c r="B24" s="841" t="s">
        <v>667</v>
      </c>
      <c r="C24" s="842">
        <v>0</v>
      </c>
      <c r="D24" s="842">
        <f t="shared" si="0"/>
        <v>0</v>
      </c>
    </row>
    <row r="25" spans="1:13" x14ac:dyDescent="0.25">
      <c r="A25" s="840" t="s">
        <v>95</v>
      </c>
      <c r="B25" s="841" t="s">
        <v>668</v>
      </c>
      <c r="C25" s="842">
        <v>0</v>
      </c>
      <c r="D25" s="842">
        <f t="shared" si="0"/>
        <v>0</v>
      </c>
    </row>
    <row r="26" spans="1:13" x14ac:dyDescent="0.25">
      <c r="A26" s="840" t="s">
        <v>96</v>
      </c>
      <c r="B26" s="841" t="s">
        <v>669</v>
      </c>
      <c r="C26" s="842">
        <v>0</v>
      </c>
      <c r="D26" s="842">
        <f t="shared" si="0"/>
        <v>0</v>
      </c>
    </row>
    <row r="27" spans="1:13" x14ac:dyDescent="0.25">
      <c r="A27" s="840" t="s">
        <v>65</v>
      </c>
      <c r="B27" s="841" t="s">
        <v>671</v>
      </c>
      <c r="C27" s="842">
        <v>0</v>
      </c>
      <c r="D27" s="842">
        <f t="shared" si="0"/>
        <v>0</v>
      </c>
    </row>
    <row r="28" spans="1:13" x14ac:dyDescent="0.25">
      <c r="A28" s="840" t="s">
        <v>457</v>
      </c>
      <c r="B28" s="841" t="s">
        <v>670</v>
      </c>
      <c r="C28" s="842">
        <v>0</v>
      </c>
      <c r="D28" s="842">
        <f t="shared" si="0"/>
        <v>0</v>
      </c>
    </row>
    <row r="29" spans="1:13" x14ac:dyDescent="0.25">
      <c r="A29" s="840" t="s">
        <v>97</v>
      </c>
      <c r="B29" s="841" t="s">
        <v>672</v>
      </c>
      <c r="C29" s="842">
        <v>0</v>
      </c>
      <c r="D29" s="842">
        <f t="shared" si="0"/>
        <v>0</v>
      </c>
    </row>
    <row r="30" spans="1:13" x14ac:dyDescent="0.25">
      <c r="A30" s="840" t="s">
        <v>66</v>
      </c>
      <c r="B30" s="841" t="s">
        <v>673</v>
      </c>
      <c r="C30" s="842">
        <v>0</v>
      </c>
      <c r="D30" s="842">
        <f t="shared" si="0"/>
        <v>0</v>
      </c>
    </row>
    <row r="31" spans="1:13" x14ac:dyDescent="0.25">
      <c r="A31" s="59"/>
      <c r="B31" s="57"/>
      <c r="C31" s="59"/>
      <c r="D31" s="59"/>
    </row>
    <row r="32" spans="1:13" ht="13.5" thickBot="1" x14ac:dyDescent="0.3">
      <c r="A32" s="59"/>
      <c r="B32" s="57"/>
      <c r="C32" s="59"/>
      <c r="D32" s="59"/>
      <c r="M32" s="48" t="s">
        <v>1017</v>
      </c>
    </row>
    <row r="33" spans="1:4" ht="13.5" thickBot="1" x14ac:dyDescent="0.3">
      <c r="A33" s="1580" t="s">
        <v>857</v>
      </c>
      <c r="B33" s="1581"/>
      <c r="C33" s="1581"/>
      <c r="D33" s="1582"/>
    </row>
    <row r="34" spans="1:4" x14ac:dyDescent="0.25">
      <c r="A34" s="59"/>
      <c r="B34" s="57"/>
      <c r="C34" s="59"/>
      <c r="D34" s="59"/>
    </row>
    <row r="35" spans="1:4" ht="13.5" thickBot="1" x14ac:dyDescent="0.3">
      <c r="A35" s="59"/>
      <c r="B35" s="57"/>
      <c r="C35" s="59"/>
      <c r="D35" s="59"/>
    </row>
    <row r="36" spans="1:4" x14ac:dyDescent="0.25">
      <c r="A36" s="1868" t="s">
        <v>651</v>
      </c>
      <c r="B36" s="1870" t="s">
        <v>652</v>
      </c>
      <c r="C36" s="1870" t="s">
        <v>655</v>
      </c>
      <c r="D36" s="1872"/>
    </row>
    <row r="37" spans="1:4" ht="13.5" thickBot="1" x14ac:dyDescent="0.3">
      <c r="A37" s="1869"/>
      <c r="B37" s="1871"/>
      <c r="C37" s="835" t="s">
        <v>653</v>
      </c>
      <c r="D37" s="836" t="s">
        <v>654</v>
      </c>
    </row>
    <row r="38" spans="1:4" x14ac:dyDescent="0.25">
      <c r="A38" s="837" t="s">
        <v>13</v>
      </c>
      <c r="B38" s="838" t="s">
        <v>650</v>
      </c>
      <c r="C38" s="839">
        <v>0</v>
      </c>
      <c r="D38" s="839">
        <f>C38*176</f>
        <v>0</v>
      </c>
    </row>
    <row r="39" spans="1:4" x14ac:dyDescent="0.25">
      <c r="A39" s="840" t="s">
        <v>14</v>
      </c>
      <c r="B39" s="841" t="s">
        <v>657</v>
      </c>
      <c r="C39" s="842">
        <v>0</v>
      </c>
      <c r="D39" s="842">
        <f t="shared" ref="D39:D55" si="1">C39*176</f>
        <v>0</v>
      </c>
    </row>
    <row r="40" spans="1:4" x14ac:dyDescent="0.25">
      <c r="A40" s="840" t="s">
        <v>15</v>
      </c>
      <c r="B40" s="841" t="s">
        <v>659</v>
      </c>
      <c r="C40" s="842">
        <v>0</v>
      </c>
      <c r="D40" s="842">
        <f t="shared" si="1"/>
        <v>0</v>
      </c>
    </row>
    <row r="41" spans="1:4" x14ac:dyDescent="0.25">
      <c r="A41" s="840" t="s">
        <v>17</v>
      </c>
      <c r="B41" s="841" t="s">
        <v>660</v>
      </c>
      <c r="C41" s="842">
        <v>0</v>
      </c>
      <c r="D41" s="842">
        <f t="shared" si="1"/>
        <v>0</v>
      </c>
    </row>
    <row r="42" spans="1:4" x14ac:dyDescent="0.25">
      <c r="A42" s="840" t="s">
        <v>227</v>
      </c>
      <c r="B42" s="841" t="s">
        <v>658</v>
      </c>
      <c r="C42" s="842">
        <v>0</v>
      </c>
      <c r="D42" s="842">
        <f t="shared" si="1"/>
        <v>0</v>
      </c>
    </row>
    <row r="43" spans="1:4" x14ac:dyDescent="0.25">
      <c r="A43" s="840" t="s">
        <v>36</v>
      </c>
      <c r="B43" s="841" t="s">
        <v>661</v>
      </c>
      <c r="C43" s="842">
        <v>0</v>
      </c>
      <c r="D43" s="842">
        <f t="shared" si="1"/>
        <v>0</v>
      </c>
    </row>
    <row r="44" spans="1:4" x14ac:dyDescent="0.25">
      <c r="A44" s="840" t="s">
        <v>22</v>
      </c>
      <c r="B44" s="841" t="s">
        <v>662</v>
      </c>
      <c r="C44" s="842">
        <v>0</v>
      </c>
      <c r="D44" s="842">
        <f t="shared" si="1"/>
        <v>0</v>
      </c>
    </row>
    <row r="45" spans="1:4" x14ac:dyDescent="0.25">
      <c r="A45" s="840" t="s">
        <v>19</v>
      </c>
      <c r="B45" s="841" t="s">
        <v>663</v>
      </c>
      <c r="C45" s="842">
        <v>0</v>
      </c>
      <c r="D45" s="842">
        <f t="shared" si="1"/>
        <v>0</v>
      </c>
    </row>
    <row r="46" spans="1:4" x14ac:dyDescent="0.25">
      <c r="A46" s="840" t="s">
        <v>20</v>
      </c>
      <c r="B46" s="841" t="s">
        <v>664</v>
      </c>
      <c r="C46" s="842">
        <v>0</v>
      </c>
      <c r="D46" s="842">
        <f t="shared" si="1"/>
        <v>0</v>
      </c>
    </row>
    <row r="47" spans="1:4" x14ac:dyDescent="0.25">
      <c r="A47" s="840" t="s">
        <v>568</v>
      </c>
      <c r="B47" s="841" t="s">
        <v>665</v>
      </c>
      <c r="C47" s="842">
        <v>0</v>
      </c>
      <c r="D47" s="842">
        <f t="shared" si="1"/>
        <v>0</v>
      </c>
    </row>
    <row r="48" spans="1:4" x14ac:dyDescent="0.25">
      <c r="A48" s="840" t="s">
        <v>24</v>
      </c>
      <c r="B48" s="841" t="s">
        <v>666</v>
      </c>
      <c r="C48" s="842">
        <v>0</v>
      </c>
      <c r="D48" s="842">
        <f t="shared" si="1"/>
        <v>0</v>
      </c>
    </row>
    <row r="49" spans="1:4" x14ac:dyDescent="0.25">
      <c r="A49" s="840" t="s">
        <v>656</v>
      </c>
      <c r="B49" s="841" t="s">
        <v>667</v>
      </c>
      <c r="C49" s="842">
        <v>0</v>
      </c>
      <c r="D49" s="842">
        <f t="shared" si="1"/>
        <v>0</v>
      </c>
    </row>
    <row r="50" spans="1:4" x14ac:dyDescent="0.25">
      <c r="A50" s="840" t="s">
        <v>95</v>
      </c>
      <c r="B50" s="841" t="s">
        <v>668</v>
      </c>
      <c r="C50" s="842">
        <v>0</v>
      </c>
      <c r="D50" s="842">
        <f t="shared" si="1"/>
        <v>0</v>
      </c>
    </row>
    <row r="51" spans="1:4" x14ac:dyDescent="0.25">
      <c r="A51" s="840" t="s">
        <v>96</v>
      </c>
      <c r="B51" s="841" t="s">
        <v>669</v>
      </c>
      <c r="C51" s="842">
        <v>0</v>
      </c>
      <c r="D51" s="842">
        <f t="shared" si="1"/>
        <v>0</v>
      </c>
    </row>
    <row r="52" spans="1:4" x14ac:dyDescent="0.25">
      <c r="A52" s="840" t="s">
        <v>65</v>
      </c>
      <c r="B52" s="841" t="s">
        <v>671</v>
      </c>
      <c r="C52" s="842">
        <v>0</v>
      </c>
      <c r="D52" s="842">
        <f t="shared" si="1"/>
        <v>0</v>
      </c>
    </row>
    <row r="53" spans="1:4" x14ac:dyDescent="0.25">
      <c r="A53" s="840" t="s">
        <v>457</v>
      </c>
      <c r="B53" s="841" t="s">
        <v>670</v>
      </c>
      <c r="C53" s="842">
        <v>0</v>
      </c>
      <c r="D53" s="842">
        <f t="shared" si="1"/>
        <v>0</v>
      </c>
    </row>
    <row r="54" spans="1:4" x14ac:dyDescent="0.25">
      <c r="A54" s="840" t="s">
        <v>97</v>
      </c>
      <c r="B54" s="841" t="s">
        <v>672</v>
      </c>
      <c r="C54" s="842">
        <v>0</v>
      </c>
      <c r="D54" s="842">
        <f t="shared" si="1"/>
        <v>0</v>
      </c>
    </row>
    <row r="55" spans="1:4" x14ac:dyDescent="0.25">
      <c r="A55" s="840" t="s">
        <v>66</v>
      </c>
      <c r="B55" s="841" t="s">
        <v>673</v>
      </c>
      <c r="C55" s="842">
        <v>0</v>
      </c>
      <c r="D55" s="842">
        <f t="shared" si="1"/>
        <v>0</v>
      </c>
    </row>
    <row r="56" spans="1:4" x14ac:dyDescent="0.25">
      <c r="A56" s="59"/>
      <c r="B56" s="57"/>
      <c r="C56" s="59"/>
      <c r="D56" s="59"/>
    </row>
    <row r="57" spans="1:4" ht="13.5" thickBot="1" x14ac:dyDescent="0.3">
      <c r="A57" s="59"/>
      <c r="B57" s="57"/>
      <c r="C57" s="59"/>
      <c r="D57" s="59"/>
    </row>
    <row r="58" spans="1:4" ht="13.5" thickBot="1" x14ac:dyDescent="0.3">
      <c r="A58" s="1865" t="s">
        <v>986</v>
      </c>
      <c r="B58" s="1866"/>
      <c r="C58" s="1866"/>
      <c r="D58" s="1867"/>
    </row>
    <row r="59" spans="1:4" x14ac:dyDescent="0.25">
      <c r="A59" s="59"/>
      <c r="B59" s="57"/>
      <c r="C59" s="59"/>
      <c r="D59" s="59"/>
    </row>
  </sheetData>
  <mergeCells count="13">
    <mergeCell ref="C11:D11"/>
    <mergeCell ref="B11:B12"/>
    <mergeCell ref="A11:A12"/>
    <mergeCell ref="A1:D1"/>
    <mergeCell ref="A2:D2"/>
    <mergeCell ref="A3:D3"/>
    <mergeCell ref="A5:D6"/>
    <mergeCell ref="A8:D8"/>
    <mergeCell ref="A58:D58"/>
    <mergeCell ref="A33:D33"/>
    <mergeCell ref="A36:A37"/>
    <mergeCell ref="B36:B37"/>
    <mergeCell ref="C36:D36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82" orientation="portrait" horizontalDpi="4294967294" verticalDpi="4294967294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3:N77"/>
  <sheetViews>
    <sheetView workbookViewId="0">
      <selection activeCell="F16" sqref="F1:F1048576"/>
    </sheetView>
  </sheetViews>
  <sheetFormatPr defaultRowHeight="15" x14ac:dyDescent="0.25"/>
  <cols>
    <col min="1" max="1" width="11.42578125" style="7" bestFit="1" customWidth="1"/>
    <col min="2" max="2" width="14.85546875" style="7" bestFit="1" customWidth="1"/>
    <col min="3" max="3" width="24.85546875" style="7" bestFit="1" customWidth="1"/>
    <col min="4" max="4" width="26.85546875" style="7" customWidth="1"/>
    <col min="5" max="5" width="24.85546875" style="7" bestFit="1" customWidth="1"/>
    <col min="6" max="6" width="15.42578125" style="7" bestFit="1" customWidth="1"/>
    <col min="7" max="7" width="12.28515625" style="7" bestFit="1" customWidth="1"/>
    <col min="8" max="9" width="11.28515625" style="7" bestFit="1" customWidth="1"/>
    <col min="10" max="10" width="12.28515625" style="7" bestFit="1" customWidth="1"/>
    <col min="11" max="11" width="4.42578125" style="7" bestFit="1" customWidth="1"/>
    <col min="12" max="12" width="15.7109375" style="7" bestFit="1" customWidth="1"/>
    <col min="13" max="13" width="30.140625" style="7" bestFit="1" customWidth="1"/>
    <col min="14" max="14" width="16.42578125" style="7" bestFit="1" customWidth="1"/>
  </cols>
  <sheetData>
    <row r="3" spans="1:11" ht="15.75" thickBot="1" x14ac:dyDescent="0.3"/>
    <row r="4" spans="1:11" x14ac:dyDescent="0.25">
      <c r="A4" s="1884" t="s">
        <v>874</v>
      </c>
      <c r="B4" s="1885"/>
      <c r="C4" s="1885"/>
      <c r="D4" s="1885"/>
      <c r="E4" s="1886"/>
    </row>
    <row r="5" spans="1:11" ht="15.75" thickBot="1" x14ac:dyDescent="0.3">
      <c r="A5" s="1887"/>
      <c r="B5" s="1888"/>
      <c r="C5" s="1888"/>
      <c r="D5" s="1888"/>
      <c r="E5" s="1889"/>
    </row>
    <row r="6" spans="1:11" ht="15.75" thickBot="1" x14ac:dyDescent="0.3">
      <c r="A6" s="1892" t="s">
        <v>43</v>
      </c>
      <c r="B6" s="1898" t="s">
        <v>494</v>
      </c>
      <c r="C6" s="1898"/>
      <c r="D6" s="1898"/>
      <c r="E6" s="1899"/>
      <c r="F6" s="1882" t="s">
        <v>48</v>
      </c>
    </row>
    <row r="7" spans="1:11" ht="15.75" thickBot="1" x14ac:dyDescent="0.3">
      <c r="A7" s="1893"/>
      <c r="B7" s="438" t="s">
        <v>895</v>
      </c>
      <c r="C7" s="436" t="s">
        <v>896</v>
      </c>
      <c r="D7" s="436" t="s">
        <v>911</v>
      </c>
      <c r="E7" s="437" t="s">
        <v>868</v>
      </c>
      <c r="F7" s="1883"/>
    </row>
    <row r="8" spans="1:11" ht="15.75" thickTop="1" x14ac:dyDescent="0.25">
      <c r="A8" s="442">
        <v>1</v>
      </c>
      <c r="B8" s="439" t="e">
        <f>#REF!</f>
        <v>#REF!</v>
      </c>
      <c r="C8" s="47" t="e">
        <f>#REF!</f>
        <v>#REF!</v>
      </c>
      <c r="D8" s="47" t="e">
        <f>#REF!</f>
        <v>#REF!</v>
      </c>
      <c r="E8" s="47" t="e">
        <f>#REF!</f>
        <v>#REF!</v>
      </c>
      <c r="F8" s="394" t="e">
        <f t="shared" ref="F8:F15" si="0">SUM(B8:E8)</f>
        <v>#REF!</v>
      </c>
      <c r="G8" s="377" t="e">
        <f t="shared" ref="G8:G16" si="1">B8+C8+D8</f>
        <v>#REF!</v>
      </c>
      <c r="I8" s="452" t="e">
        <f>G8-'Resumo Total'!C15</f>
        <v>#REF!</v>
      </c>
      <c r="J8" s="377" t="e">
        <f t="shared" ref="J8:J16" si="2">(B8+C8+D8)</f>
        <v>#REF!</v>
      </c>
      <c r="K8" s="377"/>
    </row>
    <row r="9" spans="1:11" x14ac:dyDescent="0.25">
      <c r="A9" s="443" t="s">
        <v>892</v>
      </c>
      <c r="B9" s="440" t="e">
        <f>#REF!</f>
        <v>#REF!</v>
      </c>
      <c r="C9" s="46" t="e">
        <f>#REF!</f>
        <v>#REF!</v>
      </c>
      <c r="D9" s="46" t="e">
        <f>#REF!</f>
        <v>#REF!</v>
      </c>
      <c r="E9" s="46" t="e">
        <f>#REF!</f>
        <v>#REF!</v>
      </c>
      <c r="F9" s="395" t="e">
        <f t="shared" si="0"/>
        <v>#REF!</v>
      </c>
      <c r="G9" s="377" t="e">
        <f t="shared" si="1"/>
        <v>#REF!</v>
      </c>
      <c r="H9" s="377" t="e">
        <f>G9+G10</f>
        <v>#REF!</v>
      </c>
      <c r="I9" s="452" t="e">
        <f>H9-'Resumo Total'!C16</f>
        <v>#REF!</v>
      </c>
      <c r="J9" s="377" t="e">
        <f t="shared" si="2"/>
        <v>#REF!</v>
      </c>
    </row>
    <row r="10" spans="1:11" x14ac:dyDescent="0.25">
      <c r="A10" s="443" t="s">
        <v>893</v>
      </c>
      <c r="B10" s="440" t="e">
        <f>#REF!</f>
        <v>#REF!</v>
      </c>
      <c r="C10" s="46" t="e">
        <f>#REF!</f>
        <v>#REF!</v>
      </c>
      <c r="D10" s="46" t="e">
        <f>#REF!</f>
        <v>#REF!</v>
      </c>
      <c r="E10" s="46" t="e">
        <f>#REF!</f>
        <v>#REF!</v>
      </c>
      <c r="F10" s="395" t="e">
        <f t="shared" si="0"/>
        <v>#REF!</v>
      </c>
      <c r="G10" s="377" t="e">
        <f t="shared" si="1"/>
        <v>#REF!</v>
      </c>
      <c r="I10" s="452" t="e">
        <f>G11-'Resumo Total'!C17</f>
        <v>#REF!</v>
      </c>
      <c r="J10" s="377" t="e">
        <f t="shared" si="2"/>
        <v>#REF!</v>
      </c>
    </row>
    <row r="11" spans="1:11" x14ac:dyDescent="0.25">
      <c r="A11" s="443">
        <v>3</v>
      </c>
      <c r="B11" s="440" t="e">
        <f>#REF!</f>
        <v>#REF!</v>
      </c>
      <c r="C11" s="46" t="e">
        <f>#REF!</f>
        <v>#REF!</v>
      </c>
      <c r="D11" s="46" t="e">
        <f>#REF!</f>
        <v>#REF!</v>
      </c>
      <c r="E11" s="46" t="e">
        <f>#REF!</f>
        <v>#REF!</v>
      </c>
      <c r="F11" s="395" t="e">
        <f t="shared" si="0"/>
        <v>#REF!</v>
      </c>
      <c r="G11" s="377" t="e">
        <f t="shared" si="1"/>
        <v>#REF!</v>
      </c>
      <c r="I11" s="452" t="e">
        <f>G12-'Resumo Total'!C18</f>
        <v>#REF!</v>
      </c>
      <c r="J11" s="377" t="e">
        <f t="shared" si="2"/>
        <v>#REF!</v>
      </c>
    </row>
    <row r="12" spans="1:11" x14ac:dyDescent="0.25">
      <c r="A12" s="443">
        <v>4</v>
      </c>
      <c r="B12" s="440" t="e">
        <f>#REF!</f>
        <v>#REF!</v>
      </c>
      <c r="C12" s="46" t="e">
        <f>#REF!</f>
        <v>#REF!</v>
      </c>
      <c r="D12" s="46" t="e">
        <f>#REF!</f>
        <v>#REF!</v>
      </c>
      <c r="E12" s="46" t="e">
        <f>#REF!</f>
        <v>#REF!</v>
      </c>
      <c r="F12" s="395" t="e">
        <f t="shared" si="0"/>
        <v>#REF!</v>
      </c>
      <c r="G12" s="377" t="e">
        <f t="shared" si="1"/>
        <v>#REF!</v>
      </c>
      <c r="I12" s="452" t="e">
        <f>G13-'Resumo Total'!C19</f>
        <v>#REF!</v>
      </c>
      <c r="J12" s="377" t="e">
        <f t="shared" si="2"/>
        <v>#REF!</v>
      </c>
    </row>
    <row r="13" spans="1:11" x14ac:dyDescent="0.25">
      <c r="A13" s="443">
        <v>5</v>
      </c>
      <c r="B13" s="440" t="e">
        <f>#REF!</f>
        <v>#REF!</v>
      </c>
      <c r="C13" s="46" t="e">
        <f>#REF!</f>
        <v>#REF!</v>
      </c>
      <c r="D13" s="46" t="e">
        <f>#REF!</f>
        <v>#REF!</v>
      </c>
      <c r="E13" s="46" t="e">
        <f>#REF!</f>
        <v>#REF!</v>
      </c>
      <c r="F13" s="395" t="e">
        <f t="shared" si="0"/>
        <v>#REF!</v>
      </c>
      <c r="G13" s="377" t="e">
        <f t="shared" si="1"/>
        <v>#REF!</v>
      </c>
      <c r="I13" s="452" t="e">
        <f>G14-'Resumo Total'!C20</f>
        <v>#REF!</v>
      </c>
      <c r="J13" s="377" t="e">
        <f t="shared" si="2"/>
        <v>#REF!</v>
      </c>
    </row>
    <row r="14" spans="1:11" x14ac:dyDescent="0.25">
      <c r="A14" s="443">
        <v>6</v>
      </c>
      <c r="B14" s="440" t="e">
        <f>#REF!</f>
        <v>#REF!</v>
      </c>
      <c r="C14" s="46" t="e">
        <f>#REF!</f>
        <v>#REF!</v>
      </c>
      <c r="D14" s="46" t="e">
        <f>#REF!</f>
        <v>#REF!</v>
      </c>
      <c r="E14" s="46" t="e">
        <f>#REF!</f>
        <v>#REF!</v>
      </c>
      <c r="F14" s="395" t="e">
        <f t="shared" si="0"/>
        <v>#REF!</v>
      </c>
      <c r="G14" s="377" t="e">
        <f t="shared" si="1"/>
        <v>#REF!</v>
      </c>
      <c r="I14" s="452" t="e">
        <f>G15-'Resumo Total'!C21</f>
        <v>#REF!</v>
      </c>
      <c r="J14" s="377" t="e">
        <f t="shared" si="2"/>
        <v>#REF!</v>
      </c>
    </row>
    <row r="15" spans="1:11" ht="15.75" thickBot="1" x14ac:dyDescent="0.3">
      <c r="A15" s="444">
        <v>7</v>
      </c>
      <c r="B15" s="441" t="e">
        <f>#REF!</f>
        <v>#REF!</v>
      </c>
      <c r="C15" s="67" t="e">
        <f>#REF!</f>
        <v>#REF!</v>
      </c>
      <c r="D15" s="67" t="e">
        <f>#REF!</f>
        <v>#REF!</v>
      </c>
      <c r="E15" s="67">
        <v>0</v>
      </c>
      <c r="F15" s="396" t="e">
        <f t="shared" si="0"/>
        <v>#REF!</v>
      </c>
      <c r="G15" s="377" t="e">
        <f t="shared" si="1"/>
        <v>#REF!</v>
      </c>
      <c r="I15" s="452" t="e">
        <f>G15-'Resumo Total'!C21</f>
        <v>#REF!</v>
      </c>
      <c r="J15" s="377" t="e">
        <f t="shared" si="2"/>
        <v>#REF!</v>
      </c>
    </row>
    <row r="16" spans="1:11" ht="15.75" thickBot="1" x14ac:dyDescent="0.3">
      <c r="A16" s="8"/>
      <c r="B16" s="387" t="e">
        <f>SUM(B8:B15)</f>
        <v>#REF!</v>
      </c>
      <c r="C16" s="416" t="e">
        <f>SUM(C8:C15)</f>
        <v>#REF!</v>
      </c>
      <c r="D16" s="416" t="e">
        <f>SUM(D8:D15)</f>
        <v>#REF!</v>
      </c>
      <c r="E16" s="388" t="e">
        <f>SUM(E8:E15)</f>
        <v>#REF!</v>
      </c>
      <c r="F16" s="397" t="e">
        <f>SUM(F8:F15)</f>
        <v>#REF!</v>
      </c>
      <c r="G16" s="377" t="e">
        <f t="shared" si="1"/>
        <v>#REF!</v>
      </c>
      <c r="I16" s="452"/>
      <c r="J16" s="377" t="e">
        <f t="shared" si="2"/>
        <v>#REF!</v>
      </c>
    </row>
    <row r="18" spans="1:9" ht="15.75" thickBot="1" x14ac:dyDescent="0.3"/>
    <row r="19" spans="1:9" x14ac:dyDescent="0.25">
      <c r="A19" s="1884" t="s">
        <v>874</v>
      </c>
      <c r="B19" s="1885"/>
      <c r="C19" s="1885"/>
      <c r="D19" s="1885"/>
      <c r="E19" s="1885"/>
      <c r="F19" s="1885"/>
      <c r="G19" s="1886"/>
    </row>
    <row r="20" spans="1:9" ht="15.75" thickBot="1" x14ac:dyDescent="0.3">
      <c r="A20" s="1887"/>
      <c r="B20" s="1888"/>
      <c r="C20" s="1888"/>
      <c r="D20" s="1888"/>
      <c r="E20" s="1888"/>
      <c r="F20" s="1888"/>
      <c r="G20" s="1889"/>
    </row>
    <row r="21" spans="1:9" x14ac:dyDescent="0.25">
      <c r="A21" s="1896" t="s">
        <v>43</v>
      </c>
      <c r="B21" s="1894" t="s">
        <v>494</v>
      </c>
      <c r="C21" s="1894"/>
      <c r="D21" s="1894" t="s">
        <v>522</v>
      </c>
      <c r="E21" s="1894"/>
      <c r="F21" s="1895"/>
      <c r="G21" s="1882" t="s">
        <v>48</v>
      </c>
    </row>
    <row r="22" spans="1:9" ht="15.75" thickBot="1" x14ac:dyDescent="0.3">
      <c r="A22" s="1897"/>
      <c r="B22" s="386" t="s">
        <v>866</v>
      </c>
      <c r="C22" s="386" t="s">
        <v>868</v>
      </c>
      <c r="D22" s="386" t="s">
        <v>757</v>
      </c>
      <c r="E22" s="386" t="s">
        <v>867</v>
      </c>
      <c r="F22" s="389" t="s">
        <v>756</v>
      </c>
      <c r="G22" s="1883"/>
    </row>
    <row r="23" spans="1:9" ht="15.75" thickTop="1" x14ac:dyDescent="0.25">
      <c r="A23" s="385">
        <v>1</v>
      </c>
      <c r="B23" s="47" t="e">
        <f>#REF!</f>
        <v>#REF!</v>
      </c>
      <c r="C23" s="47" t="e">
        <f>#REF!</f>
        <v>#REF!</v>
      </c>
      <c r="D23" s="47" t="e">
        <f>#REF!</f>
        <v>#REF!</v>
      </c>
      <c r="E23" s="47" t="e">
        <f>#REF!</f>
        <v>#REF!</v>
      </c>
      <c r="F23" s="390" t="e">
        <f>#REF!</f>
        <v>#REF!</v>
      </c>
      <c r="G23" s="394" t="e">
        <f t="shared" ref="G23:G30" si="3">SUM(B23:F23)</f>
        <v>#REF!</v>
      </c>
    </row>
    <row r="24" spans="1:9" x14ac:dyDescent="0.25">
      <c r="A24" s="383" t="s">
        <v>892</v>
      </c>
      <c r="B24" s="46" t="e">
        <f>#REF!</f>
        <v>#REF!</v>
      </c>
      <c r="C24" s="46" t="e">
        <f>#REF!</f>
        <v>#REF!</v>
      </c>
      <c r="D24" s="46" t="e">
        <f>#REF!</f>
        <v>#REF!</v>
      </c>
      <c r="E24" s="46" t="e">
        <f>#REF!</f>
        <v>#REF!</v>
      </c>
      <c r="F24" s="391" t="e">
        <f>#REF!</f>
        <v>#REF!</v>
      </c>
      <c r="G24" s="395" t="e">
        <f t="shared" si="3"/>
        <v>#REF!</v>
      </c>
      <c r="I24" s="377" t="e">
        <f>G24+G25</f>
        <v>#REF!</v>
      </c>
    </row>
    <row r="25" spans="1:9" x14ac:dyDescent="0.25">
      <c r="A25" s="383" t="s">
        <v>893</v>
      </c>
      <c r="B25" s="46" t="e">
        <f>#REF!</f>
        <v>#REF!</v>
      </c>
      <c r="C25" s="46" t="e">
        <f>#REF!</f>
        <v>#REF!</v>
      </c>
      <c r="D25" s="46" t="e">
        <f>#REF!</f>
        <v>#REF!</v>
      </c>
      <c r="E25" s="46" t="e">
        <f>#REF!</f>
        <v>#REF!</v>
      </c>
      <c r="F25" s="391" t="e">
        <f>#REF!</f>
        <v>#REF!</v>
      </c>
      <c r="G25" s="395" t="e">
        <f t="shared" si="3"/>
        <v>#REF!</v>
      </c>
    </row>
    <row r="26" spans="1:9" x14ac:dyDescent="0.25">
      <c r="A26" s="383">
        <v>3</v>
      </c>
      <c r="B26" s="46" t="e">
        <f>#REF!</f>
        <v>#REF!</v>
      </c>
      <c r="C26" s="46" t="e">
        <f>#REF!</f>
        <v>#REF!</v>
      </c>
      <c r="D26" s="46" t="e">
        <f>#REF!</f>
        <v>#REF!</v>
      </c>
      <c r="E26" s="46" t="e">
        <f>#REF!</f>
        <v>#REF!</v>
      </c>
      <c r="F26" s="391" t="e">
        <f>#REF!</f>
        <v>#REF!</v>
      </c>
      <c r="G26" s="395" t="e">
        <f t="shared" si="3"/>
        <v>#REF!</v>
      </c>
    </row>
    <row r="27" spans="1:9" x14ac:dyDescent="0.25">
      <c r="A27" s="383">
        <v>4</v>
      </c>
      <c r="B27" s="46" t="e">
        <f>#REF!</f>
        <v>#REF!</v>
      </c>
      <c r="C27" s="46" t="e">
        <f>#REF!</f>
        <v>#REF!</v>
      </c>
      <c r="D27" s="46" t="e">
        <f>#REF!</f>
        <v>#REF!</v>
      </c>
      <c r="E27" s="46" t="e">
        <f>#REF!</f>
        <v>#REF!</v>
      </c>
      <c r="F27" s="391" t="e">
        <f>#REF!</f>
        <v>#REF!</v>
      </c>
      <c r="G27" s="395" t="e">
        <f t="shared" si="3"/>
        <v>#REF!</v>
      </c>
    </row>
    <row r="28" spans="1:9" x14ac:dyDescent="0.25">
      <c r="A28" s="383">
        <v>5</v>
      </c>
      <c r="B28" s="46" t="e">
        <f>#REF!</f>
        <v>#REF!</v>
      </c>
      <c r="C28" s="46" t="e">
        <f>#REF!</f>
        <v>#REF!</v>
      </c>
      <c r="D28" s="46" t="e">
        <f>#REF!</f>
        <v>#REF!</v>
      </c>
      <c r="E28" s="46" t="e">
        <f>#REF!</f>
        <v>#REF!</v>
      </c>
      <c r="F28" s="391" t="e">
        <f>#REF!</f>
        <v>#REF!</v>
      </c>
      <c r="G28" s="395" t="e">
        <f t="shared" si="3"/>
        <v>#REF!</v>
      </c>
    </row>
    <row r="29" spans="1:9" x14ac:dyDescent="0.25">
      <c r="A29" s="383">
        <v>6</v>
      </c>
      <c r="B29" s="46" t="e">
        <f>#REF!</f>
        <v>#REF!</v>
      </c>
      <c r="C29" s="46" t="e">
        <f>#REF!</f>
        <v>#REF!</v>
      </c>
      <c r="D29" s="46" t="e">
        <f>#REF!</f>
        <v>#REF!</v>
      </c>
      <c r="E29" s="46" t="e">
        <f>#REF!</f>
        <v>#REF!</v>
      </c>
      <c r="F29" s="391" t="e">
        <f>#REF!</f>
        <v>#REF!</v>
      </c>
      <c r="G29" s="395" t="e">
        <f t="shared" si="3"/>
        <v>#REF!</v>
      </c>
    </row>
    <row r="30" spans="1:9" ht="15.75" thickBot="1" x14ac:dyDescent="0.3">
      <c r="A30" s="384">
        <v>7</v>
      </c>
      <c r="B30" s="67" t="e">
        <f>#REF!</f>
        <v>#REF!</v>
      </c>
      <c r="C30" s="67" t="e">
        <f>#REF!</f>
        <v>#REF!</v>
      </c>
      <c r="D30" s="67" t="e">
        <f>#REF!</f>
        <v>#REF!</v>
      </c>
      <c r="E30" s="67" t="e">
        <f>#REF!</f>
        <v>#REF!</v>
      </c>
      <c r="F30" s="392" t="e">
        <f>#REF!</f>
        <v>#REF!</v>
      </c>
      <c r="G30" s="396" t="e">
        <f t="shared" si="3"/>
        <v>#REF!</v>
      </c>
    </row>
    <row r="31" spans="1:9" ht="15.75" thickBot="1" x14ac:dyDescent="0.3">
      <c r="A31" s="8"/>
      <c r="B31" s="387" t="e">
        <f t="shared" ref="B31:G31" si="4">SUM(B23:B30)</f>
        <v>#REF!</v>
      </c>
      <c r="C31" s="388" t="e">
        <f t="shared" si="4"/>
        <v>#REF!</v>
      </c>
      <c r="D31" s="388" t="e">
        <f t="shared" si="4"/>
        <v>#REF!</v>
      </c>
      <c r="E31" s="388" t="e">
        <f t="shared" si="4"/>
        <v>#REF!</v>
      </c>
      <c r="F31" s="393" t="e">
        <f t="shared" si="4"/>
        <v>#REF!</v>
      </c>
      <c r="G31" s="397" t="e">
        <f t="shared" si="4"/>
        <v>#REF!</v>
      </c>
    </row>
    <row r="33" spans="1:14" ht="15.75" thickBot="1" x14ac:dyDescent="0.3">
      <c r="B33" s="377"/>
      <c r="C33" s="377"/>
      <c r="D33" s="445"/>
    </row>
    <row r="34" spans="1:14" ht="15.75" thickBot="1" x14ac:dyDescent="0.3">
      <c r="A34" s="226" t="s">
        <v>265</v>
      </c>
      <c r="B34" s="1890" t="s">
        <v>406</v>
      </c>
      <c r="C34" s="1891"/>
      <c r="I34" s="452" t="e">
        <f>B23-'Resumo Total'!C15</f>
        <v>#REF!</v>
      </c>
      <c r="J34" s="377" t="e">
        <f t="shared" ref="J34:J42" si="5">B8+C8+D8</f>
        <v>#REF!</v>
      </c>
      <c r="K34" s="445" t="e">
        <f t="shared" ref="K34:K42" si="6">B23-J34</f>
        <v>#REF!</v>
      </c>
    </row>
    <row r="35" spans="1:14" x14ac:dyDescent="0.25">
      <c r="A35" s="1" t="s">
        <v>266</v>
      </c>
      <c r="B35" s="379" t="s">
        <v>753</v>
      </c>
      <c r="C35" s="239" t="e">
        <f>#REF!</f>
        <v>#REF!</v>
      </c>
      <c r="I35" s="452" t="e">
        <f>(B24+B25)-'Resumo Total'!C16</f>
        <v>#REF!</v>
      </c>
      <c r="J35" s="377" t="e">
        <f t="shared" si="5"/>
        <v>#REF!</v>
      </c>
      <c r="K35" s="445" t="e">
        <f t="shared" si="6"/>
        <v>#REF!</v>
      </c>
    </row>
    <row r="36" spans="1:14" x14ac:dyDescent="0.25">
      <c r="A36" s="2" t="s">
        <v>267</v>
      </c>
      <c r="B36" s="244" t="s">
        <v>312</v>
      </c>
      <c r="C36" s="240" t="e">
        <f>#REF!</f>
        <v>#REF!</v>
      </c>
      <c r="I36" s="452" t="e">
        <f>B26-'Resumo Total'!C17</f>
        <v>#REF!</v>
      </c>
      <c r="J36" s="377" t="e">
        <f t="shared" si="5"/>
        <v>#REF!</v>
      </c>
      <c r="K36" s="445" t="e">
        <f t="shared" si="6"/>
        <v>#REF!</v>
      </c>
    </row>
    <row r="37" spans="1:14" x14ac:dyDescent="0.25">
      <c r="A37" s="2" t="s">
        <v>409</v>
      </c>
      <c r="B37" s="244" t="s">
        <v>754</v>
      </c>
      <c r="C37" s="240" t="e">
        <f>#REF!</f>
        <v>#REF!</v>
      </c>
      <c r="I37" s="452" t="e">
        <f>B27-'Resumo Total'!C18</f>
        <v>#REF!</v>
      </c>
      <c r="J37" s="377" t="e">
        <f t="shared" si="5"/>
        <v>#REF!</v>
      </c>
      <c r="K37" s="445" t="e">
        <f t="shared" si="6"/>
        <v>#REF!</v>
      </c>
    </row>
    <row r="38" spans="1:14" x14ac:dyDescent="0.25">
      <c r="A38" s="2" t="s">
        <v>410</v>
      </c>
      <c r="B38" s="244" t="s">
        <v>407</v>
      </c>
      <c r="C38" s="240" t="e">
        <f>#REF!</f>
        <v>#REF!</v>
      </c>
      <c r="I38" s="452" t="e">
        <f>B28-'Resumo Total'!C19</f>
        <v>#REF!</v>
      </c>
      <c r="J38" s="377" t="e">
        <f t="shared" si="5"/>
        <v>#REF!</v>
      </c>
      <c r="K38" s="445" t="e">
        <f t="shared" si="6"/>
        <v>#REF!</v>
      </c>
    </row>
    <row r="39" spans="1:14" x14ac:dyDescent="0.25">
      <c r="A39" s="2" t="s">
        <v>411</v>
      </c>
      <c r="B39" s="244" t="s">
        <v>408</v>
      </c>
      <c r="C39" s="240"/>
      <c r="D39" s="7" t="s">
        <v>926</v>
      </c>
      <c r="I39" s="452" t="e">
        <f>B29-'Resumo Total'!C20</f>
        <v>#REF!</v>
      </c>
      <c r="J39" s="377" t="e">
        <f t="shared" si="5"/>
        <v>#REF!</v>
      </c>
      <c r="K39" s="445" t="e">
        <f t="shared" si="6"/>
        <v>#REF!</v>
      </c>
    </row>
    <row r="40" spans="1:14" ht="24" x14ac:dyDescent="0.25">
      <c r="A40" s="4" t="s">
        <v>412</v>
      </c>
      <c r="B40" s="380" t="s">
        <v>759</v>
      </c>
      <c r="C40" s="243" t="e">
        <f>#REF!</f>
        <v>#REF!</v>
      </c>
      <c r="I40" s="452" t="e">
        <f>B30-'Resumo Total'!C21</f>
        <v>#REF!</v>
      </c>
      <c r="J40" s="377" t="e">
        <f t="shared" si="5"/>
        <v>#REF!</v>
      </c>
      <c r="K40" s="445" t="e">
        <f t="shared" si="6"/>
        <v>#REF!</v>
      </c>
    </row>
    <row r="41" spans="1:14" ht="15.75" thickBot="1" x14ac:dyDescent="0.3">
      <c r="A41" s="3" t="s">
        <v>413</v>
      </c>
      <c r="B41" s="381" t="s">
        <v>742</v>
      </c>
      <c r="C41" s="241" t="e">
        <f>#REF!</f>
        <v>#REF!</v>
      </c>
      <c r="I41" s="452"/>
      <c r="J41" s="377" t="e">
        <f t="shared" si="5"/>
        <v>#REF!</v>
      </c>
      <c r="K41" s="445" t="e">
        <f t="shared" si="6"/>
        <v>#REF!</v>
      </c>
    </row>
    <row r="42" spans="1:14" ht="15.75" thickBot="1" x14ac:dyDescent="0.3">
      <c r="C42" s="534" t="e">
        <f>SUM(C35:C41)</f>
        <v>#REF!</v>
      </c>
      <c r="I42" s="452"/>
      <c r="J42" s="377" t="e">
        <f t="shared" si="5"/>
        <v>#REF!</v>
      </c>
      <c r="K42" s="445" t="e">
        <f t="shared" si="6"/>
        <v>#REF!</v>
      </c>
    </row>
    <row r="43" spans="1:14" x14ac:dyDescent="0.25">
      <c r="A43" s="73"/>
      <c r="B43" s="73"/>
      <c r="C43" s="73"/>
      <c r="D43" s="73"/>
      <c r="E43" s="73"/>
      <c r="F43" s="73"/>
      <c r="G43" s="73"/>
      <c r="H43" s="73"/>
      <c r="I43" s="73"/>
      <c r="J43" s="377"/>
      <c r="K43" s="445"/>
      <c r="L43" s="73"/>
      <c r="M43" s="73"/>
      <c r="N43" s="73"/>
    </row>
    <row r="44" spans="1:14" x14ac:dyDescent="0.25">
      <c r="A44" s="73"/>
      <c r="B44" s="73"/>
      <c r="C44" s="73"/>
      <c r="D44" s="73"/>
      <c r="E44" s="73"/>
      <c r="F44" s="73"/>
      <c r="G44" s="73"/>
      <c r="H44" s="73"/>
      <c r="I44" s="73"/>
      <c r="J44" s="377" t="e">
        <f>'Resumo Total'!#REF!+'Resumo Total'!#REF!+'Resumo Total'!#REF!</f>
        <v>#REF!</v>
      </c>
      <c r="K44" s="445"/>
      <c r="L44" s="73"/>
      <c r="M44" s="73"/>
      <c r="N44" s="73"/>
    </row>
    <row r="45" spans="1:14" x14ac:dyDescent="0.25">
      <c r="A45" s="73"/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</row>
    <row r="46" spans="1:14" x14ac:dyDescent="0.25">
      <c r="A46" s="73"/>
      <c r="B46" s="73"/>
      <c r="C46" s="73"/>
      <c r="D46" s="73"/>
      <c r="E46" s="73"/>
      <c r="F46" s="73"/>
      <c r="G46" s="73"/>
      <c r="H46" s="73"/>
      <c r="I46" s="73"/>
      <c r="J46" s="533">
        <f>'Resumo Total'!C27+'Resumo Total'!C28+'Resumo Total'!C31+'Resumo Total'!C29+'Resumo Total'!C30+'Resumo Total'!C32+'Resumo Total'!C34</f>
        <v>0</v>
      </c>
      <c r="K46" s="73"/>
      <c r="L46" s="73"/>
      <c r="M46" s="73"/>
      <c r="N46" s="73"/>
    </row>
    <row r="47" spans="1:14" x14ac:dyDescent="0.25">
      <c r="A47" s="73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</row>
    <row r="48" spans="1:14" x14ac:dyDescent="0.25">
      <c r="A48" s="73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</row>
    <row r="49" spans="1:14" x14ac:dyDescent="0.25">
      <c r="A49" s="73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</row>
    <row r="50" spans="1:14" x14ac:dyDescent="0.25">
      <c r="A50" s="7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</row>
    <row r="51" spans="1:14" x14ac:dyDescent="0.25">
      <c r="A51" s="73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</row>
    <row r="52" spans="1:14" x14ac:dyDescent="0.25">
      <c r="A52" s="73"/>
      <c r="B52" s="73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</row>
    <row r="53" spans="1:14" x14ac:dyDescent="0.25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</row>
    <row r="54" spans="1:14" x14ac:dyDescent="0.25">
      <c r="A54" s="73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</row>
    <row r="55" spans="1:14" x14ac:dyDescent="0.25">
      <c r="A55" s="7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</row>
    <row r="56" spans="1:14" x14ac:dyDescent="0.25">
      <c r="A56" s="73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</row>
    <row r="57" spans="1:14" x14ac:dyDescent="0.25">
      <c r="A57" s="73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</row>
    <row r="58" spans="1:14" x14ac:dyDescent="0.25">
      <c r="A58" s="73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</row>
    <row r="59" spans="1:14" x14ac:dyDescent="0.25">
      <c r="A59" s="73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</row>
    <row r="60" spans="1:14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</row>
    <row r="61" spans="1:14" x14ac:dyDescent="0.25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</row>
    <row r="62" spans="1:14" x14ac:dyDescent="0.25">
      <c r="A62" s="97"/>
      <c r="B62" s="73"/>
      <c r="C62" s="96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73"/>
    </row>
    <row r="63" spans="1:14" x14ac:dyDescent="0.25">
      <c r="A63" s="97"/>
      <c r="B63" s="73"/>
      <c r="C63" s="96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</row>
    <row r="64" spans="1:14" x14ac:dyDescent="0.25">
      <c r="A64" s="97"/>
      <c r="B64" s="73"/>
      <c r="C64" s="96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</row>
    <row r="65" spans="1:14" x14ac:dyDescent="0.25">
      <c r="A65" s="97"/>
      <c r="B65" s="73"/>
      <c r="C65" s="96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73"/>
    </row>
    <row r="66" spans="1:14" x14ac:dyDescent="0.25">
      <c r="A66" s="97"/>
      <c r="B66" s="73"/>
      <c r="C66" s="96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</row>
    <row r="67" spans="1:14" x14ac:dyDescent="0.25">
      <c r="A67" s="97"/>
      <c r="B67" s="73"/>
      <c r="C67" s="96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</row>
    <row r="68" spans="1:14" x14ac:dyDescent="0.25">
      <c r="A68" s="97"/>
      <c r="B68" s="73"/>
      <c r="C68" s="96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73"/>
    </row>
    <row r="69" spans="1:14" x14ac:dyDescent="0.25">
      <c r="A69" s="97"/>
      <c r="B69" s="73"/>
      <c r="C69" s="96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</row>
    <row r="70" spans="1:14" x14ac:dyDescent="0.25">
      <c r="A70" s="19"/>
      <c r="C70" s="8"/>
    </row>
    <row r="71" spans="1:14" x14ac:dyDescent="0.25">
      <c r="A71" s="19"/>
      <c r="C71" s="8"/>
    </row>
    <row r="72" spans="1:14" x14ac:dyDescent="0.25">
      <c r="A72" s="19"/>
      <c r="C72" s="8"/>
    </row>
    <row r="73" spans="1:14" x14ac:dyDescent="0.25">
      <c r="A73" s="19"/>
      <c r="C73" s="8"/>
    </row>
    <row r="74" spans="1:14" x14ac:dyDescent="0.25">
      <c r="A74" s="19"/>
      <c r="C74" s="8"/>
    </row>
    <row r="75" spans="1:14" x14ac:dyDescent="0.25">
      <c r="A75" s="19"/>
      <c r="C75" s="8"/>
    </row>
    <row r="76" spans="1:14" x14ac:dyDescent="0.25">
      <c r="A76" s="19"/>
      <c r="C76" s="8"/>
    </row>
    <row r="77" spans="1:14" x14ac:dyDescent="0.25">
      <c r="A77" s="19"/>
      <c r="C77" s="8"/>
    </row>
  </sheetData>
  <mergeCells count="10">
    <mergeCell ref="G21:G22"/>
    <mergeCell ref="A19:G20"/>
    <mergeCell ref="B34:C34"/>
    <mergeCell ref="A4:E5"/>
    <mergeCell ref="A6:A7"/>
    <mergeCell ref="F6:F7"/>
    <mergeCell ref="B21:C21"/>
    <mergeCell ref="D21:F21"/>
    <mergeCell ref="A21:A22"/>
    <mergeCell ref="B6:E6"/>
  </mergeCell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P70"/>
  <sheetViews>
    <sheetView topLeftCell="A2" zoomScale="70" zoomScaleNormal="70" workbookViewId="0">
      <selection activeCell="E19" sqref="E19"/>
    </sheetView>
  </sheetViews>
  <sheetFormatPr defaultRowHeight="15" x14ac:dyDescent="0.25"/>
  <cols>
    <col min="1" max="1" width="7.140625" style="7" customWidth="1"/>
    <col min="2" max="2" width="80.140625" style="50" customWidth="1"/>
    <col min="3" max="3" width="17.140625" style="235" bestFit="1" customWidth="1"/>
    <col min="4" max="4" width="3.42578125" style="571" customWidth="1"/>
    <col min="5" max="5" width="11.42578125" style="570" bestFit="1" customWidth="1"/>
    <col min="7" max="7" width="15" bestFit="1" customWidth="1"/>
    <col min="8" max="8" width="5" bestFit="1" customWidth="1"/>
    <col min="17" max="16384" width="9.140625" style="7"/>
  </cols>
  <sheetData>
    <row r="1" spans="1:7" x14ac:dyDescent="0.25">
      <c r="A1" s="1541" t="s">
        <v>294</v>
      </c>
      <c r="B1" s="1542"/>
      <c r="C1" s="1543"/>
    </row>
    <row r="2" spans="1:7" x14ac:dyDescent="0.25">
      <c r="A2" s="1544" t="s">
        <v>295</v>
      </c>
      <c r="B2" s="1545"/>
      <c r="C2" s="1546"/>
    </row>
    <row r="3" spans="1:7" ht="15.75" thickBot="1" x14ac:dyDescent="0.3">
      <c r="A3" s="1547"/>
      <c r="B3" s="1548"/>
      <c r="C3" s="1549"/>
    </row>
    <row r="4" spans="1:7" ht="15.75" customHeight="1" thickBot="1" x14ac:dyDescent="0.3">
      <c r="A4" s="169"/>
      <c r="B4" s="63"/>
      <c r="C4" s="234"/>
    </row>
    <row r="5" spans="1:7" ht="12.75" customHeight="1" x14ac:dyDescent="0.25">
      <c r="A5" s="1400" t="s">
        <v>292</v>
      </c>
      <c r="B5" s="1401"/>
      <c r="C5" s="1402"/>
    </row>
    <row r="6" spans="1:7" ht="15.75" customHeight="1" x14ac:dyDescent="0.25">
      <c r="A6" s="1403"/>
      <c r="B6" s="1404"/>
      <c r="C6" s="1405"/>
    </row>
    <row r="7" spans="1:7" ht="15.75" customHeight="1" thickBot="1" x14ac:dyDescent="0.3">
      <c r="A7" s="1406"/>
      <c r="B7" s="1407"/>
      <c r="C7" s="1408"/>
    </row>
    <row r="8" spans="1:7" ht="15.75" thickBot="1" x14ac:dyDescent="0.3">
      <c r="A8" s="169"/>
      <c r="B8" s="63"/>
      <c r="C8" s="234"/>
    </row>
    <row r="9" spans="1:7" ht="15.75" thickBot="1" x14ac:dyDescent="0.3">
      <c r="A9" s="1580" t="s">
        <v>869</v>
      </c>
      <c r="B9" s="1581"/>
      <c r="C9" s="1582"/>
    </row>
    <row r="10" spans="1:7" ht="15.75" thickBot="1" x14ac:dyDescent="0.3">
      <c r="A10" s="169"/>
      <c r="B10" s="63"/>
      <c r="C10" s="234"/>
    </row>
    <row r="11" spans="1:7" x14ac:dyDescent="0.25">
      <c r="A11" s="1902" t="s">
        <v>0</v>
      </c>
      <c r="B11" s="1550" t="s">
        <v>1</v>
      </c>
      <c r="C11" s="1491" t="s">
        <v>309</v>
      </c>
    </row>
    <row r="12" spans="1:7" x14ac:dyDescent="0.25">
      <c r="A12" s="1903"/>
      <c r="B12" s="1551"/>
      <c r="C12" s="1492"/>
    </row>
    <row r="13" spans="1:7" ht="15.75" thickBot="1" x14ac:dyDescent="0.3">
      <c r="A13" s="1904"/>
      <c r="B13" s="1552"/>
      <c r="C13" s="1493"/>
    </row>
    <row r="14" spans="1:7" ht="15.75" thickBot="1" x14ac:dyDescent="0.3">
      <c r="A14" s="142" t="s">
        <v>99</v>
      </c>
      <c r="B14" s="1900" t="s">
        <v>746</v>
      </c>
      <c r="C14" s="1901"/>
    </row>
    <row r="15" spans="1:7" ht="15.75" thickBot="1" x14ac:dyDescent="0.3">
      <c r="A15" s="6" t="s">
        <v>4</v>
      </c>
      <c r="B15" s="378" t="s">
        <v>747</v>
      </c>
      <c r="C15" s="251">
        <f>Mobilizacao_Desmobilizacao!I24</f>
        <v>0</v>
      </c>
      <c r="E15" s="573" t="e">
        <f>((C15*100)/$C$41)/100</f>
        <v>#REF!</v>
      </c>
    </row>
    <row r="16" spans="1:7" ht="15.75" thickBot="1" x14ac:dyDescent="0.3">
      <c r="A16" s="142" t="s">
        <v>100</v>
      </c>
      <c r="B16" s="1900" t="s">
        <v>748</v>
      </c>
      <c r="C16" s="1901"/>
      <c r="E16" s="571"/>
      <c r="G16" s="567"/>
    </row>
    <row r="17" spans="1:7" ht="15.75" thickBot="1" x14ac:dyDescent="0.3">
      <c r="A17" s="6" t="s">
        <v>81</v>
      </c>
      <c r="B17" s="378" t="s">
        <v>749</v>
      </c>
      <c r="C17" s="251">
        <f>Mobilizacao_Desmobilizacao!F37</f>
        <v>0</v>
      </c>
      <c r="E17" s="573" t="e">
        <f>((C17*100)/$C$41)/100</f>
        <v>#REF!</v>
      </c>
      <c r="G17" s="568"/>
    </row>
    <row r="18" spans="1:7" ht="15.75" thickBot="1" x14ac:dyDescent="0.3">
      <c r="A18" s="226" t="s">
        <v>101</v>
      </c>
      <c r="B18" s="1890" t="s">
        <v>913</v>
      </c>
      <c r="C18" s="1891"/>
      <c r="E18" s="571"/>
    </row>
    <row r="19" spans="1:7" ht="36" x14ac:dyDescent="0.25">
      <c r="A19" s="1" t="s">
        <v>83</v>
      </c>
      <c r="B19" s="246" t="s">
        <v>281</v>
      </c>
      <c r="C19" s="245" t="e">
        <f>#REF!</f>
        <v>#REF!</v>
      </c>
      <c r="E19" s="573" t="e">
        <f>((C19*100)/$C$41)/100</f>
        <v>#REF!</v>
      </c>
    </row>
    <row r="20" spans="1:7" x14ac:dyDescent="0.25">
      <c r="A20" s="2" t="s">
        <v>84</v>
      </c>
      <c r="B20" s="247" t="s">
        <v>44</v>
      </c>
      <c r="C20" s="249" t="e">
        <f>ROUND((#REF!+#REF!),2)</f>
        <v>#REF!</v>
      </c>
      <c r="E20" s="573" t="e">
        <f t="shared" ref="E20:E25" si="0">((C20*100)/$C$41)/100</f>
        <v>#REF!</v>
      </c>
    </row>
    <row r="21" spans="1:7" x14ac:dyDescent="0.25">
      <c r="A21" s="2" t="s">
        <v>257</v>
      </c>
      <c r="B21" s="247" t="s">
        <v>225</v>
      </c>
      <c r="C21" s="249" t="e">
        <f>#REF!</f>
        <v>#REF!</v>
      </c>
      <c r="E21" s="573" t="e">
        <f t="shared" si="0"/>
        <v>#REF!</v>
      </c>
    </row>
    <row r="22" spans="1:7" x14ac:dyDescent="0.25">
      <c r="A22" s="2" t="s">
        <v>258</v>
      </c>
      <c r="B22" s="247" t="s">
        <v>677</v>
      </c>
      <c r="C22" s="249" t="e">
        <f>#REF!</f>
        <v>#REF!</v>
      </c>
      <c r="E22" s="573" t="e">
        <f t="shared" si="0"/>
        <v>#REF!</v>
      </c>
    </row>
    <row r="23" spans="1:7" x14ac:dyDescent="0.25">
      <c r="A23" s="2" t="s">
        <v>313</v>
      </c>
      <c r="B23" s="247" t="s">
        <v>45</v>
      </c>
      <c r="C23" s="249" t="e">
        <f>#REF!</f>
        <v>#REF!</v>
      </c>
      <c r="E23" s="573" t="e">
        <f t="shared" si="0"/>
        <v>#REF!</v>
      </c>
    </row>
    <row r="24" spans="1:7" x14ac:dyDescent="0.25">
      <c r="A24" s="2" t="s">
        <v>372</v>
      </c>
      <c r="B24" s="247" t="s">
        <v>283</v>
      </c>
      <c r="C24" s="249" t="e">
        <f>#REF!</f>
        <v>#REF!</v>
      </c>
      <c r="E24" s="573" t="e">
        <f t="shared" si="0"/>
        <v>#REF!</v>
      </c>
    </row>
    <row r="25" spans="1:7" ht="15.75" thickBot="1" x14ac:dyDescent="0.3">
      <c r="A25" s="3" t="s">
        <v>373</v>
      </c>
      <c r="B25" s="248" t="s">
        <v>832</v>
      </c>
      <c r="C25" s="250" t="e">
        <f>#REF!</f>
        <v>#REF!</v>
      </c>
      <c r="E25" s="573" t="e">
        <f t="shared" si="0"/>
        <v>#REF!</v>
      </c>
    </row>
    <row r="26" spans="1:7" ht="15.75" thickBot="1" x14ac:dyDescent="0.3">
      <c r="A26" s="253" t="s">
        <v>260</v>
      </c>
      <c r="B26" s="1900" t="s">
        <v>750</v>
      </c>
      <c r="C26" s="1901"/>
      <c r="E26" s="571"/>
    </row>
    <row r="27" spans="1:7" x14ac:dyDescent="0.25">
      <c r="A27" s="1" t="s">
        <v>85</v>
      </c>
      <c r="B27" s="228" t="s">
        <v>914</v>
      </c>
      <c r="C27" s="245">
        <f>'Viagens e Diárias (Por Demanda)'!I14</f>
        <v>0</v>
      </c>
      <c r="E27" s="573" t="e">
        <f>((C27*100)/$C$41)/100</f>
        <v>#REF!</v>
      </c>
    </row>
    <row r="28" spans="1:7" ht="15.75" thickBot="1" x14ac:dyDescent="0.3">
      <c r="A28" s="2" t="s">
        <v>86</v>
      </c>
      <c r="B28" s="244" t="s">
        <v>752</v>
      </c>
      <c r="C28" s="241">
        <f>'Viagens e Diárias (Por Demanda)'!I21</f>
        <v>0</v>
      </c>
      <c r="E28" s="573" t="e">
        <f>((C28*100)/$C$41)/100</f>
        <v>#REF!</v>
      </c>
    </row>
    <row r="29" spans="1:7" ht="15.75" thickBot="1" x14ac:dyDescent="0.3">
      <c r="A29" s="226" t="s">
        <v>265</v>
      </c>
      <c r="B29" s="1890" t="s">
        <v>406</v>
      </c>
      <c r="C29" s="1891"/>
      <c r="E29" s="571"/>
    </row>
    <row r="30" spans="1:7" x14ac:dyDescent="0.25">
      <c r="A30" s="1" t="s">
        <v>266</v>
      </c>
      <c r="B30" s="379" t="s">
        <v>753</v>
      </c>
      <c r="C30" s="239" t="e">
        <f>#REF!</f>
        <v>#REF!</v>
      </c>
      <c r="E30" s="573" t="e">
        <f t="shared" ref="E30:E36" si="1">((C30*100)/$C$41)/100</f>
        <v>#REF!</v>
      </c>
    </row>
    <row r="31" spans="1:7" x14ac:dyDescent="0.25">
      <c r="A31" s="2" t="s">
        <v>267</v>
      </c>
      <c r="B31" s="244" t="s">
        <v>312</v>
      </c>
      <c r="C31" s="240" t="e">
        <f>#REF!</f>
        <v>#REF!</v>
      </c>
      <c r="E31" s="573" t="e">
        <f t="shared" si="1"/>
        <v>#REF!</v>
      </c>
    </row>
    <row r="32" spans="1:7" x14ac:dyDescent="0.25">
      <c r="A32" s="2" t="s">
        <v>409</v>
      </c>
      <c r="B32" s="244" t="s">
        <v>754</v>
      </c>
      <c r="C32" s="240" t="e">
        <f>#REF!</f>
        <v>#REF!</v>
      </c>
      <c r="E32" s="573" t="e">
        <f t="shared" si="1"/>
        <v>#REF!</v>
      </c>
    </row>
    <row r="33" spans="1:5" x14ac:dyDescent="0.25">
      <c r="A33" s="2" t="s">
        <v>410</v>
      </c>
      <c r="B33" s="244" t="s">
        <v>407</v>
      </c>
      <c r="C33" s="240" t="e">
        <f>#REF!</f>
        <v>#REF!</v>
      </c>
      <c r="E33" s="573" t="e">
        <f t="shared" si="1"/>
        <v>#REF!</v>
      </c>
    </row>
    <row r="34" spans="1:5" ht="12.75" customHeight="1" x14ac:dyDescent="0.25">
      <c r="A34" s="2" t="s">
        <v>411</v>
      </c>
      <c r="B34" s="244" t="s">
        <v>408</v>
      </c>
      <c r="C34" s="240">
        <f>'MemCalculo (AdmManutEscritorio)'!F230</f>
        <v>0</v>
      </c>
      <c r="E34" s="573" t="e">
        <f t="shared" si="1"/>
        <v>#REF!</v>
      </c>
    </row>
    <row r="35" spans="1:5" x14ac:dyDescent="0.25">
      <c r="A35" s="4" t="s">
        <v>412</v>
      </c>
      <c r="B35" s="380" t="s">
        <v>759</v>
      </c>
      <c r="C35" s="243" t="e">
        <f>#REF!</f>
        <v>#REF!</v>
      </c>
      <c r="E35" s="573" t="e">
        <f t="shared" si="1"/>
        <v>#REF!</v>
      </c>
    </row>
    <row r="36" spans="1:5" ht="15.75" thickBot="1" x14ac:dyDescent="0.3">
      <c r="A36" s="3" t="s">
        <v>413</v>
      </c>
      <c r="B36" s="381" t="s">
        <v>742</v>
      </c>
      <c r="C36" s="241" t="e">
        <f>#REF!</f>
        <v>#REF!</v>
      </c>
      <c r="E36" s="573" t="e">
        <f t="shared" si="1"/>
        <v>#REF!</v>
      </c>
    </row>
    <row r="37" spans="1:5" ht="15.75" thickBot="1" x14ac:dyDescent="0.3">
      <c r="A37" s="226" t="s">
        <v>269</v>
      </c>
      <c r="B37" s="1900" t="s">
        <v>755</v>
      </c>
      <c r="C37" s="1901"/>
      <c r="E37" s="571"/>
    </row>
    <row r="38" spans="1:5" x14ac:dyDescent="0.25">
      <c r="A38" s="1" t="s">
        <v>87</v>
      </c>
      <c r="B38" s="382" t="s">
        <v>757</v>
      </c>
      <c r="C38" s="239" t="e">
        <f>'(Resumo - Calculo)'!D31</f>
        <v>#REF!</v>
      </c>
      <c r="E38" s="573" t="e">
        <f>((C38*100)/$C$41)/100</f>
        <v>#REF!</v>
      </c>
    </row>
    <row r="39" spans="1:5" x14ac:dyDescent="0.25">
      <c r="A39" s="2" t="s">
        <v>88</v>
      </c>
      <c r="B39" s="244" t="s">
        <v>758</v>
      </c>
      <c r="C39" s="240" t="e">
        <f>'(Resumo - Calculo)'!E31</f>
        <v>#REF!</v>
      </c>
      <c r="E39" s="573" t="e">
        <f>((C39*100)/$C$41)/100</f>
        <v>#REF!</v>
      </c>
    </row>
    <row r="40" spans="1:5" ht="15.75" thickBot="1" x14ac:dyDescent="0.3">
      <c r="A40" s="3" t="s">
        <v>270</v>
      </c>
      <c r="B40" s="381" t="s">
        <v>756</v>
      </c>
      <c r="C40" s="241" t="e">
        <f>'(Resumo - Calculo)'!F31</f>
        <v>#REF!</v>
      </c>
      <c r="E40" s="574" t="e">
        <f>((C40*100)/$C$41)/100</f>
        <v>#REF!</v>
      </c>
    </row>
    <row r="41" spans="1:5" ht="15.75" thickBot="1" x14ac:dyDescent="0.3">
      <c r="A41" s="1907" t="s">
        <v>314</v>
      </c>
      <c r="B41" s="1908"/>
      <c r="C41" s="242" t="e">
        <f>SUM(C14:C40)</f>
        <v>#REF!</v>
      </c>
      <c r="E41" s="575" t="e">
        <f>((C41*100)/$C$41)/100</f>
        <v>#REF!</v>
      </c>
    </row>
    <row r="43" spans="1:5" s="73" customFormat="1" ht="12.75" thickBot="1" x14ac:dyDescent="0.3">
      <c r="A43" s="7"/>
      <c r="B43" s="50"/>
      <c r="C43" s="235"/>
      <c r="D43" s="572"/>
      <c r="E43" s="569"/>
    </row>
    <row r="44" spans="1:5" s="73" customFormat="1" ht="15" customHeight="1" x14ac:dyDescent="0.25">
      <c r="A44" s="1677" t="s">
        <v>49</v>
      </c>
      <c r="B44" s="1679"/>
      <c r="C44" s="156" t="s">
        <v>50</v>
      </c>
      <c r="D44" s="572"/>
      <c r="E44" s="569"/>
    </row>
    <row r="45" spans="1:5" s="73" customFormat="1" ht="15.75" customHeight="1" thickBot="1" x14ac:dyDescent="0.3">
      <c r="A45" s="1658"/>
      <c r="B45" s="1660"/>
      <c r="C45" s="446"/>
      <c r="D45" s="572"/>
      <c r="E45" s="569"/>
    </row>
    <row r="46" spans="1:5" s="73" customFormat="1" ht="15" customHeight="1" x14ac:dyDescent="0.25">
      <c r="A46" s="1677" t="s">
        <v>51</v>
      </c>
      <c r="B46" s="1679"/>
      <c r="C46" s="147" t="s">
        <v>52</v>
      </c>
      <c r="D46" s="572"/>
      <c r="E46" s="569"/>
    </row>
    <row r="47" spans="1:5" s="73" customFormat="1" ht="15.75" customHeight="1" thickBot="1" x14ac:dyDescent="0.3">
      <c r="A47" s="1662"/>
      <c r="B47" s="1664"/>
      <c r="C47" s="148"/>
      <c r="D47" s="572"/>
      <c r="E47" s="569"/>
    </row>
    <row r="48" spans="1:5" s="73" customFormat="1" ht="12.75" thickTop="1" x14ac:dyDescent="0.25">
      <c r="A48" s="1214" t="s">
        <v>53</v>
      </c>
      <c r="B48" s="1215"/>
      <c r="C48" s="1216"/>
      <c r="D48" s="572"/>
      <c r="E48" s="569"/>
    </row>
    <row r="49" spans="1:5" s="73" customFormat="1" ht="12" customHeight="1" x14ac:dyDescent="0.25">
      <c r="A49" s="1905"/>
      <c r="B49" s="1654"/>
      <c r="C49" s="1655"/>
      <c r="D49" s="572"/>
      <c r="E49" s="569"/>
    </row>
    <row r="50" spans="1:5" s="73" customFormat="1" ht="12" x14ac:dyDescent="0.25">
      <c r="A50" s="1905"/>
      <c r="B50" s="1654"/>
      <c r="C50" s="1655"/>
      <c r="D50" s="572"/>
      <c r="E50" s="569"/>
    </row>
    <row r="51" spans="1:5" s="73" customFormat="1" ht="12" customHeight="1" thickBot="1" x14ac:dyDescent="0.3">
      <c r="A51" s="1906"/>
      <c r="B51" s="1656"/>
      <c r="C51" s="1657"/>
      <c r="D51" s="572"/>
      <c r="E51" s="569"/>
    </row>
    <row r="52" spans="1:5" s="73" customFormat="1" ht="12" x14ac:dyDescent="0.25">
      <c r="A52" s="79"/>
      <c r="B52" s="101"/>
      <c r="C52" s="236"/>
      <c r="D52" s="572"/>
      <c r="E52" s="569"/>
    </row>
    <row r="53" spans="1:5" s="73" customFormat="1" ht="12" x14ac:dyDescent="0.25">
      <c r="A53" s="79"/>
      <c r="B53" s="101"/>
      <c r="C53" s="236"/>
      <c r="D53" s="572"/>
      <c r="E53" s="569"/>
    </row>
    <row r="54" spans="1:5" s="73" customFormat="1" ht="12" x14ac:dyDescent="0.25">
      <c r="A54" s="79"/>
      <c r="B54" s="101"/>
      <c r="C54" s="236"/>
      <c r="D54" s="572"/>
      <c r="E54" s="569"/>
    </row>
    <row r="55" spans="1:5" s="73" customFormat="1" ht="12" x14ac:dyDescent="0.25">
      <c r="A55" s="79"/>
      <c r="B55" s="101"/>
      <c r="C55" s="236"/>
      <c r="D55" s="572"/>
      <c r="E55" s="569"/>
    </row>
    <row r="56" spans="1:5" s="73" customFormat="1" ht="12" x14ac:dyDescent="0.25">
      <c r="A56" s="79"/>
      <c r="B56" s="101"/>
      <c r="C56" s="236"/>
      <c r="D56" s="572"/>
      <c r="E56" s="569"/>
    </row>
    <row r="57" spans="1:5" s="73" customFormat="1" ht="12" x14ac:dyDescent="0.25">
      <c r="A57" s="79"/>
      <c r="B57" s="101"/>
      <c r="C57" s="236"/>
      <c r="D57" s="572"/>
      <c r="E57" s="569"/>
    </row>
    <row r="58" spans="1:5" s="73" customFormat="1" ht="12" x14ac:dyDescent="0.25">
      <c r="A58" s="79"/>
      <c r="B58" s="101"/>
      <c r="C58" s="236"/>
      <c r="D58" s="572"/>
      <c r="E58" s="569"/>
    </row>
    <row r="59" spans="1:5" s="73" customFormat="1" ht="12" x14ac:dyDescent="0.25">
      <c r="A59" s="79"/>
      <c r="B59" s="101"/>
      <c r="C59" s="236"/>
      <c r="D59" s="572"/>
      <c r="E59" s="569"/>
    </row>
    <row r="60" spans="1:5" s="73" customFormat="1" ht="12" x14ac:dyDescent="0.25">
      <c r="B60" s="102"/>
      <c r="C60" s="237"/>
      <c r="D60" s="572"/>
      <c r="E60" s="569"/>
    </row>
    <row r="61" spans="1:5" s="73" customFormat="1" ht="12" x14ac:dyDescent="0.25">
      <c r="B61" s="102"/>
      <c r="C61" s="237"/>
      <c r="D61" s="572"/>
      <c r="E61" s="569"/>
    </row>
    <row r="62" spans="1:5" s="73" customFormat="1" ht="12" x14ac:dyDescent="0.25">
      <c r="B62" s="102"/>
      <c r="C62" s="237"/>
      <c r="D62" s="572"/>
      <c r="E62" s="569"/>
    </row>
    <row r="63" spans="1:5" s="73" customFormat="1" ht="12" x14ac:dyDescent="0.25">
      <c r="B63" s="102"/>
      <c r="C63" s="237"/>
      <c r="D63" s="572"/>
      <c r="E63" s="569"/>
    </row>
    <row r="64" spans="1:5" s="73" customFormat="1" ht="12" x14ac:dyDescent="0.25">
      <c r="B64" s="102"/>
      <c r="C64" s="237"/>
      <c r="D64" s="572"/>
      <c r="E64" s="569"/>
    </row>
    <row r="65" spans="1:5" s="73" customFormat="1" ht="12" x14ac:dyDescent="0.25">
      <c r="B65" s="102"/>
      <c r="C65" s="237"/>
      <c r="D65" s="572"/>
      <c r="E65" s="569"/>
    </row>
    <row r="66" spans="1:5" s="73" customFormat="1" ht="12" x14ac:dyDescent="0.25">
      <c r="B66" s="102"/>
      <c r="C66" s="237"/>
      <c r="D66" s="572"/>
      <c r="E66" s="569"/>
    </row>
    <row r="67" spans="1:5" s="73" customFormat="1" ht="12" x14ac:dyDescent="0.25">
      <c r="B67" s="102"/>
      <c r="C67" s="237"/>
      <c r="D67" s="572"/>
      <c r="E67" s="569"/>
    </row>
    <row r="68" spans="1:5" s="73" customFormat="1" ht="12" x14ac:dyDescent="0.25">
      <c r="B68" s="102"/>
      <c r="C68" s="237"/>
      <c r="D68" s="572"/>
      <c r="E68" s="569"/>
    </row>
    <row r="69" spans="1:5" s="73" customFormat="1" ht="12" x14ac:dyDescent="0.25">
      <c r="B69" s="102"/>
      <c r="C69" s="237"/>
      <c r="D69" s="572"/>
      <c r="E69" s="569"/>
    </row>
    <row r="70" spans="1:5" x14ac:dyDescent="0.25">
      <c r="A70" s="73"/>
      <c r="B70" s="102"/>
      <c r="C70" s="237"/>
    </row>
  </sheetData>
  <mergeCells count="23">
    <mergeCell ref="A49:C49"/>
    <mergeCell ref="A50:C50"/>
    <mergeCell ref="A51:C51"/>
    <mergeCell ref="A41:B41"/>
    <mergeCell ref="A44:B44"/>
    <mergeCell ref="A45:B45"/>
    <mergeCell ref="A46:B46"/>
    <mergeCell ref="A47:B47"/>
    <mergeCell ref="A48:C48"/>
    <mergeCell ref="B37:C37"/>
    <mergeCell ref="A1:C1"/>
    <mergeCell ref="A2:C2"/>
    <mergeCell ref="A3:C3"/>
    <mergeCell ref="A5:C7"/>
    <mergeCell ref="A9:C9"/>
    <mergeCell ref="A11:A13"/>
    <mergeCell ref="B11:B13"/>
    <mergeCell ref="C11:C13"/>
    <mergeCell ref="B14:C14"/>
    <mergeCell ref="B16:C16"/>
    <mergeCell ref="B18:C18"/>
    <mergeCell ref="B26:C26"/>
    <mergeCell ref="B29:C29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81" orientation="portrait" horizontalDpi="4294967294" vertic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4"/>
  <sheetViews>
    <sheetView view="pageBreakPreview" zoomScale="110" zoomScaleNormal="100" zoomScaleSheetLayoutView="110" workbookViewId="0">
      <selection activeCell="C22" sqref="C22"/>
    </sheetView>
  </sheetViews>
  <sheetFormatPr defaultRowHeight="12.75" x14ac:dyDescent="0.2"/>
  <cols>
    <col min="1" max="1" width="3.85546875" style="121" bestFit="1" customWidth="1"/>
    <col min="2" max="2" width="68.85546875" style="121" bestFit="1" customWidth="1"/>
    <col min="3" max="3" width="15.85546875" style="121" bestFit="1" customWidth="1"/>
    <col min="4" max="4" width="14.28515625" style="121" bestFit="1" customWidth="1"/>
    <col min="5" max="7" width="10.7109375" style="48" customWidth="1"/>
    <col min="8" max="8" width="13.7109375" style="48" customWidth="1"/>
    <col min="9" max="10" width="10.7109375" style="48" customWidth="1"/>
    <col min="11" max="11" width="12.7109375" style="48" bestFit="1" customWidth="1"/>
    <col min="12" max="13" width="6.28515625" style="48" customWidth="1"/>
    <col min="14" max="16384" width="9.140625" style="121"/>
  </cols>
  <sheetData>
    <row r="1" spans="1:4" x14ac:dyDescent="0.2">
      <c r="A1" s="1228" t="s">
        <v>294</v>
      </c>
      <c r="B1" s="1229"/>
      <c r="C1" s="1230"/>
      <c r="D1" s="61"/>
    </row>
    <row r="2" spans="1:4" x14ac:dyDescent="0.2">
      <c r="A2" s="1231" t="s">
        <v>295</v>
      </c>
      <c r="B2" s="1232"/>
      <c r="C2" s="1233"/>
      <c r="D2" s="61"/>
    </row>
    <row r="3" spans="1:4" ht="13.5" thickBot="1" x14ac:dyDescent="0.25">
      <c r="A3" s="1234"/>
      <c r="B3" s="1235"/>
      <c r="C3" s="1236"/>
      <c r="D3" s="61"/>
    </row>
    <row r="4" spans="1:4" x14ac:dyDescent="0.2">
      <c r="A4" s="538"/>
      <c r="B4" s="538"/>
      <c r="C4" s="538"/>
      <c r="D4" s="61"/>
    </row>
    <row r="5" spans="1:4" ht="13.5" thickBot="1" x14ac:dyDescent="0.25">
      <c r="A5" s="61"/>
      <c r="B5" s="61"/>
      <c r="C5" s="61"/>
      <c r="D5" s="61"/>
    </row>
    <row r="6" spans="1:4" x14ac:dyDescent="0.2">
      <c r="A6" s="1237" t="s">
        <v>292</v>
      </c>
      <c r="B6" s="1238"/>
      <c r="C6" s="1239"/>
      <c r="D6" s="61"/>
    </row>
    <row r="7" spans="1:4" ht="13.5" thickBot="1" x14ac:dyDescent="0.25">
      <c r="A7" s="1240"/>
      <c r="B7" s="1241"/>
      <c r="C7" s="1242"/>
      <c r="D7" s="61"/>
    </row>
    <row r="8" spans="1:4" x14ac:dyDescent="0.2">
      <c r="A8" s="685"/>
      <c r="B8" s="685"/>
      <c r="C8" s="685"/>
      <c r="D8" s="61"/>
    </row>
    <row r="9" spans="1:4" ht="13.5" thickBot="1" x14ac:dyDescent="0.25">
      <c r="B9" s="57"/>
      <c r="C9" s="59"/>
      <c r="D9" s="61"/>
    </row>
    <row r="10" spans="1:4" ht="13.5" thickBot="1" x14ac:dyDescent="0.25">
      <c r="A10" s="1243" t="s">
        <v>495</v>
      </c>
      <c r="B10" s="1244"/>
      <c r="C10" s="1245"/>
      <c r="D10" s="61"/>
    </row>
    <row r="11" spans="1:4" x14ac:dyDescent="0.2">
      <c r="A11" s="61"/>
      <c r="B11" s="61"/>
      <c r="C11" s="61"/>
      <c r="D11" s="61"/>
    </row>
    <row r="12" spans="1:4" ht="13.5" thickBot="1" x14ac:dyDescent="0.25">
      <c r="A12" s="61"/>
      <c r="B12" s="61"/>
      <c r="C12" s="61"/>
      <c r="D12" s="61"/>
    </row>
    <row r="13" spans="1:4" x14ac:dyDescent="0.2">
      <c r="A13" s="1246" t="s">
        <v>34</v>
      </c>
      <c r="B13" s="1249" t="s">
        <v>509</v>
      </c>
      <c r="C13" s="1250"/>
      <c r="D13" s="61"/>
    </row>
    <row r="14" spans="1:4" x14ac:dyDescent="0.2">
      <c r="A14" s="1247"/>
      <c r="B14" s="1251"/>
      <c r="C14" s="1252"/>
      <c r="D14" s="61"/>
    </row>
    <row r="15" spans="1:4" ht="13.5" thickBot="1" x14ac:dyDescent="0.25">
      <c r="A15" s="1248"/>
      <c r="B15" s="1253"/>
      <c r="C15" s="1254"/>
      <c r="D15" s="61"/>
    </row>
    <row r="16" spans="1:4" ht="13.5" thickBot="1" x14ac:dyDescent="0.25">
      <c r="A16" s="1209" t="s">
        <v>494</v>
      </c>
      <c r="B16" s="1210"/>
      <c r="C16" s="1211"/>
      <c r="D16" s="61"/>
    </row>
    <row r="17" spans="1:4" ht="13.5" thickBot="1" x14ac:dyDescent="0.25">
      <c r="A17" s="1212" t="s">
        <v>57</v>
      </c>
      <c r="B17" s="1213"/>
      <c r="C17" s="122">
        <f>SUM(C18+C22+C25)</f>
        <v>0</v>
      </c>
      <c r="D17" s="61"/>
    </row>
    <row r="18" spans="1:4" x14ac:dyDescent="0.2">
      <c r="A18" s="131" t="s">
        <v>496</v>
      </c>
      <c r="B18" s="427" t="s">
        <v>502</v>
      </c>
      <c r="C18" s="421">
        <f>SUM(C19:C21)</f>
        <v>0</v>
      </c>
      <c r="D18" s="61"/>
    </row>
    <row r="19" spans="1:4" x14ac:dyDescent="0.2">
      <c r="A19" s="129" t="s">
        <v>65</v>
      </c>
      <c r="B19" s="428" t="s">
        <v>498</v>
      </c>
      <c r="C19" s="661">
        <f>'Mão de Obra  (Detalhamento)'!K42</f>
        <v>0</v>
      </c>
      <c r="D19" s="61"/>
    </row>
    <row r="20" spans="1:4" x14ac:dyDescent="0.2">
      <c r="A20" s="129" t="s">
        <v>457</v>
      </c>
      <c r="B20" s="428" t="s">
        <v>499</v>
      </c>
      <c r="C20" s="661">
        <f>'Mão de Obra  (Detalhamento)'!K43</f>
        <v>0</v>
      </c>
      <c r="D20" s="61"/>
    </row>
    <row r="21" spans="1:4" x14ac:dyDescent="0.2">
      <c r="A21" s="129" t="s">
        <v>97</v>
      </c>
      <c r="B21" s="428" t="s">
        <v>503</v>
      </c>
      <c r="C21" s="661">
        <f>'Mão de Obra  (Detalhamento)'!L44</f>
        <v>0</v>
      </c>
      <c r="D21" s="61"/>
    </row>
    <row r="22" spans="1:4" x14ac:dyDescent="0.2">
      <c r="A22" s="132" t="s">
        <v>497</v>
      </c>
      <c r="B22" s="429" t="s">
        <v>504</v>
      </c>
      <c r="C22" s="662">
        <f>SUM(C23:C24)</f>
        <v>0</v>
      </c>
      <c r="D22" s="61"/>
    </row>
    <row r="23" spans="1:4" x14ac:dyDescent="0.2">
      <c r="A23" s="129" t="s">
        <v>470</v>
      </c>
      <c r="B23" s="430" t="s">
        <v>706</v>
      </c>
      <c r="C23" s="661">
        <f>'Mão de Obra  (Detalhamento)'!M42</f>
        <v>0</v>
      </c>
      <c r="D23" s="537"/>
    </row>
    <row r="24" spans="1:4" x14ac:dyDescent="0.2">
      <c r="A24" s="129" t="s">
        <v>471</v>
      </c>
      <c r="B24" s="430" t="s">
        <v>684</v>
      </c>
      <c r="C24" s="663">
        <f>'Mão de Obra  (Detalhamento)'!M43</f>
        <v>0</v>
      </c>
      <c r="D24" s="61"/>
    </row>
    <row r="25" spans="1:4" x14ac:dyDescent="0.2">
      <c r="A25" s="132" t="s">
        <v>13</v>
      </c>
      <c r="B25" s="429" t="s">
        <v>911</v>
      </c>
      <c r="C25" s="662">
        <f>SUM(C26)</f>
        <v>0</v>
      </c>
      <c r="D25" s="61"/>
    </row>
    <row r="26" spans="1:4" ht="13.5" thickBot="1" x14ac:dyDescent="0.25">
      <c r="A26" s="155" t="s">
        <v>480</v>
      </c>
      <c r="B26" s="431" t="s">
        <v>912</v>
      </c>
      <c r="C26" s="664">
        <f>'Alimentação (Detalhamento)'!G161</f>
        <v>0</v>
      </c>
      <c r="D26" s="61"/>
    </row>
    <row r="27" spans="1:4" ht="13.5" thickBot="1" x14ac:dyDescent="0.25">
      <c r="A27" s="1221" t="s">
        <v>522</v>
      </c>
      <c r="B27" s="1210"/>
      <c r="C27" s="1211"/>
      <c r="D27" s="61"/>
    </row>
    <row r="28" spans="1:4" x14ac:dyDescent="0.2">
      <c r="A28" s="127" t="s">
        <v>505</v>
      </c>
      <c r="B28" s="371" t="s">
        <v>674</v>
      </c>
      <c r="C28" s="374">
        <f>0.2*C18</f>
        <v>0</v>
      </c>
      <c r="D28" s="61"/>
    </row>
    <row r="29" spans="1:4" x14ac:dyDescent="0.2">
      <c r="A29" s="133" t="s">
        <v>506</v>
      </c>
      <c r="B29" s="372" t="s">
        <v>975</v>
      </c>
      <c r="C29" s="375">
        <f>0.05*(C17+C28)</f>
        <v>0</v>
      </c>
      <c r="D29" s="61"/>
    </row>
    <row r="30" spans="1:4" ht="13.5" thickBot="1" x14ac:dyDescent="0.25">
      <c r="A30" s="128" t="s">
        <v>507</v>
      </c>
      <c r="B30" s="373" t="s">
        <v>976</v>
      </c>
      <c r="C30" s="376">
        <f>0.1662*(C17+C28+C29)</f>
        <v>0</v>
      </c>
      <c r="D30" s="124"/>
    </row>
    <row r="31" spans="1:4" ht="13.5" thickBot="1" x14ac:dyDescent="0.25">
      <c r="A31" s="1222" t="s">
        <v>508</v>
      </c>
      <c r="B31" s="1223"/>
      <c r="C31" s="123">
        <f>SUM(C28:C30)</f>
        <v>0</v>
      </c>
      <c r="D31" s="61"/>
    </row>
    <row r="32" spans="1:4" ht="13.5" thickBot="1" x14ac:dyDescent="0.25">
      <c r="A32" s="124"/>
      <c r="B32" s="125"/>
      <c r="C32" s="126"/>
      <c r="D32" s="61"/>
    </row>
    <row r="33" spans="1:4" ht="13.5" thickBot="1" x14ac:dyDescent="0.25">
      <c r="A33" s="1219" t="s">
        <v>675</v>
      </c>
      <c r="B33" s="1220"/>
      <c r="C33" s="153">
        <f>C17+C31</f>
        <v>0</v>
      </c>
      <c r="D33" s="61"/>
    </row>
    <row r="34" spans="1:4" s="48" customFormat="1" x14ac:dyDescent="0.2">
      <c r="A34" s="61"/>
      <c r="B34" s="535"/>
      <c r="C34" s="536"/>
      <c r="D34" s="61"/>
    </row>
    <row r="35" spans="1:4" s="48" customFormat="1" ht="13.5" thickBot="1" x14ac:dyDescent="0.25">
      <c r="A35" s="61"/>
      <c r="B35" s="61"/>
      <c r="C35" s="61"/>
      <c r="D35" s="61"/>
    </row>
    <row r="36" spans="1:4" s="48" customFormat="1" ht="13.5" thickBot="1" x14ac:dyDescent="0.3">
      <c r="A36" s="413">
        <v>2</v>
      </c>
      <c r="B36" s="1207" t="s">
        <v>44</v>
      </c>
      <c r="C36" s="1259"/>
      <c r="D36" s="1208"/>
    </row>
    <row r="37" spans="1:4" s="48" customFormat="1" ht="13.5" thickBot="1" x14ac:dyDescent="0.3">
      <c r="A37" s="1209" t="s">
        <v>494</v>
      </c>
      <c r="B37" s="1210"/>
      <c r="C37" s="1210"/>
      <c r="D37" s="1211"/>
    </row>
    <row r="38" spans="1:4" s="48" customFormat="1" ht="13.5" thickBot="1" x14ac:dyDescent="0.3">
      <c r="A38" s="682"/>
      <c r="B38" s="410"/>
      <c r="C38" s="412" t="s">
        <v>654</v>
      </c>
      <c r="D38" s="411" t="s">
        <v>891</v>
      </c>
    </row>
    <row r="39" spans="1:4" s="48" customFormat="1" ht="13.5" thickBot="1" x14ac:dyDescent="0.3">
      <c r="A39" s="1212" t="s">
        <v>57</v>
      </c>
      <c r="B39" s="1213"/>
      <c r="C39" s="122">
        <f>SUM(C40+C45+C49)</f>
        <v>0</v>
      </c>
      <c r="D39" s="122">
        <f>SUM(D40+D45+D49)</f>
        <v>0</v>
      </c>
    </row>
    <row r="40" spans="1:4" s="48" customFormat="1" x14ac:dyDescent="0.2">
      <c r="A40" s="131" t="s">
        <v>496</v>
      </c>
      <c r="B40" s="365" t="s">
        <v>502</v>
      </c>
      <c r="C40" s="432">
        <f>SUM(C41:C44)</f>
        <v>0</v>
      </c>
      <c r="D40" s="370">
        <f>SUM(D41:D44)</f>
        <v>0</v>
      </c>
    </row>
    <row r="41" spans="1:4" s="48" customFormat="1" x14ac:dyDescent="0.2">
      <c r="A41" s="129" t="s">
        <v>65</v>
      </c>
      <c r="B41" s="366" t="s">
        <v>681</v>
      </c>
      <c r="C41" s="665">
        <f>'Mão de Obra  (Detalhamento)'!K56</f>
        <v>0</v>
      </c>
      <c r="D41" s="666">
        <f>'Mão de Obra  (Detalhamento)'!L56</f>
        <v>0</v>
      </c>
    </row>
    <row r="42" spans="1:4" s="48" customFormat="1" x14ac:dyDescent="0.2">
      <c r="A42" s="129" t="s">
        <v>457</v>
      </c>
      <c r="B42" s="366" t="s">
        <v>680</v>
      </c>
      <c r="C42" s="665">
        <v>0</v>
      </c>
      <c r="D42" s="666">
        <f>'Mão de Obra  (Detalhamento)'!K57</f>
        <v>0</v>
      </c>
    </row>
    <row r="43" spans="1:4" s="48" customFormat="1" x14ac:dyDescent="0.2">
      <c r="A43" s="129" t="s">
        <v>97</v>
      </c>
      <c r="B43" s="366" t="s">
        <v>499</v>
      </c>
      <c r="C43" s="665">
        <f>'Mão de Obra  (Detalhamento)'!K58</f>
        <v>0</v>
      </c>
      <c r="D43" s="666">
        <f>'Mão de Obra  (Detalhamento)'!K58</f>
        <v>0</v>
      </c>
    </row>
    <row r="44" spans="1:4" s="48" customFormat="1" x14ac:dyDescent="0.2">
      <c r="A44" s="129" t="s">
        <v>66</v>
      </c>
      <c r="B44" s="366" t="s">
        <v>503</v>
      </c>
      <c r="C44" s="665">
        <f>'Mão de Obra  (Detalhamento)'!L59</f>
        <v>0</v>
      </c>
      <c r="D44" s="666">
        <f>'Mão de Obra  (Detalhamento)'!L58</f>
        <v>0</v>
      </c>
    </row>
    <row r="45" spans="1:4" s="48" customFormat="1" x14ac:dyDescent="0.2">
      <c r="A45" s="132" t="s">
        <v>497</v>
      </c>
      <c r="B45" s="367" t="s">
        <v>504</v>
      </c>
      <c r="C45" s="667">
        <f>SUM(C46:C48)</f>
        <v>0</v>
      </c>
      <c r="D45" s="668">
        <f>SUM(D46:D48)</f>
        <v>0</v>
      </c>
    </row>
    <row r="46" spans="1:4" s="48" customFormat="1" x14ac:dyDescent="0.2">
      <c r="A46" s="129" t="s">
        <v>470</v>
      </c>
      <c r="B46" s="368" t="s">
        <v>915</v>
      </c>
      <c r="C46" s="665">
        <f>'Mão de Obra  (Detalhamento)'!M56</f>
        <v>0</v>
      </c>
      <c r="D46" s="666">
        <f>0.7227*(D41+D44)</f>
        <v>0</v>
      </c>
    </row>
    <row r="47" spans="1:4" s="48" customFormat="1" x14ac:dyDescent="0.2">
      <c r="A47" s="129" t="s">
        <v>471</v>
      </c>
      <c r="B47" s="368" t="s">
        <v>894</v>
      </c>
      <c r="C47" s="665">
        <f>1.1383*C42</f>
        <v>0</v>
      </c>
      <c r="D47" s="666">
        <f>'Mão de Obra  (Detalhamento)'!M57</f>
        <v>0</v>
      </c>
    </row>
    <row r="48" spans="1:4" s="48" customFormat="1" x14ac:dyDescent="0.2">
      <c r="A48" s="129" t="s">
        <v>472</v>
      </c>
      <c r="B48" s="368" t="s">
        <v>770</v>
      </c>
      <c r="C48" s="669">
        <f>C43*0.2</f>
        <v>0</v>
      </c>
      <c r="D48" s="666">
        <f>D43*0.2</f>
        <v>0</v>
      </c>
    </row>
    <row r="49" spans="1:4" s="48" customFormat="1" x14ac:dyDescent="0.2">
      <c r="A49" s="132" t="s">
        <v>13</v>
      </c>
      <c r="B49" s="429" t="s">
        <v>911</v>
      </c>
      <c r="C49" s="670">
        <f>SUM(C50)</f>
        <v>0</v>
      </c>
      <c r="D49" s="668">
        <f>SUM(D50)</f>
        <v>0</v>
      </c>
    </row>
    <row r="50" spans="1:4" s="48" customFormat="1" ht="13.5" thickBot="1" x14ac:dyDescent="0.25">
      <c r="A50" s="155" t="s">
        <v>480</v>
      </c>
      <c r="B50" s="431" t="s">
        <v>912</v>
      </c>
      <c r="C50" s="671">
        <f>'Alimentação (Detalhamento)'!G164</f>
        <v>0</v>
      </c>
      <c r="D50" s="672">
        <v>0</v>
      </c>
    </row>
    <row r="51" spans="1:4" s="48" customFormat="1" ht="13.5" thickBot="1" x14ac:dyDescent="0.3">
      <c r="A51" s="1209" t="s">
        <v>522</v>
      </c>
      <c r="B51" s="1210"/>
      <c r="C51" s="1210"/>
      <c r="D51" s="1211"/>
    </row>
    <row r="52" spans="1:4" s="48" customFormat="1" ht="13.5" thickBot="1" x14ac:dyDescent="0.3">
      <c r="A52" s="1209"/>
      <c r="B52" s="1211"/>
      <c r="C52" s="412" t="s">
        <v>654</v>
      </c>
      <c r="D52" s="411" t="s">
        <v>891</v>
      </c>
    </row>
    <row r="53" spans="1:4" s="48" customFormat="1" x14ac:dyDescent="0.2">
      <c r="A53" s="127" t="s">
        <v>505</v>
      </c>
      <c r="B53" s="371" t="s">
        <v>674</v>
      </c>
      <c r="C53" s="374">
        <f>0.2*C40</f>
        <v>0</v>
      </c>
      <c r="D53" s="374">
        <f>0.2*D40</f>
        <v>0</v>
      </c>
    </row>
    <row r="54" spans="1:4" s="48" customFormat="1" x14ac:dyDescent="0.2">
      <c r="A54" s="133" t="s">
        <v>506</v>
      </c>
      <c r="B54" s="372" t="s">
        <v>975</v>
      </c>
      <c r="C54" s="375">
        <f>0.05*(C39+C53)</f>
        <v>0</v>
      </c>
      <c r="D54" s="375">
        <f>0.05*(D39+D53)</f>
        <v>0</v>
      </c>
    </row>
    <row r="55" spans="1:4" s="48" customFormat="1" ht="13.5" thickBot="1" x14ac:dyDescent="0.25">
      <c r="A55" s="128" t="s">
        <v>507</v>
      </c>
      <c r="B55" s="373" t="s">
        <v>976</v>
      </c>
      <c r="C55" s="376">
        <f>0.1662*(C39+C53+C54)</f>
        <v>0</v>
      </c>
      <c r="D55" s="376">
        <f>0.1662*(D39+D53+D54)</f>
        <v>0</v>
      </c>
    </row>
    <row r="56" spans="1:4" s="48" customFormat="1" ht="13.5" thickBot="1" x14ac:dyDescent="0.3">
      <c r="A56" s="1222" t="s">
        <v>508</v>
      </c>
      <c r="B56" s="1223"/>
      <c r="C56" s="123">
        <f>SUM(C53:C55)</f>
        <v>0</v>
      </c>
      <c r="D56" s="123">
        <f>SUM(D53:D55)</f>
        <v>0</v>
      </c>
    </row>
    <row r="57" spans="1:4" s="48" customFormat="1" ht="13.5" thickBot="1" x14ac:dyDescent="0.25">
      <c r="A57" s="124"/>
      <c r="B57" s="125"/>
      <c r="C57" s="126"/>
      <c r="D57" s="121"/>
    </row>
    <row r="58" spans="1:4" s="48" customFormat="1" ht="13.5" thickBot="1" x14ac:dyDescent="0.3">
      <c r="A58" s="1219" t="s">
        <v>676</v>
      </c>
      <c r="B58" s="1220"/>
      <c r="C58" s="153">
        <f>C39+C56</f>
        <v>0</v>
      </c>
      <c r="D58" s="153">
        <f>D39+D56</f>
        <v>0</v>
      </c>
    </row>
    <row r="59" spans="1:4" s="48" customFormat="1" ht="13.5" thickBot="1" x14ac:dyDescent="0.3">
      <c r="A59" s="1219" t="s">
        <v>676</v>
      </c>
      <c r="B59" s="1220"/>
      <c r="C59" s="1260">
        <f>C58+D58</f>
        <v>0</v>
      </c>
      <c r="D59" s="1261"/>
    </row>
    <row r="62" spans="1:4" s="48" customFormat="1" ht="13.5" thickBot="1" x14ac:dyDescent="0.25">
      <c r="A62" s="121"/>
      <c r="B62" s="121"/>
      <c r="C62" s="121"/>
      <c r="D62" s="121"/>
    </row>
    <row r="63" spans="1:4" s="48" customFormat="1" ht="13.5" thickBot="1" x14ac:dyDescent="0.25">
      <c r="A63" s="154" t="s">
        <v>101</v>
      </c>
      <c r="B63" s="1207" t="s">
        <v>225</v>
      </c>
      <c r="C63" s="1208"/>
      <c r="D63" s="121"/>
    </row>
    <row r="64" spans="1:4" s="48" customFormat="1" ht="13.5" thickBot="1" x14ac:dyDescent="0.25">
      <c r="A64" s="1209" t="s">
        <v>494</v>
      </c>
      <c r="B64" s="1210"/>
      <c r="C64" s="1211"/>
      <c r="D64" s="121"/>
    </row>
    <row r="65" spans="1:4" s="48" customFormat="1" ht="13.5" thickBot="1" x14ac:dyDescent="0.25">
      <c r="A65" s="1212" t="s">
        <v>57</v>
      </c>
      <c r="B65" s="1213"/>
      <c r="C65" s="122">
        <f>SUM(C66+C70+C73)</f>
        <v>0</v>
      </c>
      <c r="D65" s="121"/>
    </row>
    <row r="66" spans="1:4" s="48" customFormat="1" x14ac:dyDescent="0.2">
      <c r="A66" s="131" t="s">
        <v>496</v>
      </c>
      <c r="B66" s="365" t="s">
        <v>502</v>
      </c>
      <c r="C66" s="673">
        <f>SUM(C67:C69)</f>
        <v>0</v>
      </c>
      <c r="D66" s="121"/>
    </row>
    <row r="67" spans="1:4" s="48" customFormat="1" x14ac:dyDescent="0.2">
      <c r="A67" s="129" t="s">
        <v>65</v>
      </c>
      <c r="B67" s="366" t="s">
        <v>498</v>
      </c>
      <c r="C67" s="666">
        <f>'Mão de Obra  (Detalhamento)'!K71</f>
        <v>0</v>
      </c>
      <c r="D67" s="121"/>
    </row>
    <row r="68" spans="1:4" s="48" customFormat="1" x14ac:dyDescent="0.2">
      <c r="A68" s="129" t="s">
        <v>457</v>
      </c>
      <c r="B68" s="366" t="s">
        <v>499</v>
      </c>
      <c r="C68" s="666">
        <f>'Mão de Obra  (Detalhamento)'!K72</f>
        <v>0</v>
      </c>
      <c r="D68" s="121"/>
    </row>
    <row r="69" spans="1:4" s="48" customFormat="1" x14ac:dyDescent="0.2">
      <c r="A69" s="129" t="s">
        <v>97</v>
      </c>
      <c r="B69" s="366" t="s">
        <v>503</v>
      </c>
      <c r="C69" s="666">
        <f>'Mão de Obra  (Detalhamento)'!L73</f>
        <v>0</v>
      </c>
      <c r="D69" s="121"/>
    </row>
    <row r="70" spans="1:4" s="48" customFormat="1" x14ac:dyDescent="0.2">
      <c r="A70" s="132" t="s">
        <v>497</v>
      </c>
      <c r="B70" s="367" t="s">
        <v>504</v>
      </c>
      <c r="C70" s="668">
        <f>SUM(C71:C72)</f>
        <v>0</v>
      </c>
      <c r="D70" s="121"/>
    </row>
    <row r="71" spans="1:4" s="48" customFormat="1" x14ac:dyDescent="0.2">
      <c r="A71" s="129" t="s">
        <v>470</v>
      </c>
      <c r="B71" s="901" t="s">
        <v>1018</v>
      </c>
      <c r="C71" s="666">
        <f>'Mão de Obra  (Detalhamento)'!M71</f>
        <v>0</v>
      </c>
      <c r="D71" s="121"/>
    </row>
    <row r="72" spans="1:4" s="48" customFormat="1" x14ac:dyDescent="0.2">
      <c r="A72" s="129" t="s">
        <v>471</v>
      </c>
      <c r="B72" s="369" t="s">
        <v>684</v>
      </c>
      <c r="C72" s="674">
        <f>C68*0.2</f>
        <v>0</v>
      </c>
      <c r="D72" s="121"/>
    </row>
    <row r="73" spans="1:4" s="48" customFormat="1" x14ac:dyDescent="0.2">
      <c r="A73" s="434" t="s">
        <v>13</v>
      </c>
      <c r="B73" s="367" t="s">
        <v>911</v>
      </c>
      <c r="C73" s="675">
        <f>SUM(C74)</f>
        <v>0</v>
      </c>
      <c r="D73" s="121"/>
    </row>
    <row r="74" spans="1:4" s="48" customFormat="1" ht="13.5" thickBot="1" x14ac:dyDescent="0.25">
      <c r="A74" s="130" t="s">
        <v>480</v>
      </c>
      <c r="B74" s="433" t="s">
        <v>912</v>
      </c>
      <c r="C74" s="676">
        <f>'Alimentação (Detalhamento)'!G165</f>
        <v>0</v>
      </c>
      <c r="D74" s="121"/>
    </row>
    <row r="75" spans="1:4" s="48" customFormat="1" ht="13.5" thickBot="1" x14ac:dyDescent="0.25">
      <c r="A75" s="1221" t="s">
        <v>522</v>
      </c>
      <c r="B75" s="1210"/>
      <c r="C75" s="1211"/>
      <c r="D75" s="121"/>
    </row>
    <row r="76" spans="1:4" s="48" customFormat="1" x14ac:dyDescent="0.2">
      <c r="A76" s="127" t="s">
        <v>505</v>
      </c>
      <c r="B76" s="371" t="s">
        <v>674</v>
      </c>
      <c r="C76" s="374">
        <f>0.2*C66</f>
        <v>0</v>
      </c>
      <c r="D76" s="121"/>
    </row>
    <row r="77" spans="1:4" s="48" customFormat="1" x14ac:dyDescent="0.2">
      <c r="A77" s="133" t="s">
        <v>506</v>
      </c>
      <c r="B77" s="372" t="s">
        <v>975</v>
      </c>
      <c r="C77" s="375">
        <f>0.05*(C65+C76)</f>
        <v>0</v>
      </c>
      <c r="D77" s="121"/>
    </row>
    <row r="78" spans="1:4" s="48" customFormat="1" ht="13.5" thickBot="1" x14ac:dyDescent="0.25">
      <c r="A78" s="128" t="s">
        <v>507</v>
      </c>
      <c r="B78" s="373" t="s">
        <v>976</v>
      </c>
      <c r="C78" s="376">
        <f>0.1662*(C65+C76+C77)</f>
        <v>0</v>
      </c>
      <c r="D78" s="121"/>
    </row>
    <row r="79" spans="1:4" s="48" customFormat="1" ht="13.5" thickBot="1" x14ac:dyDescent="0.25">
      <c r="A79" s="1222" t="s">
        <v>508</v>
      </c>
      <c r="B79" s="1223"/>
      <c r="C79" s="123">
        <f>SUM(C76:C78)</f>
        <v>0</v>
      </c>
      <c r="D79" s="121"/>
    </row>
    <row r="80" spans="1:4" s="48" customFormat="1" ht="13.5" thickBot="1" x14ac:dyDescent="0.25">
      <c r="A80" s="124"/>
      <c r="B80" s="125"/>
      <c r="C80" s="126"/>
      <c r="D80" s="121"/>
    </row>
    <row r="81" spans="1:4" s="48" customFormat="1" ht="13.5" thickBot="1" x14ac:dyDescent="0.25">
      <c r="A81" s="1219" t="s">
        <v>865</v>
      </c>
      <c r="B81" s="1220"/>
      <c r="C81" s="153">
        <f>C65+C79</f>
        <v>0</v>
      </c>
      <c r="D81" s="121"/>
    </row>
    <row r="83" spans="1:4" s="48" customFormat="1" ht="13.5" thickBot="1" x14ac:dyDescent="0.25">
      <c r="A83" s="121"/>
      <c r="B83" s="121"/>
      <c r="C83" s="121"/>
      <c r="D83" s="121"/>
    </row>
    <row r="84" spans="1:4" s="48" customFormat="1" ht="13.5" thickBot="1" x14ac:dyDescent="0.25">
      <c r="A84" s="154" t="s">
        <v>260</v>
      </c>
      <c r="B84" s="1207" t="s">
        <v>677</v>
      </c>
      <c r="C84" s="1208"/>
      <c r="D84" s="121"/>
    </row>
    <row r="85" spans="1:4" s="48" customFormat="1" ht="13.5" thickBot="1" x14ac:dyDescent="0.25">
      <c r="A85" s="1209" t="s">
        <v>494</v>
      </c>
      <c r="B85" s="1210"/>
      <c r="C85" s="1211"/>
      <c r="D85" s="121"/>
    </row>
    <row r="86" spans="1:4" s="48" customFormat="1" ht="13.5" thickBot="1" x14ac:dyDescent="0.25">
      <c r="A86" s="1212" t="s">
        <v>57</v>
      </c>
      <c r="B86" s="1213"/>
      <c r="C86" s="122">
        <f>SUM(C87+C91+C94)</f>
        <v>0</v>
      </c>
      <c r="D86" s="121"/>
    </row>
    <row r="87" spans="1:4" s="48" customFormat="1" x14ac:dyDescent="0.2">
      <c r="A87" s="131" t="s">
        <v>496</v>
      </c>
      <c r="B87" s="365" t="s">
        <v>502</v>
      </c>
      <c r="C87" s="673">
        <f>SUM(C88:C90)</f>
        <v>0</v>
      </c>
      <c r="D87" s="121"/>
    </row>
    <row r="88" spans="1:4" s="48" customFormat="1" x14ac:dyDescent="0.2">
      <c r="A88" s="129" t="s">
        <v>65</v>
      </c>
      <c r="B88" s="366" t="s">
        <v>498</v>
      </c>
      <c r="C88" s="666">
        <f>'Mão de Obra  (Detalhamento)'!K86</f>
        <v>0</v>
      </c>
      <c r="D88" s="121"/>
    </row>
    <row r="89" spans="1:4" s="48" customFormat="1" x14ac:dyDescent="0.2">
      <c r="A89" s="129" t="s">
        <v>457</v>
      </c>
      <c r="B89" s="366" t="s">
        <v>499</v>
      </c>
      <c r="C89" s="666">
        <f>'Mão de Obra  (Detalhamento)'!K87</f>
        <v>0</v>
      </c>
      <c r="D89" s="121"/>
    </row>
    <row r="90" spans="1:4" s="48" customFormat="1" x14ac:dyDescent="0.2">
      <c r="A90" s="129" t="s">
        <v>97</v>
      </c>
      <c r="B90" s="366" t="s">
        <v>503</v>
      </c>
      <c r="C90" s="666">
        <f>'Mão de Obra  (Detalhamento)'!L88</f>
        <v>0</v>
      </c>
      <c r="D90" s="121"/>
    </row>
    <row r="91" spans="1:4" s="48" customFormat="1" x14ac:dyDescent="0.2">
      <c r="A91" s="132" t="s">
        <v>497</v>
      </c>
      <c r="B91" s="367" t="s">
        <v>504</v>
      </c>
      <c r="C91" s="668">
        <f>SUM(C92:C93)</f>
        <v>0</v>
      </c>
      <c r="D91" s="121"/>
    </row>
    <row r="92" spans="1:4" s="48" customFormat="1" x14ac:dyDescent="0.2">
      <c r="A92" s="129" t="s">
        <v>470</v>
      </c>
      <c r="B92" s="901" t="s">
        <v>1018</v>
      </c>
      <c r="C92" s="666">
        <f>'Mão de Obra  (Detalhamento)'!M86</f>
        <v>0</v>
      </c>
      <c r="D92" s="121"/>
    </row>
    <row r="93" spans="1:4" s="48" customFormat="1" x14ac:dyDescent="0.2">
      <c r="A93" s="129" t="s">
        <v>471</v>
      </c>
      <c r="B93" s="369" t="s">
        <v>684</v>
      </c>
      <c r="C93" s="666">
        <f>C89*0.2</f>
        <v>0</v>
      </c>
      <c r="D93" s="121"/>
    </row>
    <row r="94" spans="1:4" s="48" customFormat="1" x14ac:dyDescent="0.2">
      <c r="A94" s="132" t="s">
        <v>13</v>
      </c>
      <c r="B94" s="367" t="s">
        <v>911</v>
      </c>
      <c r="C94" s="675">
        <f>SUM(C95)</f>
        <v>0</v>
      </c>
      <c r="D94" s="121"/>
    </row>
    <row r="95" spans="1:4" s="48" customFormat="1" ht="13.5" thickBot="1" x14ac:dyDescent="0.25">
      <c r="A95" s="130" t="s">
        <v>480</v>
      </c>
      <c r="B95" s="433" t="s">
        <v>912</v>
      </c>
      <c r="C95" s="676">
        <f>'Alimentação (Detalhamento)'!G166</f>
        <v>0</v>
      </c>
      <c r="D95" s="121"/>
    </row>
    <row r="96" spans="1:4" s="48" customFormat="1" ht="13.5" thickBot="1" x14ac:dyDescent="0.25">
      <c r="A96" s="1221" t="s">
        <v>522</v>
      </c>
      <c r="B96" s="1210"/>
      <c r="C96" s="1211"/>
      <c r="D96" s="121"/>
    </row>
    <row r="97" spans="1:4" s="48" customFormat="1" x14ac:dyDescent="0.2">
      <c r="A97" s="127" t="s">
        <v>505</v>
      </c>
      <c r="B97" s="371" t="s">
        <v>674</v>
      </c>
      <c r="C97" s="374">
        <f>0.2*C87</f>
        <v>0</v>
      </c>
      <c r="D97" s="121"/>
    </row>
    <row r="98" spans="1:4" s="48" customFormat="1" x14ac:dyDescent="0.2">
      <c r="A98" s="133" t="s">
        <v>506</v>
      </c>
      <c r="B98" s="372" t="s">
        <v>975</v>
      </c>
      <c r="C98" s="375">
        <f>0.05*(C86+C97)</f>
        <v>0</v>
      </c>
      <c r="D98" s="121"/>
    </row>
    <row r="99" spans="1:4" s="48" customFormat="1" ht="13.5" thickBot="1" x14ac:dyDescent="0.25">
      <c r="A99" s="128" t="s">
        <v>507</v>
      </c>
      <c r="B99" s="373" t="s">
        <v>976</v>
      </c>
      <c r="C99" s="376">
        <f>0.1662*(C86+C97+C98)</f>
        <v>0</v>
      </c>
      <c r="D99" s="121"/>
    </row>
    <row r="100" spans="1:4" s="48" customFormat="1" ht="13.5" thickBot="1" x14ac:dyDescent="0.25">
      <c r="A100" s="1222" t="s">
        <v>508</v>
      </c>
      <c r="B100" s="1223"/>
      <c r="C100" s="123">
        <f>SUM(C97:C99)</f>
        <v>0</v>
      </c>
      <c r="D100" s="121"/>
    </row>
    <row r="101" spans="1:4" s="48" customFormat="1" ht="13.5" thickBot="1" x14ac:dyDescent="0.25">
      <c r="A101" s="124"/>
      <c r="B101" s="125"/>
      <c r="C101" s="126"/>
      <c r="D101" s="121"/>
    </row>
    <row r="102" spans="1:4" s="48" customFormat="1" ht="13.5" thickBot="1" x14ac:dyDescent="0.25">
      <c r="A102" s="1219" t="s">
        <v>864</v>
      </c>
      <c r="B102" s="1220"/>
      <c r="C102" s="153">
        <f>C86+C100</f>
        <v>0</v>
      </c>
      <c r="D102" s="121"/>
    </row>
    <row r="106" spans="1:4" s="48" customFormat="1" ht="13.5" thickBot="1" x14ac:dyDescent="0.25">
      <c r="A106" s="121"/>
      <c r="B106" s="121"/>
      <c r="C106" s="121"/>
      <c r="D106" s="121"/>
    </row>
    <row r="107" spans="1:4" s="48" customFormat="1" ht="13.5" thickBot="1" x14ac:dyDescent="0.25">
      <c r="A107" s="154" t="s">
        <v>265</v>
      </c>
      <c r="B107" s="1207" t="s">
        <v>678</v>
      </c>
      <c r="C107" s="1208"/>
      <c r="D107" s="121"/>
    </row>
    <row r="108" spans="1:4" s="48" customFormat="1" ht="13.5" thickBot="1" x14ac:dyDescent="0.25">
      <c r="A108" s="1209" t="s">
        <v>494</v>
      </c>
      <c r="B108" s="1210"/>
      <c r="C108" s="1211"/>
      <c r="D108" s="121"/>
    </row>
    <row r="109" spans="1:4" s="48" customFormat="1" ht="13.5" thickBot="1" x14ac:dyDescent="0.25">
      <c r="A109" s="1212" t="s">
        <v>57</v>
      </c>
      <c r="B109" s="1213"/>
      <c r="C109" s="122">
        <f>SUM(C110+C114+C117)</f>
        <v>0</v>
      </c>
      <c r="D109" s="121"/>
    </row>
    <row r="110" spans="1:4" s="48" customFormat="1" x14ac:dyDescent="0.2">
      <c r="A110" s="131" t="s">
        <v>496</v>
      </c>
      <c r="B110" s="365" t="s">
        <v>502</v>
      </c>
      <c r="C110" s="673">
        <f>SUM(C111:C113)</f>
        <v>0</v>
      </c>
      <c r="D110" s="121"/>
    </row>
    <row r="111" spans="1:4" s="48" customFormat="1" x14ac:dyDescent="0.2">
      <c r="A111" s="129" t="s">
        <v>65</v>
      </c>
      <c r="B111" s="366" t="s">
        <v>498</v>
      </c>
      <c r="C111" s="666">
        <f>'Mão de Obra  (Detalhamento)'!K97</f>
        <v>0</v>
      </c>
      <c r="D111" s="121"/>
    </row>
    <row r="112" spans="1:4" s="48" customFormat="1" x14ac:dyDescent="0.2">
      <c r="A112" s="129" t="s">
        <v>457</v>
      </c>
      <c r="B112" s="366" t="s">
        <v>499</v>
      </c>
      <c r="C112" s="666">
        <f>'Mão de Obra  (Detalhamento)'!K98</f>
        <v>0</v>
      </c>
      <c r="D112" s="121"/>
    </row>
    <row r="113" spans="1:4" s="48" customFormat="1" x14ac:dyDescent="0.2">
      <c r="A113" s="129" t="s">
        <v>97</v>
      </c>
      <c r="B113" s="366" t="s">
        <v>503</v>
      </c>
      <c r="C113" s="666">
        <f>'Mão de Obra  (Detalhamento)'!L99</f>
        <v>0</v>
      </c>
      <c r="D113" s="121"/>
    </row>
    <row r="114" spans="1:4" s="48" customFormat="1" x14ac:dyDescent="0.2">
      <c r="A114" s="132" t="s">
        <v>497</v>
      </c>
      <c r="B114" s="367" t="s">
        <v>504</v>
      </c>
      <c r="C114" s="668">
        <f>SUM(C115:C116)</f>
        <v>0</v>
      </c>
      <c r="D114" s="121"/>
    </row>
    <row r="115" spans="1:4" s="48" customFormat="1" x14ac:dyDescent="0.2">
      <c r="A115" s="129" t="s">
        <v>470</v>
      </c>
      <c r="B115" s="901" t="s">
        <v>706</v>
      </c>
      <c r="C115" s="666">
        <f>0.7227*(C111+C113)</f>
        <v>0</v>
      </c>
      <c r="D115" s="121"/>
    </row>
    <row r="116" spans="1:4" s="48" customFormat="1" x14ac:dyDescent="0.2">
      <c r="A116" s="129" t="s">
        <v>471</v>
      </c>
      <c r="B116" s="914" t="s">
        <v>684</v>
      </c>
      <c r="C116" s="674">
        <f>'Mão de Obra  (Detalhamento)'!M98</f>
        <v>0</v>
      </c>
      <c r="D116" s="121"/>
    </row>
    <row r="117" spans="1:4" s="48" customFormat="1" x14ac:dyDescent="0.2">
      <c r="A117" s="434" t="s">
        <v>13</v>
      </c>
      <c r="B117" s="367" t="s">
        <v>911</v>
      </c>
      <c r="C117" s="675">
        <f>SUM(C118)</f>
        <v>0</v>
      </c>
      <c r="D117" s="121"/>
    </row>
    <row r="118" spans="1:4" s="48" customFormat="1" ht="13.5" thickBot="1" x14ac:dyDescent="0.25">
      <c r="A118" s="130" t="s">
        <v>480</v>
      </c>
      <c r="B118" s="433" t="s">
        <v>912</v>
      </c>
      <c r="C118" s="676">
        <f>'Alimentação (Detalhamento)'!G101</f>
        <v>0</v>
      </c>
      <c r="D118" s="121"/>
    </row>
    <row r="119" spans="1:4" s="48" customFormat="1" ht="13.5" thickBot="1" x14ac:dyDescent="0.25">
      <c r="A119" s="1221" t="s">
        <v>522</v>
      </c>
      <c r="B119" s="1210"/>
      <c r="C119" s="1211"/>
      <c r="D119" s="121"/>
    </row>
    <row r="120" spans="1:4" s="48" customFormat="1" x14ac:dyDescent="0.2">
      <c r="A120" s="127" t="s">
        <v>505</v>
      </c>
      <c r="B120" s="371" t="s">
        <v>674</v>
      </c>
      <c r="C120" s="374">
        <f>0.2*C110</f>
        <v>0</v>
      </c>
      <c r="D120" s="121"/>
    </row>
    <row r="121" spans="1:4" s="48" customFormat="1" x14ac:dyDescent="0.2">
      <c r="A121" s="133" t="s">
        <v>506</v>
      </c>
      <c r="B121" s="372" t="s">
        <v>975</v>
      </c>
      <c r="C121" s="375">
        <f>0.05*(C109+C120)</f>
        <v>0</v>
      </c>
      <c r="D121" s="121"/>
    </row>
    <row r="122" spans="1:4" s="48" customFormat="1" ht="13.5" thickBot="1" x14ac:dyDescent="0.25">
      <c r="A122" s="128" t="s">
        <v>507</v>
      </c>
      <c r="B122" s="373" t="s">
        <v>976</v>
      </c>
      <c r="C122" s="376">
        <f>0.1662*(C109+C120+C121)</f>
        <v>0</v>
      </c>
      <c r="D122" s="121"/>
    </row>
    <row r="123" spans="1:4" s="48" customFormat="1" ht="13.5" thickBot="1" x14ac:dyDescent="0.25">
      <c r="A123" s="1222" t="s">
        <v>508</v>
      </c>
      <c r="B123" s="1223"/>
      <c r="C123" s="123">
        <f>SUM(C120:C122)</f>
        <v>0</v>
      </c>
      <c r="D123" s="121"/>
    </row>
    <row r="124" spans="1:4" s="48" customFormat="1" ht="13.5" thickBot="1" x14ac:dyDescent="0.25">
      <c r="A124" s="124"/>
      <c r="B124" s="125"/>
      <c r="C124" s="126"/>
      <c r="D124" s="121"/>
    </row>
    <row r="125" spans="1:4" s="48" customFormat="1" ht="13.5" thickBot="1" x14ac:dyDescent="0.25">
      <c r="A125" s="1219" t="s">
        <v>863</v>
      </c>
      <c r="B125" s="1220"/>
      <c r="C125" s="153">
        <f>C109+C123</f>
        <v>0</v>
      </c>
      <c r="D125" s="121"/>
    </row>
    <row r="127" spans="1:4" s="48" customFormat="1" ht="13.5" thickBot="1" x14ac:dyDescent="0.25">
      <c r="A127" s="121"/>
      <c r="B127" s="121"/>
      <c r="C127" s="121"/>
      <c r="D127" s="121"/>
    </row>
    <row r="128" spans="1:4" s="48" customFormat="1" ht="13.5" thickBot="1" x14ac:dyDescent="0.25">
      <c r="A128" s="154" t="s">
        <v>269</v>
      </c>
      <c r="B128" s="1207" t="s">
        <v>283</v>
      </c>
      <c r="C128" s="1208"/>
      <c r="D128" s="121"/>
    </row>
    <row r="129" spans="1:4" s="48" customFormat="1" ht="13.5" thickBot="1" x14ac:dyDescent="0.25">
      <c r="A129" s="1209" t="s">
        <v>494</v>
      </c>
      <c r="B129" s="1210"/>
      <c r="C129" s="1211"/>
      <c r="D129" s="121"/>
    </row>
    <row r="130" spans="1:4" s="48" customFormat="1" ht="13.5" thickBot="1" x14ac:dyDescent="0.25">
      <c r="A130" s="1212" t="s">
        <v>57</v>
      </c>
      <c r="B130" s="1213"/>
      <c r="C130" s="122">
        <f>SUM(C131+C135+C138)</f>
        <v>0</v>
      </c>
      <c r="D130" s="121"/>
    </row>
    <row r="131" spans="1:4" s="48" customFormat="1" x14ac:dyDescent="0.2">
      <c r="A131" s="131" t="s">
        <v>496</v>
      </c>
      <c r="B131" s="365" t="s">
        <v>502</v>
      </c>
      <c r="C131" s="673">
        <f>SUM(C132:C134)</f>
        <v>0</v>
      </c>
      <c r="D131" s="121"/>
    </row>
    <row r="132" spans="1:4" s="48" customFormat="1" x14ac:dyDescent="0.2">
      <c r="A132" s="129" t="s">
        <v>65</v>
      </c>
      <c r="B132" s="366" t="s">
        <v>498</v>
      </c>
      <c r="C132" s="666">
        <f>'Mão de Obra  (Detalhamento)'!K111</f>
        <v>0</v>
      </c>
      <c r="D132" s="121"/>
    </row>
    <row r="133" spans="1:4" s="48" customFormat="1" x14ac:dyDescent="0.2">
      <c r="A133" s="129" t="s">
        <v>457</v>
      </c>
      <c r="B133" s="366" t="s">
        <v>499</v>
      </c>
      <c r="C133" s="666">
        <f>'Mão de Obra  (Detalhamento)'!K112</f>
        <v>0</v>
      </c>
      <c r="D133" s="121"/>
    </row>
    <row r="134" spans="1:4" s="48" customFormat="1" x14ac:dyDescent="0.2">
      <c r="A134" s="129" t="s">
        <v>97</v>
      </c>
      <c r="B134" s="366" t="s">
        <v>503</v>
      </c>
      <c r="C134" s="666">
        <f>'Mão de Obra  (Detalhamento)'!L113</f>
        <v>0</v>
      </c>
      <c r="D134" s="121"/>
    </row>
    <row r="135" spans="1:4" s="48" customFormat="1" x14ac:dyDescent="0.2">
      <c r="A135" s="132" t="s">
        <v>497</v>
      </c>
      <c r="B135" s="367" t="s">
        <v>504</v>
      </c>
      <c r="C135" s="668">
        <f>SUM(C136:C137)</f>
        <v>0</v>
      </c>
      <c r="D135" s="121"/>
    </row>
    <row r="136" spans="1:4" s="48" customFormat="1" x14ac:dyDescent="0.2">
      <c r="A136" s="129" t="s">
        <v>470</v>
      </c>
      <c r="B136" s="901" t="s">
        <v>1018</v>
      </c>
      <c r="C136" s="666">
        <f>'Mão de Obra  (Detalhamento)'!M111</f>
        <v>0</v>
      </c>
      <c r="D136" s="121"/>
    </row>
    <row r="137" spans="1:4" s="48" customFormat="1" x14ac:dyDescent="0.2">
      <c r="A137" s="129" t="s">
        <v>471</v>
      </c>
      <c r="B137" s="914" t="s">
        <v>684</v>
      </c>
      <c r="C137" s="674">
        <f>'Mão de Obra  (Detalhamento)'!M112</f>
        <v>0</v>
      </c>
      <c r="D137" s="121"/>
    </row>
    <row r="138" spans="1:4" s="48" customFormat="1" x14ac:dyDescent="0.2">
      <c r="A138" s="434" t="s">
        <v>13</v>
      </c>
      <c r="B138" s="367" t="s">
        <v>911</v>
      </c>
      <c r="C138" s="675">
        <f>SUM(C139)</f>
        <v>0</v>
      </c>
      <c r="D138" s="121"/>
    </row>
    <row r="139" spans="1:4" s="48" customFormat="1" ht="13.5" thickBot="1" x14ac:dyDescent="0.25">
      <c r="A139" s="130" t="s">
        <v>480</v>
      </c>
      <c r="B139" s="433" t="s">
        <v>912</v>
      </c>
      <c r="C139" s="676">
        <f>'Alimentação (Detalhamento)'!G168</f>
        <v>0</v>
      </c>
      <c r="D139" s="121"/>
    </row>
    <row r="140" spans="1:4" s="48" customFormat="1" ht="13.5" thickBot="1" x14ac:dyDescent="0.25">
      <c r="A140" s="1221" t="s">
        <v>522</v>
      </c>
      <c r="B140" s="1210"/>
      <c r="C140" s="1211"/>
      <c r="D140" s="121"/>
    </row>
    <row r="141" spans="1:4" s="48" customFormat="1" x14ac:dyDescent="0.2">
      <c r="A141" s="127" t="s">
        <v>505</v>
      </c>
      <c r="B141" s="371" t="s">
        <v>674</v>
      </c>
      <c r="C141" s="374">
        <f>0.2*C131</f>
        <v>0</v>
      </c>
      <c r="D141" s="121"/>
    </row>
    <row r="142" spans="1:4" s="48" customFormat="1" x14ac:dyDescent="0.2">
      <c r="A142" s="133" t="s">
        <v>506</v>
      </c>
      <c r="B142" s="372" t="s">
        <v>975</v>
      </c>
      <c r="C142" s="375">
        <f>0.05*(C130+C141)</f>
        <v>0</v>
      </c>
      <c r="D142" s="121"/>
    </row>
    <row r="143" spans="1:4" s="48" customFormat="1" ht="13.5" thickBot="1" x14ac:dyDescent="0.25">
      <c r="A143" s="128" t="s">
        <v>507</v>
      </c>
      <c r="B143" s="373" t="s">
        <v>976</v>
      </c>
      <c r="C143" s="376">
        <f>0.1662*(C130+C141+C142)</f>
        <v>0</v>
      </c>
      <c r="D143" s="121"/>
    </row>
    <row r="144" spans="1:4" s="48" customFormat="1" ht="13.5" thickBot="1" x14ac:dyDescent="0.25">
      <c r="A144" s="1222" t="s">
        <v>508</v>
      </c>
      <c r="B144" s="1223"/>
      <c r="C144" s="123">
        <f>SUM(C141:C143)</f>
        <v>0</v>
      </c>
      <c r="D144" s="121"/>
    </row>
    <row r="145" spans="1:4" s="48" customFormat="1" ht="13.5" thickBot="1" x14ac:dyDescent="0.25">
      <c r="A145" s="124"/>
      <c r="B145" s="125"/>
      <c r="C145" s="126"/>
      <c r="D145" s="121"/>
    </row>
    <row r="146" spans="1:4" s="48" customFormat="1" ht="13.5" thickBot="1" x14ac:dyDescent="0.25">
      <c r="A146" s="1219" t="s">
        <v>862</v>
      </c>
      <c r="B146" s="1220"/>
      <c r="C146" s="153">
        <f>C130+C144</f>
        <v>0</v>
      </c>
      <c r="D146" s="121"/>
    </row>
    <row r="150" spans="1:4" s="48" customFormat="1" ht="13.5" thickBot="1" x14ac:dyDescent="0.25">
      <c r="A150" s="121"/>
      <c r="B150" s="121"/>
      <c r="C150" s="121"/>
      <c r="D150" s="121"/>
    </row>
    <row r="151" spans="1:4" s="48" customFormat="1" ht="13.5" thickBot="1" x14ac:dyDescent="0.25">
      <c r="A151" s="154" t="s">
        <v>679</v>
      </c>
      <c r="B151" s="1207" t="s">
        <v>832</v>
      </c>
      <c r="C151" s="1208"/>
      <c r="D151" s="121"/>
    </row>
    <row r="152" spans="1:4" s="48" customFormat="1" ht="13.5" thickBot="1" x14ac:dyDescent="0.25">
      <c r="A152" s="1209" t="s">
        <v>494</v>
      </c>
      <c r="B152" s="1210"/>
      <c r="C152" s="1211"/>
      <c r="D152" s="121"/>
    </row>
    <row r="153" spans="1:4" s="48" customFormat="1" ht="13.5" thickBot="1" x14ac:dyDescent="0.25">
      <c r="A153" s="1212" t="s">
        <v>57</v>
      </c>
      <c r="B153" s="1213"/>
      <c r="C153" s="122">
        <f>SUM(C154+C161+C166)</f>
        <v>0</v>
      </c>
      <c r="D153" s="121"/>
    </row>
    <row r="154" spans="1:4" s="48" customFormat="1" x14ac:dyDescent="0.2">
      <c r="A154" s="131" t="s">
        <v>496</v>
      </c>
      <c r="B154" s="365" t="s">
        <v>502</v>
      </c>
      <c r="C154" s="673">
        <f>SUM(C155:C160)</f>
        <v>0</v>
      </c>
      <c r="D154" s="121"/>
    </row>
    <row r="155" spans="1:4" s="48" customFormat="1" x14ac:dyDescent="0.2">
      <c r="A155" s="129" t="s">
        <v>65</v>
      </c>
      <c r="B155" s="366" t="s">
        <v>778</v>
      </c>
      <c r="C155" s="666">
        <f>'Mão de Obra  (Detalhamento)'!K149</f>
        <v>0</v>
      </c>
      <c r="D155" s="121"/>
    </row>
    <row r="156" spans="1:4" s="48" customFormat="1" x14ac:dyDescent="0.2">
      <c r="A156" s="129" t="s">
        <v>457</v>
      </c>
      <c r="B156" s="366" t="s">
        <v>779</v>
      </c>
      <c r="C156" s="666">
        <f>'Mão de Obra  (Detalhamento)'!K150</f>
        <v>0</v>
      </c>
      <c r="D156" s="121"/>
    </row>
    <row r="157" spans="1:4" s="48" customFormat="1" x14ac:dyDescent="0.2">
      <c r="A157" s="129" t="s">
        <v>97</v>
      </c>
      <c r="B157" s="366" t="s">
        <v>780</v>
      </c>
      <c r="C157" s="666">
        <f>'Mão de Obra  (Detalhamento)'!K151</f>
        <v>0</v>
      </c>
      <c r="D157" s="121"/>
    </row>
    <row r="158" spans="1:4" s="48" customFormat="1" x14ac:dyDescent="0.2">
      <c r="A158" s="129" t="s">
        <v>66</v>
      </c>
      <c r="B158" s="366" t="s">
        <v>499</v>
      </c>
      <c r="C158" s="666">
        <f>'Mão de Obra  (Detalhamento)'!K152</f>
        <v>0</v>
      </c>
      <c r="D158" s="121"/>
    </row>
    <row r="159" spans="1:4" s="48" customFormat="1" x14ac:dyDescent="0.2">
      <c r="A159" s="129" t="s">
        <v>458</v>
      </c>
      <c r="B159" s="366" t="s">
        <v>781</v>
      </c>
      <c r="C159" s="666">
        <f>'Mão de Obra  (Detalhamento)'!L149</f>
        <v>0</v>
      </c>
      <c r="D159" s="121"/>
    </row>
    <row r="160" spans="1:4" s="48" customFormat="1" x14ac:dyDescent="0.2">
      <c r="A160" s="129" t="s">
        <v>459</v>
      </c>
      <c r="B160" s="366" t="s">
        <v>782</v>
      </c>
      <c r="C160" s="666">
        <f>'Mão de Obra  (Detalhamento)'!L150</f>
        <v>0</v>
      </c>
      <c r="D160" s="121"/>
    </row>
    <row r="161" spans="1:4" s="48" customFormat="1" x14ac:dyDescent="0.2">
      <c r="A161" s="132" t="s">
        <v>497</v>
      </c>
      <c r="B161" s="367" t="s">
        <v>504</v>
      </c>
      <c r="C161" s="668">
        <f>SUM(C162:C165)</f>
        <v>0</v>
      </c>
      <c r="D161" s="121"/>
    </row>
    <row r="162" spans="1:4" s="48" customFormat="1" x14ac:dyDescent="0.2">
      <c r="A162" s="129" t="s">
        <v>470</v>
      </c>
      <c r="B162" s="901" t="s">
        <v>783</v>
      </c>
      <c r="C162" s="666">
        <f>'Mão de Obra  (Detalhamento)'!M149</f>
        <v>0</v>
      </c>
      <c r="D162" s="121"/>
    </row>
    <row r="163" spans="1:4" s="48" customFormat="1" x14ac:dyDescent="0.2">
      <c r="A163" s="129" t="s">
        <v>471</v>
      </c>
      <c r="B163" s="901" t="s">
        <v>784</v>
      </c>
      <c r="C163" s="666">
        <f>'Mão de Obra  (Detalhamento)'!M150</f>
        <v>0</v>
      </c>
      <c r="D163" s="121"/>
    </row>
    <row r="164" spans="1:4" s="48" customFormat="1" x14ac:dyDescent="0.2">
      <c r="A164" s="129" t="s">
        <v>472</v>
      </c>
      <c r="B164" s="368" t="s">
        <v>785</v>
      </c>
      <c r="C164" s="666">
        <f>'Mão de Obra  (Detalhamento)'!M151</f>
        <v>0</v>
      </c>
      <c r="D164" s="121"/>
    </row>
    <row r="165" spans="1:4" s="48" customFormat="1" x14ac:dyDescent="0.2">
      <c r="A165" s="129" t="s">
        <v>473</v>
      </c>
      <c r="B165" s="368" t="s">
        <v>786</v>
      </c>
      <c r="C165" s="666">
        <f>C158*0.2</f>
        <v>0</v>
      </c>
      <c r="D165" s="121"/>
    </row>
    <row r="166" spans="1:4" s="48" customFormat="1" x14ac:dyDescent="0.2">
      <c r="A166" s="434" t="s">
        <v>13</v>
      </c>
      <c r="B166" s="435" t="s">
        <v>911</v>
      </c>
      <c r="C166" s="677">
        <f>SUM(C167)</f>
        <v>0</v>
      </c>
      <c r="D166" s="121"/>
    </row>
    <row r="167" spans="1:4" s="48" customFormat="1" ht="13.5" thickBot="1" x14ac:dyDescent="0.25">
      <c r="A167" s="130" t="s">
        <v>480</v>
      </c>
      <c r="B167" s="433" t="s">
        <v>912</v>
      </c>
      <c r="C167" s="676">
        <f>'Alimentação (Detalhamento)'!G169</f>
        <v>0</v>
      </c>
      <c r="D167" s="121"/>
    </row>
    <row r="168" spans="1:4" s="48" customFormat="1" ht="13.5" thickBot="1" x14ac:dyDescent="0.25">
      <c r="A168" s="1221" t="s">
        <v>522</v>
      </c>
      <c r="B168" s="1210"/>
      <c r="C168" s="1211"/>
      <c r="D168" s="121"/>
    </row>
    <row r="169" spans="1:4" s="48" customFormat="1" x14ac:dyDescent="0.2">
      <c r="A169" s="127" t="s">
        <v>505</v>
      </c>
      <c r="B169" s="371" t="s">
        <v>674</v>
      </c>
      <c r="C169" s="374">
        <f>0.2*C154</f>
        <v>0</v>
      </c>
      <c r="D169" s="121"/>
    </row>
    <row r="170" spans="1:4" s="48" customFormat="1" x14ac:dyDescent="0.2">
      <c r="A170" s="133" t="s">
        <v>506</v>
      </c>
      <c r="B170" s="372" t="s">
        <v>975</v>
      </c>
      <c r="C170" s="375">
        <f>0.05*(C153+C169)</f>
        <v>0</v>
      </c>
      <c r="D170" s="121"/>
    </row>
    <row r="171" spans="1:4" s="48" customFormat="1" ht="13.5" thickBot="1" x14ac:dyDescent="0.25">
      <c r="A171" s="128" t="s">
        <v>507</v>
      </c>
      <c r="B171" s="373" t="s">
        <v>976</v>
      </c>
      <c r="C171" s="376">
        <f>0.1662*(C153+C169+C170)</f>
        <v>0</v>
      </c>
      <c r="D171" s="121"/>
    </row>
    <row r="172" spans="1:4" s="48" customFormat="1" ht="13.5" thickBot="1" x14ac:dyDescent="0.25">
      <c r="A172" s="1222" t="s">
        <v>508</v>
      </c>
      <c r="B172" s="1223"/>
      <c r="C172" s="123">
        <f>SUM(C169:C171)</f>
        <v>0</v>
      </c>
      <c r="D172" s="121"/>
    </row>
    <row r="173" spans="1:4" s="48" customFormat="1" ht="13.5" thickBot="1" x14ac:dyDescent="0.25">
      <c r="A173" s="124"/>
      <c r="B173" s="125"/>
      <c r="C173" s="126"/>
      <c r="D173" s="121"/>
    </row>
    <row r="174" spans="1:4" s="48" customFormat="1" ht="13.5" thickBot="1" x14ac:dyDescent="0.25">
      <c r="A174" s="1219" t="s">
        <v>861</v>
      </c>
      <c r="B174" s="1220"/>
      <c r="C174" s="153">
        <f>C153+C172</f>
        <v>0</v>
      </c>
      <c r="D174" s="121"/>
    </row>
    <row r="175" spans="1:4" s="48" customFormat="1" x14ac:dyDescent="0.2">
      <c r="A175" s="797"/>
      <c r="B175" s="797"/>
      <c r="C175" s="798"/>
      <c r="D175" s="61"/>
    </row>
    <row r="176" spans="1:4" s="48" customFormat="1" x14ac:dyDescent="0.2">
      <c r="A176" s="797"/>
      <c r="B176" s="797"/>
      <c r="C176" s="798"/>
      <c r="D176" s="61"/>
    </row>
    <row r="177" spans="1:4" s="48" customFormat="1" x14ac:dyDescent="0.2">
      <c r="A177" s="61"/>
      <c r="B177" s="61"/>
      <c r="C177" s="537"/>
      <c r="D177" s="61"/>
    </row>
    <row r="178" spans="1:4" s="48" customFormat="1" x14ac:dyDescent="0.2">
      <c r="A178" s="61"/>
      <c r="B178" s="61"/>
      <c r="C178" s="61"/>
      <c r="D178" s="61"/>
    </row>
    <row r="179" spans="1:4" s="48" customFormat="1" x14ac:dyDescent="0.2">
      <c r="A179" s="61"/>
      <c r="B179" s="61"/>
      <c r="C179" s="61"/>
      <c r="D179" s="61"/>
    </row>
    <row r="180" spans="1:4" s="48" customFormat="1" x14ac:dyDescent="0.2">
      <c r="A180" s="61"/>
      <c r="B180" s="61"/>
      <c r="C180" s="61"/>
      <c r="D180" s="61"/>
    </row>
    <row r="181" spans="1:4" s="48" customFormat="1" ht="13.5" thickBot="1" x14ac:dyDescent="0.25">
      <c r="A181" s="61"/>
      <c r="B181" s="61"/>
      <c r="C181" s="61"/>
      <c r="D181" s="61"/>
    </row>
    <row r="182" spans="1:4" s="48" customFormat="1" x14ac:dyDescent="0.25">
      <c r="A182" s="1224" t="s">
        <v>49</v>
      </c>
      <c r="B182" s="1225"/>
      <c r="C182" s="1224" t="s">
        <v>50</v>
      </c>
      <c r="D182" s="1225"/>
    </row>
    <row r="183" spans="1:4" s="48" customFormat="1" ht="13.5" thickBot="1" x14ac:dyDescent="0.3">
      <c r="A183" s="1226"/>
      <c r="B183" s="1227"/>
      <c r="C183" s="1226"/>
      <c r="D183" s="1227"/>
    </row>
    <row r="184" spans="1:4" s="48" customFormat="1" x14ac:dyDescent="0.25">
      <c r="A184" s="1224" t="s">
        <v>51</v>
      </c>
      <c r="B184" s="1225"/>
      <c r="C184" s="1224" t="s">
        <v>52</v>
      </c>
      <c r="D184" s="1225"/>
    </row>
    <row r="185" spans="1:4" s="48" customFormat="1" ht="13.5" thickBot="1" x14ac:dyDescent="0.3">
      <c r="A185" s="1217"/>
      <c r="B185" s="1218"/>
      <c r="C185" s="1217"/>
      <c r="D185" s="1218"/>
    </row>
    <row r="186" spans="1:4" s="48" customFormat="1" ht="13.5" thickTop="1" x14ac:dyDescent="0.25">
      <c r="A186" s="1214" t="s">
        <v>53</v>
      </c>
      <c r="B186" s="1215"/>
      <c r="C186" s="1215"/>
      <c r="D186" s="1216"/>
    </row>
    <row r="187" spans="1:4" x14ac:dyDescent="0.2">
      <c r="A187" s="843" t="s">
        <v>99</v>
      </c>
      <c r="B187" s="1203" t="s">
        <v>985</v>
      </c>
      <c r="C187" s="1203"/>
      <c r="D187" s="1204"/>
    </row>
    <row r="188" spans="1:4" x14ac:dyDescent="0.2">
      <c r="A188" s="843" t="s">
        <v>100</v>
      </c>
      <c r="B188" s="1205" t="s">
        <v>990</v>
      </c>
      <c r="C188" s="1205"/>
      <c r="D188" s="1206"/>
    </row>
    <row r="189" spans="1:4" x14ac:dyDescent="0.2">
      <c r="A189" s="843" t="s">
        <v>101</v>
      </c>
      <c r="B189" s="1205" t="s">
        <v>988</v>
      </c>
      <c r="C189" s="1205"/>
      <c r="D189" s="1206"/>
    </row>
    <row r="190" spans="1:4" ht="13.5" thickBot="1" x14ac:dyDescent="0.25">
      <c r="A190" s="1257" t="s">
        <v>260</v>
      </c>
      <c r="B190" s="1255" t="s">
        <v>989</v>
      </c>
      <c r="C190" s="1255"/>
      <c r="D190" s="1256"/>
    </row>
    <row r="191" spans="1:4" ht="13.5" thickBot="1" x14ac:dyDescent="0.25">
      <c r="A191" s="1258"/>
      <c r="B191" s="1255"/>
      <c r="C191" s="1255"/>
      <c r="D191" s="1256"/>
    </row>
    <row r="192" spans="1:4" s="48" customFormat="1" x14ac:dyDescent="0.2">
      <c r="A192" s="121"/>
      <c r="B192" s="121"/>
      <c r="C192" s="121"/>
      <c r="D192" s="121"/>
    </row>
    <row r="193" spans="1:4" s="48" customFormat="1" x14ac:dyDescent="0.2">
      <c r="A193" s="121"/>
      <c r="B193" s="121"/>
      <c r="C193" s="121"/>
      <c r="D193" s="121"/>
    </row>
    <row r="194" spans="1:4" s="48" customFormat="1" x14ac:dyDescent="0.2">
      <c r="A194" s="121"/>
      <c r="B194" s="121"/>
      <c r="C194" s="121"/>
      <c r="D194" s="252"/>
    </row>
  </sheetData>
  <mergeCells count="65">
    <mergeCell ref="A13:A15"/>
    <mergeCell ref="B13:C15"/>
    <mergeCell ref="B188:D188"/>
    <mergeCell ref="B190:D191"/>
    <mergeCell ref="A190:A191"/>
    <mergeCell ref="B36:D36"/>
    <mergeCell ref="A37:D37"/>
    <mergeCell ref="A39:B39"/>
    <mergeCell ref="A16:C16"/>
    <mergeCell ref="A17:B17"/>
    <mergeCell ref="B63:C63"/>
    <mergeCell ref="A64:C64"/>
    <mergeCell ref="A65:B65"/>
    <mergeCell ref="A75:C75"/>
    <mergeCell ref="A59:B59"/>
    <mergeCell ref="C59:D59"/>
    <mergeCell ref="A1:C1"/>
    <mergeCell ref="A2:C2"/>
    <mergeCell ref="A3:C3"/>
    <mergeCell ref="A6:C7"/>
    <mergeCell ref="A10:C10"/>
    <mergeCell ref="A56:B56"/>
    <mergeCell ref="A58:B58"/>
    <mergeCell ref="A183:B183"/>
    <mergeCell ref="C183:D183"/>
    <mergeCell ref="A184:B184"/>
    <mergeCell ref="C184:D184"/>
    <mergeCell ref="A182:B182"/>
    <mergeCell ref="A79:B79"/>
    <mergeCell ref="B128:C128"/>
    <mergeCell ref="A129:C129"/>
    <mergeCell ref="A130:B130"/>
    <mergeCell ref="A140:C140"/>
    <mergeCell ref="A109:B109"/>
    <mergeCell ref="A123:B123"/>
    <mergeCell ref="A125:B125"/>
    <mergeCell ref="A119:C119"/>
    <mergeCell ref="A27:C27"/>
    <mergeCell ref="A31:B31"/>
    <mergeCell ref="A33:B33"/>
    <mergeCell ref="A51:D51"/>
    <mergeCell ref="A52:B52"/>
    <mergeCell ref="A81:B81"/>
    <mergeCell ref="A96:C96"/>
    <mergeCell ref="A100:B100"/>
    <mergeCell ref="A102:B102"/>
    <mergeCell ref="A144:B144"/>
    <mergeCell ref="B107:C107"/>
    <mergeCell ref="A108:C108"/>
    <mergeCell ref="B84:C84"/>
    <mergeCell ref="A85:C85"/>
    <mergeCell ref="A86:B86"/>
    <mergeCell ref="A146:B146"/>
    <mergeCell ref="A168:C168"/>
    <mergeCell ref="A172:B172"/>
    <mergeCell ref="A174:B174"/>
    <mergeCell ref="C182:D182"/>
    <mergeCell ref="B187:D187"/>
    <mergeCell ref="B189:D189"/>
    <mergeCell ref="B151:C151"/>
    <mergeCell ref="A152:C152"/>
    <mergeCell ref="A153:B153"/>
    <mergeCell ref="A186:D186"/>
    <mergeCell ref="A185:B185"/>
    <mergeCell ref="C185:D185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80" orientation="portrait" r:id="rId1"/>
  <rowBreaks count="3" manualBreakCount="3">
    <brk id="59" max="3" man="1"/>
    <brk id="103" max="3" man="1"/>
    <brk id="146" max="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92"/>
  <sheetViews>
    <sheetView view="pageBreakPreview" topLeftCell="A121" zoomScale="70" zoomScaleNormal="110" zoomScaleSheetLayoutView="70" workbookViewId="0">
      <selection activeCell="H140" sqref="H140:H148"/>
    </sheetView>
  </sheetViews>
  <sheetFormatPr defaultColWidth="26.28515625" defaultRowHeight="15" x14ac:dyDescent="0.2"/>
  <cols>
    <col min="1" max="1" width="9" style="959" bestFit="1" customWidth="1"/>
    <col min="2" max="2" width="84.42578125" style="962" bestFit="1" customWidth="1"/>
    <col min="3" max="3" width="10.42578125" style="959" bestFit="1" customWidth="1"/>
    <col min="4" max="4" width="10.140625" style="959" bestFit="1" customWidth="1"/>
    <col min="5" max="5" width="6.140625" style="959" bestFit="1" customWidth="1"/>
    <col min="6" max="6" width="14.85546875" style="959" bestFit="1" customWidth="1"/>
    <col min="7" max="7" width="16.28515625" style="959" bestFit="1" customWidth="1"/>
    <col min="8" max="8" width="25" style="959" bestFit="1" customWidth="1"/>
    <col min="9" max="9" width="20.7109375" style="959" bestFit="1" customWidth="1"/>
    <col min="10" max="10" width="16.5703125" style="959" bestFit="1" customWidth="1"/>
    <col min="11" max="11" width="16.28515625" style="959" bestFit="1" customWidth="1"/>
    <col min="12" max="12" width="25" style="959" bestFit="1" customWidth="1"/>
    <col min="13" max="13" width="20.7109375" style="959" bestFit="1" customWidth="1"/>
    <col min="14" max="14" width="16.5703125" style="959" bestFit="1" customWidth="1"/>
    <col min="15" max="15" width="14.7109375" style="959" bestFit="1" customWidth="1"/>
    <col min="16" max="16" width="29.28515625" style="957" bestFit="1" customWidth="1"/>
    <col min="17" max="17" width="27.85546875" style="957" bestFit="1" customWidth="1"/>
    <col min="18" max="18" width="6.42578125" style="957" customWidth="1"/>
    <col min="19" max="19" width="10" style="958" bestFit="1" customWidth="1"/>
    <col min="20" max="20" width="5.28515625" style="958" bestFit="1" customWidth="1"/>
    <col min="21" max="21" width="11.140625" style="958" bestFit="1" customWidth="1"/>
    <col min="22" max="22" width="8.28515625" style="958" bestFit="1" customWidth="1"/>
    <col min="23" max="23" width="14.5703125" style="957" bestFit="1" customWidth="1"/>
    <col min="24" max="24" width="7.7109375" style="959" bestFit="1" customWidth="1"/>
    <col min="25" max="16384" width="26.28515625" style="959"/>
  </cols>
  <sheetData>
    <row r="1" spans="1:24" ht="15.75" x14ac:dyDescent="0.2">
      <c r="A1" s="1355" t="s">
        <v>294</v>
      </c>
      <c r="B1" s="1356"/>
      <c r="C1" s="1356"/>
      <c r="D1" s="1356"/>
      <c r="E1" s="1356"/>
      <c r="F1" s="1356"/>
      <c r="G1" s="1356"/>
      <c r="H1" s="1356"/>
      <c r="I1" s="1356"/>
      <c r="J1" s="1356"/>
      <c r="K1" s="1356"/>
      <c r="L1" s="1356"/>
      <c r="M1" s="1356"/>
      <c r="N1" s="1357"/>
      <c r="O1" s="956"/>
    </row>
    <row r="2" spans="1:24" ht="16.5" thickBot="1" x14ac:dyDescent="0.25">
      <c r="A2" s="1358" t="s">
        <v>295</v>
      </c>
      <c r="B2" s="1359"/>
      <c r="C2" s="1359"/>
      <c r="D2" s="1359"/>
      <c r="E2" s="1359"/>
      <c r="F2" s="1359"/>
      <c r="G2" s="1359"/>
      <c r="H2" s="1359"/>
      <c r="I2" s="1359"/>
      <c r="J2" s="1359"/>
      <c r="K2" s="1359"/>
      <c r="L2" s="1359"/>
      <c r="M2" s="1359"/>
      <c r="N2" s="1360"/>
      <c r="O2" s="956"/>
      <c r="P2" s="957">
        <v>880</v>
      </c>
    </row>
    <row r="3" spans="1:24" ht="15.75" thickBot="1" x14ac:dyDescent="0.25">
      <c r="A3" s="1361"/>
      <c r="B3" s="1362"/>
      <c r="C3" s="1362"/>
      <c r="D3" s="1362"/>
      <c r="E3" s="1362"/>
      <c r="F3" s="1362"/>
      <c r="G3" s="1362"/>
      <c r="H3" s="1362"/>
      <c r="I3" s="1362"/>
      <c r="J3" s="1362"/>
      <c r="K3" s="1362"/>
      <c r="L3" s="1362"/>
      <c r="M3" s="1362"/>
      <c r="N3" s="1362"/>
      <c r="O3" s="960"/>
    </row>
    <row r="4" spans="1:24" ht="15.75" x14ac:dyDescent="0.2">
      <c r="A4" s="1179" t="s">
        <v>292</v>
      </c>
      <c r="B4" s="1180"/>
      <c r="C4" s="1180"/>
      <c r="D4" s="1180"/>
      <c r="E4" s="1180"/>
      <c r="F4" s="1180"/>
      <c r="G4" s="1180"/>
      <c r="H4" s="1180"/>
      <c r="I4" s="1180"/>
      <c r="J4" s="1180"/>
      <c r="K4" s="1180"/>
      <c r="L4" s="1180"/>
      <c r="M4" s="1180"/>
      <c r="N4" s="1181"/>
      <c r="O4" s="904"/>
    </row>
    <row r="5" spans="1:24" ht="16.5" thickBot="1" x14ac:dyDescent="0.25">
      <c r="A5" s="1185"/>
      <c r="B5" s="1186"/>
      <c r="C5" s="1186"/>
      <c r="D5" s="1186"/>
      <c r="E5" s="1186"/>
      <c r="F5" s="1186"/>
      <c r="G5" s="1186"/>
      <c r="H5" s="1186"/>
      <c r="I5" s="1186"/>
      <c r="J5" s="1186"/>
      <c r="K5" s="1186"/>
      <c r="L5" s="1186"/>
      <c r="M5" s="1186"/>
      <c r="N5" s="1187"/>
      <c r="O5" s="904"/>
    </row>
    <row r="6" spans="1:24" ht="15.75" thickBot="1" x14ac:dyDescent="0.25">
      <c r="A6" s="957"/>
      <c r="B6" s="961"/>
      <c r="C6" s="958"/>
      <c r="D6" s="957"/>
      <c r="E6" s="957"/>
      <c r="F6" s="957"/>
      <c r="G6" s="957"/>
      <c r="H6" s="957"/>
      <c r="I6" s="958"/>
    </row>
    <row r="7" spans="1:24" ht="16.5" thickBot="1" x14ac:dyDescent="0.25">
      <c r="A7" s="1363" t="s">
        <v>57</v>
      </c>
      <c r="B7" s="1364"/>
      <c r="C7" s="1364"/>
      <c r="D7" s="1364"/>
      <c r="E7" s="1364"/>
      <c r="F7" s="1364"/>
      <c r="G7" s="1364"/>
      <c r="H7" s="1364"/>
      <c r="I7" s="1364"/>
      <c r="J7" s="1364"/>
      <c r="K7" s="1364"/>
      <c r="L7" s="1364"/>
      <c r="M7" s="1364"/>
      <c r="N7" s="1365"/>
      <c r="O7" s="455"/>
    </row>
    <row r="8" spans="1:24" ht="16.5" thickBot="1" x14ac:dyDescent="0.25">
      <c r="A8" s="957"/>
      <c r="K8" s="970"/>
      <c r="L8" s="971"/>
      <c r="M8" s="971"/>
      <c r="N8" s="971"/>
      <c r="P8" s="1306" t="s">
        <v>710</v>
      </c>
      <c r="Q8" s="1307"/>
      <c r="R8" s="1307"/>
      <c r="S8" s="1307"/>
      <c r="T8" s="1307"/>
      <c r="U8" s="1307"/>
      <c r="V8" s="1307"/>
      <c r="W8" s="1308"/>
    </row>
    <row r="9" spans="1:24" ht="15.75" thickBot="1" x14ac:dyDescent="0.25">
      <c r="A9" s="957"/>
      <c r="B9" s="961"/>
      <c r="C9" s="958"/>
      <c r="D9" s="957"/>
      <c r="E9" s="957"/>
    </row>
    <row r="10" spans="1:24" ht="16.5" thickBot="1" x14ac:dyDescent="0.25">
      <c r="A10" s="1285" t="s">
        <v>0</v>
      </c>
      <c r="B10" s="1285" t="s">
        <v>1</v>
      </c>
      <c r="C10" s="1282" t="s">
        <v>297</v>
      </c>
      <c r="D10" s="1285" t="s">
        <v>2</v>
      </c>
      <c r="E10" s="1282" t="s">
        <v>3</v>
      </c>
      <c r="F10" s="1285" t="s">
        <v>242</v>
      </c>
      <c r="G10" s="1300" t="s">
        <v>25</v>
      </c>
      <c r="H10" s="1301"/>
      <c r="I10" s="1301"/>
      <c r="J10" s="1302"/>
      <c r="K10" s="1300" t="s">
        <v>766</v>
      </c>
      <c r="L10" s="1301"/>
      <c r="M10" s="1301"/>
      <c r="N10" s="1302"/>
      <c r="O10" s="903"/>
    </row>
    <row r="11" spans="1:24" s="962" customFormat="1" ht="15.75" x14ac:dyDescent="0.2">
      <c r="A11" s="1286"/>
      <c r="B11" s="1286"/>
      <c r="C11" s="1283"/>
      <c r="D11" s="1286"/>
      <c r="E11" s="1283"/>
      <c r="F11" s="1286"/>
      <c r="G11" s="1303" t="s">
        <v>296</v>
      </c>
      <c r="H11" s="1285" t="s">
        <v>762</v>
      </c>
      <c r="I11" s="1285" t="s">
        <v>26</v>
      </c>
      <c r="J11" s="1285" t="s">
        <v>293</v>
      </c>
      <c r="K11" s="1303" t="s">
        <v>296</v>
      </c>
      <c r="L11" s="1285" t="s">
        <v>762</v>
      </c>
      <c r="M11" s="1285" t="s">
        <v>26</v>
      </c>
      <c r="N11" s="1285" t="s">
        <v>293</v>
      </c>
      <c r="O11" s="903"/>
      <c r="P11" s="1322" t="s">
        <v>619</v>
      </c>
      <c r="Q11" s="1319" t="s">
        <v>620</v>
      </c>
      <c r="R11" s="972"/>
      <c r="S11" s="973"/>
      <c r="T11" s="973"/>
      <c r="U11" s="973"/>
      <c r="V11" s="973"/>
      <c r="W11" s="961"/>
    </row>
    <row r="12" spans="1:24" s="962" customFormat="1" ht="16.5" thickBot="1" x14ac:dyDescent="0.25">
      <c r="A12" s="1287"/>
      <c r="B12" s="1287"/>
      <c r="C12" s="1284"/>
      <c r="D12" s="1287"/>
      <c r="E12" s="1284"/>
      <c r="F12" s="1287"/>
      <c r="G12" s="1304"/>
      <c r="H12" s="1287"/>
      <c r="I12" s="1287"/>
      <c r="J12" s="1287"/>
      <c r="K12" s="1304"/>
      <c r="L12" s="1287"/>
      <c r="M12" s="1287"/>
      <c r="N12" s="1287"/>
      <c r="O12" s="903"/>
      <c r="P12" s="1323"/>
      <c r="Q12" s="1320"/>
      <c r="R12" s="972"/>
      <c r="S12" s="973"/>
      <c r="T12" s="973"/>
      <c r="U12" s="973"/>
      <c r="V12" s="973"/>
      <c r="W12" s="961"/>
    </row>
    <row r="13" spans="1:24" s="962" customFormat="1" ht="16.5" thickBot="1" x14ac:dyDescent="0.25">
      <c r="A13" s="974" t="s">
        <v>99</v>
      </c>
      <c r="B13" s="1309" t="s">
        <v>945</v>
      </c>
      <c r="C13" s="1310"/>
      <c r="D13" s="1310"/>
      <c r="E13" s="1310"/>
      <c r="F13" s="1310"/>
      <c r="G13" s="1310"/>
      <c r="H13" s="1310"/>
      <c r="I13" s="1310"/>
      <c r="J13" s="1310"/>
      <c r="K13" s="1310"/>
      <c r="L13" s="1310"/>
      <c r="M13" s="1310"/>
      <c r="N13" s="1311"/>
      <c r="O13" s="903"/>
      <c r="P13" s="1324"/>
      <c r="Q13" s="1321"/>
      <c r="R13" s="972"/>
      <c r="S13" s="973"/>
      <c r="T13" s="973"/>
      <c r="U13" s="973"/>
      <c r="V13" s="973"/>
      <c r="W13" s="961"/>
    </row>
    <row r="14" spans="1:24" ht="16.5" thickBot="1" x14ac:dyDescent="0.25">
      <c r="A14" s="975" t="s">
        <v>4</v>
      </c>
      <c r="B14" s="976" t="s">
        <v>280</v>
      </c>
      <c r="C14" s="977" t="s">
        <v>14</v>
      </c>
      <c r="D14" s="978" t="s">
        <v>27</v>
      </c>
      <c r="E14" s="977">
        <v>1</v>
      </c>
      <c r="F14" s="979">
        <v>18</v>
      </c>
      <c r="G14" s="980"/>
      <c r="H14" s="981">
        <f>ROUND(G14*$D$160,2)</f>
        <v>0</v>
      </c>
      <c r="I14" s="982">
        <f>ROUND((G14+H14)*$I$160,2)</f>
        <v>0</v>
      </c>
      <c r="J14" s="983">
        <f>G14+H14+I14</f>
        <v>0</v>
      </c>
      <c r="K14" s="980">
        <f>E14*F14*G14</f>
        <v>0</v>
      </c>
      <c r="L14" s="982">
        <f>E14*F14*H14</f>
        <v>0</v>
      </c>
      <c r="M14" s="982">
        <f>ROUND((K14+L14)*$I$160,2)</f>
        <v>0</v>
      </c>
      <c r="N14" s="984">
        <f>E14*F14*J14</f>
        <v>0</v>
      </c>
      <c r="O14" s="985">
        <f t="shared" ref="O14:O36" si="0">K14+L14+M14</f>
        <v>0</v>
      </c>
      <c r="P14" s="966"/>
      <c r="Q14" s="966"/>
      <c r="R14" s="966"/>
    </row>
    <row r="15" spans="1:24" ht="15.75" x14ac:dyDescent="0.25">
      <c r="A15" s="991" t="s">
        <v>5</v>
      </c>
      <c r="B15" s="992" t="s">
        <v>944</v>
      </c>
      <c r="C15" s="993" t="s">
        <v>13</v>
      </c>
      <c r="D15" s="993" t="s">
        <v>27</v>
      </c>
      <c r="E15" s="993">
        <v>1</v>
      </c>
      <c r="F15" s="994">
        <v>6</v>
      </c>
      <c r="G15" s="995"/>
      <c r="H15" s="996">
        <v>0</v>
      </c>
      <c r="I15" s="981">
        <f>ROUND((G15+H15)*$J$160,2)</f>
        <v>0</v>
      </c>
      <c r="J15" s="997">
        <f>G15+H15+I15</f>
        <v>0</v>
      </c>
      <c r="K15" s="995">
        <f>E15*F15*G15</f>
        <v>0</v>
      </c>
      <c r="L15" s="981">
        <f>E15*F15*H15</f>
        <v>0</v>
      </c>
      <c r="M15" s="981">
        <f>E15*F15*I15</f>
        <v>0</v>
      </c>
      <c r="N15" s="998">
        <f>E15*F15*J15</f>
        <v>0</v>
      </c>
      <c r="O15" s="985">
        <f t="shared" si="0"/>
        <v>0</v>
      </c>
      <c r="P15" s="986" t="s">
        <v>621</v>
      </c>
      <c r="Q15" s="987" t="s">
        <v>622</v>
      </c>
      <c r="R15" s="966"/>
      <c r="S15" s="988" t="s">
        <v>628</v>
      </c>
      <c r="T15" s="988" t="s">
        <v>625</v>
      </c>
      <c r="U15" s="988" t="s">
        <v>626</v>
      </c>
      <c r="V15" s="988" t="s">
        <v>627</v>
      </c>
      <c r="W15" s="989"/>
      <c r="X15" s="990" t="s">
        <v>898</v>
      </c>
    </row>
    <row r="16" spans="1:24" ht="15.75" x14ac:dyDescent="0.2">
      <c r="A16" s="1002" t="s">
        <v>6</v>
      </c>
      <c r="B16" s="1003" t="s">
        <v>946</v>
      </c>
      <c r="C16" s="1004" t="s">
        <v>15</v>
      </c>
      <c r="D16" s="1004" t="s">
        <v>27</v>
      </c>
      <c r="E16" s="1004">
        <v>2</v>
      </c>
      <c r="F16" s="1005">
        <v>6</v>
      </c>
      <c r="G16" s="995"/>
      <c r="H16" s="981">
        <v>0</v>
      </c>
      <c r="I16" s="981">
        <f>ROUND((G16+H16)*$J$160,2)</f>
        <v>0</v>
      </c>
      <c r="J16" s="997">
        <f>G16+H16+I16</f>
        <v>0</v>
      </c>
      <c r="K16" s="995">
        <f>E16*F16*G16</f>
        <v>0</v>
      </c>
      <c r="L16" s="981">
        <f>E16*F16*H16</f>
        <v>0</v>
      </c>
      <c r="M16" s="981">
        <f t="shared" ref="M16:M41" si="1">(K16+L16)*$I$160</f>
        <v>0</v>
      </c>
      <c r="N16" s="998">
        <f>E16*F16*J16</f>
        <v>0</v>
      </c>
      <c r="O16" s="985">
        <f t="shared" si="0"/>
        <v>0</v>
      </c>
      <c r="P16" s="999" t="s">
        <v>624</v>
      </c>
      <c r="Q16" s="1000" t="s">
        <v>622</v>
      </c>
      <c r="R16" s="966"/>
      <c r="S16" s="1001" t="s">
        <v>621</v>
      </c>
      <c r="T16" s="1001">
        <f>SUMIF($P$15:$P$42,S15,$E$14:$E$41)</f>
        <v>0</v>
      </c>
      <c r="U16" s="1001">
        <f>SUMIF($Q$15:$Q$42,U15,$E$14:$E$41)</f>
        <v>46</v>
      </c>
      <c r="V16" s="1001">
        <f>SUMIF($Q$15:$Q$42,V15,$E$14:$E$41)</f>
        <v>41</v>
      </c>
      <c r="W16" s="989"/>
      <c r="X16" s="959">
        <f>SUM(F14:F41)</f>
        <v>388</v>
      </c>
    </row>
    <row r="17" spans="1:23" ht="15.75" x14ac:dyDescent="0.2">
      <c r="A17" s="991" t="s">
        <v>7</v>
      </c>
      <c r="B17" s="1006" t="s">
        <v>552</v>
      </c>
      <c r="C17" s="993" t="s">
        <v>15</v>
      </c>
      <c r="D17" s="993" t="s">
        <v>27</v>
      </c>
      <c r="E17" s="993">
        <v>4</v>
      </c>
      <c r="F17" s="994">
        <v>18</v>
      </c>
      <c r="G17" s="995"/>
      <c r="H17" s="981">
        <f t="shared" ref="H17:H24" si="2">ROUND(G17*$D$160,2)</f>
        <v>0</v>
      </c>
      <c r="I17" s="981">
        <f t="shared" ref="I17:I41" si="3">ROUND((G17+H17)*$I$160,2)</f>
        <v>0</v>
      </c>
      <c r="J17" s="997">
        <f>G17+H17+I17</f>
        <v>0</v>
      </c>
      <c r="K17" s="995">
        <f>E17*F17*G17</f>
        <v>0</v>
      </c>
      <c r="L17" s="981">
        <f>E17*F17*H17</f>
        <v>0</v>
      </c>
      <c r="M17" s="981">
        <f t="shared" si="1"/>
        <v>0</v>
      </c>
      <c r="N17" s="998">
        <f>E17*F17*J17</f>
        <v>0</v>
      </c>
      <c r="O17" s="985">
        <f t="shared" si="0"/>
        <v>0</v>
      </c>
      <c r="P17" s="999" t="s">
        <v>624</v>
      </c>
      <c r="Q17" s="1000" t="s">
        <v>622</v>
      </c>
      <c r="R17" s="966"/>
      <c r="S17" s="1001" t="s">
        <v>624</v>
      </c>
      <c r="T17" s="1001">
        <f>SUMIF($P$15:$P$42,S17,$E$14:$E$41)</f>
        <v>3</v>
      </c>
      <c r="U17" s="1001">
        <f>SUMIF($Q$15:$Q$42,U16,$E$14:$E$41)</f>
        <v>0</v>
      </c>
      <c r="V17" s="1001">
        <f>SUMIF($Q$15:$Q$42,V16,$E$14:$E$41)</f>
        <v>0</v>
      </c>
      <c r="W17" s="989"/>
    </row>
    <row r="18" spans="1:23" ht="15.75" x14ac:dyDescent="0.2">
      <c r="A18" s="991" t="s">
        <v>8</v>
      </c>
      <c r="B18" s="1006" t="s">
        <v>553</v>
      </c>
      <c r="C18" s="993" t="s">
        <v>15</v>
      </c>
      <c r="D18" s="993" t="s">
        <v>27</v>
      </c>
      <c r="E18" s="993">
        <v>4</v>
      </c>
      <c r="F18" s="994">
        <v>18</v>
      </c>
      <c r="G18" s="995"/>
      <c r="H18" s="981">
        <f t="shared" si="2"/>
        <v>0</v>
      </c>
      <c r="I18" s="981">
        <f t="shared" si="3"/>
        <v>0</v>
      </c>
      <c r="J18" s="997">
        <f t="shared" ref="J18:J29" si="4">G18+H18+I18</f>
        <v>0</v>
      </c>
      <c r="K18" s="995">
        <f t="shared" ref="K18:K29" si="5">E18*F18*G18</f>
        <v>0</v>
      </c>
      <c r="L18" s="981">
        <f t="shared" ref="L18:L31" si="6">E18*F18*H18</f>
        <v>0</v>
      </c>
      <c r="M18" s="981">
        <f t="shared" si="1"/>
        <v>0</v>
      </c>
      <c r="N18" s="998">
        <f t="shared" ref="N18:N29" si="7">E18*F18*J18</f>
        <v>0</v>
      </c>
      <c r="O18" s="985">
        <f t="shared" si="0"/>
        <v>0</v>
      </c>
      <c r="P18" s="999" t="s">
        <v>621</v>
      </c>
      <c r="Q18" s="1000" t="s">
        <v>622</v>
      </c>
    </row>
    <row r="19" spans="1:23" ht="15.75" x14ac:dyDescent="0.2">
      <c r="A19" s="991" t="s">
        <v>9</v>
      </c>
      <c r="B19" s="1006" t="s">
        <v>554</v>
      </c>
      <c r="C19" s="993" t="s">
        <v>15</v>
      </c>
      <c r="D19" s="993" t="s">
        <v>27</v>
      </c>
      <c r="E19" s="993">
        <v>4</v>
      </c>
      <c r="F19" s="994">
        <v>18</v>
      </c>
      <c r="G19" s="995"/>
      <c r="H19" s="981">
        <f t="shared" si="2"/>
        <v>0</v>
      </c>
      <c r="I19" s="981">
        <f t="shared" si="3"/>
        <v>0</v>
      </c>
      <c r="J19" s="997">
        <f t="shared" si="4"/>
        <v>0</v>
      </c>
      <c r="K19" s="995">
        <f t="shared" si="5"/>
        <v>0</v>
      </c>
      <c r="L19" s="981">
        <f t="shared" si="6"/>
        <v>0</v>
      </c>
      <c r="M19" s="981">
        <f t="shared" si="1"/>
        <v>0</v>
      </c>
      <c r="N19" s="998">
        <f t="shared" si="7"/>
        <v>0</v>
      </c>
      <c r="O19" s="985">
        <f t="shared" si="0"/>
        <v>0</v>
      </c>
      <c r="P19" s="999" t="s">
        <v>621</v>
      </c>
      <c r="Q19" s="1000" t="s">
        <v>622</v>
      </c>
    </row>
    <row r="20" spans="1:23" ht="15.75" x14ac:dyDescent="0.2">
      <c r="A20" s="991" t="s">
        <v>11</v>
      </c>
      <c r="B20" s="1006" t="s">
        <v>243</v>
      </c>
      <c r="C20" s="993" t="s">
        <v>15</v>
      </c>
      <c r="D20" s="993" t="s">
        <v>27</v>
      </c>
      <c r="E20" s="993">
        <v>2</v>
      </c>
      <c r="F20" s="994">
        <v>18</v>
      </c>
      <c r="G20" s="995"/>
      <c r="H20" s="981">
        <f t="shared" si="2"/>
        <v>0</v>
      </c>
      <c r="I20" s="981">
        <f t="shared" si="3"/>
        <v>0</v>
      </c>
      <c r="J20" s="997">
        <f>G20+H20+I20</f>
        <v>0</v>
      </c>
      <c r="K20" s="995">
        <f t="shared" si="5"/>
        <v>0</v>
      </c>
      <c r="L20" s="981">
        <f t="shared" si="6"/>
        <v>0</v>
      </c>
      <c r="M20" s="981">
        <f t="shared" si="1"/>
        <v>0</v>
      </c>
      <c r="N20" s="998">
        <f>E20*F20*J20</f>
        <v>0</v>
      </c>
      <c r="O20" s="985">
        <f t="shared" si="0"/>
        <v>0</v>
      </c>
      <c r="P20" s="999" t="s">
        <v>621</v>
      </c>
      <c r="Q20" s="1000" t="s">
        <v>622</v>
      </c>
    </row>
    <row r="21" spans="1:23" ht="15.75" x14ac:dyDescent="0.2">
      <c r="A21" s="991" t="s">
        <v>12</v>
      </c>
      <c r="B21" s="1006" t="s">
        <v>244</v>
      </c>
      <c r="C21" s="993" t="s">
        <v>15</v>
      </c>
      <c r="D21" s="993" t="s">
        <v>27</v>
      </c>
      <c r="E21" s="993">
        <v>2</v>
      </c>
      <c r="F21" s="994">
        <v>18</v>
      </c>
      <c r="G21" s="995"/>
      <c r="H21" s="981">
        <f t="shared" si="2"/>
        <v>0</v>
      </c>
      <c r="I21" s="981">
        <f t="shared" si="3"/>
        <v>0</v>
      </c>
      <c r="J21" s="997">
        <f t="shared" si="4"/>
        <v>0</v>
      </c>
      <c r="K21" s="995">
        <f t="shared" si="5"/>
        <v>0</v>
      </c>
      <c r="L21" s="981">
        <f t="shared" si="6"/>
        <v>0</v>
      </c>
      <c r="M21" s="981">
        <f t="shared" si="1"/>
        <v>0</v>
      </c>
      <c r="N21" s="998">
        <f t="shared" si="7"/>
        <v>0</v>
      </c>
      <c r="O21" s="985">
        <f t="shared" si="0"/>
        <v>0</v>
      </c>
      <c r="P21" s="999" t="s">
        <v>621</v>
      </c>
      <c r="Q21" s="1000" t="s">
        <v>622</v>
      </c>
      <c r="R21" s="966"/>
      <c r="S21" s="966"/>
      <c r="T21" s="966"/>
      <c r="U21" s="966"/>
      <c r="V21" s="966"/>
      <c r="W21" s="989"/>
    </row>
    <row r="22" spans="1:23" ht="15.75" x14ac:dyDescent="0.2">
      <c r="A22" s="991" t="s">
        <v>28</v>
      </c>
      <c r="B22" s="1007" t="s">
        <v>245</v>
      </c>
      <c r="C22" s="993" t="s">
        <v>15</v>
      </c>
      <c r="D22" s="993" t="s">
        <v>27</v>
      </c>
      <c r="E22" s="993">
        <v>2</v>
      </c>
      <c r="F22" s="994">
        <v>18</v>
      </c>
      <c r="G22" s="995"/>
      <c r="H22" s="981">
        <f t="shared" si="2"/>
        <v>0</v>
      </c>
      <c r="I22" s="981">
        <f t="shared" si="3"/>
        <v>0</v>
      </c>
      <c r="J22" s="997">
        <f t="shared" si="4"/>
        <v>0</v>
      </c>
      <c r="K22" s="995">
        <f t="shared" si="5"/>
        <v>0</v>
      </c>
      <c r="L22" s="981">
        <f t="shared" si="6"/>
        <v>0</v>
      </c>
      <c r="M22" s="981">
        <f t="shared" si="1"/>
        <v>0</v>
      </c>
      <c r="N22" s="998">
        <f t="shared" si="7"/>
        <v>0</v>
      </c>
      <c r="O22" s="985">
        <f t="shared" si="0"/>
        <v>0</v>
      </c>
      <c r="P22" s="999" t="s">
        <v>621</v>
      </c>
      <c r="Q22" s="1000" t="s">
        <v>622</v>
      </c>
      <c r="R22" s="966"/>
      <c r="S22" s="966"/>
      <c r="T22" s="966"/>
      <c r="U22" s="966"/>
      <c r="V22" s="966"/>
      <c r="W22" s="989"/>
    </row>
    <row r="23" spans="1:23" ht="15.75" x14ac:dyDescent="0.2">
      <c r="A23" s="991" t="s">
        <v>29</v>
      </c>
      <c r="B23" s="1006" t="s">
        <v>16</v>
      </c>
      <c r="C23" s="993" t="s">
        <v>17</v>
      </c>
      <c r="D23" s="993" t="s">
        <v>27</v>
      </c>
      <c r="E23" s="993">
        <v>6</v>
      </c>
      <c r="F23" s="994">
        <v>18</v>
      </c>
      <c r="G23" s="995"/>
      <c r="H23" s="981">
        <f t="shared" si="2"/>
        <v>0</v>
      </c>
      <c r="I23" s="981">
        <f t="shared" si="3"/>
        <v>0</v>
      </c>
      <c r="J23" s="997">
        <f>G23+H23+I23</f>
        <v>0</v>
      </c>
      <c r="K23" s="995">
        <f>E23*F23*G23</f>
        <v>0</v>
      </c>
      <c r="L23" s="981">
        <f>E23*F23*H23</f>
        <v>0</v>
      </c>
      <c r="M23" s="981">
        <f t="shared" si="1"/>
        <v>0</v>
      </c>
      <c r="N23" s="998">
        <f>E23*F23*J23</f>
        <v>0</v>
      </c>
      <c r="O23" s="985">
        <f t="shared" si="0"/>
        <v>0</v>
      </c>
      <c r="P23" s="999" t="s">
        <v>621</v>
      </c>
      <c r="Q23" s="1000" t="s">
        <v>622</v>
      </c>
      <c r="R23" s="966"/>
      <c r="S23" s="966"/>
      <c r="T23" s="966"/>
      <c r="U23" s="966"/>
      <c r="V23" s="966"/>
      <c r="W23" s="989"/>
    </row>
    <row r="24" spans="1:23" ht="15.75" x14ac:dyDescent="0.2">
      <c r="A24" s="991" t="s">
        <v>30</v>
      </c>
      <c r="B24" s="1006" t="s">
        <v>18</v>
      </c>
      <c r="C24" s="993" t="s">
        <v>19</v>
      </c>
      <c r="D24" s="993" t="s">
        <v>27</v>
      </c>
      <c r="E24" s="993">
        <v>24</v>
      </c>
      <c r="F24" s="994">
        <v>18</v>
      </c>
      <c r="G24" s="995"/>
      <c r="H24" s="981">
        <f t="shared" si="2"/>
        <v>0</v>
      </c>
      <c r="I24" s="981">
        <f t="shared" si="3"/>
        <v>0</v>
      </c>
      <c r="J24" s="997">
        <f>G24+H24+I24</f>
        <v>0</v>
      </c>
      <c r="K24" s="995">
        <f>E24*F24*G24</f>
        <v>0</v>
      </c>
      <c r="L24" s="981">
        <f t="shared" si="6"/>
        <v>0</v>
      </c>
      <c r="M24" s="981">
        <f t="shared" si="1"/>
        <v>0</v>
      </c>
      <c r="N24" s="998">
        <f>E24*F24*J24</f>
        <v>0</v>
      </c>
      <c r="O24" s="985">
        <f t="shared" si="0"/>
        <v>0</v>
      </c>
      <c r="P24" s="999" t="s">
        <v>621</v>
      </c>
      <c r="Q24" s="1000" t="s">
        <v>622</v>
      </c>
      <c r="R24" s="966"/>
      <c r="S24" s="966"/>
      <c r="T24" s="966"/>
      <c r="U24" s="966"/>
      <c r="V24" s="966"/>
      <c r="W24" s="989"/>
    </row>
    <row r="25" spans="1:23" ht="15.75" x14ac:dyDescent="0.2">
      <c r="A25" s="991" t="s">
        <v>31</v>
      </c>
      <c r="B25" s="1006" t="s">
        <v>93</v>
      </c>
      <c r="C25" s="993" t="s">
        <v>15</v>
      </c>
      <c r="D25" s="993" t="s">
        <v>27</v>
      </c>
      <c r="E25" s="993">
        <v>1</v>
      </c>
      <c r="F25" s="994">
        <v>18</v>
      </c>
      <c r="G25" s="995"/>
      <c r="H25" s="981">
        <v>0</v>
      </c>
      <c r="I25" s="981">
        <f t="shared" si="3"/>
        <v>0</v>
      </c>
      <c r="J25" s="997">
        <f>G25+H25+I25</f>
        <v>0</v>
      </c>
      <c r="K25" s="995">
        <f>E25*F25*G25</f>
        <v>0</v>
      </c>
      <c r="L25" s="981">
        <f t="shared" si="6"/>
        <v>0</v>
      </c>
      <c r="M25" s="981">
        <f t="shared" si="1"/>
        <v>0</v>
      </c>
      <c r="N25" s="998">
        <f>E25*F25*J25</f>
        <v>0</v>
      </c>
      <c r="O25" s="985">
        <f t="shared" si="0"/>
        <v>0</v>
      </c>
      <c r="P25" s="999" t="s">
        <v>621</v>
      </c>
      <c r="Q25" s="1000" t="s">
        <v>623</v>
      </c>
      <c r="R25" s="966"/>
      <c r="S25" s="966"/>
      <c r="T25" s="966"/>
      <c r="U25" s="966"/>
      <c r="V25" s="966"/>
      <c r="W25" s="989"/>
    </row>
    <row r="26" spans="1:23" ht="15.75" x14ac:dyDescent="0.2">
      <c r="A26" s="991" t="s">
        <v>32</v>
      </c>
      <c r="B26" s="1006" t="s">
        <v>92</v>
      </c>
      <c r="C26" s="993" t="s">
        <v>19</v>
      </c>
      <c r="D26" s="993" t="s">
        <v>27</v>
      </c>
      <c r="E26" s="993">
        <v>1</v>
      </c>
      <c r="F26" s="994">
        <v>18</v>
      </c>
      <c r="G26" s="995"/>
      <c r="H26" s="981">
        <v>0</v>
      </c>
      <c r="I26" s="981">
        <f t="shared" si="3"/>
        <v>0</v>
      </c>
      <c r="J26" s="997">
        <f>G26+H26+I26</f>
        <v>0</v>
      </c>
      <c r="K26" s="995">
        <f>E26*F26*G26</f>
        <v>0</v>
      </c>
      <c r="L26" s="981">
        <f t="shared" si="6"/>
        <v>0</v>
      </c>
      <c r="M26" s="981">
        <f t="shared" si="1"/>
        <v>0</v>
      </c>
      <c r="N26" s="998">
        <f>E26*F26*J26</f>
        <v>0</v>
      </c>
      <c r="O26" s="985">
        <f t="shared" si="0"/>
        <v>0</v>
      </c>
      <c r="P26" s="999" t="s">
        <v>621</v>
      </c>
      <c r="Q26" s="1000" t="s">
        <v>622</v>
      </c>
      <c r="R26" s="966"/>
      <c r="S26" s="966"/>
      <c r="T26" s="966"/>
      <c r="U26" s="966"/>
      <c r="V26" s="966"/>
      <c r="W26" s="989"/>
    </row>
    <row r="27" spans="1:23" ht="15.75" x14ac:dyDescent="0.2">
      <c r="A27" s="991" t="s">
        <v>33</v>
      </c>
      <c r="B27" s="1006" t="s">
        <v>916</v>
      </c>
      <c r="C27" s="993" t="s">
        <v>17</v>
      </c>
      <c r="D27" s="993" t="s">
        <v>27</v>
      </c>
      <c r="E27" s="993">
        <v>2</v>
      </c>
      <c r="F27" s="994">
        <v>3</v>
      </c>
      <c r="G27" s="995"/>
      <c r="H27" s="981">
        <f>ROUND(G27*$D$160,2)</f>
        <v>0</v>
      </c>
      <c r="I27" s="981">
        <f t="shared" si="3"/>
        <v>0</v>
      </c>
      <c r="J27" s="997">
        <f>G27+H27+I27</f>
        <v>0</v>
      </c>
      <c r="K27" s="995">
        <f>E27*F27*G27</f>
        <v>0</v>
      </c>
      <c r="L27" s="981">
        <f t="shared" si="6"/>
        <v>0</v>
      </c>
      <c r="M27" s="981">
        <f t="shared" si="1"/>
        <v>0</v>
      </c>
      <c r="N27" s="998">
        <f>E27*F27*J27</f>
        <v>0</v>
      </c>
      <c r="O27" s="985">
        <f t="shared" si="0"/>
        <v>0</v>
      </c>
      <c r="P27" s="999" t="s">
        <v>621</v>
      </c>
      <c r="Q27" s="1000" t="s">
        <v>623</v>
      </c>
      <c r="R27" s="966"/>
      <c r="S27" s="966"/>
      <c r="T27" s="966"/>
      <c r="U27" s="966"/>
      <c r="V27" s="966"/>
      <c r="W27" s="989"/>
    </row>
    <row r="28" spans="1:23" ht="15.75" x14ac:dyDescent="0.2">
      <c r="A28" s="991" t="s">
        <v>90</v>
      </c>
      <c r="B28" s="992" t="s">
        <v>917</v>
      </c>
      <c r="C28" s="993" t="s">
        <v>17</v>
      </c>
      <c r="D28" s="993" t="s">
        <v>27</v>
      </c>
      <c r="E28" s="993">
        <v>2</v>
      </c>
      <c r="F28" s="994">
        <v>3</v>
      </c>
      <c r="G28" s="995"/>
      <c r="H28" s="981">
        <f>ROUND(G28*$D$160,2)</f>
        <v>0</v>
      </c>
      <c r="I28" s="981">
        <f t="shared" si="3"/>
        <v>0</v>
      </c>
      <c r="J28" s="997">
        <f t="shared" si="4"/>
        <v>0</v>
      </c>
      <c r="K28" s="995">
        <f t="shared" si="5"/>
        <v>0</v>
      </c>
      <c r="L28" s="981">
        <f t="shared" si="6"/>
        <v>0</v>
      </c>
      <c r="M28" s="981">
        <f t="shared" si="1"/>
        <v>0</v>
      </c>
      <c r="N28" s="998">
        <f t="shared" si="7"/>
        <v>0</v>
      </c>
      <c r="O28" s="985">
        <f t="shared" si="0"/>
        <v>0</v>
      </c>
      <c r="P28" s="999" t="s">
        <v>621</v>
      </c>
      <c r="Q28" s="1000" t="s">
        <v>622</v>
      </c>
      <c r="R28" s="966"/>
      <c r="S28" s="966"/>
      <c r="T28" s="966"/>
      <c r="U28" s="966"/>
      <c r="V28" s="966"/>
      <c r="W28" s="989"/>
    </row>
    <row r="29" spans="1:23" ht="15.75" x14ac:dyDescent="0.2">
      <c r="A29" s="991" t="s">
        <v>91</v>
      </c>
      <c r="B29" s="992" t="s">
        <v>918</v>
      </c>
      <c r="C29" s="993" t="s">
        <v>17</v>
      </c>
      <c r="D29" s="993" t="s">
        <v>27</v>
      </c>
      <c r="E29" s="993">
        <v>2</v>
      </c>
      <c r="F29" s="994">
        <v>3</v>
      </c>
      <c r="G29" s="995"/>
      <c r="H29" s="981">
        <f>ROUND(G29*$D$160,2)</f>
        <v>0</v>
      </c>
      <c r="I29" s="981">
        <f t="shared" si="3"/>
        <v>0</v>
      </c>
      <c r="J29" s="997">
        <f t="shared" si="4"/>
        <v>0</v>
      </c>
      <c r="K29" s="995">
        <f t="shared" si="5"/>
        <v>0</v>
      </c>
      <c r="L29" s="981">
        <f t="shared" si="6"/>
        <v>0</v>
      </c>
      <c r="M29" s="981">
        <f t="shared" si="1"/>
        <v>0</v>
      </c>
      <c r="N29" s="998">
        <f t="shared" si="7"/>
        <v>0</v>
      </c>
      <c r="O29" s="985">
        <f t="shared" si="0"/>
        <v>0</v>
      </c>
      <c r="P29" s="999" t="s">
        <v>621</v>
      </c>
      <c r="Q29" s="1000" t="s">
        <v>622</v>
      </c>
      <c r="R29" s="966"/>
      <c r="S29" s="966"/>
      <c r="T29" s="966"/>
      <c r="U29" s="966"/>
      <c r="V29" s="966"/>
      <c r="W29" s="989"/>
    </row>
    <row r="30" spans="1:23" ht="15.75" x14ac:dyDescent="0.2">
      <c r="A30" s="991" t="s">
        <v>231</v>
      </c>
      <c r="B30" s="1006" t="s">
        <v>919</v>
      </c>
      <c r="C30" s="993" t="s">
        <v>36</v>
      </c>
      <c r="D30" s="993" t="s">
        <v>27</v>
      </c>
      <c r="E30" s="993">
        <v>4</v>
      </c>
      <c r="F30" s="994">
        <v>3</v>
      </c>
      <c r="G30" s="995"/>
      <c r="H30" s="981">
        <f>ROUND(G30*$D$160,2)</f>
        <v>0</v>
      </c>
      <c r="I30" s="981">
        <f t="shared" si="3"/>
        <v>0</v>
      </c>
      <c r="J30" s="997">
        <f t="shared" ref="J30:J38" si="8">G30+H30+I30</f>
        <v>0</v>
      </c>
      <c r="K30" s="995">
        <f t="shared" ref="K30:K38" si="9">E30*F30*G30</f>
        <v>0</v>
      </c>
      <c r="L30" s="981">
        <f t="shared" si="6"/>
        <v>0</v>
      </c>
      <c r="M30" s="981">
        <f t="shared" si="1"/>
        <v>0</v>
      </c>
      <c r="N30" s="998">
        <f t="shared" ref="N30:N35" si="10">E30*F30*J30</f>
        <v>0</v>
      </c>
      <c r="O30" s="985">
        <f t="shared" si="0"/>
        <v>0</v>
      </c>
      <c r="P30" s="999" t="s">
        <v>621</v>
      </c>
      <c r="Q30" s="1000" t="s">
        <v>622</v>
      </c>
      <c r="R30" s="966"/>
      <c r="S30" s="966"/>
      <c r="T30" s="966"/>
      <c r="U30" s="966"/>
      <c r="V30" s="966"/>
      <c r="W30" s="989"/>
    </row>
    <row r="31" spans="1:23" ht="15.75" x14ac:dyDescent="0.2">
      <c r="A31" s="991" t="s">
        <v>232</v>
      </c>
      <c r="B31" s="1006" t="s">
        <v>10</v>
      </c>
      <c r="C31" s="993" t="s">
        <v>20</v>
      </c>
      <c r="D31" s="993" t="s">
        <v>27</v>
      </c>
      <c r="E31" s="993">
        <v>6</v>
      </c>
      <c r="F31" s="994">
        <v>3</v>
      </c>
      <c r="G31" s="995"/>
      <c r="H31" s="981">
        <f>ROUND(G31*$D$160,2)</f>
        <v>0</v>
      </c>
      <c r="I31" s="981">
        <f t="shared" si="3"/>
        <v>0</v>
      </c>
      <c r="J31" s="997">
        <f t="shared" si="8"/>
        <v>0</v>
      </c>
      <c r="K31" s="995">
        <f t="shared" si="9"/>
        <v>0</v>
      </c>
      <c r="L31" s="981">
        <f t="shared" si="6"/>
        <v>0</v>
      </c>
      <c r="M31" s="981">
        <f t="shared" si="1"/>
        <v>0</v>
      </c>
      <c r="N31" s="998">
        <f t="shared" si="10"/>
        <v>0</v>
      </c>
      <c r="O31" s="985">
        <f t="shared" si="0"/>
        <v>0</v>
      </c>
      <c r="P31" s="999" t="s">
        <v>621</v>
      </c>
      <c r="Q31" s="1000" t="s">
        <v>622</v>
      </c>
      <c r="R31" s="966"/>
      <c r="S31" s="966"/>
      <c r="T31" s="966"/>
      <c r="U31" s="966"/>
      <c r="V31" s="966"/>
      <c r="W31" s="989"/>
    </row>
    <row r="32" spans="1:23" ht="15.75" x14ac:dyDescent="0.2">
      <c r="A32" s="991" t="s">
        <v>233</v>
      </c>
      <c r="B32" s="1006" t="s">
        <v>920</v>
      </c>
      <c r="C32" s="993" t="s">
        <v>15</v>
      </c>
      <c r="D32" s="993" t="s">
        <v>27</v>
      </c>
      <c r="E32" s="993">
        <v>1</v>
      </c>
      <c r="F32" s="994">
        <v>4</v>
      </c>
      <c r="G32" s="995"/>
      <c r="H32" s="981">
        <v>0</v>
      </c>
      <c r="I32" s="981">
        <f t="shared" si="3"/>
        <v>0</v>
      </c>
      <c r="J32" s="997">
        <f t="shared" si="8"/>
        <v>0</v>
      </c>
      <c r="K32" s="995">
        <f t="shared" si="9"/>
        <v>0</v>
      </c>
      <c r="L32" s="981">
        <f>E32*F32*H32</f>
        <v>0</v>
      </c>
      <c r="M32" s="981">
        <f t="shared" si="1"/>
        <v>0</v>
      </c>
      <c r="N32" s="998">
        <f t="shared" si="10"/>
        <v>0</v>
      </c>
      <c r="O32" s="985">
        <f t="shared" si="0"/>
        <v>0</v>
      </c>
      <c r="P32" s="999" t="s">
        <v>621</v>
      </c>
      <c r="Q32" s="1000" t="s">
        <v>623</v>
      </c>
      <c r="R32" s="966"/>
      <c r="S32" s="966"/>
      <c r="T32" s="966"/>
      <c r="U32" s="966"/>
      <c r="V32" s="966"/>
      <c r="W32" s="989"/>
    </row>
    <row r="33" spans="1:23" ht="16.5" thickBot="1" x14ac:dyDescent="0.25">
      <c r="A33" s="1008" t="s">
        <v>246</v>
      </c>
      <c r="B33" s="1009" t="s">
        <v>550</v>
      </c>
      <c r="C33" s="1010" t="s">
        <v>19</v>
      </c>
      <c r="D33" s="1010" t="s">
        <v>27</v>
      </c>
      <c r="E33" s="1010">
        <v>2</v>
      </c>
      <c r="F33" s="1011">
        <v>18</v>
      </c>
      <c r="G33" s="1012"/>
      <c r="H33" s="1013">
        <v>0</v>
      </c>
      <c r="I33" s="1013">
        <f t="shared" si="3"/>
        <v>0</v>
      </c>
      <c r="J33" s="1014">
        <f t="shared" si="8"/>
        <v>0</v>
      </c>
      <c r="K33" s="1012">
        <f t="shared" si="9"/>
        <v>0</v>
      </c>
      <c r="L33" s="1013">
        <f>E33*F33*H33</f>
        <v>0</v>
      </c>
      <c r="M33" s="1013">
        <f t="shared" si="1"/>
        <v>0</v>
      </c>
      <c r="N33" s="1015">
        <f t="shared" si="10"/>
        <v>0</v>
      </c>
      <c r="O33" s="985">
        <f t="shared" si="0"/>
        <v>0</v>
      </c>
      <c r="P33" s="999" t="s">
        <v>621</v>
      </c>
      <c r="Q33" s="1000" t="s">
        <v>622</v>
      </c>
      <c r="R33" s="966"/>
      <c r="S33" s="966"/>
      <c r="T33" s="966"/>
      <c r="U33" s="966"/>
      <c r="V33" s="966"/>
      <c r="W33" s="989"/>
    </row>
    <row r="34" spans="1:23" ht="15.75" x14ac:dyDescent="0.2">
      <c r="A34" s="1016" t="s">
        <v>247</v>
      </c>
      <c r="B34" s="1017" t="s">
        <v>613</v>
      </c>
      <c r="C34" s="1018" t="s">
        <v>15</v>
      </c>
      <c r="D34" s="1018" t="s">
        <v>27</v>
      </c>
      <c r="E34" s="1018">
        <v>1</v>
      </c>
      <c r="F34" s="1019">
        <v>18</v>
      </c>
      <c r="G34" s="1020"/>
      <c r="H34" s="1021">
        <v>0</v>
      </c>
      <c r="I34" s="1021">
        <f t="shared" si="3"/>
        <v>0</v>
      </c>
      <c r="J34" s="1022">
        <f t="shared" si="8"/>
        <v>0</v>
      </c>
      <c r="K34" s="1023">
        <f t="shared" si="9"/>
        <v>0</v>
      </c>
      <c r="L34" s="1021">
        <f t="shared" ref="L34:L39" si="11">E34*F34*H34</f>
        <v>0</v>
      </c>
      <c r="M34" s="1021">
        <f t="shared" si="1"/>
        <v>0</v>
      </c>
      <c r="N34" s="1024">
        <f t="shared" si="10"/>
        <v>0</v>
      </c>
      <c r="O34" s="985">
        <f t="shared" si="0"/>
        <v>0</v>
      </c>
      <c r="P34" s="999" t="s">
        <v>621</v>
      </c>
      <c r="Q34" s="1000" t="s">
        <v>623</v>
      </c>
      <c r="R34" s="966"/>
    </row>
    <row r="35" spans="1:23" ht="15.75" x14ac:dyDescent="0.2">
      <c r="A35" s="991" t="s">
        <v>248</v>
      </c>
      <c r="B35" s="1006" t="s">
        <v>614</v>
      </c>
      <c r="C35" s="993" t="s">
        <v>20</v>
      </c>
      <c r="D35" s="993" t="s">
        <v>27</v>
      </c>
      <c r="E35" s="993">
        <v>2</v>
      </c>
      <c r="F35" s="1025">
        <v>18</v>
      </c>
      <c r="G35" s="1026"/>
      <c r="H35" s="981">
        <v>0</v>
      </c>
      <c r="I35" s="981">
        <f t="shared" si="3"/>
        <v>0</v>
      </c>
      <c r="J35" s="997">
        <f t="shared" si="8"/>
        <v>0</v>
      </c>
      <c r="K35" s="995">
        <f t="shared" si="9"/>
        <v>0</v>
      </c>
      <c r="L35" s="981">
        <f t="shared" si="11"/>
        <v>0</v>
      </c>
      <c r="M35" s="981">
        <f t="shared" si="1"/>
        <v>0</v>
      </c>
      <c r="N35" s="998">
        <f t="shared" si="10"/>
        <v>0</v>
      </c>
      <c r="O35" s="985">
        <f t="shared" si="0"/>
        <v>0</v>
      </c>
      <c r="P35" s="999" t="s">
        <v>621</v>
      </c>
      <c r="Q35" s="1000" t="s">
        <v>622</v>
      </c>
      <c r="R35" s="966"/>
    </row>
    <row r="36" spans="1:23" ht="30" x14ac:dyDescent="0.2">
      <c r="A36" s="991" t="s">
        <v>249</v>
      </c>
      <c r="B36" s="1006" t="s">
        <v>523</v>
      </c>
      <c r="C36" s="993" t="s">
        <v>227</v>
      </c>
      <c r="D36" s="993" t="s">
        <v>27</v>
      </c>
      <c r="E36" s="1001">
        <v>2</v>
      </c>
      <c r="F36" s="1000">
        <v>15</v>
      </c>
      <c r="G36" s="1026"/>
      <c r="H36" s="981">
        <v>0</v>
      </c>
      <c r="I36" s="981">
        <f t="shared" si="3"/>
        <v>0</v>
      </c>
      <c r="J36" s="997">
        <f t="shared" si="8"/>
        <v>0</v>
      </c>
      <c r="K36" s="995">
        <f t="shared" si="9"/>
        <v>0</v>
      </c>
      <c r="L36" s="981">
        <f t="shared" si="11"/>
        <v>0</v>
      </c>
      <c r="M36" s="981">
        <f t="shared" si="1"/>
        <v>0</v>
      </c>
      <c r="N36" s="998">
        <f>E36*F36*J36</f>
        <v>0</v>
      </c>
      <c r="O36" s="985">
        <f t="shared" si="0"/>
        <v>0</v>
      </c>
      <c r="P36" s="999" t="s">
        <v>621</v>
      </c>
      <c r="Q36" s="1000" t="s">
        <v>623</v>
      </c>
      <c r="R36" s="966"/>
    </row>
    <row r="37" spans="1:23" ht="15.75" x14ac:dyDescent="0.2">
      <c r="A37" s="1002" t="s">
        <v>250</v>
      </c>
      <c r="B37" s="1027" t="s">
        <v>238</v>
      </c>
      <c r="C37" s="1004" t="s">
        <v>15</v>
      </c>
      <c r="D37" s="1004" t="s">
        <v>27</v>
      </c>
      <c r="E37" s="1004">
        <v>1</v>
      </c>
      <c r="F37" s="1028">
        <v>18</v>
      </c>
      <c r="G37" s="1026"/>
      <c r="H37" s="981">
        <f>ROUND(G37*$D$160,2)</f>
        <v>0</v>
      </c>
      <c r="I37" s="981">
        <f t="shared" si="3"/>
        <v>0</v>
      </c>
      <c r="J37" s="997">
        <f>G37+H37+I37</f>
        <v>0</v>
      </c>
      <c r="K37" s="995">
        <f>E37*F37*G37</f>
        <v>0</v>
      </c>
      <c r="L37" s="981">
        <f>(E37*(F37*50%)*H37)</f>
        <v>0</v>
      </c>
      <c r="M37" s="981">
        <f t="shared" si="1"/>
        <v>0</v>
      </c>
      <c r="N37" s="998">
        <f>K37+L37+M37</f>
        <v>0</v>
      </c>
      <c r="O37" s="985">
        <f>K37+L37+M37</f>
        <v>0</v>
      </c>
      <c r="P37" s="999" t="s">
        <v>621</v>
      </c>
      <c r="Q37" s="1000" t="s">
        <v>622</v>
      </c>
      <c r="R37" s="966"/>
    </row>
    <row r="38" spans="1:23" s="1034" customFormat="1" ht="15.75" x14ac:dyDescent="0.2">
      <c r="A38" s="1002" t="s">
        <v>251</v>
      </c>
      <c r="B38" s="1027" t="s">
        <v>615</v>
      </c>
      <c r="C38" s="1004" t="s">
        <v>15</v>
      </c>
      <c r="D38" s="1004" t="s">
        <v>27</v>
      </c>
      <c r="E38" s="1004">
        <v>1</v>
      </c>
      <c r="F38" s="1028">
        <v>18</v>
      </c>
      <c r="G38" s="1026"/>
      <c r="H38" s="981">
        <f>ROUND(G38*$D$160,2)</f>
        <v>0</v>
      </c>
      <c r="I38" s="981">
        <f t="shared" si="3"/>
        <v>0</v>
      </c>
      <c r="J38" s="997">
        <f t="shared" si="8"/>
        <v>0</v>
      </c>
      <c r="K38" s="995">
        <f t="shared" si="9"/>
        <v>0</v>
      </c>
      <c r="L38" s="981">
        <f>(E38*(F38*50%)*H38)</f>
        <v>0</v>
      </c>
      <c r="M38" s="981">
        <f t="shared" si="1"/>
        <v>0</v>
      </c>
      <c r="N38" s="998">
        <f>K38+L38+M38</f>
        <v>0</v>
      </c>
      <c r="O38" s="985">
        <f>K38+L38+M38</f>
        <v>0</v>
      </c>
      <c r="P38" s="1029" t="s">
        <v>621</v>
      </c>
      <c r="Q38" s="1030" t="s">
        <v>622</v>
      </c>
      <c r="R38" s="1031"/>
      <c r="S38" s="1032"/>
      <c r="T38" s="1032"/>
      <c r="U38" s="1032"/>
      <c r="V38" s="1032"/>
      <c r="W38" s="1033"/>
    </row>
    <row r="39" spans="1:23" s="1034" customFormat="1" ht="15.75" x14ac:dyDescent="0.2">
      <c r="A39" s="991" t="s">
        <v>252</v>
      </c>
      <c r="B39" s="1035" t="s">
        <v>279</v>
      </c>
      <c r="C39" s="993" t="s">
        <v>17</v>
      </c>
      <c r="D39" s="993" t="s">
        <v>27</v>
      </c>
      <c r="E39" s="993">
        <v>1</v>
      </c>
      <c r="F39" s="1025">
        <v>18</v>
      </c>
      <c r="G39" s="1026"/>
      <c r="H39" s="981">
        <v>0</v>
      </c>
      <c r="I39" s="981">
        <f t="shared" si="3"/>
        <v>0</v>
      </c>
      <c r="J39" s="997">
        <f>G39+H39+I39</f>
        <v>0</v>
      </c>
      <c r="K39" s="995">
        <f>E39*F39*G39</f>
        <v>0</v>
      </c>
      <c r="L39" s="981">
        <f t="shared" si="11"/>
        <v>0</v>
      </c>
      <c r="M39" s="981">
        <f t="shared" si="1"/>
        <v>0</v>
      </c>
      <c r="N39" s="998">
        <f>E39*F39*J39</f>
        <v>0</v>
      </c>
      <c r="O39" s="985">
        <f t="shared" ref="O39:O41" si="12">K39+L39+M39</f>
        <v>0</v>
      </c>
      <c r="P39" s="1029" t="s">
        <v>621</v>
      </c>
      <c r="Q39" s="1030" t="s">
        <v>622</v>
      </c>
      <c r="R39" s="1031"/>
      <c r="S39" s="1032"/>
      <c r="T39" s="1032"/>
      <c r="U39" s="1032"/>
      <c r="V39" s="1032"/>
      <c r="W39" s="1033"/>
    </row>
    <row r="40" spans="1:23" ht="15.75" x14ac:dyDescent="0.2">
      <c r="A40" s="991" t="s">
        <v>253</v>
      </c>
      <c r="B40" s="1006" t="s">
        <v>21</v>
      </c>
      <c r="C40" s="993" t="s">
        <v>22</v>
      </c>
      <c r="D40" s="993" t="s">
        <v>27</v>
      </c>
      <c r="E40" s="993">
        <v>2</v>
      </c>
      <c r="F40" s="1000">
        <v>18</v>
      </c>
      <c r="G40" s="1026"/>
      <c r="H40" s="981">
        <v>0</v>
      </c>
      <c r="I40" s="981">
        <f t="shared" si="3"/>
        <v>0</v>
      </c>
      <c r="J40" s="997">
        <f>G40+H40+I40</f>
        <v>0</v>
      </c>
      <c r="K40" s="995">
        <f>E40*F40*G40</f>
        <v>0</v>
      </c>
      <c r="L40" s="981">
        <f>E40*F40*H40</f>
        <v>0</v>
      </c>
      <c r="M40" s="981">
        <f t="shared" si="1"/>
        <v>0</v>
      </c>
      <c r="N40" s="998">
        <f>E40*F40*J40</f>
        <v>0</v>
      </c>
      <c r="O40" s="985">
        <f t="shared" si="12"/>
        <v>0</v>
      </c>
      <c r="P40" s="999" t="s">
        <v>621</v>
      </c>
      <c r="Q40" s="1000" t="s">
        <v>622</v>
      </c>
      <c r="R40" s="966"/>
    </row>
    <row r="41" spans="1:23" ht="16.5" thickBot="1" x14ac:dyDescent="0.25">
      <c r="A41" s="1008" t="s">
        <v>254</v>
      </c>
      <c r="B41" s="1036" t="s">
        <v>23</v>
      </c>
      <c r="C41" s="1010" t="s">
        <v>24</v>
      </c>
      <c r="D41" s="1010" t="s">
        <v>27</v>
      </c>
      <c r="E41" s="1010">
        <v>4</v>
      </c>
      <c r="F41" s="1037">
        <v>18</v>
      </c>
      <c r="G41" s="1026"/>
      <c r="H41" s="981">
        <v>0</v>
      </c>
      <c r="I41" s="981">
        <f t="shared" si="3"/>
        <v>0</v>
      </c>
      <c r="J41" s="997">
        <f>G41+H41+I41</f>
        <v>0</v>
      </c>
      <c r="K41" s="1012">
        <f>E41*F41*G41</f>
        <v>0</v>
      </c>
      <c r="L41" s="1013">
        <f>E41*F41*H41</f>
        <v>0</v>
      </c>
      <c r="M41" s="981">
        <f t="shared" si="1"/>
        <v>0</v>
      </c>
      <c r="N41" s="1015">
        <f>E41*F41*J41</f>
        <v>0</v>
      </c>
      <c r="O41" s="985">
        <f t="shared" si="12"/>
        <v>0</v>
      </c>
      <c r="P41" s="999" t="s">
        <v>621</v>
      </c>
      <c r="Q41" s="1000" t="s">
        <v>623</v>
      </c>
      <c r="R41" s="966"/>
    </row>
    <row r="42" spans="1:23" ht="16.5" thickBot="1" x14ac:dyDescent="0.25">
      <c r="A42" s="1312" t="s">
        <v>500</v>
      </c>
      <c r="B42" s="1313"/>
      <c r="C42" s="1313"/>
      <c r="D42" s="1313"/>
      <c r="E42" s="1313"/>
      <c r="F42" s="1313"/>
      <c r="G42" s="1314"/>
      <c r="H42" s="1314"/>
      <c r="I42" s="1314"/>
      <c r="J42" s="1315"/>
      <c r="K42" s="1039">
        <f>K14+(SUM(K16:K41))</f>
        <v>0</v>
      </c>
      <c r="L42" s="1039">
        <f>L14+(SUM(L16:L41))</f>
        <v>0</v>
      </c>
      <c r="M42" s="1039">
        <f>M14+(SUM(M16:M41))</f>
        <v>0</v>
      </c>
      <c r="N42" s="1039">
        <f>N14+(SUM(N16:N41))</f>
        <v>0</v>
      </c>
      <c r="O42" s="903"/>
      <c r="P42" s="1038" t="s">
        <v>621</v>
      </c>
      <c r="Q42" s="1037" t="s">
        <v>623</v>
      </c>
      <c r="R42" s="966"/>
    </row>
    <row r="43" spans="1:23" ht="16.5" thickBot="1" x14ac:dyDescent="0.25">
      <c r="A43" s="1312" t="s">
        <v>501</v>
      </c>
      <c r="B43" s="1314"/>
      <c r="C43" s="1314"/>
      <c r="D43" s="1314"/>
      <c r="E43" s="1314"/>
      <c r="F43" s="1314"/>
      <c r="G43" s="1314"/>
      <c r="H43" s="1314"/>
      <c r="I43" s="1314"/>
      <c r="J43" s="1315"/>
      <c r="K43" s="1039">
        <f>SUM(K15:K15)</f>
        <v>0</v>
      </c>
      <c r="L43" s="1039">
        <f>SUM(L15:L15)</f>
        <v>0</v>
      </c>
      <c r="M43" s="1039">
        <f>SUM(M15:M15)</f>
        <v>0</v>
      </c>
      <c r="N43" s="1039">
        <f>SUM(N15:N15)</f>
        <v>0</v>
      </c>
      <c r="O43" s="903"/>
      <c r="P43" s="959"/>
      <c r="Q43" s="959"/>
      <c r="R43" s="966"/>
    </row>
    <row r="44" spans="1:23" ht="16.5" thickBot="1" x14ac:dyDescent="0.25">
      <c r="A44" s="1326" t="s">
        <v>256</v>
      </c>
      <c r="B44" s="1316"/>
      <c r="C44" s="1316"/>
      <c r="D44" s="1316"/>
      <c r="E44" s="1316"/>
      <c r="F44" s="1316"/>
      <c r="G44" s="1316"/>
      <c r="H44" s="1316"/>
      <c r="I44" s="1316"/>
      <c r="J44" s="1166"/>
      <c r="K44" s="1040">
        <f>SUM(K42:K43)</f>
        <v>0</v>
      </c>
      <c r="L44" s="1041">
        <f>SUM(L42:L43)</f>
        <v>0</v>
      </c>
      <c r="M44" s="1041">
        <f>SUM(M42:M43)</f>
        <v>0</v>
      </c>
      <c r="N44" s="1041">
        <f>SUM(N42:N43)</f>
        <v>0</v>
      </c>
      <c r="O44" s="903"/>
      <c r="P44" s="959"/>
      <c r="Q44" s="959"/>
      <c r="R44" s="966"/>
    </row>
    <row r="45" spans="1:23" ht="16.5" thickBot="1" x14ac:dyDescent="0.25">
      <c r="A45" s="957"/>
      <c r="B45" s="961"/>
      <c r="C45" s="958"/>
      <c r="D45" s="957"/>
      <c r="E45" s="957"/>
      <c r="F45" s="957"/>
      <c r="G45" s="958"/>
      <c r="H45" s="958"/>
      <c r="I45" s="958"/>
      <c r="J45" s="958"/>
      <c r="K45" s="958"/>
      <c r="L45" s="958"/>
      <c r="M45" s="958"/>
      <c r="N45" s="958"/>
      <c r="O45" s="903"/>
      <c r="P45" s="958"/>
      <c r="Q45" s="958"/>
      <c r="R45" s="958"/>
    </row>
    <row r="46" spans="1:23" ht="16.5" thickBot="1" x14ac:dyDescent="0.25">
      <c r="A46" s="1285" t="s">
        <v>0</v>
      </c>
      <c r="B46" s="1285" t="s">
        <v>1</v>
      </c>
      <c r="C46" s="1282" t="s">
        <v>297</v>
      </c>
      <c r="D46" s="1285" t="s">
        <v>2</v>
      </c>
      <c r="E46" s="1282" t="s">
        <v>3</v>
      </c>
      <c r="F46" s="1285" t="s">
        <v>242</v>
      </c>
      <c r="G46" s="1300" t="s">
        <v>25</v>
      </c>
      <c r="H46" s="1301"/>
      <c r="I46" s="1301"/>
      <c r="J46" s="1302"/>
      <c r="K46" s="1300" t="s">
        <v>766</v>
      </c>
      <c r="L46" s="1301"/>
      <c r="M46" s="1301"/>
      <c r="N46" s="1302"/>
      <c r="O46" s="903"/>
      <c r="P46" s="958"/>
      <c r="Q46" s="958"/>
      <c r="R46" s="958"/>
    </row>
    <row r="47" spans="1:23" ht="15.75" x14ac:dyDescent="0.2">
      <c r="A47" s="1286"/>
      <c r="B47" s="1286"/>
      <c r="C47" s="1283"/>
      <c r="D47" s="1286"/>
      <c r="E47" s="1283"/>
      <c r="F47" s="1286"/>
      <c r="G47" s="1303" t="s">
        <v>296</v>
      </c>
      <c r="H47" s="1285" t="s">
        <v>762</v>
      </c>
      <c r="I47" s="1285" t="s">
        <v>26</v>
      </c>
      <c r="J47" s="1285" t="s">
        <v>293</v>
      </c>
      <c r="K47" s="1303" t="s">
        <v>296</v>
      </c>
      <c r="L47" s="1285" t="s">
        <v>762</v>
      </c>
      <c r="M47" s="1285" t="s">
        <v>26</v>
      </c>
      <c r="N47" s="1285" t="s">
        <v>293</v>
      </c>
      <c r="O47" s="903"/>
      <c r="P47" s="1322" t="s">
        <v>619</v>
      </c>
      <c r="Q47" s="1319" t="s">
        <v>620</v>
      </c>
      <c r="R47" s="972"/>
    </row>
    <row r="48" spans="1:23" ht="16.5" thickBot="1" x14ac:dyDescent="0.25">
      <c r="A48" s="1287"/>
      <c r="B48" s="1287"/>
      <c r="C48" s="1284"/>
      <c r="D48" s="1287"/>
      <c r="E48" s="1284"/>
      <c r="F48" s="1287"/>
      <c r="G48" s="1304"/>
      <c r="H48" s="1287"/>
      <c r="I48" s="1287"/>
      <c r="J48" s="1287"/>
      <c r="K48" s="1304"/>
      <c r="L48" s="1287"/>
      <c r="M48" s="1287"/>
      <c r="N48" s="1287"/>
      <c r="O48" s="903"/>
      <c r="P48" s="1323"/>
      <c r="Q48" s="1320"/>
      <c r="R48" s="972"/>
    </row>
    <row r="49" spans="1:22" ht="16.5" thickBot="1" x14ac:dyDescent="0.25">
      <c r="A49" s="1042">
        <v>2</v>
      </c>
      <c r="B49" s="1350" t="s">
        <v>44</v>
      </c>
      <c r="C49" s="1351"/>
      <c r="D49" s="1351"/>
      <c r="E49" s="1351"/>
      <c r="F49" s="1351"/>
      <c r="G49" s="1351"/>
      <c r="H49" s="1351"/>
      <c r="I49" s="1351"/>
      <c r="J49" s="1351"/>
      <c r="K49" s="1351"/>
      <c r="L49" s="1351"/>
      <c r="M49" s="1351"/>
      <c r="N49" s="1379"/>
      <c r="O49" s="903"/>
      <c r="P49" s="1324"/>
      <c r="Q49" s="1321"/>
      <c r="R49" s="972"/>
    </row>
    <row r="50" spans="1:22" ht="30.75" thickBot="1" x14ac:dyDescent="0.25">
      <c r="A50" s="1043" t="s">
        <v>81</v>
      </c>
      <c r="B50" s="1044" t="s">
        <v>525</v>
      </c>
      <c r="C50" s="1018" t="s">
        <v>14</v>
      </c>
      <c r="D50" s="1018" t="s">
        <v>27</v>
      </c>
      <c r="E50" s="1018">
        <v>1</v>
      </c>
      <c r="F50" s="1019">
        <v>1</v>
      </c>
      <c r="G50" s="1045"/>
      <c r="H50" s="1021">
        <v>0</v>
      </c>
      <c r="I50" s="1046">
        <f>ROUND((G50+H50)*$H$160,2)</f>
        <v>0</v>
      </c>
      <c r="J50" s="1047">
        <f>G50+H50+I50</f>
        <v>0</v>
      </c>
      <c r="K50" s="1023">
        <f>E50*F50*G50</f>
        <v>0</v>
      </c>
      <c r="L50" s="1021">
        <f t="shared" ref="L50:L55" si="13">E50*F50*H50</f>
        <v>0</v>
      </c>
      <c r="M50" s="1046">
        <f>(K50+L50)*$H$160</f>
        <v>0</v>
      </c>
      <c r="N50" s="1024">
        <f>E50*F50*J50</f>
        <v>0</v>
      </c>
      <c r="O50" s="1048"/>
      <c r="P50" s="958"/>
      <c r="Q50" s="958"/>
      <c r="R50" s="958"/>
    </row>
    <row r="51" spans="1:22" ht="15.75" x14ac:dyDescent="0.2">
      <c r="A51" s="1049" t="s">
        <v>82</v>
      </c>
      <c r="B51" s="1050" t="s">
        <v>524</v>
      </c>
      <c r="C51" s="993" t="s">
        <v>227</v>
      </c>
      <c r="D51" s="993" t="s">
        <v>27</v>
      </c>
      <c r="E51" s="993">
        <v>2</v>
      </c>
      <c r="F51" s="1025">
        <v>15</v>
      </c>
      <c r="G51" s="1045"/>
      <c r="H51" s="1021">
        <v>0</v>
      </c>
      <c r="I51" s="1046">
        <f>ROUND((G51+H51)*$H$160,2)</f>
        <v>0</v>
      </c>
      <c r="J51" s="1047">
        <f>G51+H51+I51</f>
        <v>0</v>
      </c>
      <c r="K51" s="995">
        <f>E51*F51*G51</f>
        <v>0</v>
      </c>
      <c r="L51" s="981">
        <f t="shared" si="13"/>
        <v>0</v>
      </c>
      <c r="M51" s="1046">
        <f>(K51+L51)*$H$160</f>
        <v>0</v>
      </c>
      <c r="N51" s="998">
        <f>E51*F51*J51</f>
        <v>0</v>
      </c>
      <c r="O51" s="1048"/>
      <c r="P51" s="986" t="s">
        <v>624</v>
      </c>
      <c r="Q51" s="987" t="s">
        <v>622</v>
      </c>
      <c r="R51" s="958"/>
      <c r="S51" s="988" t="s">
        <v>628</v>
      </c>
      <c r="T51" s="988" t="s">
        <v>625</v>
      </c>
      <c r="U51" s="988" t="s">
        <v>626</v>
      </c>
      <c r="V51" s="988" t="s">
        <v>627</v>
      </c>
    </row>
    <row r="52" spans="1:22" ht="31.5" x14ac:dyDescent="0.25">
      <c r="A52" s="1051" t="s">
        <v>286</v>
      </c>
      <c r="B52" s="1052" t="s">
        <v>936</v>
      </c>
      <c r="C52" s="1053" t="s">
        <v>15</v>
      </c>
      <c r="D52" s="1053" t="s">
        <v>235</v>
      </c>
      <c r="E52" s="1053">
        <f>6*52</f>
        <v>312</v>
      </c>
      <c r="F52" s="1054">
        <v>7</v>
      </c>
      <c r="G52" s="1055"/>
      <c r="H52" s="1056">
        <v>0</v>
      </c>
      <c r="I52" s="1057">
        <f>(G52+H52)*$F$160</f>
        <v>0</v>
      </c>
      <c r="J52" s="1058">
        <f t="shared" ref="J52:J55" si="14">G52+H52+I52</f>
        <v>0</v>
      </c>
      <c r="K52" s="1059">
        <f t="shared" ref="K52:K55" si="15">E52*F52*G52</f>
        <v>0</v>
      </c>
      <c r="L52" s="1060">
        <f t="shared" si="13"/>
        <v>0</v>
      </c>
      <c r="M52" s="1057">
        <f>(K52+L52)*$F$160</f>
        <v>0</v>
      </c>
      <c r="N52" s="1061">
        <f t="shared" ref="N52:N55" si="16">E52*F52*J52</f>
        <v>0</v>
      </c>
      <c r="O52" s="1048"/>
      <c r="P52" s="999" t="s">
        <v>624</v>
      </c>
      <c r="Q52" s="1000" t="s">
        <v>622</v>
      </c>
      <c r="R52" s="958"/>
      <c r="S52" s="1001" t="s">
        <v>621</v>
      </c>
      <c r="T52" s="1001">
        <f>SUMIF($P$51:$P$56,S52,$E$50:$E$55)</f>
        <v>0</v>
      </c>
      <c r="U52" s="1001">
        <f>SUMIFS($E$50:$E$55,$Q$51:$Q$56,U51,P51:P56,S52)</f>
        <v>0</v>
      </c>
      <c r="V52" s="1001">
        <f>SUMIFS($E$50:$E$55,$Q$51:$Q$56,V51,P51:P56,S52)</f>
        <v>0</v>
      </c>
    </row>
    <row r="53" spans="1:22" ht="31.5" x14ac:dyDescent="0.25">
      <c r="A53" s="1051" t="s">
        <v>287</v>
      </c>
      <c r="B53" s="1052" t="s">
        <v>937</v>
      </c>
      <c r="C53" s="1053" t="s">
        <v>15</v>
      </c>
      <c r="D53" s="1053" t="s">
        <v>235</v>
      </c>
      <c r="E53" s="1053">
        <f>6*74</f>
        <v>444</v>
      </c>
      <c r="F53" s="1054">
        <v>10</v>
      </c>
      <c r="G53" s="1055"/>
      <c r="H53" s="1056">
        <v>0</v>
      </c>
      <c r="I53" s="1057">
        <f>(G53+H53)*$F$160</f>
        <v>0</v>
      </c>
      <c r="J53" s="1058">
        <f t="shared" si="14"/>
        <v>0</v>
      </c>
      <c r="K53" s="1059">
        <f t="shared" si="15"/>
        <v>0</v>
      </c>
      <c r="L53" s="1060">
        <f t="shared" si="13"/>
        <v>0</v>
      </c>
      <c r="M53" s="1057">
        <f>(K53+L53)*$F$160</f>
        <v>0</v>
      </c>
      <c r="N53" s="1061">
        <f t="shared" si="16"/>
        <v>0</v>
      </c>
      <c r="O53" s="1048"/>
      <c r="P53" s="999" t="s">
        <v>629</v>
      </c>
      <c r="Q53" s="1000" t="s">
        <v>629</v>
      </c>
      <c r="R53" s="958"/>
      <c r="S53" s="1001" t="s">
        <v>624</v>
      </c>
      <c r="T53" s="1001">
        <f>SUMIF($P$51:$P$56,S53,$E$50:$E$55)</f>
        <v>4</v>
      </c>
      <c r="U53" s="1001">
        <f>SUMIFS($E$50:$E$55,$Q$51:$Q$56,U51,P51:P56,S53)</f>
        <v>4</v>
      </c>
      <c r="V53" s="1001">
        <f>SUMIFS($E$50:$E$55,$Q$51:$Q$56,V51,P51:P56,S53)</f>
        <v>0</v>
      </c>
    </row>
    <row r="54" spans="1:22" ht="15.75" x14ac:dyDescent="0.2">
      <c r="A54" s="1049" t="s">
        <v>288</v>
      </c>
      <c r="B54" s="1062" t="s">
        <v>526</v>
      </c>
      <c r="C54" s="993" t="s">
        <v>14</v>
      </c>
      <c r="D54" s="993" t="s">
        <v>27</v>
      </c>
      <c r="E54" s="993">
        <v>1</v>
      </c>
      <c r="F54" s="1063">
        <v>7</v>
      </c>
      <c r="G54" s="1045"/>
      <c r="H54" s="1021">
        <v>0</v>
      </c>
      <c r="I54" s="1046">
        <f>ROUND((G54+H54)*$H$160,2)</f>
        <v>0</v>
      </c>
      <c r="J54" s="1047">
        <f>G54+H54+I54</f>
        <v>0</v>
      </c>
      <c r="K54" s="995">
        <f>E54*F54*G54</f>
        <v>0</v>
      </c>
      <c r="L54" s="981">
        <f t="shared" si="13"/>
        <v>0</v>
      </c>
      <c r="M54" s="1046">
        <f>(K54+L54)*$H$160</f>
        <v>0</v>
      </c>
      <c r="N54" s="998">
        <f>E54*F54*J54</f>
        <v>0</v>
      </c>
      <c r="O54" s="1048"/>
      <c r="P54" s="999" t="s">
        <v>629</v>
      </c>
      <c r="Q54" s="1000" t="s">
        <v>629</v>
      </c>
      <c r="R54" s="958"/>
    </row>
    <row r="55" spans="1:22" ht="32.25" thickBot="1" x14ac:dyDescent="0.3">
      <c r="A55" s="1064" t="s">
        <v>289</v>
      </c>
      <c r="B55" s="1065" t="s">
        <v>938</v>
      </c>
      <c r="C55" s="1066" t="s">
        <v>15</v>
      </c>
      <c r="D55" s="1066" t="s">
        <v>235</v>
      </c>
      <c r="E55" s="1066">
        <f>3*74</f>
        <v>222</v>
      </c>
      <c r="F55" s="1067">
        <v>7</v>
      </c>
      <c r="G55" s="1055"/>
      <c r="H55" s="1056">
        <v>0</v>
      </c>
      <c r="I55" s="1057">
        <f>(G55+H55)*$F$160</f>
        <v>0</v>
      </c>
      <c r="J55" s="1058">
        <f t="shared" si="14"/>
        <v>0</v>
      </c>
      <c r="K55" s="1068">
        <f t="shared" si="15"/>
        <v>0</v>
      </c>
      <c r="L55" s="1069">
        <f t="shared" si="13"/>
        <v>0</v>
      </c>
      <c r="M55" s="1057">
        <f>(K55+L55)*$F$160</f>
        <v>0</v>
      </c>
      <c r="N55" s="1070">
        <f t="shared" si="16"/>
        <v>0</v>
      </c>
      <c r="O55" s="1048"/>
      <c r="P55" s="999" t="s">
        <v>624</v>
      </c>
      <c r="Q55" s="1000" t="s">
        <v>622</v>
      </c>
      <c r="R55" s="958"/>
    </row>
    <row r="56" spans="1:22" ht="16.5" thickBot="1" x14ac:dyDescent="0.25">
      <c r="A56" s="1325" t="s">
        <v>682</v>
      </c>
      <c r="B56" s="1314"/>
      <c r="C56" s="1314"/>
      <c r="D56" s="1314"/>
      <c r="E56" s="1314"/>
      <c r="F56" s="1314"/>
      <c r="G56" s="1314"/>
      <c r="H56" s="1314"/>
      <c r="I56" s="1314"/>
      <c r="J56" s="1315"/>
      <c r="K56" s="1039">
        <f>K50+K51+K54</f>
        <v>0</v>
      </c>
      <c r="L56" s="1071">
        <f>L50+L51+L54</f>
        <v>0</v>
      </c>
      <c r="M56" s="1039">
        <f>M50+M51+M54</f>
        <v>0</v>
      </c>
      <c r="N56" s="1039">
        <f>N50+N51+N54</f>
        <v>0</v>
      </c>
      <c r="O56" s="903"/>
      <c r="P56" s="1038" t="s">
        <v>629</v>
      </c>
      <c r="Q56" s="1037" t="s">
        <v>629</v>
      </c>
      <c r="R56" s="958"/>
    </row>
    <row r="57" spans="1:22" ht="16.5" thickBot="1" x14ac:dyDescent="0.25">
      <c r="A57" s="1325" t="s">
        <v>683</v>
      </c>
      <c r="B57" s="1314"/>
      <c r="C57" s="1314"/>
      <c r="D57" s="1314"/>
      <c r="E57" s="1314"/>
      <c r="F57" s="1314"/>
      <c r="G57" s="1314"/>
      <c r="H57" s="1314"/>
      <c r="I57" s="1314"/>
      <c r="J57" s="1315"/>
      <c r="K57" s="1072">
        <f>K52+K53+K55</f>
        <v>0</v>
      </c>
      <c r="L57" s="1073">
        <f>L52+L53+L55</f>
        <v>0</v>
      </c>
      <c r="M57" s="1072">
        <f>M52+M53+M55</f>
        <v>0</v>
      </c>
      <c r="N57" s="1072">
        <f>N52+N53+N55</f>
        <v>0</v>
      </c>
      <c r="O57" s="903"/>
      <c r="P57" s="958"/>
      <c r="Q57" s="958"/>
      <c r="R57" s="958"/>
    </row>
    <row r="58" spans="1:22" ht="16.5" thickBot="1" x14ac:dyDescent="0.25">
      <c r="A58" s="1312" t="s">
        <v>501</v>
      </c>
      <c r="B58" s="1314"/>
      <c r="C58" s="1314"/>
      <c r="D58" s="1314"/>
      <c r="E58" s="1314"/>
      <c r="F58" s="1314"/>
      <c r="G58" s="1314"/>
      <c r="H58" s="1314"/>
      <c r="I58" s="1314"/>
      <c r="J58" s="1315"/>
      <c r="K58" s="1074">
        <v>0</v>
      </c>
      <c r="L58" s="1074">
        <v>0</v>
      </c>
      <c r="M58" s="1074">
        <v>0</v>
      </c>
      <c r="N58" s="1074">
        <v>0</v>
      </c>
      <c r="O58" s="903"/>
      <c r="P58" s="958"/>
      <c r="Q58" s="958"/>
      <c r="R58" s="958"/>
    </row>
    <row r="59" spans="1:22" ht="16.5" thickBot="1" x14ac:dyDescent="0.25">
      <c r="A59" s="1165" t="s">
        <v>285</v>
      </c>
      <c r="B59" s="1317"/>
      <c r="C59" s="1317"/>
      <c r="D59" s="1317"/>
      <c r="E59" s="1317"/>
      <c r="F59" s="1317"/>
      <c r="G59" s="1316"/>
      <c r="H59" s="1316"/>
      <c r="I59" s="1316"/>
      <c r="J59" s="1166"/>
      <c r="K59" s="1075">
        <f>SUM(K56:K58)</f>
        <v>0</v>
      </c>
      <c r="L59" s="1076">
        <f>SUM(L56:L58)</f>
        <v>0</v>
      </c>
      <c r="M59" s="1075">
        <f>SUM(M56:M58)</f>
        <v>0</v>
      </c>
      <c r="N59" s="1075">
        <f>SUM(N56:N58)</f>
        <v>0</v>
      </c>
      <c r="O59" s="903"/>
      <c r="P59" s="958"/>
      <c r="Q59" s="958"/>
      <c r="R59" s="958"/>
    </row>
    <row r="60" spans="1:22" ht="15.75" x14ac:dyDescent="0.2">
      <c r="A60" s="957"/>
      <c r="B60" s="961"/>
      <c r="C60" s="958"/>
      <c r="D60" s="957"/>
      <c r="E60" s="957"/>
      <c r="F60" s="957"/>
      <c r="G60" s="958"/>
      <c r="H60" s="958"/>
      <c r="I60" s="958"/>
      <c r="J60" s="958"/>
      <c r="K60" s="958"/>
      <c r="L60" s="958"/>
      <c r="M60" s="958"/>
      <c r="N60" s="958"/>
      <c r="O60" s="903"/>
      <c r="P60" s="958"/>
      <c r="Q60" s="958"/>
      <c r="R60" s="958"/>
    </row>
    <row r="61" spans="1:22" ht="15.75" x14ac:dyDescent="0.2">
      <c r="A61" s="957"/>
      <c r="B61" s="961"/>
      <c r="C61" s="958"/>
      <c r="D61" s="957"/>
      <c r="E61" s="957"/>
      <c r="F61" s="957"/>
      <c r="G61" s="958"/>
      <c r="H61" s="958"/>
      <c r="I61" s="958"/>
      <c r="J61" s="958"/>
      <c r="K61" s="958"/>
      <c r="L61" s="958"/>
      <c r="M61" s="958"/>
      <c r="N61" s="958"/>
      <c r="O61" s="903"/>
      <c r="P61" s="958"/>
      <c r="Q61" s="958"/>
      <c r="R61" s="958"/>
    </row>
    <row r="62" spans="1:22" ht="16.5" thickBot="1" x14ac:dyDescent="0.25">
      <c r="A62" s="957"/>
      <c r="B62" s="961"/>
      <c r="C62" s="958"/>
      <c r="D62" s="957"/>
      <c r="E62" s="957"/>
      <c r="F62" s="957"/>
      <c r="G62" s="958"/>
      <c r="H62" s="958"/>
      <c r="I62" s="958"/>
      <c r="J62" s="958"/>
      <c r="K62" s="958"/>
      <c r="L62" s="958"/>
      <c r="M62" s="958"/>
      <c r="N62" s="958"/>
      <c r="O62" s="903"/>
      <c r="P62" s="958"/>
      <c r="Q62" s="958"/>
      <c r="R62" s="958"/>
    </row>
    <row r="63" spans="1:22" ht="16.5" thickBot="1" x14ac:dyDescent="0.25">
      <c r="A63" s="1285" t="s">
        <v>0</v>
      </c>
      <c r="B63" s="1285" t="s">
        <v>1</v>
      </c>
      <c r="C63" s="1282" t="s">
        <v>297</v>
      </c>
      <c r="D63" s="1285" t="s">
        <v>2</v>
      </c>
      <c r="E63" s="1282" t="s">
        <v>3</v>
      </c>
      <c r="F63" s="1285" t="s">
        <v>242</v>
      </c>
      <c r="G63" s="1300" t="s">
        <v>25</v>
      </c>
      <c r="H63" s="1301"/>
      <c r="I63" s="1301"/>
      <c r="J63" s="1302"/>
      <c r="K63" s="1300" t="s">
        <v>766</v>
      </c>
      <c r="L63" s="1301"/>
      <c r="M63" s="1301"/>
      <c r="N63" s="1302"/>
      <c r="O63" s="903"/>
      <c r="P63" s="958"/>
      <c r="Q63" s="958"/>
      <c r="R63" s="958"/>
    </row>
    <row r="64" spans="1:22" ht="15.75" x14ac:dyDescent="0.2">
      <c r="A64" s="1286"/>
      <c r="B64" s="1286"/>
      <c r="C64" s="1283"/>
      <c r="D64" s="1286"/>
      <c r="E64" s="1283"/>
      <c r="F64" s="1286"/>
      <c r="G64" s="1303" t="s">
        <v>296</v>
      </c>
      <c r="H64" s="1285" t="s">
        <v>762</v>
      </c>
      <c r="I64" s="1285" t="s">
        <v>26</v>
      </c>
      <c r="J64" s="1285" t="s">
        <v>293</v>
      </c>
      <c r="K64" s="1303" t="s">
        <v>296</v>
      </c>
      <c r="L64" s="1285" t="s">
        <v>762</v>
      </c>
      <c r="M64" s="1285" t="s">
        <v>26</v>
      </c>
      <c r="N64" s="1285" t="s">
        <v>293</v>
      </c>
      <c r="O64" s="903"/>
      <c r="P64" s="1322" t="s">
        <v>619</v>
      </c>
      <c r="Q64" s="1319" t="s">
        <v>620</v>
      </c>
      <c r="R64" s="972"/>
    </row>
    <row r="65" spans="1:22" ht="16.5" thickBot="1" x14ac:dyDescent="0.25">
      <c r="A65" s="1287"/>
      <c r="B65" s="1287"/>
      <c r="C65" s="1284"/>
      <c r="D65" s="1287"/>
      <c r="E65" s="1284"/>
      <c r="F65" s="1287"/>
      <c r="G65" s="1304"/>
      <c r="H65" s="1287"/>
      <c r="I65" s="1287"/>
      <c r="J65" s="1287"/>
      <c r="K65" s="1304"/>
      <c r="L65" s="1287"/>
      <c r="M65" s="1287"/>
      <c r="N65" s="1287"/>
      <c r="O65" s="903"/>
      <c r="P65" s="1323"/>
      <c r="Q65" s="1320"/>
      <c r="R65" s="972"/>
    </row>
    <row r="66" spans="1:22" ht="16.5" thickBot="1" x14ac:dyDescent="0.25">
      <c r="A66" s="1077" t="s">
        <v>101</v>
      </c>
      <c r="B66" s="1350" t="s">
        <v>225</v>
      </c>
      <c r="C66" s="1351"/>
      <c r="D66" s="1351"/>
      <c r="E66" s="1351"/>
      <c r="F66" s="1351"/>
      <c r="G66" s="1351"/>
      <c r="H66" s="1351"/>
      <c r="I66" s="1351"/>
      <c r="J66" s="1351"/>
      <c r="K66" s="1310"/>
      <c r="L66" s="1310"/>
      <c r="M66" s="1310"/>
      <c r="N66" s="1310"/>
      <c r="O66" s="903"/>
      <c r="P66" s="1324"/>
      <c r="Q66" s="1321"/>
      <c r="R66" s="972"/>
    </row>
    <row r="67" spans="1:22" ht="15.75" x14ac:dyDescent="0.2">
      <c r="A67" s="975" t="s">
        <v>83</v>
      </c>
      <c r="B67" s="1078" t="s">
        <v>234</v>
      </c>
      <c r="C67" s="1018" t="s">
        <v>17</v>
      </c>
      <c r="D67" s="1018" t="s">
        <v>27</v>
      </c>
      <c r="E67" s="1079">
        <v>1</v>
      </c>
      <c r="F67" s="1080">
        <v>3</v>
      </c>
      <c r="G67" s="1045"/>
      <c r="H67" s="1021">
        <v>0</v>
      </c>
      <c r="I67" s="1046">
        <f>ROUND((G67+H67)*$H$160,2)</f>
        <v>0</v>
      </c>
      <c r="J67" s="1047">
        <f>G67+H67+I67</f>
        <v>0</v>
      </c>
      <c r="K67" s="980">
        <f>E67*F67*G67</f>
        <v>0</v>
      </c>
      <c r="L67" s="982">
        <f>E67*F67*H67</f>
        <v>0</v>
      </c>
      <c r="M67" s="982">
        <f>E67*F67*I67</f>
        <v>0</v>
      </c>
      <c r="N67" s="984">
        <f>E67*F67*J67</f>
        <v>0</v>
      </c>
      <c r="O67" s="903"/>
      <c r="P67" s="958"/>
      <c r="Q67" s="958"/>
      <c r="R67" s="958"/>
      <c r="S67" s="988" t="s">
        <v>628</v>
      </c>
      <c r="T67" s="988" t="s">
        <v>625</v>
      </c>
      <c r="U67" s="988" t="s">
        <v>626</v>
      </c>
      <c r="V67" s="988" t="s">
        <v>627</v>
      </c>
    </row>
    <row r="68" spans="1:22" ht="15.75" x14ac:dyDescent="0.2">
      <c r="A68" s="991" t="s">
        <v>84</v>
      </c>
      <c r="B68" s="992" t="s">
        <v>228</v>
      </c>
      <c r="C68" s="993" t="s">
        <v>227</v>
      </c>
      <c r="D68" s="993" t="s">
        <v>27</v>
      </c>
      <c r="E68" s="994">
        <v>2</v>
      </c>
      <c r="F68" s="1081">
        <v>3</v>
      </c>
      <c r="G68" s="1045"/>
      <c r="H68" s="1021">
        <v>0</v>
      </c>
      <c r="I68" s="1046">
        <f>ROUND((G68+H68)*$H$160,2)</f>
        <v>0</v>
      </c>
      <c r="J68" s="1047">
        <f>G68+H68+I68</f>
        <v>0</v>
      </c>
      <c r="K68" s="995">
        <f>E68*F68*G68</f>
        <v>0</v>
      </c>
      <c r="L68" s="981">
        <f>E68*F68*H68</f>
        <v>0</v>
      </c>
      <c r="M68" s="981">
        <f>E68*F68*I68</f>
        <v>0</v>
      </c>
      <c r="N68" s="998">
        <f>E68*F68*J68</f>
        <v>0</v>
      </c>
      <c r="O68" s="903"/>
      <c r="P68" s="1001" t="s">
        <v>624</v>
      </c>
      <c r="Q68" s="1001" t="s">
        <v>622</v>
      </c>
      <c r="R68" s="958"/>
      <c r="S68" s="1001" t="s">
        <v>621</v>
      </c>
      <c r="T68" s="1001">
        <f>SUMIF($P$68:$P$71,S68,$E$67:$E$70)</f>
        <v>0</v>
      </c>
      <c r="U68" s="1001">
        <f>SUMIFS($E$67:$E$70,$Q$68:$Q$71,U67,P68:P71,S68)</f>
        <v>0</v>
      </c>
      <c r="V68" s="1001">
        <f>SUMIF($Q$51:$Q$56,V67,$E$50:$E$55)</f>
        <v>0</v>
      </c>
    </row>
    <row r="69" spans="1:22" ht="15.75" x14ac:dyDescent="0.2">
      <c r="A69" s="991" t="s">
        <v>257</v>
      </c>
      <c r="B69" s="992" t="s">
        <v>226</v>
      </c>
      <c r="C69" s="993" t="s">
        <v>227</v>
      </c>
      <c r="D69" s="993" t="s">
        <v>27</v>
      </c>
      <c r="E69" s="994">
        <v>2</v>
      </c>
      <c r="F69" s="1081">
        <v>3</v>
      </c>
      <c r="G69" s="1045"/>
      <c r="H69" s="1021">
        <v>0</v>
      </c>
      <c r="I69" s="1046">
        <f>ROUND((G69+H69)*$H$160,2)</f>
        <v>0</v>
      </c>
      <c r="J69" s="1047">
        <f>G69+H69+I69</f>
        <v>0</v>
      </c>
      <c r="K69" s="995">
        <f>E69*F69*G69</f>
        <v>0</v>
      </c>
      <c r="L69" s="981">
        <f>E69*F69*H69</f>
        <v>0</v>
      </c>
      <c r="M69" s="981">
        <f>E69*F69*I69</f>
        <v>0</v>
      </c>
      <c r="N69" s="998">
        <f>E69*F69*J69</f>
        <v>0</v>
      </c>
      <c r="O69" s="903"/>
      <c r="P69" s="1001" t="s">
        <v>624</v>
      </c>
      <c r="Q69" s="1001" t="s">
        <v>622</v>
      </c>
      <c r="R69" s="958"/>
      <c r="S69" s="1001" t="s">
        <v>624</v>
      </c>
      <c r="T69" s="1001">
        <f>SUMIF($P$68:$P$71,S69,$E$67:$E$70)</f>
        <v>6</v>
      </c>
      <c r="U69" s="1001">
        <f>SUMIFS($E$67:$E$70,$Q$68:$Q$71,U67,$P$68:$P$71,S69)</f>
        <v>6</v>
      </c>
      <c r="V69" s="1001">
        <f>SUMIFS($E$67:$E$70,$Q$68:$Q$71,V67,$P$68:$P$71,T69)</f>
        <v>0</v>
      </c>
    </row>
    <row r="70" spans="1:22" ht="16.5" thickBot="1" x14ac:dyDescent="0.25">
      <c r="A70" s="1008" t="s">
        <v>258</v>
      </c>
      <c r="B70" s="1009" t="s">
        <v>229</v>
      </c>
      <c r="C70" s="1010" t="s">
        <v>36</v>
      </c>
      <c r="D70" s="1010" t="s">
        <v>27</v>
      </c>
      <c r="E70" s="1011">
        <v>1</v>
      </c>
      <c r="F70" s="1082">
        <v>3</v>
      </c>
      <c r="G70" s="1045"/>
      <c r="H70" s="1021">
        <v>0</v>
      </c>
      <c r="I70" s="1046">
        <f>ROUND((G70+H70)*$H$160,2)</f>
        <v>0</v>
      </c>
      <c r="J70" s="1047">
        <f>G70+H70+I70</f>
        <v>0</v>
      </c>
      <c r="K70" s="1012">
        <f>E70*F70*G70</f>
        <v>0</v>
      </c>
      <c r="L70" s="1013">
        <f>E70*F70*H70</f>
        <v>0</v>
      </c>
      <c r="M70" s="1013">
        <f>E70*F70*I70</f>
        <v>0</v>
      </c>
      <c r="N70" s="1015">
        <f>E70*F70*J70</f>
        <v>0</v>
      </c>
      <c r="O70" s="903"/>
      <c r="P70" s="1001" t="s">
        <v>624</v>
      </c>
      <c r="Q70" s="1001" t="s">
        <v>622</v>
      </c>
      <c r="R70" s="958"/>
    </row>
    <row r="71" spans="1:22" ht="16.5" thickBot="1" x14ac:dyDescent="0.25">
      <c r="A71" s="1325" t="s">
        <v>500</v>
      </c>
      <c r="B71" s="1314"/>
      <c r="C71" s="1314"/>
      <c r="D71" s="1314"/>
      <c r="E71" s="1314"/>
      <c r="F71" s="1314"/>
      <c r="G71" s="1314"/>
      <c r="H71" s="1314"/>
      <c r="I71" s="1314"/>
      <c r="J71" s="1315"/>
      <c r="K71" s="1083">
        <f>SUM(K67:K70)</f>
        <v>0</v>
      </c>
      <c r="L71" s="1083">
        <f>SUM(L67:L70)</f>
        <v>0</v>
      </c>
      <c r="M71" s="1083">
        <f>SUM(M67:M70)</f>
        <v>0</v>
      </c>
      <c r="N71" s="1083">
        <f>SUM(N67:N70)</f>
        <v>0</v>
      </c>
      <c r="O71" s="903"/>
      <c r="P71" s="1001" t="s">
        <v>624</v>
      </c>
      <c r="Q71" s="1001" t="s">
        <v>622</v>
      </c>
      <c r="R71" s="958"/>
    </row>
    <row r="72" spans="1:22" ht="16.5" thickBot="1" x14ac:dyDescent="0.25">
      <c r="A72" s="1312" t="s">
        <v>501</v>
      </c>
      <c r="B72" s="1314"/>
      <c r="C72" s="1314"/>
      <c r="D72" s="1314"/>
      <c r="E72" s="1314"/>
      <c r="F72" s="1314"/>
      <c r="G72" s="1314"/>
      <c r="H72" s="1314"/>
      <c r="I72" s="1314"/>
      <c r="J72" s="1315"/>
      <c r="K72" s="1074">
        <v>0</v>
      </c>
      <c r="L72" s="1074">
        <v>0</v>
      </c>
      <c r="M72" s="1074">
        <v>0</v>
      </c>
      <c r="N72" s="1074">
        <v>0</v>
      </c>
      <c r="O72" s="903"/>
      <c r="P72" s="958"/>
      <c r="Q72" s="958"/>
      <c r="R72" s="958"/>
    </row>
    <row r="73" spans="1:22" ht="16.5" thickBot="1" x14ac:dyDescent="0.25">
      <c r="A73" s="1165" t="s">
        <v>259</v>
      </c>
      <c r="B73" s="1316"/>
      <c r="C73" s="1316"/>
      <c r="D73" s="1316"/>
      <c r="E73" s="1316"/>
      <c r="F73" s="1316"/>
      <c r="G73" s="1317"/>
      <c r="H73" s="1317"/>
      <c r="I73" s="1317"/>
      <c r="J73" s="1318"/>
      <c r="K73" s="1084">
        <f>SUM(K71:K72)</f>
        <v>0</v>
      </c>
      <c r="L73" s="1084">
        <f>SUM(L71:L72)</f>
        <v>0</v>
      </c>
      <c r="M73" s="1084">
        <f>SUM(M71:M72)</f>
        <v>0</v>
      </c>
      <c r="N73" s="1084">
        <f>SUM(N71:N72)</f>
        <v>0</v>
      </c>
      <c r="O73" s="903"/>
      <c r="P73" s="958"/>
      <c r="Q73" s="958"/>
      <c r="R73" s="958"/>
    </row>
    <row r="74" spans="1:22" ht="16.5" thickBot="1" x14ac:dyDescent="0.25">
      <c r="A74" s="957"/>
      <c r="B74" s="961"/>
      <c r="C74" s="958"/>
      <c r="D74" s="957"/>
      <c r="E74" s="957"/>
      <c r="F74" s="957"/>
      <c r="G74" s="958"/>
      <c r="H74" s="958"/>
      <c r="I74" s="958"/>
      <c r="J74" s="958"/>
      <c r="K74" s="958"/>
      <c r="L74" s="958"/>
      <c r="M74" s="958"/>
      <c r="N74" s="958"/>
      <c r="O74" s="903"/>
      <c r="P74" s="958"/>
      <c r="Q74" s="958"/>
      <c r="R74" s="958"/>
    </row>
    <row r="75" spans="1:22" ht="16.5" thickBot="1" x14ac:dyDescent="0.25">
      <c r="A75" s="1285" t="s">
        <v>0</v>
      </c>
      <c r="B75" s="1285" t="s">
        <v>1</v>
      </c>
      <c r="C75" s="1282" t="s">
        <v>297</v>
      </c>
      <c r="D75" s="1285" t="s">
        <v>2</v>
      </c>
      <c r="E75" s="1282" t="s">
        <v>3</v>
      </c>
      <c r="F75" s="1285" t="s">
        <v>242</v>
      </c>
      <c r="G75" s="1300" t="s">
        <v>25</v>
      </c>
      <c r="H75" s="1301"/>
      <c r="I75" s="1301"/>
      <c r="J75" s="1302"/>
      <c r="K75" s="1300" t="s">
        <v>766</v>
      </c>
      <c r="L75" s="1301"/>
      <c r="M75" s="1301"/>
      <c r="N75" s="1302"/>
      <c r="O75" s="903"/>
      <c r="P75" s="958"/>
      <c r="Q75" s="958"/>
      <c r="R75" s="958"/>
    </row>
    <row r="76" spans="1:22" ht="15.75" x14ac:dyDescent="0.2">
      <c r="A76" s="1286"/>
      <c r="B76" s="1286"/>
      <c r="C76" s="1283"/>
      <c r="D76" s="1286"/>
      <c r="E76" s="1283"/>
      <c r="F76" s="1286"/>
      <c r="G76" s="1303" t="s">
        <v>296</v>
      </c>
      <c r="H76" s="1285" t="s">
        <v>762</v>
      </c>
      <c r="I76" s="1285" t="s">
        <v>26</v>
      </c>
      <c r="J76" s="1285" t="s">
        <v>293</v>
      </c>
      <c r="K76" s="1303" t="s">
        <v>296</v>
      </c>
      <c r="L76" s="1285" t="s">
        <v>762</v>
      </c>
      <c r="M76" s="1285" t="s">
        <v>26</v>
      </c>
      <c r="N76" s="1285" t="s">
        <v>293</v>
      </c>
      <c r="O76" s="903"/>
      <c r="P76" s="1322" t="s">
        <v>619</v>
      </c>
      <c r="Q76" s="1319" t="s">
        <v>620</v>
      </c>
      <c r="R76" s="958"/>
    </row>
    <row r="77" spans="1:22" ht="16.5" thickBot="1" x14ac:dyDescent="0.25">
      <c r="A77" s="1287"/>
      <c r="B77" s="1287"/>
      <c r="C77" s="1284"/>
      <c r="D77" s="1287"/>
      <c r="E77" s="1284"/>
      <c r="F77" s="1287"/>
      <c r="G77" s="1304"/>
      <c r="H77" s="1287"/>
      <c r="I77" s="1287"/>
      <c r="J77" s="1287"/>
      <c r="K77" s="1304"/>
      <c r="L77" s="1287"/>
      <c r="M77" s="1287"/>
      <c r="N77" s="1287"/>
      <c r="O77" s="903"/>
      <c r="P77" s="1323"/>
      <c r="Q77" s="1320"/>
      <c r="R77" s="958"/>
    </row>
    <row r="78" spans="1:22" ht="16.5" thickBot="1" x14ac:dyDescent="0.25">
      <c r="A78" s="1085" t="s">
        <v>260</v>
      </c>
      <c r="B78" s="1350" t="s">
        <v>677</v>
      </c>
      <c r="C78" s="1351"/>
      <c r="D78" s="1351"/>
      <c r="E78" s="1351"/>
      <c r="F78" s="1351"/>
      <c r="G78" s="1351"/>
      <c r="H78" s="1351"/>
      <c r="I78" s="1351"/>
      <c r="J78" s="1351"/>
      <c r="K78" s="1351"/>
      <c r="L78" s="1351"/>
      <c r="M78" s="1351"/>
      <c r="N78" s="1351"/>
      <c r="O78" s="903"/>
      <c r="P78" s="1324"/>
      <c r="Q78" s="1321"/>
      <c r="R78" s="958"/>
    </row>
    <row r="79" spans="1:22" ht="15.75" x14ac:dyDescent="0.2">
      <c r="A79" s="1086" t="s">
        <v>85</v>
      </c>
      <c r="B79" s="1087" t="s">
        <v>564</v>
      </c>
      <c r="C79" s="978" t="s">
        <v>13</v>
      </c>
      <c r="D79" s="978" t="s">
        <v>235</v>
      </c>
      <c r="E79" s="978">
        <v>64</v>
      </c>
      <c r="F79" s="1088">
        <v>12</v>
      </c>
      <c r="G79" s="1089"/>
      <c r="H79" s="1090">
        <v>0</v>
      </c>
      <c r="I79" s="982">
        <f>ROUND((G79+H79)*$J$160,2)</f>
        <v>0</v>
      </c>
      <c r="J79" s="1091">
        <f t="shared" ref="J79:J84" si="17">G79+H79+I79</f>
        <v>0</v>
      </c>
      <c r="K79" s="980">
        <f t="shared" ref="K79:K84" si="18">E79*F79*G79</f>
        <v>0</v>
      </c>
      <c r="L79" s="982">
        <f t="shared" ref="L79:L85" si="19">E79*F79*H79</f>
        <v>0</v>
      </c>
      <c r="M79" s="982">
        <f t="shared" ref="M79:M85" si="20">E79*F79*I79</f>
        <v>0</v>
      </c>
      <c r="N79" s="984">
        <f t="shared" ref="N79:N84" si="21">E79*F79*J79</f>
        <v>0</v>
      </c>
      <c r="O79" s="903"/>
      <c r="P79" s="958"/>
      <c r="Q79" s="958"/>
      <c r="R79" s="958"/>
      <c r="S79" s="988" t="s">
        <v>628</v>
      </c>
      <c r="T79" s="988" t="s">
        <v>625</v>
      </c>
      <c r="U79" s="988" t="s">
        <v>626</v>
      </c>
      <c r="V79" s="988" t="s">
        <v>627</v>
      </c>
    </row>
    <row r="80" spans="1:22" ht="15.75" x14ac:dyDescent="0.2">
      <c r="A80" s="1092" t="s">
        <v>86</v>
      </c>
      <c r="B80" s="1093" t="s">
        <v>565</v>
      </c>
      <c r="C80" s="1018" t="s">
        <v>13</v>
      </c>
      <c r="D80" s="1018" t="s">
        <v>235</v>
      </c>
      <c r="E80" s="1018">
        <v>64</v>
      </c>
      <c r="F80" s="1079">
        <v>12</v>
      </c>
      <c r="G80" s="1045"/>
      <c r="H80" s="1094">
        <v>0</v>
      </c>
      <c r="I80" s="1021">
        <f>ROUND((G80+H80)*$J$160,2)</f>
        <v>0</v>
      </c>
      <c r="J80" s="1047">
        <f t="shared" si="17"/>
        <v>0</v>
      </c>
      <c r="K80" s="1023">
        <f t="shared" si="18"/>
        <v>0</v>
      </c>
      <c r="L80" s="1021">
        <f t="shared" si="19"/>
        <v>0</v>
      </c>
      <c r="M80" s="1021">
        <f t="shared" si="20"/>
        <v>0</v>
      </c>
      <c r="N80" s="1024">
        <f t="shared" si="21"/>
        <v>0</v>
      </c>
      <c r="O80" s="903"/>
      <c r="P80" s="1001" t="s">
        <v>629</v>
      </c>
      <c r="Q80" s="1001" t="s">
        <v>629</v>
      </c>
      <c r="R80" s="958"/>
      <c r="S80" s="1001" t="s">
        <v>621</v>
      </c>
      <c r="T80" s="1001">
        <f>SUMIF($P$80:$P$86,S80,$E$79:$E$85)</f>
        <v>0</v>
      </c>
      <c r="U80" s="1001">
        <f>SUMIFS($E$79:$E$85,$Q$80:$Q$86,U79,$P$80:$P$86,S80)</f>
        <v>0</v>
      </c>
      <c r="V80" s="1001">
        <f>SUMIFS($E$79:$E$85,$Q$80:$Q$86,V79,$P$80:$P$86,S80)</f>
        <v>0</v>
      </c>
    </row>
    <row r="81" spans="1:22" ht="15.75" x14ac:dyDescent="0.2">
      <c r="A81" s="1092" t="s">
        <v>261</v>
      </c>
      <c r="B81" s="1095" t="s">
        <v>238</v>
      </c>
      <c r="C81" s="993" t="s">
        <v>17</v>
      </c>
      <c r="D81" s="993" t="s">
        <v>27</v>
      </c>
      <c r="E81" s="993">
        <v>4</v>
      </c>
      <c r="F81" s="994">
        <v>12</v>
      </c>
      <c r="G81" s="1045"/>
      <c r="H81" s="1021">
        <v>0</v>
      </c>
      <c r="I81" s="1046">
        <f>ROUND((G81+H81)*$H$160,2)</f>
        <v>0</v>
      </c>
      <c r="J81" s="1047">
        <f>G81+H81+I81</f>
        <v>0</v>
      </c>
      <c r="K81" s="995">
        <f>E81*F81*G81</f>
        <v>0</v>
      </c>
      <c r="L81" s="981">
        <f t="shared" si="19"/>
        <v>0</v>
      </c>
      <c r="M81" s="981">
        <f t="shared" si="20"/>
        <v>0</v>
      </c>
      <c r="N81" s="998">
        <f>E81*F81*J81</f>
        <v>0</v>
      </c>
      <c r="O81" s="903"/>
      <c r="P81" s="1001" t="s">
        <v>629</v>
      </c>
      <c r="Q81" s="1001" t="s">
        <v>629</v>
      </c>
      <c r="R81" s="958"/>
      <c r="S81" s="1001" t="s">
        <v>624</v>
      </c>
      <c r="T81" s="1001">
        <f>SUMIF($P$80:$P$86,S81,$E$79:$E$85)</f>
        <v>9</v>
      </c>
      <c r="U81" s="1001">
        <f>SUMIFS($E$79:$E$85,$Q$80:$Q$86,U79,P80:P86,S81)</f>
        <v>8</v>
      </c>
      <c r="V81" s="1001">
        <f>SUMIFS($E$79:$E$85,$Q$80:$Q$86,V79,$P$80:$P$86,S81)</f>
        <v>1</v>
      </c>
    </row>
    <row r="82" spans="1:22" ht="15.75" x14ac:dyDescent="0.2">
      <c r="A82" s="1092" t="s">
        <v>262</v>
      </c>
      <c r="B82" s="1095" t="s">
        <v>239</v>
      </c>
      <c r="C82" s="993" t="s">
        <v>17</v>
      </c>
      <c r="D82" s="993" t="s">
        <v>27</v>
      </c>
      <c r="E82" s="993">
        <v>2</v>
      </c>
      <c r="F82" s="994">
        <v>12</v>
      </c>
      <c r="G82" s="1045"/>
      <c r="H82" s="1021">
        <v>0</v>
      </c>
      <c r="I82" s="1046">
        <f>ROUND((G82+H82)*$H$160,2)</f>
        <v>0</v>
      </c>
      <c r="J82" s="1047">
        <f t="shared" si="17"/>
        <v>0</v>
      </c>
      <c r="K82" s="995">
        <f>E82*F82*G82</f>
        <v>0</v>
      </c>
      <c r="L82" s="981">
        <f t="shared" si="19"/>
        <v>0</v>
      </c>
      <c r="M82" s="981">
        <f t="shared" si="20"/>
        <v>0</v>
      </c>
      <c r="N82" s="998">
        <f>E82*F82*J82</f>
        <v>0</v>
      </c>
      <c r="O82" s="903"/>
      <c r="P82" s="1001" t="s">
        <v>624</v>
      </c>
      <c r="Q82" s="1001" t="s">
        <v>622</v>
      </c>
      <c r="R82" s="958"/>
    </row>
    <row r="83" spans="1:22" ht="15.75" x14ac:dyDescent="0.2">
      <c r="A83" s="1092" t="s">
        <v>263</v>
      </c>
      <c r="B83" s="1095" t="s">
        <v>239</v>
      </c>
      <c r="C83" s="993" t="s">
        <v>227</v>
      </c>
      <c r="D83" s="993" t="s">
        <v>27</v>
      </c>
      <c r="E83" s="993">
        <v>1</v>
      </c>
      <c r="F83" s="994">
        <v>12</v>
      </c>
      <c r="G83" s="1045"/>
      <c r="H83" s="1021">
        <v>0</v>
      </c>
      <c r="I83" s="1046">
        <f>ROUND((G83+H83)*$H$160,2)</f>
        <v>0</v>
      </c>
      <c r="J83" s="1047">
        <f>G83+H83+I83</f>
        <v>0</v>
      </c>
      <c r="K83" s="995">
        <f>E83*F83*G83</f>
        <v>0</v>
      </c>
      <c r="L83" s="981">
        <f t="shared" si="19"/>
        <v>0</v>
      </c>
      <c r="M83" s="981">
        <f t="shared" si="20"/>
        <v>0</v>
      </c>
      <c r="N83" s="998">
        <f>E83*F83*J83</f>
        <v>0</v>
      </c>
      <c r="O83" s="903"/>
      <c r="P83" s="1001" t="s">
        <v>624</v>
      </c>
      <c r="Q83" s="1001" t="s">
        <v>622</v>
      </c>
      <c r="R83" s="958"/>
    </row>
    <row r="84" spans="1:22" ht="15.75" x14ac:dyDescent="0.2">
      <c r="A84" s="1092" t="s">
        <v>389</v>
      </c>
      <c r="B84" s="1095" t="s">
        <v>240</v>
      </c>
      <c r="C84" s="993" t="s">
        <v>227</v>
      </c>
      <c r="D84" s="993" t="s">
        <v>27</v>
      </c>
      <c r="E84" s="993">
        <v>1</v>
      </c>
      <c r="F84" s="994">
        <v>12</v>
      </c>
      <c r="G84" s="1045"/>
      <c r="H84" s="1021">
        <v>0</v>
      </c>
      <c r="I84" s="1046">
        <f>ROUND((G84+H84)*$H$160,2)</f>
        <v>0</v>
      </c>
      <c r="J84" s="1047">
        <f t="shared" si="17"/>
        <v>0</v>
      </c>
      <c r="K84" s="995">
        <f t="shared" si="18"/>
        <v>0</v>
      </c>
      <c r="L84" s="981">
        <f t="shared" si="19"/>
        <v>0</v>
      </c>
      <c r="M84" s="981">
        <f t="shared" si="20"/>
        <v>0</v>
      </c>
      <c r="N84" s="998">
        <f t="shared" si="21"/>
        <v>0</v>
      </c>
      <c r="O84" s="903"/>
      <c r="P84" s="1001" t="s">
        <v>624</v>
      </c>
      <c r="Q84" s="1001" t="s">
        <v>622</v>
      </c>
      <c r="R84" s="958"/>
    </row>
    <row r="85" spans="1:22" ht="16.5" thickBot="1" x14ac:dyDescent="0.25">
      <c r="A85" s="1096" t="s">
        <v>390</v>
      </c>
      <c r="B85" s="1097" t="s">
        <v>241</v>
      </c>
      <c r="C85" s="1010" t="s">
        <v>22</v>
      </c>
      <c r="D85" s="1010" t="s">
        <v>27</v>
      </c>
      <c r="E85" s="1010">
        <v>1</v>
      </c>
      <c r="F85" s="1011">
        <v>12</v>
      </c>
      <c r="G85" s="1098"/>
      <c r="H85" s="1099">
        <v>0</v>
      </c>
      <c r="I85" s="1046">
        <f>ROUND((G85+H85)*$H$160,2)</f>
        <v>0</v>
      </c>
      <c r="J85" s="1100">
        <f>G85+H85+I85</f>
        <v>0</v>
      </c>
      <c r="K85" s="1012">
        <f>E85*F85*G85</f>
        <v>0</v>
      </c>
      <c r="L85" s="1013">
        <f t="shared" si="19"/>
        <v>0</v>
      </c>
      <c r="M85" s="1013">
        <f t="shared" si="20"/>
        <v>0</v>
      </c>
      <c r="N85" s="1015">
        <f>E85*F85*J85</f>
        <v>0</v>
      </c>
      <c r="O85" s="903"/>
      <c r="P85" s="1001" t="s">
        <v>624</v>
      </c>
      <c r="Q85" s="1001" t="s">
        <v>622</v>
      </c>
      <c r="R85" s="958"/>
    </row>
    <row r="86" spans="1:22" ht="16.5" thickBot="1" x14ac:dyDescent="0.25">
      <c r="A86" s="1312" t="s">
        <v>682</v>
      </c>
      <c r="B86" s="1313"/>
      <c r="C86" s="1313"/>
      <c r="D86" s="1313"/>
      <c r="E86" s="1313"/>
      <c r="F86" s="1313"/>
      <c r="G86" s="1313"/>
      <c r="H86" s="1313"/>
      <c r="I86" s="1313"/>
      <c r="J86" s="1340"/>
      <c r="K86" s="1101">
        <f>K81+K82+K83+K84+K85</f>
        <v>0</v>
      </c>
      <c r="L86" s="1083">
        <f>L81+L82+L83+L84+L85</f>
        <v>0</v>
      </c>
      <c r="M86" s="1101">
        <f>M81+M82+M83+M84+M85</f>
        <v>0</v>
      </c>
      <c r="N86" s="1101">
        <f>N81+N82+N83+N84+N85</f>
        <v>0</v>
      </c>
      <c r="O86" s="903"/>
      <c r="P86" s="1001" t="s">
        <v>624</v>
      </c>
      <c r="Q86" s="1001" t="s">
        <v>623</v>
      </c>
      <c r="R86" s="958"/>
    </row>
    <row r="87" spans="1:22" ht="16.5" thickBot="1" x14ac:dyDescent="0.25">
      <c r="A87" s="1312" t="s">
        <v>501</v>
      </c>
      <c r="B87" s="1314"/>
      <c r="C87" s="1314"/>
      <c r="D87" s="1314"/>
      <c r="E87" s="1314"/>
      <c r="F87" s="1314"/>
      <c r="G87" s="1314"/>
      <c r="H87" s="1314"/>
      <c r="I87" s="1314"/>
      <c r="J87" s="1315"/>
      <c r="K87" s="1101">
        <f>K79+K80</f>
        <v>0</v>
      </c>
      <c r="L87" s="1083">
        <f>L79+L80</f>
        <v>0</v>
      </c>
      <c r="M87" s="1101">
        <f>M79+M80</f>
        <v>0</v>
      </c>
      <c r="N87" s="1101">
        <f>N79+N80</f>
        <v>0</v>
      </c>
      <c r="O87" s="903"/>
      <c r="P87" s="958"/>
      <c r="Q87" s="958"/>
      <c r="R87" s="958"/>
    </row>
    <row r="88" spans="1:22" ht="16.5" thickBot="1" x14ac:dyDescent="0.25">
      <c r="A88" s="1165" t="s">
        <v>264</v>
      </c>
      <c r="B88" s="1316"/>
      <c r="C88" s="1316"/>
      <c r="D88" s="1316"/>
      <c r="E88" s="1316"/>
      <c r="F88" s="1316"/>
      <c r="G88" s="1316"/>
      <c r="H88" s="1316"/>
      <c r="I88" s="1316"/>
      <c r="J88" s="1166"/>
      <c r="K88" s="1084">
        <f>SUM(K86:K87)</f>
        <v>0</v>
      </c>
      <c r="L88" s="1084">
        <f>SUM(L86:L87)</f>
        <v>0</v>
      </c>
      <c r="M88" s="1084">
        <f>SUM(M86:M87)</f>
        <v>0</v>
      </c>
      <c r="N88" s="1084">
        <f>SUM(N86:N87)</f>
        <v>0</v>
      </c>
      <c r="O88" s="903"/>
      <c r="P88" s="958"/>
      <c r="Q88" s="958"/>
      <c r="R88" s="958"/>
    </row>
    <row r="89" spans="1:22" ht="15.75" x14ac:dyDescent="0.2">
      <c r="A89" s="957"/>
      <c r="B89" s="961"/>
      <c r="C89" s="958"/>
      <c r="D89" s="957"/>
      <c r="E89" s="957"/>
      <c r="F89" s="957"/>
      <c r="G89" s="958"/>
      <c r="H89" s="958"/>
      <c r="I89" s="958"/>
      <c r="J89" s="958"/>
      <c r="K89" s="958"/>
      <c r="L89" s="958"/>
      <c r="M89" s="958"/>
      <c r="N89" s="958"/>
      <c r="O89" s="903"/>
      <c r="P89" s="958"/>
      <c r="Q89" s="958"/>
      <c r="R89" s="958"/>
    </row>
    <row r="90" spans="1:22" ht="16.5" thickBot="1" x14ac:dyDescent="0.25">
      <c r="A90" s="957"/>
      <c r="B90" s="961"/>
      <c r="C90" s="958"/>
      <c r="D90" s="957"/>
      <c r="E90" s="957"/>
      <c r="F90" s="957"/>
      <c r="G90" s="958"/>
      <c r="H90" s="958"/>
      <c r="I90" s="958"/>
      <c r="J90" s="958"/>
      <c r="K90" s="958"/>
      <c r="L90" s="958"/>
      <c r="M90" s="958"/>
      <c r="N90" s="958"/>
      <c r="O90" s="903"/>
      <c r="P90" s="958"/>
      <c r="Q90" s="958"/>
      <c r="R90" s="958"/>
    </row>
    <row r="91" spans="1:22" ht="16.5" thickBot="1" x14ac:dyDescent="0.25">
      <c r="A91" s="1285" t="s">
        <v>0</v>
      </c>
      <c r="B91" s="1285" t="s">
        <v>1</v>
      </c>
      <c r="C91" s="1282" t="s">
        <v>297</v>
      </c>
      <c r="D91" s="1285" t="s">
        <v>2</v>
      </c>
      <c r="E91" s="1282" t="s">
        <v>3</v>
      </c>
      <c r="F91" s="1285" t="s">
        <v>242</v>
      </c>
      <c r="G91" s="1300" t="s">
        <v>25</v>
      </c>
      <c r="H91" s="1301"/>
      <c r="I91" s="1301"/>
      <c r="J91" s="1302"/>
      <c r="K91" s="1300" t="s">
        <v>766</v>
      </c>
      <c r="L91" s="1301"/>
      <c r="M91" s="1301"/>
      <c r="N91" s="1302"/>
      <c r="O91" s="903"/>
      <c r="P91" s="958"/>
      <c r="Q91" s="958"/>
      <c r="R91" s="958"/>
    </row>
    <row r="92" spans="1:22" ht="15.75" x14ac:dyDescent="0.2">
      <c r="A92" s="1286"/>
      <c r="B92" s="1286"/>
      <c r="C92" s="1283"/>
      <c r="D92" s="1286"/>
      <c r="E92" s="1283"/>
      <c r="F92" s="1286"/>
      <c r="G92" s="1303" t="s">
        <v>296</v>
      </c>
      <c r="H92" s="1285" t="s">
        <v>762</v>
      </c>
      <c r="I92" s="1285" t="s">
        <v>26</v>
      </c>
      <c r="J92" s="1285" t="s">
        <v>293</v>
      </c>
      <c r="K92" s="1303" t="s">
        <v>296</v>
      </c>
      <c r="L92" s="1285" t="s">
        <v>762</v>
      </c>
      <c r="M92" s="1285" t="s">
        <v>26</v>
      </c>
      <c r="N92" s="1285" t="s">
        <v>293</v>
      </c>
      <c r="O92" s="903"/>
      <c r="P92" s="1322" t="s">
        <v>619</v>
      </c>
      <c r="Q92" s="1319" t="s">
        <v>620</v>
      </c>
      <c r="R92" s="972"/>
      <c r="S92" s="988" t="s">
        <v>628</v>
      </c>
      <c r="T92" s="988" t="s">
        <v>625</v>
      </c>
      <c r="U92" s="988" t="s">
        <v>626</v>
      </c>
      <c r="V92" s="988" t="s">
        <v>627</v>
      </c>
    </row>
    <row r="93" spans="1:22" ht="16.5" thickBot="1" x14ac:dyDescent="0.25">
      <c r="A93" s="1287"/>
      <c r="B93" s="1287"/>
      <c r="C93" s="1284"/>
      <c r="D93" s="1287"/>
      <c r="E93" s="1284"/>
      <c r="F93" s="1287"/>
      <c r="G93" s="1304"/>
      <c r="H93" s="1287"/>
      <c r="I93" s="1287"/>
      <c r="J93" s="1287"/>
      <c r="K93" s="1304"/>
      <c r="L93" s="1287"/>
      <c r="M93" s="1287"/>
      <c r="N93" s="1287"/>
      <c r="O93" s="903"/>
      <c r="P93" s="1323"/>
      <c r="Q93" s="1320"/>
      <c r="R93" s="972"/>
      <c r="S93" s="1001" t="s">
        <v>621</v>
      </c>
      <c r="T93" s="1001">
        <f>SUMIF($P$96:$P$97,S93,E95:E96)</f>
        <v>0</v>
      </c>
      <c r="U93" s="1001">
        <f>SUMIFS($E$95:$E$96,Q96:$Q$97,U92,$P$96:P97,S93)</f>
        <v>0</v>
      </c>
      <c r="V93" s="1001">
        <f>SUMIFS($E$95:$E$96,$Q$96:$Q$97,V92,$P$96:$P$97,S93)</f>
        <v>0</v>
      </c>
    </row>
    <row r="94" spans="1:22" ht="16.5" thickBot="1" x14ac:dyDescent="0.25">
      <c r="A94" s="1077" t="s">
        <v>265</v>
      </c>
      <c r="B94" s="1350" t="s">
        <v>939</v>
      </c>
      <c r="C94" s="1351"/>
      <c r="D94" s="1351"/>
      <c r="E94" s="1351"/>
      <c r="F94" s="1351"/>
      <c r="G94" s="1351"/>
      <c r="H94" s="1351"/>
      <c r="I94" s="1351"/>
      <c r="J94" s="1351"/>
      <c r="K94" s="1351"/>
      <c r="L94" s="1351"/>
      <c r="M94" s="1351"/>
      <c r="N94" s="1351"/>
      <c r="O94" s="903"/>
      <c r="P94" s="1324"/>
      <c r="Q94" s="1321"/>
      <c r="R94" s="972"/>
      <c r="S94" s="1001" t="s">
        <v>624</v>
      </c>
      <c r="T94" s="1001">
        <f>SUMIF($P$96:$P$97,S94,$E$95:$E$96)</f>
        <v>0</v>
      </c>
      <c r="U94" s="1001">
        <f>SUMIFS($E$95:$E$96,Q96:$Q$97,U93,$P$96:$P$97,S94)</f>
        <v>0</v>
      </c>
      <c r="V94" s="1001">
        <f>SUMIFS($E$95:$E$96,$Q$96:$Q$97,V92,$P$96:$P$97,S94)</f>
        <v>0</v>
      </c>
    </row>
    <row r="95" spans="1:22" ht="15.75" x14ac:dyDescent="0.2">
      <c r="A95" s="975" t="s">
        <v>266</v>
      </c>
      <c r="B95" s="1102" t="s">
        <v>562</v>
      </c>
      <c r="C95" s="1018" t="s">
        <v>13</v>
      </c>
      <c r="D95" s="1018" t="s">
        <v>235</v>
      </c>
      <c r="E95" s="1079">
        <v>64</v>
      </c>
      <c r="F95" s="1103">
        <v>18</v>
      </c>
      <c r="G95" s="1045"/>
      <c r="H95" s="996">
        <v>0</v>
      </c>
      <c r="I95" s="981">
        <f>ROUND((G95+H95)*$J$160,2)</f>
        <v>0</v>
      </c>
      <c r="J95" s="1047">
        <f>G95+H95+I95</f>
        <v>0</v>
      </c>
      <c r="K95" s="980">
        <f>E95*F95*G95</f>
        <v>0</v>
      </c>
      <c r="L95" s="982">
        <f>E95*F95*H95</f>
        <v>0</v>
      </c>
      <c r="M95" s="982">
        <f>E95*F95*I95</f>
        <v>0</v>
      </c>
      <c r="N95" s="984">
        <f>E95*F95*J95</f>
        <v>0</v>
      </c>
      <c r="O95" s="903"/>
      <c r="P95" s="958"/>
      <c r="Q95" s="958"/>
      <c r="R95" s="958"/>
    </row>
    <row r="96" spans="1:22" ht="16.5" thickBot="1" x14ac:dyDescent="0.25">
      <c r="A96" s="1104" t="s">
        <v>267</v>
      </c>
      <c r="B96" s="1105" t="s">
        <v>563</v>
      </c>
      <c r="C96" s="1106" t="s">
        <v>13</v>
      </c>
      <c r="D96" s="1107" t="s">
        <v>235</v>
      </c>
      <c r="E96" s="1079">
        <v>64</v>
      </c>
      <c r="F96" s="1108">
        <v>18</v>
      </c>
      <c r="G96" s="1045"/>
      <c r="H96" s="996">
        <v>0</v>
      </c>
      <c r="I96" s="981">
        <f>ROUND((G96+H96)*$J$160,2)</f>
        <v>0</v>
      </c>
      <c r="J96" s="1047">
        <f>G96+H96+I96</f>
        <v>0</v>
      </c>
      <c r="K96" s="1012">
        <f>E96*F96*G96</f>
        <v>0</v>
      </c>
      <c r="L96" s="1013">
        <f>E96*F96*H96</f>
        <v>0</v>
      </c>
      <c r="M96" s="1013">
        <f>E96*F96*I96</f>
        <v>0</v>
      </c>
      <c r="N96" s="1015">
        <f>E96*F96*J96</f>
        <v>0</v>
      </c>
      <c r="O96" s="903"/>
      <c r="P96" s="1001" t="s">
        <v>629</v>
      </c>
      <c r="Q96" s="1001" t="s">
        <v>629</v>
      </c>
      <c r="R96" s="958"/>
    </row>
    <row r="97" spans="1:22" ht="16.5" thickBot="1" x14ac:dyDescent="0.25">
      <c r="A97" s="1325" t="s">
        <v>500</v>
      </c>
      <c r="B97" s="1314"/>
      <c r="C97" s="1314"/>
      <c r="D97" s="1314"/>
      <c r="E97" s="1314"/>
      <c r="F97" s="1314"/>
      <c r="G97" s="1314"/>
      <c r="H97" s="1314"/>
      <c r="I97" s="1314"/>
      <c r="J97" s="1315"/>
      <c r="K97" s="1109">
        <v>0</v>
      </c>
      <c r="L97" s="1109">
        <v>0</v>
      </c>
      <c r="M97" s="1109">
        <v>0</v>
      </c>
      <c r="N97" s="1109">
        <v>0</v>
      </c>
      <c r="O97" s="903"/>
      <c r="P97" s="1001" t="s">
        <v>629</v>
      </c>
      <c r="Q97" s="1001" t="s">
        <v>629</v>
      </c>
      <c r="R97" s="958"/>
    </row>
    <row r="98" spans="1:22" ht="16.5" thickBot="1" x14ac:dyDescent="0.25">
      <c r="A98" s="1312" t="s">
        <v>501</v>
      </c>
      <c r="B98" s="1314"/>
      <c r="C98" s="1314"/>
      <c r="D98" s="1314"/>
      <c r="E98" s="1314"/>
      <c r="F98" s="1314"/>
      <c r="G98" s="1314"/>
      <c r="H98" s="1314"/>
      <c r="I98" s="1314"/>
      <c r="J98" s="1315"/>
      <c r="K98" s="1101">
        <f>SUM(K95:K96)</f>
        <v>0</v>
      </c>
      <c r="L98" s="1083">
        <f>SUM(L95:L96)</f>
        <v>0</v>
      </c>
      <c r="M98" s="1083">
        <f>SUM(M95:M96)</f>
        <v>0</v>
      </c>
      <c r="N98" s="1083">
        <f>SUM(N95:N96)</f>
        <v>0</v>
      </c>
      <c r="O98" s="903"/>
      <c r="P98" s="958"/>
      <c r="Q98" s="958"/>
      <c r="R98" s="958"/>
    </row>
    <row r="99" spans="1:22" ht="16.5" thickBot="1" x14ac:dyDescent="0.25">
      <c r="A99" s="1165" t="s">
        <v>268</v>
      </c>
      <c r="B99" s="1316"/>
      <c r="C99" s="1316"/>
      <c r="D99" s="1316"/>
      <c r="E99" s="1316"/>
      <c r="F99" s="1316"/>
      <c r="G99" s="1317"/>
      <c r="H99" s="1317"/>
      <c r="I99" s="1317"/>
      <c r="J99" s="1318"/>
      <c r="K99" s="1041">
        <f>SUM(K97:K98)</f>
        <v>0</v>
      </c>
      <c r="L99" s="1084">
        <f>SUM(L97:L98)</f>
        <v>0</v>
      </c>
      <c r="M99" s="1084">
        <f>SUM(M97:M98)</f>
        <v>0</v>
      </c>
      <c r="N99" s="1084">
        <f>SUM(N97:N98)</f>
        <v>0</v>
      </c>
      <c r="O99" s="903"/>
      <c r="P99" s="958"/>
      <c r="Q99" s="958"/>
      <c r="R99" s="958"/>
    </row>
    <row r="100" spans="1:22" ht="15.75" x14ac:dyDescent="0.2">
      <c r="A100" s="957"/>
      <c r="B100" s="961"/>
      <c r="C100" s="958"/>
      <c r="D100" s="957"/>
      <c r="E100" s="957"/>
      <c r="F100" s="957"/>
      <c r="G100" s="958"/>
      <c r="H100" s="958"/>
      <c r="I100" s="958"/>
      <c r="J100" s="958"/>
      <c r="K100" s="958"/>
      <c r="L100" s="958"/>
      <c r="M100" s="958"/>
      <c r="N100" s="958"/>
      <c r="O100" s="903"/>
      <c r="P100" s="958"/>
      <c r="Q100" s="958"/>
      <c r="R100" s="958"/>
    </row>
    <row r="101" spans="1:22" ht="16.5" thickBot="1" x14ac:dyDescent="0.25">
      <c r="A101" s="957"/>
      <c r="B101" s="961"/>
      <c r="C101" s="958"/>
      <c r="D101" s="957"/>
      <c r="E101" s="957"/>
      <c r="F101" s="957"/>
      <c r="G101" s="958"/>
      <c r="H101" s="958"/>
      <c r="I101" s="958"/>
      <c r="J101" s="958"/>
      <c r="K101" s="958"/>
      <c r="L101" s="958"/>
      <c r="M101" s="958"/>
      <c r="N101" s="958"/>
      <c r="O101" s="903"/>
      <c r="P101" s="958"/>
      <c r="Q101" s="958"/>
      <c r="R101" s="958"/>
    </row>
    <row r="102" spans="1:22" ht="16.5" thickBot="1" x14ac:dyDescent="0.25">
      <c r="A102" s="1285" t="s">
        <v>0</v>
      </c>
      <c r="B102" s="1285" t="s">
        <v>1</v>
      </c>
      <c r="C102" s="1282" t="s">
        <v>297</v>
      </c>
      <c r="D102" s="1285" t="s">
        <v>2</v>
      </c>
      <c r="E102" s="1282" t="s">
        <v>3</v>
      </c>
      <c r="F102" s="1285" t="s">
        <v>242</v>
      </c>
      <c r="G102" s="1300" t="s">
        <v>25</v>
      </c>
      <c r="H102" s="1301"/>
      <c r="I102" s="1301"/>
      <c r="J102" s="1302"/>
      <c r="K102" s="1300" t="s">
        <v>766</v>
      </c>
      <c r="L102" s="1301"/>
      <c r="M102" s="1301"/>
      <c r="N102" s="1302"/>
      <c r="O102" s="903"/>
      <c r="P102" s="958"/>
      <c r="Q102" s="958"/>
      <c r="R102" s="958"/>
    </row>
    <row r="103" spans="1:22" ht="15.75" x14ac:dyDescent="0.2">
      <c r="A103" s="1286"/>
      <c r="B103" s="1286"/>
      <c r="C103" s="1283"/>
      <c r="D103" s="1286"/>
      <c r="E103" s="1283"/>
      <c r="F103" s="1286"/>
      <c r="G103" s="1303" t="s">
        <v>296</v>
      </c>
      <c r="H103" s="1285" t="s">
        <v>762</v>
      </c>
      <c r="I103" s="1285" t="s">
        <v>26</v>
      </c>
      <c r="J103" s="1285" t="s">
        <v>293</v>
      </c>
      <c r="K103" s="1303" t="s">
        <v>296</v>
      </c>
      <c r="L103" s="1285" t="s">
        <v>762</v>
      </c>
      <c r="M103" s="1285" t="s">
        <v>26</v>
      </c>
      <c r="N103" s="1285" t="s">
        <v>293</v>
      </c>
      <c r="O103" s="903"/>
      <c r="P103" s="1322" t="s">
        <v>619</v>
      </c>
      <c r="Q103" s="1319" t="s">
        <v>620</v>
      </c>
      <c r="R103" s="972"/>
    </row>
    <row r="104" spans="1:22" ht="16.5" thickBot="1" x14ac:dyDescent="0.25">
      <c r="A104" s="1287"/>
      <c r="B104" s="1287"/>
      <c r="C104" s="1284"/>
      <c r="D104" s="1287"/>
      <c r="E104" s="1284"/>
      <c r="F104" s="1287"/>
      <c r="G104" s="1304"/>
      <c r="H104" s="1287"/>
      <c r="I104" s="1287"/>
      <c r="J104" s="1287"/>
      <c r="K104" s="1304"/>
      <c r="L104" s="1287"/>
      <c r="M104" s="1287"/>
      <c r="N104" s="1287"/>
      <c r="O104" s="903"/>
      <c r="P104" s="1323"/>
      <c r="Q104" s="1320"/>
      <c r="R104" s="972"/>
    </row>
    <row r="105" spans="1:22" ht="16.5" thickBot="1" x14ac:dyDescent="0.25">
      <c r="A105" s="1110" t="s">
        <v>269</v>
      </c>
      <c r="B105" s="1350" t="s">
        <v>283</v>
      </c>
      <c r="C105" s="1351"/>
      <c r="D105" s="1351"/>
      <c r="E105" s="1351"/>
      <c r="F105" s="1351"/>
      <c r="G105" s="1351"/>
      <c r="H105" s="1351"/>
      <c r="I105" s="1351"/>
      <c r="J105" s="1351"/>
      <c r="K105" s="1351"/>
      <c r="L105" s="1351"/>
      <c r="M105" s="1351"/>
      <c r="N105" s="1351"/>
      <c r="O105" s="903"/>
      <c r="P105" s="1324"/>
      <c r="Q105" s="1321"/>
      <c r="R105" s="972"/>
    </row>
    <row r="106" spans="1:22" ht="15.75" x14ac:dyDescent="0.2">
      <c r="A106" s="1111" t="s">
        <v>87</v>
      </c>
      <c r="B106" s="1093" t="s">
        <v>569</v>
      </c>
      <c r="C106" s="1018" t="s">
        <v>13</v>
      </c>
      <c r="D106" s="1018" t="s">
        <v>235</v>
      </c>
      <c r="E106" s="1079">
        <v>44</v>
      </c>
      <c r="F106" s="1080">
        <v>12</v>
      </c>
      <c r="G106" s="1045"/>
      <c r="H106" s="996">
        <v>0</v>
      </c>
      <c r="I106" s="981">
        <f>(G106+H106)*$J$160</f>
        <v>0</v>
      </c>
      <c r="J106" s="1047">
        <f>G106+H106+I106</f>
        <v>0</v>
      </c>
      <c r="K106" s="995">
        <f>E106*F106*G106</f>
        <v>0</v>
      </c>
      <c r="L106" s="981">
        <f>E106*F106*H106</f>
        <v>0</v>
      </c>
      <c r="M106" s="981">
        <f>E106*F106*I106</f>
        <v>0</v>
      </c>
      <c r="N106" s="998">
        <f>E106*F106*J106</f>
        <v>0</v>
      </c>
      <c r="O106" s="903"/>
      <c r="P106" s="958"/>
      <c r="Q106" s="958"/>
      <c r="R106" s="958"/>
      <c r="S106" s="988" t="s">
        <v>628</v>
      </c>
      <c r="T106" s="988" t="s">
        <v>625</v>
      </c>
      <c r="U106" s="988" t="s">
        <v>626</v>
      </c>
      <c r="V106" s="988" t="s">
        <v>627</v>
      </c>
    </row>
    <row r="107" spans="1:22" ht="15.75" x14ac:dyDescent="0.2">
      <c r="A107" s="1112" t="s">
        <v>88</v>
      </c>
      <c r="B107" s="1095" t="s">
        <v>566</v>
      </c>
      <c r="C107" s="993" t="s">
        <v>17</v>
      </c>
      <c r="D107" s="993" t="s">
        <v>27</v>
      </c>
      <c r="E107" s="994">
        <v>3</v>
      </c>
      <c r="F107" s="1081">
        <v>12</v>
      </c>
      <c r="G107" s="1045"/>
      <c r="H107" s="1021">
        <v>0</v>
      </c>
      <c r="I107" s="1046">
        <f>ROUND((G107+H107)*$H$160,2)</f>
        <v>0</v>
      </c>
      <c r="J107" s="1047">
        <f>G107+H107+I107</f>
        <v>0</v>
      </c>
      <c r="K107" s="995">
        <f>E107*F107*G107</f>
        <v>0</v>
      </c>
      <c r="L107" s="981">
        <f>E107*F107*H107</f>
        <v>0</v>
      </c>
      <c r="M107" s="981">
        <f>E107*F107*I107</f>
        <v>0</v>
      </c>
      <c r="N107" s="998">
        <f>E107*F107*J107</f>
        <v>0</v>
      </c>
      <c r="O107" s="903"/>
      <c r="P107" s="1001" t="s">
        <v>629</v>
      </c>
      <c r="Q107" s="1001" t="s">
        <v>629</v>
      </c>
      <c r="R107" s="966"/>
      <c r="S107" s="1001" t="s">
        <v>621</v>
      </c>
      <c r="T107" s="1001">
        <f>SUMIF($P$107:$P$111,S107,$E$106:$E$110)</f>
        <v>0</v>
      </c>
      <c r="U107" s="1001">
        <f>SUMIFS($E$106:$E$110,$Q$107:$Q$111,U106,$P$107:$P$111,S107)</f>
        <v>0</v>
      </c>
      <c r="V107" s="1001">
        <f>SUMIFS($E$106:$E$110,$Q$107:$Q$111,V106,$P$107:$P$111,S107)</f>
        <v>0</v>
      </c>
    </row>
    <row r="108" spans="1:22" ht="15.75" x14ac:dyDescent="0.2">
      <c r="A108" s="1113" t="s">
        <v>270</v>
      </c>
      <c r="B108" s="1114" t="s">
        <v>39</v>
      </c>
      <c r="C108" s="993" t="s">
        <v>19</v>
      </c>
      <c r="D108" s="993" t="s">
        <v>27</v>
      </c>
      <c r="E108" s="994">
        <v>8</v>
      </c>
      <c r="F108" s="1081">
        <v>12</v>
      </c>
      <c r="G108" s="1045"/>
      <c r="H108" s="1021">
        <v>0</v>
      </c>
      <c r="I108" s="1046">
        <f>ROUND((G108+H108)*$H$160,2)</f>
        <v>0</v>
      </c>
      <c r="J108" s="1047">
        <f>G108+H108+I108</f>
        <v>0</v>
      </c>
      <c r="K108" s="995">
        <f>E108*F108*G108</f>
        <v>0</v>
      </c>
      <c r="L108" s="981">
        <f>E108*F108*H108</f>
        <v>0</v>
      </c>
      <c r="M108" s="981">
        <f>E108*F108*I108</f>
        <v>0</v>
      </c>
      <c r="N108" s="998">
        <f>E108*F108*J108</f>
        <v>0</v>
      </c>
      <c r="O108" s="903"/>
      <c r="P108" s="1001" t="s">
        <v>624</v>
      </c>
      <c r="Q108" s="1001" t="s">
        <v>622</v>
      </c>
      <c r="R108" s="966"/>
      <c r="S108" s="1001" t="s">
        <v>624</v>
      </c>
      <c r="T108" s="1001">
        <f>SUMIF($P$107:$P$111,S108,$E$106:$E$110)</f>
        <v>23</v>
      </c>
      <c r="U108" s="1001">
        <f>SUMIFS($E$106:$E$110,$Q$107:$Q$111,U106,$P$107:$P$111,S108)</f>
        <v>3</v>
      </c>
      <c r="V108" s="1001">
        <f>SUMIFS($E$106:$E$110,$Q$107:$Q$111,V106,$P$107:$P$111,S108)</f>
        <v>20</v>
      </c>
    </row>
    <row r="109" spans="1:22" ht="15.75" x14ac:dyDescent="0.2">
      <c r="A109" s="1113" t="s">
        <v>270</v>
      </c>
      <c r="B109" s="1114" t="s">
        <v>10</v>
      </c>
      <c r="C109" s="993" t="s">
        <v>20</v>
      </c>
      <c r="D109" s="993" t="s">
        <v>27</v>
      </c>
      <c r="E109" s="994">
        <v>6</v>
      </c>
      <c r="F109" s="1081">
        <v>12</v>
      </c>
      <c r="G109" s="1045"/>
      <c r="H109" s="1021">
        <v>0</v>
      </c>
      <c r="I109" s="1046">
        <f>ROUND((G109+H109)*$H$160,2)</f>
        <v>0</v>
      </c>
      <c r="J109" s="1047">
        <f>G109+H109+I109</f>
        <v>0</v>
      </c>
      <c r="K109" s="995">
        <f>E109*F109*G109</f>
        <v>0</v>
      </c>
      <c r="L109" s="981">
        <f>E109*F109*H109</f>
        <v>0</v>
      </c>
      <c r="M109" s="981">
        <f>E109*F109*I109</f>
        <v>0</v>
      </c>
      <c r="N109" s="998">
        <f>E109*F109*J109</f>
        <v>0</v>
      </c>
      <c r="O109" s="903"/>
      <c r="P109" s="1001" t="s">
        <v>624</v>
      </c>
      <c r="Q109" s="1001" t="s">
        <v>623</v>
      </c>
      <c r="R109" s="966"/>
    </row>
    <row r="110" spans="1:22" ht="16.5" thickBot="1" x14ac:dyDescent="0.25">
      <c r="A110" s="1113" t="s">
        <v>270</v>
      </c>
      <c r="B110" s="1115" t="s">
        <v>567</v>
      </c>
      <c r="C110" s="1106" t="s">
        <v>568</v>
      </c>
      <c r="D110" s="1106" t="s">
        <v>27</v>
      </c>
      <c r="E110" s="1116">
        <v>6</v>
      </c>
      <c r="F110" s="1117">
        <v>12</v>
      </c>
      <c r="G110" s="1045"/>
      <c r="H110" s="1021">
        <v>0</v>
      </c>
      <c r="I110" s="1046">
        <f>ROUND((G110+H110)*$H$160,2)</f>
        <v>0</v>
      </c>
      <c r="J110" s="1047">
        <f>G110+H110+I110</f>
        <v>0</v>
      </c>
      <c r="K110" s="995">
        <f>E110*F110*G110</f>
        <v>0</v>
      </c>
      <c r="L110" s="981">
        <f>E110*F110*H110</f>
        <v>0</v>
      </c>
      <c r="M110" s="981">
        <f>E110*F110*I110</f>
        <v>0</v>
      </c>
      <c r="N110" s="998">
        <f>E110*F110*J110</f>
        <v>0</v>
      </c>
      <c r="O110" s="903"/>
      <c r="P110" s="1001" t="s">
        <v>624</v>
      </c>
      <c r="Q110" s="1001" t="s">
        <v>623</v>
      </c>
      <c r="R110" s="966"/>
    </row>
    <row r="111" spans="1:22" ht="16.5" thickBot="1" x14ac:dyDescent="0.25">
      <c r="A111" s="1325" t="s">
        <v>500</v>
      </c>
      <c r="B111" s="1314"/>
      <c r="C111" s="1314"/>
      <c r="D111" s="1314"/>
      <c r="E111" s="1314"/>
      <c r="F111" s="1314"/>
      <c r="G111" s="1314"/>
      <c r="H111" s="1314"/>
      <c r="I111" s="1314"/>
      <c r="J111" s="1315"/>
      <c r="K111" s="1072">
        <f>SUM(K107:K110)</f>
        <v>0</v>
      </c>
      <c r="L111" s="1073">
        <f>SUM(L107:L110)</f>
        <v>0</v>
      </c>
      <c r="M111" s="1073">
        <f>SUM(M107:M110)</f>
        <v>0</v>
      </c>
      <c r="N111" s="1073">
        <f>SUM(N107:N110)</f>
        <v>0</v>
      </c>
      <c r="O111" s="903"/>
      <c r="P111" s="1001" t="s">
        <v>624</v>
      </c>
      <c r="Q111" s="1001" t="s">
        <v>623</v>
      </c>
      <c r="R111" s="966"/>
    </row>
    <row r="112" spans="1:22" ht="16.5" thickBot="1" x14ac:dyDescent="0.25">
      <c r="A112" s="1312" t="s">
        <v>501</v>
      </c>
      <c r="B112" s="1314"/>
      <c r="C112" s="1314"/>
      <c r="D112" s="1314"/>
      <c r="E112" s="1314"/>
      <c r="F112" s="1314"/>
      <c r="G112" s="1314"/>
      <c r="H112" s="1314"/>
      <c r="I112" s="1314"/>
      <c r="J112" s="1315"/>
      <c r="K112" s="1101">
        <f>K106</f>
        <v>0</v>
      </c>
      <c r="L112" s="1083">
        <f>L106</f>
        <v>0</v>
      </c>
      <c r="M112" s="1083">
        <f>M106</f>
        <v>0</v>
      </c>
      <c r="N112" s="1083">
        <f>N106</f>
        <v>0</v>
      </c>
      <c r="O112" s="903"/>
      <c r="P112" s="958"/>
      <c r="Q112" s="958"/>
      <c r="R112" s="958"/>
    </row>
    <row r="113" spans="1:23" ht="16.5" thickBot="1" x14ac:dyDescent="0.25">
      <c r="A113" s="1165" t="s">
        <v>271</v>
      </c>
      <c r="B113" s="1316"/>
      <c r="C113" s="1316"/>
      <c r="D113" s="1316"/>
      <c r="E113" s="1316"/>
      <c r="F113" s="1316"/>
      <c r="G113" s="1317"/>
      <c r="H113" s="1317"/>
      <c r="I113" s="1317"/>
      <c r="J113" s="1318"/>
      <c r="K113" s="1041">
        <f>SUM(K111:K112)</f>
        <v>0</v>
      </c>
      <c r="L113" s="1084">
        <f>SUM(L111:L112)</f>
        <v>0</v>
      </c>
      <c r="M113" s="1084">
        <f>SUM(M111:M112)</f>
        <v>0</v>
      </c>
      <c r="N113" s="1084">
        <f>SUM(N111:N112)</f>
        <v>0</v>
      </c>
      <c r="O113" s="903"/>
      <c r="P113" s="958"/>
      <c r="Q113" s="958"/>
      <c r="R113" s="958"/>
    </row>
    <row r="114" spans="1:23" ht="15.75" x14ac:dyDescent="0.2">
      <c r="A114" s="957"/>
      <c r="B114" s="961"/>
      <c r="C114" s="958"/>
      <c r="D114" s="957"/>
      <c r="E114" s="957"/>
      <c r="F114" s="957"/>
      <c r="G114" s="958"/>
      <c r="H114" s="958"/>
      <c r="I114" s="958"/>
      <c r="J114" s="958"/>
      <c r="K114" s="958"/>
      <c r="L114" s="958"/>
      <c r="M114" s="958"/>
      <c r="N114" s="958"/>
      <c r="O114" s="903"/>
      <c r="P114" s="958"/>
      <c r="Q114" s="958"/>
      <c r="R114" s="958"/>
    </row>
    <row r="115" spans="1:23" ht="15.75" x14ac:dyDescent="0.2">
      <c r="A115" s="957"/>
      <c r="B115" s="961"/>
      <c r="C115" s="958"/>
      <c r="D115" s="957"/>
      <c r="E115" s="957"/>
      <c r="F115" s="957"/>
      <c r="G115" s="958"/>
      <c r="H115" s="958"/>
      <c r="I115" s="958"/>
      <c r="J115" s="958"/>
      <c r="K115" s="958"/>
      <c r="L115" s="958"/>
      <c r="M115" s="958"/>
      <c r="N115" s="958"/>
      <c r="O115" s="903"/>
      <c r="P115" s="958"/>
      <c r="Q115" s="958"/>
      <c r="R115" s="958"/>
    </row>
    <row r="116" spans="1:23" ht="15.75" x14ac:dyDescent="0.2">
      <c r="A116" s="957"/>
      <c r="B116" s="961"/>
      <c r="C116" s="958"/>
      <c r="D116" s="957"/>
      <c r="E116" s="957"/>
      <c r="F116" s="957"/>
      <c r="G116" s="958"/>
      <c r="H116" s="958"/>
      <c r="I116" s="958"/>
      <c r="J116" s="958"/>
      <c r="K116" s="958"/>
      <c r="L116" s="958"/>
      <c r="M116" s="958"/>
      <c r="N116" s="958"/>
      <c r="O116" s="903"/>
      <c r="P116" s="958"/>
      <c r="Q116" s="958"/>
      <c r="R116" s="958"/>
    </row>
    <row r="117" spans="1:23" ht="16.5" thickBot="1" x14ac:dyDescent="0.25">
      <c r="A117" s="957"/>
      <c r="B117" s="961"/>
      <c r="C117" s="958"/>
      <c r="D117" s="957"/>
      <c r="E117" s="957"/>
      <c r="F117" s="957"/>
      <c r="G117" s="958"/>
      <c r="H117" s="958"/>
      <c r="I117" s="958"/>
      <c r="J117" s="958"/>
      <c r="K117" s="958"/>
      <c r="L117" s="958"/>
      <c r="M117" s="958"/>
      <c r="N117" s="958"/>
      <c r="O117" s="903"/>
      <c r="P117" s="958"/>
      <c r="Q117" s="958"/>
      <c r="R117" s="958"/>
    </row>
    <row r="118" spans="1:23" ht="16.5" thickBot="1" x14ac:dyDescent="0.25">
      <c r="A118" s="1285" t="s">
        <v>0</v>
      </c>
      <c r="B118" s="1285" t="s">
        <v>1</v>
      </c>
      <c r="C118" s="1282" t="s">
        <v>297</v>
      </c>
      <c r="D118" s="1285" t="s">
        <v>2</v>
      </c>
      <c r="E118" s="1282" t="s">
        <v>3</v>
      </c>
      <c r="F118" s="1285" t="s">
        <v>242</v>
      </c>
      <c r="G118" s="1300" t="s">
        <v>25</v>
      </c>
      <c r="H118" s="1301"/>
      <c r="I118" s="1301"/>
      <c r="J118" s="1302"/>
      <c r="K118" s="1300" t="s">
        <v>766</v>
      </c>
      <c r="L118" s="1301"/>
      <c r="M118" s="1301"/>
      <c r="N118" s="1302"/>
      <c r="O118" s="903"/>
      <c r="P118" s="958"/>
      <c r="Q118" s="958"/>
      <c r="R118" s="958"/>
    </row>
    <row r="119" spans="1:23" ht="15.75" x14ac:dyDescent="0.2">
      <c r="A119" s="1286"/>
      <c r="B119" s="1286"/>
      <c r="C119" s="1283"/>
      <c r="D119" s="1286"/>
      <c r="E119" s="1283"/>
      <c r="F119" s="1286"/>
      <c r="G119" s="1303" t="s">
        <v>296</v>
      </c>
      <c r="H119" s="1285" t="s">
        <v>762</v>
      </c>
      <c r="I119" s="1285" t="s">
        <v>26</v>
      </c>
      <c r="J119" s="1285" t="s">
        <v>293</v>
      </c>
      <c r="K119" s="1303" t="s">
        <v>296</v>
      </c>
      <c r="L119" s="1285" t="s">
        <v>762</v>
      </c>
      <c r="M119" s="1285" t="s">
        <v>26</v>
      </c>
      <c r="N119" s="1285" t="s">
        <v>293</v>
      </c>
      <c r="O119" s="903"/>
      <c r="P119" s="1322" t="s">
        <v>619</v>
      </c>
      <c r="Q119" s="1319" t="s">
        <v>620</v>
      </c>
      <c r="R119" s="972"/>
    </row>
    <row r="120" spans="1:23" ht="16.5" thickBot="1" x14ac:dyDescent="0.25">
      <c r="A120" s="1287"/>
      <c r="B120" s="1287"/>
      <c r="C120" s="1284"/>
      <c r="D120" s="1287"/>
      <c r="E120" s="1284"/>
      <c r="F120" s="1287"/>
      <c r="G120" s="1304"/>
      <c r="H120" s="1287"/>
      <c r="I120" s="1287"/>
      <c r="J120" s="1287"/>
      <c r="K120" s="1304"/>
      <c r="L120" s="1287"/>
      <c r="M120" s="1287"/>
      <c r="N120" s="1287"/>
      <c r="O120" s="903"/>
      <c r="P120" s="1323"/>
      <c r="Q120" s="1320"/>
      <c r="R120" s="972"/>
      <c r="S120" s="988" t="s">
        <v>628</v>
      </c>
      <c r="T120" s="988" t="s">
        <v>625</v>
      </c>
      <c r="U120" s="988" t="s">
        <v>626</v>
      </c>
      <c r="V120" s="988" t="s">
        <v>627</v>
      </c>
      <c r="W120" s="988" t="s">
        <v>632</v>
      </c>
    </row>
    <row r="121" spans="1:23" ht="16.5" thickBot="1" x14ac:dyDescent="0.25">
      <c r="A121" s="1118">
        <v>7</v>
      </c>
      <c r="B121" s="1351" t="s">
        <v>797</v>
      </c>
      <c r="C121" s="1351"/>
      <c r="D121" s="1351"/>
      <c r="E121" s="1351"/>
      <c r="F121" s="1351"/>
      <c r="G121" s="1351"/>
      <c r="H121" s="1351"/>
      <c r="I121" s="1351"/>
      <c r="J121" s="1351"/>
      <c r="K121" s="1351"/>
      <c r="L121" s="1351"/>
      <c r="M121" s="1351"/>
      <c r="N121" s="1351"/>
      <c r="O121" s="903"/>
      <c r="P121" s="1324"/>
      <c r="Q121" s="1321"/>
      <c r="R121" s="972"/>
      <c r="S121" s="1001" t="s">
        <v>621</v>
      </c>
      <c r="T121" s="1001">
        <f>SUMIF($P$124:$P$149,S121,$E$123:$E$148)</f>
        <v>0</v>
      </c>
      <c r="U121" s="1001">
        <f>SUMIFS($E$123:$E$148,$Q$124:$Q$149,U120,$P$124:$P$149,S121)</f>
        <v>0</v>
      </c>
      <c r="V121" s="1001">
        <f>SUMIFS($E$123:$E$148,$Q$124:$Q$149,V120,$P$124:$P$149,S121)</f>
        <v>0</v>
      </c>
      <c r="W121" s="1001">
        <f>SUMIFS($E$123:$E$148,$Q$124:$Q$149,W120,$P$124:$P$149,T121)</f>
        <v>0</v>
      </c>
    </row>
    <row r="122" spans="1:23" ht="16.5" thickBot="1" x14ac:dyDescent="0.25">
      <c r="A122" s="1119" t="s">
        <v>529</v>
      </c>
      <c r="B122" s="1341" t="s">
        <v>527</v>
      </c>
      <c r="C122" s="1342"/>
      <c r="D122" s="1342"/>
      <c r="E122" s="1342"/>
      <c r="F122" s="1342"/>
      <c r="G122" s="1342"/>
      <c r="H122" s="1342"/>
      <c r="I122" s="1342"/>
      <c r="J122" s="1342"/>
      <c r="K122" s="1342"/>
      <c r="L122" s="1342"/>
      <c r="M122" s="1342"/>
      <c r="N122" s="1342"/>
      <c r="O122" s="903"/>
      <c r="P122" s="958"/>
      <c r="Q122" s="958"/>
      <c r="R122" s="958"/>
      <c r="S122" s="1001" t="s">
        <v>624</v>
      </c>
      <c r="T122" s="1001">
        <f>SUMIF($P$124:$P$149,S122,$E$123:$E$148)</f>
        <v>18</v>
      </c>
      <c r="U122" s="1001">
        <f>SUMIFS($E$123:$E$148,$Q$124:$Q$149,U120,$P$124:$P$149,S122)</f>
        <v>15</v>
      </c>
      <c r="V122" s="1001">
        <f>SUMIFS($E$123:$E$148,$Q$124:$Q$149,V120,$P$124:$P$149,S122)</f>
        <v>2</v>
      </c>
      <c r="W122" s="1001">
        <f>SUMIFS($E$123:$E$148,$Q$124:$Q$149,W120,$P$124:$P$149,S122)</f>
        <v>1</v>
      </c>
    </row>
    <row r="123" spans="1:23" ht="16.5" thickBot="1" x14ac:dyDescent="0.25">
      <c r="A123" s="1120" t="s">
        <v>531</v>
      </c>
      <c r="B123" s="1121" t="s">
        <v>555</v>
      </c>
      <c r="C123" s="1122" t="s">
        <v>97</v>
      </c>
      <c r="D123" s="1123" t="s">
        <v>27</v>
      </c>
      <c r="E123" s="1122">
        <v>4</v>
      </c>
      <c r="F123" s="1122">
        <v>18</v>
      </c>
      <c r="G123" s="1045"/>
      <c r="H123" s="1021">
        <v>0</v>
      </c>
      <c r="I123" s="1046">
        <f>ROUND((G123+H123)*$I$160,2)</f>
        <v>0</v>
      </c>
      <c r="J123" s="1047">
        <f>G123+H123+I123</f>
        <v>0</v>
      </c>
      <c r="K123" s="995">
        <f>E123*F123*G123</f>
        <v>0</v>
      </c>
      <c r="L123" s="981">
        <f>E123*F123*H123</f>
        <v>0</v>
      </c>
      <c r="M123" s="981">
        <f>E123*F123*I123</f>
        <v>0</v>
      </c>
      <c r="N123" s="998">
        <f>E123*F123*J123</f>
        <v>0</v>
      </c>
      <c r="O123" s="903"/>
      <c r="P123" s="958"/>
      <c r="Q123" s="958"/>
      <c r="R123" s="958"/>
    </row>
    <row r="124" spans="1:23" ht="16.5" thickBot="1" x14ac:dyDescent="0.25">
      <c r="A124" s="1125" t="s">
        <v>532</v>
      </c>
      <c r="B124" s="1126" t="s">
        <v>272</v>
      </c>
      <c r="C124" s="1127" t="s">
        <v>66</v>
      </c>
      <c r="D124" s="1128" t="s">
        <v>235</v>
      </c>
      <c r="E124" s="1127">
        <f>32*4</f>
        <v>128</v>
      </c>
      <c r="F124" s="1127">
        <v>18</v>
      </c>
      <c r="G124" s="1045"/>
      <c r="H124" s="1129">
        <v>0</v>
      </c>
      <c r="I124" s="1130">
        <f>ROUND((G124+H124)*$G$160,2)</f>
        <v>0</v>
      </c>
      <c r="J124" s="1131">
        <f>G124+H124+I124</f>
        <v>0</v>
      </c>
      <c r="K124" s="1132">
        <f>E124*F124*G124</f>
        <v>0</v>
      </c>
      <c r="L124" s="1133">
        <f>E124*F124*H124</f>
        <v>0</v>
      </c>
      <c r="M124" s="1133">
        <f>E124*F124*I124</f>
        <v>0</v>
      </c>
      <c r="N124" s="1134">
        <f>E124*F124*J124</f>
        <v>0</v>
      </c>
      <c r="O124" s="903"/>
      <c r="P124" s="1124" t="s">
        <v>631</v>
      </c>
      <c r="Q124" s="987" t="s">
        <v>623</v>
      </c>
      <c r="R124" s="966"/>
    </row>
    <row r="125" spans="1:23" ht="16.5" thickBot="1" x14ac:dyDescent="0.25">
      <c r="A125" s="1136" t="s">
        <v>530</v>
      </c>
      <c r="B125" s="1353" t="s">
        <v>528</v>
      </c>
      <c r="C125" s="1354"/>
      <c r="D125" s="1354"/>
      <c r="E125" s="1354"/>
      <c r="F125" s="1354"/>
      <c r="G125" s="1354"/>
      <c r="H125" s="1354"/>
      <c r="I125" s="1354"/>
      <c r="J125" s="1354"/>
      <c r="K125" s="1354"/>
      <c r="L125" s="1354"/>
      <c r="M125" s="1354"/>
      <c r="N125" s="1354"/>
      <c r="O125" s="903"/>
      <c r="P125" s="1135" t="s">
        <v>631</v>
      </c>
      <c r="Q125" s="1000" t="s">
        <v>630</v>
      </c>
      <c r="R125" s="966"/>
    </row>
    <row r="126" spans="1:23" ht="15.75" x14ac:dyDescent="0.2">
      <c r="A126" s="1120" t="s">
        <v>533</v>
      </c>
      <c r="B126" s="1121" t="s">
        <v>230</v>
      </c>
      <c r="C126" s="1122" t="s">
        <v>95</v>
      </c>
      <c r="D126" s="1123" t="s">
        <v>27</v>
      </c>
      <c r="E126" s="1122">
        <v>1</v>
      </c>
      <c r="F126" s="1137">
        <v>18</v>
      </c>
      <c r="G126" s="1045"/>
      <c r="H126" s="1021">
        <v>0</v>
      </c>
      <c r="I126" s="1046">
        <f t="shared" ref="I126:I133" si="22">ROUND((G126+H126)*$I$160,2)</f>
        <v>0</v>
      </c>
      <c r="J126" s="1047">
        <f t="shared" ref="J126:J131" si="23">G126+H126+I126</f>
        <v>0</v>
      </c>
      <c r="K126" s="980">
        <f t="shared" ref="K126:K133" si="24">E126*F126*G126</f>
        <v>0</v>
      </c>
      <c r="L126" s="982">
        <f t="shared" ref="L126:L133" si="25">E126*F126*H126</f>
        <v>0</v>
      </c>
      <c r="M126" s="982">
        <f t="shared" ref="M126:M133" si="26">E126*F126*I126</f>
        <v>0</v>
      </c>
      <c r="N126" s="984">
        <f>E126*F126*J126</f>
        <v>0</v>
      </c>
      <c r="O126" s="903"/>
      <c r="P126" s="999"/>
      <c r="Q126" s="1000"/>
      <c r="R126" s="966"/>
    </row>
    <row r="127" spans="1:23" ht="15.75" x14ac:dyDescent="0.2">
      <c r="A127" s="1138" t="s">
        <v>534</v>
      </c>
      <c r="B127" s="1027" t="s">
        <v>89</v>
      </c>
      <c r="C127" s="1139" t="s">
        <v>96</v>
      </c>
      <c r="D127" s="1004" t="s">
        <v>27</v>
      </c>
      <c r="E127" s="1139">
        <v>1</v>
      </c>
      <c r="F127" s="1030">
        <v>18</v>
      </c>
      <c r="G127" s="1045"/>
      <c r="H127" s="1021">
        <v>0</v>
      </c>
      <c r="I127" s="1046">
        <f t="shared" si="22"/>
        <v>0</v>
      </c>
      <c r="J127" s="1047">
        <f t="shared" si="23"/>
        <v>0</v>
      </c>
      <c r="K127" s="995">
        <f t="shared" si="24"/>
        <v>0</v>
      </c>
      <c r="L127" s="981">
        <f t="shared" si="25"/>
        <v>0</v>
      </c>
      <c r="M127" s="981">
        <f t="shared" si="26"/>
        <v>0</v>
      </c>
      <c r="N127" s="998">
        <f>E127*F127*J127</f>
        <v>0</v>
      </c>
      <c r="O127" s="903"/>
      <c r="P127" s="1135" t="s">
        <v>631</v>
      </c>
      <c r="Q127" s="1000" t="s">
        <v>622</v>
      </c>
      <c r="R127" s="966"/>
    </row>
    <row r="128" spans="1:23" ht="15.75" x14ac:dyDescent="0.2">
      <c r="A128" s="1138" t="s">
        <v>535</v>
      </c>
      <c r="B128" s="1027" t="s">
        <v>67</v>
      </c>
      <c r="C128" s="1139" t="s">
        <v>65</v>
      </c>
      <c r="D128" s="1004" t="s">
        <v>27</v>
      </c>
      <c r="E128" s="1139">
        <v>2</v>
      </c>
      <c r="F128" s="1030">
        <v>18</v>
      </c>
      <c r="G128" s="1045"/>
      <c r="H128" s="1021">
        <v>0</v>
      </c>
      <c r="I128" s="1046">
        <f t="shared" si="22"/>
        <v>0</v>
      </c>
      <c r="J128" s="1047">
        <f t="shared" si="23"/>
        <v>0</v>
      </c>
      <c r="K128" s="995">
        <f t="shared" si="24"/>
        <v>0</v>
      </c>
      <c r="L128" s="981">
        <f t="shared" si="25"/>
        <v>0</v>
      </c>
      <c r="M128" s="981">
        <f t="shared" si="26"/>
        <v>0</v>
      </c>
      <c r="N128" s="998">
        <f t="shared" ref="N128" si="27">E128*F128*J128</f>
        <v>0</v>
      </c>
      <c r="O128" s="903"/>
      <c r="P128" s="1135" t="s">
        <v>631</v>
      </c>
      <c r="Q128" s="1000" t="s">
        <v>623</v>
      </c>
      <c r="R128" s="966"/>
    </row>
    <row r="129" spans="1:18" ht="15.75" x14ac:dyDescent="0.2">
      <c r="A129" s="1138" t="s">
        <v>536</v>
      </c>
      <c r="B129" s="1027" t="s">
        <v>555</v>
      </c>
      <c r="C129" s="1139" t="s">
        <v>97</v>
      </c>
      <c r="D129" s="1004" t="s">
        <v>27</v>
      </c>
      <c r="E129" s="1139">
        <v>1</v>
      </c>
      <c r="F129" s="1140">
        <v>18</v>
      </c>
      <c r="G129" s="1045"/>
      <c r="H129" s="1021">
        <v>0</v>
      </c>
      <c r="I129" s="1046">
        <f t="shared" si="22"/>
        <v>0</v>
      </c>
      <c r="J129" s="1047">
        <f t="shared" si="23"/>
        <v>0</v>
      </c>
      <c r="K129" s="995">
        <f t="shared" si="24"/>
        <v>0</v>
      </c>
      <c r="L129" s="981">
        <f t="shared" si="25"/>
        <v>0</v>
      </c>
      <c r="M129" s="981">
        <f t="shared" si="26"/>
        <v>0</v>
      </c>
      <c r="N129" s="998">
        <f>E129*F129*J129</f>
        <v>0</v>
      </c>
      <c r="O129" s="903"/>
      <c r="P129" s="1135" t="s">
        <v>631</v>
      </c>
      <c r="Q129" s="1000" t="s">
        <v>623</v>
      </c>
      <c r="R129" s="966"/>
    </row>
    <row r="130" spans="1:18" ht="15.75" x14ac:dyDescent="0.2">
      <c r="A130" s="1138" t="s">
        <v>537</v>
      </c>
      <c r="B130" s="1027" t="s">
        <v>273</v>
      </c>
      <c r="C130" s="1139" t="s">
        <v>20</v>
      </c>
      <c r="D130" s="1004" t="s">
        <v>27</v>
      </c>
      <c r="E130" s="1139">
        <v>2</v>
      </c>
      <c r="F130" s="1030">
        <v>18</v>
      </c>
      <c r="G130" s="1045"/>
      <c r="H130" s="1021">
        <v>0</v>
      </c>
      <c r="I130" s="1046">
        <f t="shared" si="22"/>
        <v>0</v>
      </c>
      <c r="J130" s="1047">
        <f t="shared" si="23"/>
        <v>0</v>
      </c>
      <c r="K130" s="995">
        <f t="shared" si="24"/>
        <v>0</v>
      </c>
      <c r="L130" s="981">
        <f t="shared" si="25"/>
        <v>0</v>
      </c>
      <c r="M130" s="981">
        <f t="shared" si="26"/>
        <v>0</v>
      </c>
      <c r="N130" s="998">
        <f>E130*F130*J130</f>
        <v>0</v>
      </c>
      <c r="O130" s="903"/>
      <c r="P130" s="1135" t="s">
        <v>631</v>
      </c>
      <c r="Q130" s="1000" t="s">
        <v>630</v>
      </c>
      <c r="R130" s="966"/>
    </row>
    <row r="131" spans="1:18" ht="15.75" x14ac:dyDescent="0.2">
      <c r="A131" s="1138" t="s">
        <v>538</v>
      </c>
      <c r="B131" s="1027" t="s">
        <v>557</v>
      </c>
      <c r="C131" s="1139" t="s">
        <v>66</v>
      </c>
      <c r="D131" s="1004" t="s">
        <v>27</v>
      </c>
      <c r="E131" s="1139">
        <v>2</v>
      </c>
      <c r="F131" s="1030">
        <v>18</v>
      </c>
      <c r="G131" s="1045"/>
      <c r="H131" s="1021">
        <v>0</v>
      </c>
      <c r="I131" s="1046">
        <f t="shared" si="22"/>
        <v>0</v>
      </c>
      <c r="J131" s="1047">
        <f t="shared" si="23"/>
        <v>0</v>
      </c>
      <c r="K131" s="995">
        <f t="shared" si="24"/>
        <v>0</v>
      </c>
      <c r="L131" s="981">
        <f t="shared" si="25"/>
        <v>0</v>
      </c>
      <c r="M131" s="981">
        <f t="shared" si="26"/>
        <v>0</v>
      </c>
      <c r="N131" s="998">
        <f>E131*F131*J131</f>
        <v>0</v>
      </c>
      <c r="O131" s="903"/>
      <c r="P131" s="1135" t="s">
        <v>631</v>
      </c>
      <c r="Q131" s="1000" t="s">
        <v>623</v>
      </c>
      <c r="R131" s="966"/>
    </row>
    <row r="132" spans="1:18" ht="15.75" x14ac:dyDescent="0.2">
      <c r="A132" s="1138" t="s">
        <v>539</v>
      </c>
      <c r="B132" s="1027" t="s">
        <v>274</v>
      </c>
      <c r="C132" s="1139" t="s">
        <v>66</v>
      </c>
      <c r="D132" s="1004" t="s">
        <v>27</v>
      </c>
      <c r="E132" s="1139">
        <v>1</v>
      </c>
      <c r="F132" s="1030">
        <v>18</v>
      </c>
      <c r="G132" s="1045"/>
      <c r="H132" s="1021">
        <v>0</v>
      </c>
      <c r="I132" s="1046">
        <f t="shared" si="22"/>
        <v>0</v>
      </c>
      <c r="J132" s="1047">
        <f t="shared" ref="J132" si="28">G132+H132+I132</f>
        <v>0</v>
      </c>
      <c r="K132" s="995">
        <f t="shared" si="24"/>
        <v>0</v>
      </c>
      <c r="L132" s="981">
        <f t="shared" si="25"/>
        <v>0</v>
      </c>
      <c r="M132" s="981">
        <f t="shared" si="26"/>
        <v>0</v>
      </c>
      <c r="N132" s="998">
        <f>E132*F132*J132</f>
        <v>0</v>
      </c>
      <c r="O132" s="903"/>
      <c r="P132" s="1135" t="s">
        <v>631</v>
      </c>
      <c r="Q132" s="1000" t="s">
        <v>630</v>
      </c>
      <c r="R132" s="966"/>
    </row>
    <row r="133" spans="1:18" ht="16.5" thickBot="1" x14ac:dyDescent="0.25">
      <c r="A133" s="1125" t="s">
        <v>556</v>
      </c>
      <c r="B133" s="1141" t="s">
        <v>94</v>
      </c>
      <c r="C133" s="1142" t="s">
        <v>97</v>
      </c>
      <c r="D133" s="1143" t="s">
        <v>27</v>
      </c>
      <c r="E133" s="1142">
        <v>2</v>
      </c>
      <c r="F133" s="1144">
        <v>18</v>
      </c>
      <c r="G133" s="1045"/>
      <c r="H133" s="1021">
        <v>0</v>
      </c>
      <c r="I133" s="1046">
        <f t="shared" si="22"/>
        <v>0</v>
      </c>
      <c r="J133" s="1047">
        <f>G133+H133+I133</f>
        <v>0</v>
      </c>
      <c r="K133" s="1012">
        <f t="shared" si="24"/>
        <v>0</v>
      </c>
      <c r="L133" s="1013">
        <f t="shared" si="25"/>
        <v>0</v>
      </c>
      <c r="M133" s="1013">
        <f t="shared" si="26"/>
        <v>0</v>
      </c>
      <c r="N133" s="1015">
        <f>E133*F133*J133</f>
        <v>0</v>
      </c>
      <c r="O133" s="903"/>
      <c r="P133" s="1135" t="s">
        <v>631</v>
      </c>
      <c r="Q133" s="1000" t="s">
        <v>630</v>
      </c>
      <c r="R133" s="966"/>
    </row>
    <row r="134" spans="1:18" ht="16.5" thickBot="1" x14ac:dyDescent="0.25">
      <c r="A134" s="1145" t="s">
        <v>540</v>
      </c>
      <c r="B134" s="1353" t="s">
        <v>558</v>
      </c>
      <c r="C134" s="1354"/>
      <c r="D134" s="1354"/>
      <c r="E134" s="1354"/>
      <c r="F134" s="1354"/>
      <c r="G134" s="1354"/>
      <c r="H134" s="1354"/>
      <c r="I134" s="1354"/>
      <c r="J134" s="1354"/>
      <c r="K134" s="1354"/>
      <c r="L134" s="1354"/>
      <c r="M134" s="1354"/>
      <c r="N134" s="1354"/>
      <c r="O134" s="903"/>
      <c r="P134" s="1135" t="s">
        <v>631</v>
      </c>
      <c r="Q134" s="1000" t="s">
        <v>630</v>
      </c>
      <c r="R134" s="966"/>
    </row>
    <row r="135" spans="1:18" ht="15.75" x14ac:dyDescent="0.2">
      <c r="A135" s="1138" t="s">
        <v>559</v>
      </c>
      <c r="B135" s="1027" t="s">
        <v>89</v>
      </c>
      <c r="C135" s="1139" t="s">
        <v>96</v>
      </c>
      <c r="D135" s="1004" t="s">
        <v>27</v>
      </c>
      <c r="E135" s="1139">
        <v>1</v>
      </c>
      <c r="F135" s="1139">
        <v>18</v>
      </c>
      <c r="G135" s="1045"/>
      <c r="H135" s="1021">
        <v>0</v>
      </c>
      <c r="I135" s="1046">
        <f>ROUND((G135+H135)*$H$160,2)</f>
        <v>0</v>
      </c>
      <c r="J135" s="1047">
        <f>G135+H135+I135</f>
        <v>0</v>
      </c>
      <c r="K135" s="995">
        <f>E135*F135*G135</f>
        <v>0</v>
      </c>
      <c r="L135" s="981">
        <f>E135*F135*H135</f>
        <v>0</v>
      </c>
      <c r="M135" s="981">
        <f>E135*F135*I135</f>
        <v>0</v>
      </c>
      <c r="N135" s="998">
        <f>E135*F135*J135</f>
        <v>0</v>
      </c>
      <c r="O135" s="903"/>
      <c r="P135" s="999"/>
      <c r="Q135" s="1000"/>
      <c r="R135" s="966"/>
    </row>
    <row r="136" spans="1:18" ht="15.75" x14ac:dyDescent="0.2">
      <c r="A136" s="1138" t="s">
        <v>560</v>
      </c>
      <c r="B136" s="1027" t="s">
        <v>273</v>
      </c>
      <c r="C136" s="1139" t="s">
        <v>20</v>
      </c>
      <c r="D136" s="1004" t="s">
        <v>27</v>
      </c>
      <c r="E136" s="1139">
        <v>1</v>
      </c>
      <c r="F136" s="1139">
        <v>18</v>
      </c>
      <c r="G136" s="1045"/>
      <c r="H136" s="1021">
        <v>0</v>
      </c>
      <c r="I136" s="1046">
        <f>ROUND((G136+H136)*$H$160,2)</f>
        <v>0</v>
      </c>
      <c r="J136" s="1047">
        <f>G136+H136+I136</f>
        <v>0</v>
      </c>
      <c r="K136" s="995">
        <f>E136*F136*G136</f>
        <v>0</v>
      </c>
      <c r="L136" s="981">
        <f>E136*F136*H136</f>
        <v>0</v>
      </c>
      <c r="M136" s="981">
        <f>E136*F136*I136</f>
        <v>0</v>
      </c>
      <c r="N136" s="998">
        <f>E136*F136*J136</f>
        <v>0</v>
      </c>
      <c r="O136" s="903"/>
      <c r="P136" s="999" t="s">
        <v>624</v>
      </c>
      <c r="Q136" s="1000" t="s">
        <v>623</v>
      </c>
      <c r="R136" s="966"/>
    </row>
    <row r="137" spans="1:18" ht="16.5" thickBot="1" x14ac:dyDescent="0.25">
      <c r="A137" s="1146" t="s">
        <v>561</v>
      </c>
      <c r="B137" s="1126" t="s">
        <v>272</v>
      </c>
      <c r="C137" s="1127" t="s">
        <v>66</v>
      </c>
      <c r="D137" s="1128" t="s">
        <v>27</v>
      </c>
      <c r="E137" s="1127">
        <v>1</v>
      </c>
      <c r="F137" s="1127">
        <v>18</v>
      </c>
      <c r="G137" s="1045"/>
      <c r="H137" s="1021">
        <v>0</v>
      </c>
      <c r="I137" s="1046">
        <f>ROUND((G137+H137)*$H$160,2)</f>
        <v>0</v>
      </c>
      <c r="J137" s="1047">
        <f>G137+H137+I137</f>
        <v>0</v>
      </c>
      <c r="K137" s="995">
        <f>E137*F137*G137</f>
        <v>0</v>
      </c>
      <c r="L137" s="981">
        <f>E137*F137*H137</f>
        <v>0</v>
      </c>
      <c r="M137" s="981">
        <f>E137*F137*I137</f>
        <v>0</v>
      </c>
      <c r="N137" s="998">
        <f>E137*F137*J137</f>
        <v>0</v>
      </c>
      <c r="O137" s="903"/>
      <c r="P137" s="999" t="s">
        <v>624</v>
      </c>
      <c r="Q137" s="1000" t="s">
        <v>623</v>
      </c>
      <c r="R137" s="966"/>
    </row>
    <row r="138" spans="1:18" ht="16.5" thickBot="1" x14ac:dyDescent="0.25">
      <c r="A138" s="1119" t="s">
        <v>541</v>
      </c>
      <c r="B138" s="1352" t="s">
        <v>549</v>
      </c>
      <c r="C138" s="1352"/>
      <c r="D138" s="1352"/>
      <c r="E138" s="1352"/>
      <c r="F138" s="1352"/>
      <c r="G138" s="1352"/>
      <c r="H138" s="1352"/>
      <c r="I138" s="1352"/>
      <c r="J138" s="1352"/>
      <c r="K138" s="1352"/>
      <c r="L138" s="1352"/>
      <c r="M138" s="1352"/>
      <c r="N138" s="1352"/>
      <c r="O138" s="903"/>
      <c r="P138" s="999" t="s">
        <v>624</v>
      </c>
      <c r="Q138" s="1000" t="s">
        <v>630</v>
      </c>
      <c r="R138" s="966"/>
    </row>
    <row r="139" spans="1:18" ht="30" x14ac:dyDescent="0.2">
      <c r="A139" s="1120" t="s">
        <v>542</v>
      </c>
      <c r="B139" s="1147" t="s">
        <v>523</v>
      </c>
      <c r="C139" s="978" t="s">
        <v>15</v>
      </c>
      <c r="D139" s="978" t="s">
        <v>27</v>
      </c>
      <c r="E139" s="977">
        <v>1</v>
      </c>
      <c r="F139" s="977">
        <v>18</v>
      </c>
      <c r="G139" s="1045"/>
      <c r="H139" s="1021">
        <v>0</v>
      </c>
      <c r="I139" s="1046">
        <f t="shared" ref="I139:I148" si="29">ROUND((G139+H139)*$H$160,2)</f>
        <v>0</v>
      </c>
      <c r="J139" s="1047">
        <f>G139+H139+I139</f>
        <v>0</v>
      </c>
      <c r="K139" s="995">
        <f>E139*F139*G139</f>
        <v>0</v>
      </c>
      <c r="L139" s="981">
        <f>(E139*F139*H139)/2</f>
        <v>0</v>
      </c>
      <c r="M139" s="981">
        <f>E139*F139*I139</f>
        <v>0</v>
      </c>
      <c r="N139" s="998">
        <f>E139*F139*J139</f>
        <v>0</v>
      </c>
      <c r="O139" s="903"/>
      <c r="P139" s="999"/>
      <c r="Q139" s="1000"/>
      <c r="R139" s="966"/>
    </row>
    <row r="140" spans="1:18" ht="30" x14ac:dyDescent="0.2">
      <c r="A140" s="1138" t="s">
        <v>543</v>
      </c>
      <c r="B140" s="1148" t="s">
        <v>523</v>
      </c>
      <c r="C140" s="1128" t="s">
        <v>227</v>
      </c>
      <c r="D140" s="1128" t="s">
        <v>27</v>
      </c>
      <c r="E140" s="1127">
        <v>2</v>
      </c>
      <c r="F140" s="1127">
        <v>18</v>
      </c>
      <c r="G140" s="1045"/>
      <c r="H140" s="1021">
        <v>0</v>
      </c>
      <c r="I140" s="1046">
        <f t="shared" si="29"/>
        <v>0</v>
      </c>
      <c r="J140" s="1047">
        <f>G140+H140+I140</f>
        <v>0</v>
      </c>
      <c r="K140" s="995">
        <f>E140*F140*G140</f>
        <v>0</v>
      </c>
      <c r="L140" s="981">
        <f>(E140*F140*H140)/2</f>
        <v>0</v>
      </c>
      <c r="M140" s="981">
        <f>E140*F140*I140</f>
        <v>0</v>
      </c>
      <c r="N140" s="998">
        <f>E140*F140*J140</f>
        <v>0</v>
      </c>
      <c r="O140" s="903"/>
      <c r="P140" s="999" t="s">
        <v>624</v>
      </c>
      <c r="Q140" s="1000" t="s">
        <v>622</v>
      </c>
      <c r="R140" s="966"/>
    </row>
    <row r="141" spans="1:18" ht="15.75" x14ac:dyDescent="0.2">
      <c r="A141" s="1138" t="s">
        <v>544</v>
      </c>
      <c r="B141" s="1027" t="s">
        <v>616</v>
      </c>
      <c r="C141" s="1004" t="s">
        <v>17</v>
      </c>
      <c r="D141" s="1004" t="s">
        <v>27</v>
      </c>
      <c r="E141" s="1004">
        <v>2</v>
      </c>
      <c r="F141" s="1004">
        <v>18</v>
      </c>
      <c r="G141" s="1045"/>
      <c r="H141" s="981">
        <f t="shared" ref="H141:H148" si="30">ROUND((G141*$D$160)*30%,2)</f>
        <v>0</v>
      </c>
      <c r="I141" s="1046">
        <f t="shared" si="29"/>
        <v>0</v>
      </c>
      <c r="J141" s="1047">
        <f>G141+H141+I141</f>
        <v>0</v>
      </c>
      <c r="K141" s="995">
        <f>E141*F141*G141</f>
        <v>0</v>
      </c>
      <c r="L141" s="981">
        <f>(E141*(F141*30%)*H141)</f>
        <v>0</v>
      </c>
      <c r="M141" s="981">
        <f t="shared" ref="M141:M148" si="31">(K141+L141)*$H$160</f>
        <v>0</v>
      </c>
      <c r="N141" s="998">
        <f>K141+L141+M141</f>
        <v>0</v>
      </c>
      <c r="O141" s="903"/>
      <c r="P141" s="999" t="s">
        <v>624</v>
      </c>
      <c r="Q141" s="1000" t="s">
        <v>622</v>
      </c>
      <c r="R141" s="966"/>
    </row>
    <row r="142" spans="1:18" ht="15.75" x14ac:dyDescent="0.2">
      <c r="A142" s="1138" t="s">
        <v>545</v>
      </c>
      <c r="B142" s="1027" t="s">
        <v>275</v>
      </c>
      <c r="C142" s="1004" t="s">
        <v>15</v>
      </c>
      <c r="D142" s="1004" t="s">
        <v>27</v>
      </c>
      <c r="E142" s="1004">
        <v>3</v>
      </c>
      <c r="F142" s="1004">
        <v>18</v>
      </c>
      <c r="G142" s="1045"/>
      <c r="H142" s="981">
        <f t="shared" si="30"/>
        <v>0</v>
      </c>
      <c r="I142" s="1046">
        <f t="shared" si="29"/>
        <v>0</v>
      </c>
      <c r="J142" s="1047">
        <f>G142+H142+I142</f>
        <v>0</v>
      </c>
      <c r="K142" s="995">
        <f>E142*F142*G142</f>
        <v>0</v>
      </c>
      <c r="L142" s="981">
        <f>(E142*(F142*30%)*H142)</f>
        <v>0</v>
      </c>
      <c r="M142" s="981">
        <f t="shared" si="31"/>
        <v>0</v>
      </c>
      <c r="N142" s="998">
        <f t="shared" ref="N142:N147" si="32">K142+L142+M142</f>
        <v>0</v>
      </c>
      <c r="O142" s="903"/>
      <c r="P142" s="999" t="s">
        <v>624</v>
      </c>
      <c r="Q142" s="1000" t="s">
        <v>622</v>
      </c>
      <c r="R142" s="966"/>
    </row>
    <row r="143" spans="1:18" ht="15.75" x14ac:dyDescent="0.2">
      <c r="A143" s="1138" t="s">
        <v>546</v>
      </c>
      <c r="B143" s="1027" t="s">
        <v>276</v>
      </c>
      <c r="C143" s="1004" t="s">
        <v>15</v>
      </c>
      <c r="D143" s="1004" t="s">
        <v>27</v>
      </c>
      <c r="E143" s="1004">
        <v>1</v>
      </c>
      <c r="F143" s="1004">
        <v>18</v>
      </c>
      <c r="G143" s="1045"/>
      <c r="H143" s="981">
        <f t="shared" si="30"/>
        <v>0</v>
      </c>
      <c r="I143" s="1046">
        <f t="shared" si="29"/>
        <v>0</v>
      </c>
      <c r="J143" s="1047">
        <f t="shared" ref="J143:J147" si="33">G143+H143+I143</f>
        <v>0</v>
      </c>
      <c r="K143" s="995">
        <f>E143*F143*G143</f>
        <v>0</v>
      </c>
      <c r="L143" s="981">
        <f>(E143*(F143*30%)*H143)</f>
        <v>0</v>
      </c>
      <c r="M143" s="981">
        <f t="shared" si="31"/>
        <v>0</v>
      </c>
      <c r="N143" s="998">
        <f>K143+L143+M143</f>
        <v>0</v>
      </c>
      <c r="O143" s="903"/>
      <c r="P143" s="999" t="s">
        <v>624</v>
      </c>
      <c r="Q143" s="1000" t="s">
        <v>622</v>
      </c>
      <c r="R143" s="966"/>
    </row>
    <row r="144" spans="1:18" ht="15.75" x14ac:dyDescent="0.2">
      <c r="A144" s="1138" t="s">
        <v>547</v>
      </c>
      <c r="B144" s="1027" t="s">
        <v>238</v>
      </c>
      <c r="C144" s="1004" t="s">
        <v>15</v>
      </c>
      <c r="D144" s="1004" t="s">
        <v>27</v>
      </c>
      <c r="E144" s="1004">
        <v>1</v>
      </c>
      <c r="F144" s="1004">
        <v>18</v>
      </c>
      <c r="G144" s="1045"/>
      <c r="H144" s="981">
        <f t="shared" si="30"/>
        <v>0</v>
      </c>
      <c r="I144" s="1046">
        <f t="shared" si="29"/>
        <v>0</v>
      </c>
      <c r="J144" s="1047">
        <f t="shared" si="33"/>
        <v>0</v>
      </c>
      <c r="K144" s="995">
        <f t="shared" ref="K144:K147" si="34">E144*F144*G144</f>
        <v>0</v>
      </c>
      <c r="L144" s="981">
        <f t="shared" ref="L144:L147" si="35">(E144*(F144*30%)*H144)</f>
        <v>0</v>
      </c>
      <c r="M144" s="981">
        <f t="shared" si="31"/>
        <v>0</v>
      </c>
      <c r="N144" s="998">
        <f t="shared" si="32"/>
        <v>0</v>
      </c>
      <c r="O144" s="903"/>
      <c r="P144" s="999" t="s">
        <v>624</v>
      </c>
      <c r="Q144" s="1000" t="s">
        <v>622</v>
      </c>
      <c r="R144" s="966"/>
    </row>
    <row r="145" spans="1:24" ht="15.75" x14ac:dyDescent="0.2">
      <c r="A145" s="1138" t="s">
        <v>548</v>
      </c>
      <c r="B145" s="1027" t="s">
        <v>615</v>
      </c>
      <c r="C145" s="1004" t="s">
        <v>15</v>
      </c>
      <c r="D145" s="1004" t="s">
        <v>27</v>
      </c>
      <c r="E145" s="1004">
        <v>1</v>
      </c>
      <c r="F145" s="1004">
        <v>18</v>
      </c>
      <c r="G145" s="1045"/>
      <c r="H145" s="981">
        <f t="shared" si="30"/>
        <v>0</v>
      </c>
      <c r="I145" s="1046">
        <f t="shared" si="29"/>
        <v>0</v>
      </c>
      <c r="J145" s="1047">
        <f t="shared" si="33"/>
        <v>0</v>
      </c>
      <c r="K145" s="995">
        <f t="shared" si="34"/>
        <v>0</v>
      </c>
      <c r="L145" s="981">
        <f t="shared" si="35"/>
        <v>0</v>
      </c>
      <c r="M145" s="981">
        <f t="shared" si="31"/>
        <v>0</v>
      </c>
      <c r="N145" s="998">
        <f t="shared" si="32"/>
        <v>0</v>
      </c>
      <c r="O145" s="903"/>
      <c r="P145" s="999" t="s">
        <v>624</v>
      </c>
      <c r="Q145" s="1000" t="s">
        <v>622</v>
      </c>
      <c r="R145" s="966"/>
    </row>
    <row r="146" spans="1:24" ht="15.75" x14ac:dyDescent="0.2">
      <c r="A146" s="1138" t="s">
        <v>763</v>
      </c>
      <c r="B146" s="1027" t="s">
        <v>277</v>
      </c>
      <c r="C146" s="1004" t="s">
        <v>15</v>
      </c>
      <c r="D146" s="1004" t="s">
        <v>27</v>
      </c>
      <c r="E146" s="1004">
        <v>1</v>
      </c>
      <c r="F146" s="1004">
        <v>18</v>
      </c>
      <c r="G146" s="1045"/>
      <c r="H146" s="981">
        <f t="shared" si="30"/>
        <v>0</v>
      </c>
      <c r="I146" s="1046">
        <f t="shared" si="29"/>
        <v>0</v>
      </c>
      <c r="J146" s="1047">
        <f t="shared" si="33"/>
        <v>0</v>
      </c>
      <c r="K146" s="995">
        <f t="shared" si="34"/>
        <v>0</v>
      </c>
      <c r="L146" s="981">
        <f t="shared" si="35"/>
        <v>0</v>
      </c>
      <c r="M146" s="981">
        <f t="shared" si="31"/>
        <v>0</v>
      </c>
      <c r="N146" s="998">
        <f t="shared" si="32"/>
        <v>0</v>
      </c>
      <c r="O146" s="903"/>
      <c r="P146" s="999" t="s">
        <v>624</v>
      </c>
      <c r="Q146" s="1000" t="s">
        <v>622</v>
      </c>
      <c r="R146" s="966"/>
    </row>
    <row r="147" spans="1:24" ht="15.75" x14ac:dyDescent="0.2">
      <c r="A147" s="1138" t="s">
        <v>764</v>
      </c>
      <c r="B147" s="1027" t="s">
        <v>278</v>
      </c>
      <c r="C147" s="1004" t="s">
        <v>15</v>
      </c>
      <c r="D147" s="1004" t="s">
        <v>27</v>
      </c>
      <c r="E147" s="1004">
        <v>1</v>
      </c>
      <c r="F147" s="1004">
        <v>18</v>
      </c>
      <c r="G147" s="1045"/>
      <c r="H147" s="981">
        <f t="shared" si="30"/>
        <v>0</v>
      </c>
      <c r="I147" s="1046">
        <f t="shared" si="29"/>
        <v>0</v>
      </c>
      <c r="J147" s="1047">
        <f t="shared" si="33"/>
        <v>0</v>
      </c>
      <c r="K147" s="995">
        <f t="shared" si="34"/>
        <v>0</v>
      </c>
      <c r="L147" s="981">
        <f t="shared" si="35"/>
        <v>0</v>
      </c>
      <c r="M147" s="981">
        <f t="shared" si="31"/>
        <v>0</v>
      </c>
      <c r="N147" s="998">
        <f t="shared" si="32"/>
        <v>0</v>
      </c>
      <c r="O147" s="903"/>
      <c r="P147" s="999" t="s">
        <v>624</v>
      </c>
      <c r="Q147" s="1000" t="s">
        <v>622</v>
      </c>
      <c r="R147" s="966"/>
    </row>
    <row r="148" spans="1:24" ht="16.5" thickBot="1" x14ac:dyDescent="0.25">
      <c r="A148" s="1125" t="s">
        <v>765</v>
      </c>
      <c r="B148" s="1141" t="s">
        <v>617</v>
      </c>
      <c r="C148" s="1143" t="s">
        <v>36</v>
      </c>
      <c r="D148" s="1143" t="s">
        <v>27</v>
      </c>
      <c r="E148" s="1143">
        <v>2</v>
      </c>
      <c r="F148" s="1143">
        <v>18</v>
      </c>
      <c r="G148" s="1045"/>
      <c r="H148" s="981">
        <f t="shared" si="30"/>
        <v>0</v>
      </c>
      <c r="I148" s="1046">
        <f t="shared" si="29"/>
        <v>0</v>
      </c>
      <c r="J148" s="1047">
        <f>G148+H148+I148</f>
        <v>0</v>
      </c>
      <c r="K148" s="995">
        <f>E148*F148*G148</f>
        <v>0</v>
      </c>
      <c r="L148" s="981">
        <f>(E148*(F148*30%)*H148)</f>
        <v>0</v>
      </c>
      <c r="M148" s="981">
        <f t="shared" si="31"/>
        <v>0</v>
      </c>
      <c r="N148" s="998">
        <f>K148+L148+M148</f>
        <v>0</v>
      </c>
      <c r="O148" s="903"/>
      <c r="P148" s="999" t="s">
        <v>624</v>
      </c>
      <c r="Q148" s="1000" t="s">
        <v>622</v>
      </c>
      <c r="R148" s="966"/>
    </row>
    <row r="149" spans="1:24" ht="16.5" thickBot="1" x14ac:dyDescent="0.25">
      <c r="A149" s="1312" t="s">
        <v>775</v>
      </c>
      <c r="B149" s="1314"/>
      <c r="C149" s="1314"/>
      <c r="D149" s="1314"/>
      <c r="E149" s="1314"/>
      <c r="F149" s="1314"/>
      <c r="G149" s="1314"/>
      <c r="H149" s="1314"/>
      <c r="I149" s="1314"/>
      <c r="J149" s="1315"/>
      <c r="K149" s="1073">
        <f>K123+SUM(K126:K133)</f>
        <v>0</v>
      </c>
      <c r="L149" s="1073">
        <f>L123+SUM(L126:L133)</f>
        <v>0</v>
      </c>
      <c r="M149" s="1073">
        <f>M123+SUM(M126:M133)</f>
        <v>0</v>
      </c>
      <c r="N149" s="1073">
        <f>N123+SUM(N126:N133)</f>
        <v>0</v>
      </c>
      <c r="O149" s="903"/>
      <c r="P149" s="1038" t="s">
        <v>624</v>
      </c>
      <c r="Q149" s="1037" t="s">
        <v>622</v>
      </c>
      <c r="R149" s="966"/>
    </row>
    <row r="150" spans="1:24" ht="16.5" thickBot="1" x14ac:dyDescent="0.25">
      <c r="A150" s="1325" t="s">
        <v>776</v>
      </c>
      <c r="B150" s="1314"/>
      <c r="C150" s="1314"/>
      <c r="D150" s="1314"/>
      <c r="E150" s="1314"/>
      <c r="F150" s="1314"/>
      <c r="G150" s="1314"/>
      <c r="H150" s="1314"/>
      <c r="I150" s="1314"/>
      <c r="J150" s="1315"/>
      <c r="K150" s="1073">
        <f>SUM(K135:K148)</f>
        <v>0</v>
      </c>
      <c r="L150" s="1073">
        <f>SUM(L135:L148)</f>
        <v>0</v>
      </c>
      <c r="M150" s="1073">
        <f>SUM(M135:M148)</f>
        <v>0</v>
      </c>
      <c r="N150" s="1073">
        <f>SUM(N135:N148)</f>
        <v>0</v>
      </c>
      <c r="O150" s="903"/>
      <c r="P150" s="958"/>
      <c r="Q150" s="958"/>
      <c r="R150" s="958"/>
      <c r="S150" s="1305" t="s">
        <v>48</v>
      </c>
      <c r="T150" s="1305"/>
      <c r="U150" s="1305"/>
      <c r="V150" s="1305"/>
      <c r="W150" s="1305"/>
    </row>
    <row r="151" spans="1:24" ht="16.5" thickBot="1" x14ac:dyDescent="0.25">
      <c r="A151" s="1325" t="s">
        <v>777</v>
      </c>
      <c r="B151" s="1314"/>
      <c r="C151" s="1314"/>
      <c r="D151" s="1314"/>
      <c r="E151" s="1314"/>
      <c r="F151" s="1314"/>
      <c r="G151" s="1314"/>
      <c r="H151" s="1314"/>
      <c r="I151" s="1314"/>
      <c r="J151" s="1315"/>
      <c r="K151" s="1083">
        <f>K124</f>
        <v>0</v>
      </c>
      <c r="L151" s="1083">
        <f>L124</f>
        <v>0</v>
      </c>
      <c r="M151" s="1083">
        <f>M124</f>
        <v>0</v>
      </c>
      <c r="N151" s="1083">
        <f>N124</f>
        <v>0</v>
      </c>
      <c r="O151" s="903"/>
      <c r="P151" s="958"/>
      <c r="Q151" s="958"/>
      <c r="R151" s="958"/>
      <c r="S151" s="988"/>
      <c r="T151" s="988"/>
      <c r="U151" s="988"/>
      <c r="V151" s="988"/>
      <c r="W151" s="988"/>
    </row>
    <row r="152" spans="1:24" ht="16.5" thickBot="1" x14ac:dyDescent="0.25">
      <c r="A152" s="1312" t="s">
        <v>501</v>
      </c>
      <c r="B152" s="1314"/>
      <c r="C152" s="1314"/>
      <c r="D152" s="1314"/>
      <c r="E152" s="1314"/>
      <c r="F152" s="1314"/>
      <c r="G152" s="1314"/>
      <c r="H152" s="1314"/>
      <c r="I152" s="1314"/>
      <c r="J152" s="1315"/>
      <c r="K152" s="1083">
        <v>0</v>
      </c>
      <c r="L152" s="1083">
        <v>0</v>
      </c>
      <c r="M152" s="1083">
        <v>0</v>
      </c>
      <c r="N152" s="1083">
        <v>0</v>
      </c>
      <c r="O152" s="903"/>
      <c r="P152" s="958"/>
      <c r="Q152" s="958"/>
      <c r="R152" s="958"/>
      <c r="S152" s="988" t="s">
        <v>628</v>
      </c>
      <c r="T152" s="988" t="s">
        <v>625</v>
      </c>
      <c r="U152" s="988" t="s">
        <v>626</v>
      </c>
      <c r="V152" s="988" t="s">
        <v>627</v>
      </c>
      <c r="W152" s="988" t="s">
        <v>632</v>
      </c>
    </row>
    <row r="153" spans="1:24" ht="18.75" customHeight="1" thickBot="1" x14ac:dyDescent="0.25">
      <c r="A153" s="1165" t="s">
        <v>271</v>
      </c>
      <c r="B153" s="1316"/>
      <c r="C153" s="1316"/>
      <c r="D153" s="1316"/>
      <c r="E153" s="1316"/>
      <c r="F153" s="1316"/>
      <c r="G153" s="1317"/>
      <c r="H153" s="1317"/>
      <c r="I153" s="1317"/>
      <c r="J153" s="1318"/>
      <c r="K153" s="1084">
        <f>SUM(K149:K152)</f>
        <v>0</v>
      </c>
      <c r="L153" s="1084">
        <f>SUM(L149:L152)</f>
        <v>0</v>
      </c>
      <c r="M153" s="1084">
        <f>SUM(M149:M152)</f>
        <v>0</v>
      </c>
      <c r="N153" s="1084">
        <f>SUM(N149:N152)</f>
        <v>0</v>
      </c>
      <c r="O153" s="903"/>
      <c r="P153" s="958"/>
      <c r="Q153" s="958"/>
      <c r="R153" s="958"/>
      <c r="S153" s="1001" t="s">
        <v>621</v>
      </c>
      <c r="T153" s="988">
        <f>T16+T52+T68+T80+T93+T107+T121</f>
        <v>0</v>
      </c>
      <c r="U153" s="1001">
        <f>U16+U52+U68+U80+U93+U107+U121</f>
        <v>46</v>
      </c>
      <c r="V153" s="1001">
        <f>V16+V52+V68+V80+V93+V107+V121</f>
        <v>41</v>
      </c>
      <c r="W153" s="1001">
        <f>SUMIFS($E$123:$E$148,$Q$124:$Q$149,W152,$P$124:$P$149,T153)</f>
        <v>0</v>
      </c>
      <c r="X153" s="959">
        <f>U153/8</f>
        <v>5.75</v>
      </c>
    </row>
    <row r="154" spans="1:24" ht="16.5" thickBot="1" x14ac:dyDescent="0.25">
      <c r="A154" s="957"/>
      <c r="B154" s="961"/>
      <c r="C154" s="958"/>
      <c r="D154" s="957"/>
      <c r="E154" s="957"/>
      <c r="F154" s="957"/>
      <c r="G154" s="958"/>
      <c r="H154" s="958"/>
      <c r="I154" s="958"/>
      <c r="J154" s="958"/>
      <c r="K154" s="958"/>
      <c r="L154" s="958"/>
      <c r="M154" s="958"/>
      <c r="N154" s="958"/>
      <c r="O154" s="903"/>
      <c r="P154" s="1149"/>
      <c r="Q154" s="958"/>
      <c r="R154" s="958"/>
      <c r="S154" s="1001" t="s">
        <v>624</v>
      </c>
      <c r="T154" s="1150">
        <f>T17+T53+T69+T81+T94+T108+T122</f>
        <v>63</v>
      </c>
      <c r="U154" s="1001">
        <f>U53+U69+U81+U108+U122</f>
        <v>36</v>
      </c>
      <c r="V154" s="1001">
        <f>V17+V53+V69+V81+V94+V108+V122</f>
        <v>23</v>
      </c>
      <c r="W154" s="1001">
        <f>SUMIFS($E$123:$E$148,$Q$124:$Q$149,W152,$P$124:$P$149,S154)</f>
        <v>1</v>
      </c>
      <c r="X154" s="959">
        <f>U154/12</f>
        <v>3</v>
      </c>
    </row>
    <row r="155" spans="1:24" ht="16.5" thickBot="1" x14ac:dyDescent="0.25">
      <c r="A155" s="957"/>
      <c r="B155" s="961"/>
      <c r="C155" s="958"/>
      <c r="D155" s="957"/>
      <c r="E155" s="957"/>
      <c r="F155" s="957"/>
      <c r="G155" s="958"/>
      <c r="H155" s="958"/>
      <c r="I155" s="958"/>
      <c r="J155" s="958"/>
      <c r="K155" s="958"/>
      <c r="L155" s="958"/>
      <c r="M155" s="958"/>
      <c r="N155" s="958"/>
      <c r="O155" s="903"/>
      <c r="P155" s="1149"/>
      <c r="T155" s="1151">
        <f>SUM(T153:T154)</f>
        <v>63</v>
      </c>
    </row>
    <row r="156" spans="1:24" ht="15.75" x14ac:dyDescent="0.2">
      <c r="A156" s="957"/>
      <c r="B156" s="961"/>
      <c r="C156" s="958"/>
      <c r="D156" s="957"/>
      <c r="E156" s="957"/>
      <c r="F156" s="957"/>
      <c r="G156" s="958"/>
      <c r="H156" s="958"/>
      <c r="I156" s="958"/>
      <c r="J156" s="958"/>
      <c r="K156" s="958"/>
      <c r="L156" s="958"/>
      <c r="M156" s="958"/>
      <c r="N156" s="958"/>
      <c r="O156" s="903"/>
      <c r="T156" s="966"/>
    </row>
    <row r="157" spans="1:24" ht="16.5" thickBot="1" x14ac:dyDescent="0.25">
      <c r="A157" s="957"/>
      <c r="B157" s="961"/>
      <c r="C157" s="958"/>
      <c r="D157" s="957"/>
      <c r="E157" s="957"/>
      <c r="F157" s="957"/>
      <c r="G157" s="958"/>
      <c r="H157" s="958"/>
      <c r="I157" s="958"/>
      <c r="J157" s="958"/>
      <c r="K157" s="958"/>
      <c r="L157" s="958"/>
      <c r="M157" s="958"/>
      <c r="N157" s="958"/>
      <c r="O157" s="903"/>
      <c r="T157" s="966"/>
    </row>
    <row r="158" spans="1:24" ht="16.5" thickBot="1" x14ac:dyDescent="0.25">
      <c r="A158" s="957"/>
      <c r="B158" s="961"/>
      <c r="C158" s="958"/>
      <c r="D158" s="1306" t="s">
        <v>26</v>
      </c>
      <c r="E158" s="1307"/>
      <c r="F158" s="1307"/>
      <c r="G158" s="1307"/>
      <c r="H158" s="1307"/>
      <c r="I158" s="1307"/>
      <c r="J158" s="1308"/>
      <c r="K158" s="958"/>
      <c r="L158" s="958"/>
      <c r="M158" s="958"/>
      <c r="N158" s="958"/>
      <c r="O158" s="903"/>
      <c r="T158" s="966"/>
    </row>
    <row r="159" spans="1:24" ht="15.75" x14ac:dyDescent="0.2">
      <c r="A159" s="957"/>
      <c r="B159" s="961"/>
      <c r="C159" s="958"/>
      <c r="D159" s="1346" t="s">
        <v>761</v>
      </c>
      <c r="E159" s="1347"/>
      <c r="F159" s="963" t="s">
        <v>721</v>
      </c>
      <c r="G159" s="964" t="s">
        <v>720</v>
      </c>
      <c r="H159" s="965" t="s">
        <v>773</v>
      </c>
      <c r="I159" s="965" t="s">
        <v>774</v>
      </c>
      <c r="J159" s="965" t="s">
        <v>931</v>
      </c>
      <c r="K159" s="958"/>
      <c r="L159" s="958"/>
      <c r="M159" s="958"/>
      <c r="N159" s="958"/>
      <c r="O159" s="903"/>
      <c r="T159" s="966"/>
    </row>
    <row r="160" spans="1:24" ht="16.5" thickBot="1" x14ac:dyDescent="0.25">
      <c r="A160" s="957"/>
      <c r="B160" s="961"/>
      <c r="C160" s="958"/>
      <c r="D160" s="1348">
        <v>0.3</v>
      </c>
      <c r="E160" s="1349"/>
      <c r="F160" s="967">
        <v>1.1383000000000001</v>
      </c>
      <c r="G160" s="968">
        <v>1.1718</v>
      </c>
      <c r="H160" s="969">
        <v>0.72719999999999996</v>
      </c>
      <c r="I160" s="969">
        <v>0.72270000000000001</v>
      </c>
      <c r="J160" s="969">
        <v>0.2</v>
      </c>
      <c r="K160" s="958"/>
      <c r="L160" s="958"/>
      <c r="M160" s="958"/>
      <c r="N160" s="958"/>
      <c r="O160" s="903"/>
      <c r="T160" s="966"/>
    </row>
    <row r="161" spans="1:23" ht="15.75" x14ac:dyDescent="0.2">
      <c r="A161" s="957"/>
      <c r="B161" s="961"/>
      <c r="C161" s="958"/>
      <c r="D161" s="957"/>
      <c r="E161" s="957"/>
      <c r="F161" s="957"/>
      <c r="G161" s="958"/>
      <c r="H161" s="958"/>
      <c r="I161" s="958"/>
      <c r="J161" s="958"/>
      <c r="K161" s="958"/>
      <c r="L161" s="958"/>
      <c r="M161" s="958"/>
      <c r="N161" s="958"/>
      <c r="O161" s="903"/>
      <c r="T161" s="966"/>
    </row>
    <row r="162" spans="1:23" ht="15.75" x14ac:dyDescent="0.2">
      <c r="A162" s="957"/>
      <c r="B162" s="961"/>
      <c r="C162" s="958"/>
      <c r="D162" s="957"/>
      <c r="E162" s="957"/>
      <c r="F162" s="957"/>
      <c r="G162" s="958"/>
      <c r="H162" s="958"/>
      <c r="I162" s="958"/>
      <c r="J162" s="958"/>
      <c r="K162" s="958"/>
      <c r="L162" s="958"/>
      <c r="M162" s="958"/>
      <c r="N162" s="958"/>
      <c r="O162" s="903"/>
      <c r="T162" s="966"/>
    </row>
    <row r="163" spans="1:23" ht="15.75" x14ac:dyDescent="0.2">
      <c r="A163" s="957"/>
      <c r="B163" s="961"/>
      <c r="C163" s="958"/>
      <c r="D163" s="957"/>
      <c r="E163" s="957"/>
      <c r="F163" s="957"/>
      <c r="G163" s="958"/>
      <c r="H163" s="958"/>
      <c r="I163" s="958"/>
      <c r="J163" s="958"/>
      <c r="K163" s="958"/>
      <c r="L163" s="958"/>
      <c r="M163" s="958"/>
      <c r="N163" s="958"/>
      <c r="O163" s="903"/>
      <c r="T163" s="966"/>
    </row>
    <row r="164" spans="1:23" ht="16.5" thickBot="1" x14ac:dyDescent="0.25">
      <c r="A164" s="957"/>
      <c r="B164" s="961"/>
      <c r="C164" s="958"/>
      <c r="D164" s="957"/>
      <c r="E164" s="957"/>
      <c r="F164" s="957"/>
      <c r="G164" s="958"/>
      <c r="H164" s="958"/>
      <c r="I164" s="958"/>
      <c r="J164" s="958"/>
      <c r="K164" s="958"/>
      <c r="L164" s="958"/>
      <c r="M164" s="958"/>
      <c r="N164" s="958"/>
      <c r="O164" s="903"/>
    </row>
    <row r="165" spans="1:23" ht="16.5" thickBot="1" x14ac:dyDescent="0.25">
      <c r="A165" s="1306" t="s">
        <v>298</v>
      </c>
      <c r="B165" s="1307"/>
      <c r="C165" s="1307"/>
      <c r="D165" s="1307"/>
      <c r="E165" s="1307"/>
      <c r="F165" s="1307"/>
      <c r="G165" s="1307"/>
      <c r="H165" s="1307"/>
      <c r="I165" s="1307"/>
      <c r="J165" s="1307"/>
      <c r="K165" s="1307"/>
      <c r="L165" s="1307"/>
      <c r="M165" s="1307"/>
      <c r="N165" s="1308"/>
      <c r="O165" s="903"/>
    </row>
    <row r="166" spans="1:23" ht="16.5" thickBot="1" x14ac:dyDescent="0.25">
      <c r="A166" s="1333" t="s">
        <v>46</v>
      </c>
      <c r="B166" s="1333" t="s">
        <v>43</v>
      </c>
      <c r="C166" s="1334"/>
      <c r="D166" s="1334"/>
      <c r="E166" s="1334"/>
      <c r="F166" s="1335"/>
      <c r="G166" s="1297" t="s">
        <v>515</v>
      </c>
      <c r="H166" s="1298"/>
      <c r="I166" s="1298"/>
      <c r="J166" s="1298"/>
      <c r="K166" s="1298"/>
      <c r="L166" s="1298"/>
      <c r="M166" s="1298"/>
      <c r="N166" s="1299"/>
      <c r="O166" s="903"/>
      <c r="S166" s="959"/>
      <c r="T166" s="959"/>
      <c r="U166" s="959"/>
      <c r="V166" s="959"/>
      <c r="W166" s="959"/>
    </row>
    <row r="167" spans="1:23" ht="15.75" x14ac:dyDescent="0.2">
      <c r="A167" s="1336"/>
      <c r="B167" s="1336"/>
      <c r="C167" s="1337"/>
      <c r="D167" s="1337"/>
      <c r="E167" s="1337"/>
      <c r="F167" s="1337"/>
      <c r="G167" s="1343" t="s">
        <v>767</v>
      </c>
      <c r="H167" s="1288"/>
      <c r="I167" s="1288" t="s">
        <v>768</v>
      </c>
      <c r="J167" s="1288"/>
      <c r="K167" s="1288" t="s">
        <v>504</v>
      </c>
      <c r="L167" s="1288"/>
      <c r="M167" s="1288" t="s">
        <v>769</v>
      </c>
      <c r="N167" s="1289"/>
      <c r="O167" s="904"/>
      <c r="S167" s="959"/>
      <c r="T167" s="959"/>
      <c r="U167" s="959"/>
      <c r="V167" s="959"/>
      <c r="W167" s="959"/>
    </row>
    <row r="168" spans="1:23" ht="16.5" thickBot="1" x14ac:dyDescent="0.25">
      <c r="A168" s="1338"/>
      <c r="B168" s="1338"/>
      <c r="C168" s="1339"/>
      <c r="D168" s="1339"/>
      <c r="E168" s="1339"/>
      <c r="F168" s="1339"/>
      <c r="G168" s="1344"/>
      <c r="H168" s="1290"/>
      <c r="I168" s="1290"/>
      <c r="J168" s="1290"/>
      <c r="K168" s="1290"/>
      <c r="L168" s="1290"/>
      <c r="M168" s="1290"/>
      <c r="N168" s="1291"/>
      <c r="O168" s="904"/>
      <c r="S168" s="959"/>
      <c r="T168" s="959"/>
      <c r="U168" s="959"/>
      <c r="V168" s="959"/>
      <c r="W168" s="959"/>
    </row>
    <row r="169" spans="1:23" ht="16.5" thickTop="1" x14ac:dyDescent="0.2">
      <c r="A169" s="1373" t="s">
        <v>34</v>
      </c>
      <c r="B169" s="1375" t="s">
        <v>281</v>
      </c>
      <c r="C169" s="1376"/>
      <c r="D169" s="1376"/>
      <c r="E169" s="1376"/>
      <c r="F169" s="1376"/>
      <c r="G169" s="1345">
        <f>K44</f>
        <v>0</v>
      </c>
      <c r="H169" s="1292"/>
      <c r="I169" s="1292">
        <f>L44</f>
        <v>0</v>
      </c>
      <c r="J169" s="1292"/>
      <c r="K169" s="1292">
        <f>M44</f>
        <v>0</v>
      </c>
      <c r="L169" s="1292"/>
      <c r="M169" s="1292">
        <f>N44</f>
        <v>0</v>
      </c>
      <c r="N169" s="1293"/>
      <c r="O169" s="904"/>
      <c r="S169" s="959"/>
      <c r="T169" s="959"/>
      <c r="U169" s="959"/>
      <c r="V169" s="959"/>
      <c r="W169" s="959"/>
    </row>
    <row r="170" spans="1:23" ht="15.75" x14ac:dyDescent="0.2">
      <c r="A170" s="1373"/>
      <c r="B170" s="1375"/>
      <c r="C170" s="1376"/>
      <c r="D170" s="1376"/>
      <c r="E170" s="1376"/>
      <c r="F170" s="1376"/>
      <c r="G170" s="1279"/>
      <c r="H170" s="1274"/>
      <c r="I170" s="1274"/>
      <c r="J170" s="1274"/>
      <c r="K170" s="1274"/>
      <c r="L170" s="1274"/>
      <c r="M170" s="1274"/>
      <c r="N170" s="1294"/>
      <c r="O170" s="904"/>
    </row>
    <row r="171" spans="1:23" ht="15.75" x14ac:dyDescent="0.2">
      <c r="A171" s="1374"/>
      <c r="B171" s="1377"/>
      <c r="C171" s="1378"/>
      <c r="D171" s="1378"/>
      <c r="E171" s="1378"/>
      <c r="F171" s="1378"/>
      <c r="G171" s="1279"/>
      <c r="H171" s="1274"/>
      <c r="I171" s="1274"/>
      <c r="J171" s="1274"/>
      <c r="K171" s="1274"/>
      <c r="L171" s="1274"/>
      <c r="M171" s="1274"/>
      <c r="N171" s="1294"/>
      <c r="O171" s="904"/>
    </row>
    <row r="172" spans="1:23" ht="15.75" x14ac:dyDescent="0.2">
      <c r="A172" s="1152" t="s">
        <v>35</v>
      </c>
      <c r="B172" s="1368" t="s">
        <v>44</v>
      </c>
      <c r="C172" s="1369"/>
      <c r="D172" s="1369"/>
      <c r="E172" s="1369"/>
      <c r="F172" s="1369"/>
      <c r="G172" s="1279">
        <f>K59</f>
        <v>0</v>
      </c>
      <c r="H172" s="1274"/>
      <c r="I172" s="1274">
        <f>L59</f>
        <v>0</v>
      </c>
      <c r="J172" s="1274"/>
      <c r="K172" s="1274">
        <f>M59</f>
        <v>0</v>
      </c>
      <c r="L172" s="1274"/>
      <c r="M172" s="1274">
        <f>N59</f>
        <v>0</v>
      </c>
      <c r="N172" s="1294"/>
      <c r="O172" s="904"/>
    </row>
    <row r="173" spans="1:23" ht="15.75" x14ac:dyDescent="0.2">
      <c r="A173" s="1152" t="s">
        <v>37</v>
      </c>
      <c r="B173" s="1368" t="s">
        <v>225</v>
      </c>
      <c r="C173" s="1369"/>
      <c r="D173" s="1369"/>
      <c r="E173" s="1369"/>
      <c r="F173" s="1369"/>
      <c r="G173" s="1277">
        <f>K73</f>
        <v>0</v>
      </c>
      <c r="H173" s="1278"/>
      <c r="I173" s="1274">
        <f>L73</f>
        <v>0</v>
      </c>
      <c r="J173" s="1274"/>
      <c r="K173" s="1274">
        <f>M73</f>
        <v>0</v>
      </c>
      <c r="L173" s="1274"/>
      <c r="M173" s="1274">
        <f>N73</f>
        <v>0</v>
      </c>
      <c r="N173" s="1294"/>
      <c r="O173" s="904"/>
    </row>
    <row r="174" spans="1:23" ht="15.75" x14ac:dyDescent="0.2">
      <c r="A174" s="1152" t="s">
        <v>38</v>
      </c>
      <c r="B174" s="1368" t="s">
        <v>282</v>
      </c>
      <c r="C174" s="1369"/>
      <c r="D174" s="1369"/>
      <c r="E174" s="1369"/>
      <c r="F174" s="1369"/>
      <c r="G174" s="1279">
        <f>K88</f>
        <v>0</v>
      </c>
      <c r="H174" s="1274"/>
      <c r="I174" s="1274">
        <f>L88</f>
        <v>0</v>
      </c>
      <c r="J174" s="1274"/>
      <c r="K174" s="1274">
        <f>M88</f>
        <v>0</v>
      </c>
      <c r="L174" s="1274"/>
      <c r="M174" s="1274">
        <f>N88</f>
        <v>0</v>
      </c>
      <c r="N174" s="1294"/>
      <c r="O174" s="904"/>
    </row>
    <row r="175" spans="1:23" ht="15.75" x14ac:dyDescent="0.2">
      <c r="A175" s="1152" t="s">
        <v>40</v>
      </c>
      <c r="B175" s="1368" t="s">
        <v>45</v>
      </c>
      <c r="C175" s="1369"/>
      <c r="D175" s="1369"/>
      <c r="E175" s="1369"/>
      <c r="F175" s="1369"/>
      <c r="G175" s="1279">
        <f>K99</f>
        <v>0</v>
      </c>
      <c r="H175" s="1274"/>
      <c r="I175" s="1274">
        <f>L99</f>
        <v>0</v>
      </c>
      <c r="J175" s="1274"/>
      <c r="K175" s="1274">
        <f>M99</f>
        <v>0</v>
      </c>
      <c r="L175" s="1274"/>
      <c r="M175" s="1274">
        <f>N99</f>
        <v>0</v>
      </c>
      <c r="N175" s="1294"/>
      <c r="O175" s="904"/>
    </row>
    <row r="176" spans="1:23" ht="15.75" x14ac:dyDescent="0.2">
      <c r="A176" s="1152" t="s">
        <v>41</v>
      </c>
      <c r="B176" s="1370" t="s">
        <v>283</v>
      </c>
      <c r="C176" s="1370"/>
      <c r="D176" s="1370"/>
      <c r="E176" s="1370"/>
      <c r="F176" s="1368"/>
      <c r="G176" s="1279">
        <f>K113</f>
        <v>0</v>
      </c>
      <c r="H176" s="1274"/>
      <c r="I176" s="1274">
        <f>L113</f>
        <v>0</v>
      </c>
      <c r="J176" s="1274"/>
      <c r="K176" s="1274">
        <f>M113</f>
        <v>0</v>
      </c>
      <c r="L176" s="1274"/>
      <c r="M176" s="1274">
        <f>N113</f>
        <v>0</v>
      </c>
      <c r="N176" s="1294"/>
      <c r="O176" s="904"/>
    </row>
    <row r="177" spans="1:15" ht="16.5" thickBot="1" x14ac:dyDescent="0.25">
      <c r="A177" s="1153" t="s">
        <v>42</v>
      </c>
      <c r="B177" s="1371" t="s">
        <v>832</v>
      </c>
      <c r="C177" s="1371"/>
      <c r="D177" s="1371"/>
      <c r="E177" s="1371"/>
      <c r="F177" s="1372"/>
      <c r="G177" s="1280">
        <f>K153</f>
        <v>0</v>
      </c>
      <c r="H177" s="1275"/>
      <c r="I177" s="1275">
        <f>L153</f>
        <v>0</v>
      </c>
      <c r="J177" s="1275"/>
      <c r="K177" s="1275">
        <f>M153</f>
        <v>0</v>
      </c>
      <c r="L177" s="1275"/>
      <c r="M177" s="1275">
        <f>N153</f>
        <v>0</v>
      </c>
      <c r="N177" s="1295"/>
      <c r="O177" s="904"/>
    </row>
    <row r="178" spans="1:15" ht="16.5" thickBot="1" x14ac:dyDescent="0.25">
      <c r="A178" s="1366" t="s">
        <v>47</v>
      </c>
      <c r="B178" s="1367"/>
      <c r="C178" s="1367"/>
      <c r="D178" s="1367"/>
      <c r="E178" s="1367"/>
      <c r="F178" s="1367"/>
      <c r="G178" s="1281">
        <f>SUM(G169:G177)</f>
        <v>0</v>
      </c>
      <c r="H178" s="1276"/>
      <c r="I178" s="1276">
        <f>SUM(I169:I177)</f>
        <v>0</v>
      </c>
      <c r="J178" s="1276"/>
      <c r="K178" s="1276">
        <f>SUM(K169:K177)</f>
        <v>0</v>
      </c>
      <c r="L178" s="1276"/>
      <c r="M178" s="1276">
        <f>SUM(M169:M177)</f>
        <v>0</v>
      </c>
      <c r="N178" s="1296"/>
      <c r="O178" s="904"/>
    </row>
    <row r="179" spans="1:15" ht="15.75" x14ac:dyDescent="0.2">
      <c r="A179" s="1154"/>
      <c r="B179" s="1154"/>
      <c r="C179" s="1154"/>
      <c r="D179" s="1154"/>
      <c r="E179" s="1154"/>
      <c r="F179" s="1154"/>
      <c r="G179" s="1155"/>
      <c r="H179" s="1155"/>
      <c r="I179" s="1155"/>
      <c r="J179" s="1155"/>
      <c r="K179" s="958"/>
      <c r="L179" s="958"/>
      <c r="M179" s="958"/>
      <c r="N179" s="958"/>
      <c r="O179" s="903"/>
    </row>
    <row r="180" spans="1:15" ht="15.75" x14ac:dyDescent="0.2">
      <c r="A180" s="1154"/>
      <c r="B180" s="1154"/>
      <c r="C180" s="1154"/>
      <c r="D180" s="1154"/>
      <c r="E180" s="1154"/>
      <c r="F180" s="1154"/>
      <c r="G180" s="1155"/>
      <c r="H180" s="1155"/>
      <c r="I180" s="1155"/>
      <c r="J180" s="1155"/>
      <c r="K180" s="958"/>
      <c r="L180" s="958"/>
      <c r="M180" s="958"/>
      <c r="N180" s="958"/>
      <c r="O180" s="903"/>
    </row>
    <row r="181" spans="1:15" ht="15.75" x14ac:dyDescent="0.2">
      <c r="A181" s="1154"/>
      <c r="B181" s="1154"/>
      <c r="C181" s="1154"/>
      <c r="D181" s="1154"/>
      <c r="E181" s="1154"/>
      <c r="F181" s="1154"/>
      <c r="G181" s="1155"/>
      <c r="H181" s="1155"/>
      <c r="I181" s="1155"/>
      <c r="J181" s="1155"/>
      <c r="K181" s="958"/>
      <c r="L181" s="958"/>
      <c r="M181" s="958"/>
      <c r="N181" s="958"/>
      <c r="O181" s="903"/>
    </row>
    <row r="182" spans="1:15" ht="15.75" x14ac:dyDescent="0.2">
      <c r="A182" s="1154"/>
      <c r="B182" s="1154"/>
      <c r="C182" s="1154"/>
      <c r="D182" s="1154"/>
      <c r="E182" s="1154"/>
      <c r="F182" s="1154"/>
      <c r="G182" s="1155"/>
      <c r="H182" s="1155"/>
      <c r="I182" s="1155"/>
      <c r="J182" s="1155"/>
      <c r="K182" s="958"/>
      <c r="L182" s="958"/>
      <c r="M182" s="958"/>
      <c r="N182" s="958"/>
      <c r="O182" s="903"/>
    </row>
    <row r="183" spans="1:15" ht="15.75" x14ac:dyDescent="0.2">
      <c r="A183" s="1154"/>
      <c r="B183" s="1154"/>
      <c r="C183" s="1154"/>
      <c r="D183" s="1154"/>
      <c r="E183" s="1154"/>
      <c r="F183" s="1154"/>
      <c r="G183" s="1155"/>
      <c r="H183" s="1155"/>
      <c r="I183" s="1155"/>
      <c r="J183" s="1155"/>
      <c r="K183" s="958"/>
      <c r="L183" s="958"/>
      <c r="M183" s="958"/>
      <c r="N183" s="958"/>
      <c r="O183" s="903"/>
    </row>
    <row r="184" spans="1:15" ht="16.5" thickBot="1" x14ac:dyDescent="0.25">
      <c r="A184" s="957"/>
      <c r="B184" s="961"/>
      <c r="C184" s="958"/>
      <c r="D184" s="957"/>
      <c r="E184" s="957"/>
      <c r="F184" s="957"/>
      <c r="G184" s="958"/>
      <c r="H184" s="958"/>
      <c r="I184" s="958"/>
      <c r="J184" s="958"/>
      <c r="K184" s="958"/>
      <c r="L184" s="958"/>
      <c r="M184" s="958"/>
      <c r="N184" s="958"/>
      <c r="O184" s="903"/>
    </row>
    <row r="185" spans="1:15" ht="15.75" x14ac:dyDescent="0.2">
      <c r="A185" s="1262" t="s">
        <v>49</v>
      </c>
      <c r="B185" s="1263"/>
      <c r="C185" s="1263"/>
      <c r="D185" s="1263"/>
      <c r="E185" s="1263"/>
      <c r="F185" s="1263"/>
      <c r="G185" s="1263"/>
      <c r="H185" s="1263"/>
      <c r="I185" s="1263"/>
      <c r="J185" s="1263"/>
      <c r="K185" s="1264"/>
      <c r="L185" s="1262" t="s">
        <v>50</v>
      </c>
      <c r="M185" s="1263"/>
      <c r="N185" s="1264"/>
      <c r="O185" s="903"/>
    </row>
    <row r="186" spans="1:15" ht="16.5" thickBot="1" x14ac:dyDescent="0.25">
      <c r="A186" s="1265"/>
      <c r="B186" s="1266"/>
      <c r="C186" s="1266"/>
      <c r="D186" s="1266"/>
      <c r="E186" s="1266"/>
      <c r="F186" s="1266"/>
      <c r="G186" s="1266"/>
      <c r="H186" s="1266"/>
      <c r="I186" s="1266"/>
      <c r="J186" s="1266"/>
      <c r="K186" s="1267"/>
      <c r="L186" s="1265"/>
      <c r="M186" s="1266"/>
      <c r="N186" s="1267"/>
      <c r="O186" s="903"/>
    </row>
    <row r="187" spans="1:15" ht="15.75" x14ac:dyDescent="0.2">
      <c r="A187" s="1268" t="s">
        <v>161</v>
      </c>
      <c r="B187" s="1269"/>
      <c r="C187" s="1269"/>
      <c r="D187" s="1269"/>
      <c r="E187" s="1269"/>
      <c r="F187" s="1269"/>
      <c r="G187" s="1269"/>
      <c r="H187" s="1269"/>
      <c r="I187" s="1269"/>
      <c r="J187" s="1269"/>
      <c r="K187" s="1270"/>
      <c r="L187" s="1262" t="s">
        <v>52</v>
      </c>
      <c r="M187" s="1263"/>
      <c r="N187" s="1264"/>
      <c r="O187" s="903"/>
    </row>
    <row r="188" spans="1:15" ht="16.5" thickBot="1" x14ac:dyDescent="0.25">
      <c r="A188" s="1271"/>
      <c r="B188" s="1272"/>
      <c r="C188" s="1272"/>
      <c r="D188" s="1272"/>
      <c r="E188" s="1272"/>
      <c r="F188" s="1272"/>
      <c r="G188" s="1272"/>
      <c r="H188" s="1272"/>
      <c r="I188" s="1272"/>
      <c r="J188" s="1272"/>
      <c r="K188" s="1273"/>
      <c r="L188" s="1265"/>
      <c r="M188" s="1266"/>
      <c r="N188" s="1267"/>
      <c r="O188" s="903"/>
    </row>
    <row r="189" spans="1:15" ht="15.75" x14ac:dyDescent="0.2">
      <c r="A189" s="1327" t="s">
        <v>53</v>
      </c>
      <c r="B189" s="1328"/>
      <c r="C189" s="1328"/>
      <c r="D189" s="1328"/>
      <c r="E189" s="1328"/>
      <c r="F189" s="1328"/>
      <c r="G189" s="1328"/>
      <c r="H189" s="1328"/>
      <c r="I189" s="1328"/>
      <c r="J189" s="1328"/>
      <c r="K189" s="1328"/>
      <c r="L189" s="1328"/>
      <c r="M189" s="1328"/>
      <c r="N189" s="1329"/>
      <c r="O189" s="903"/>
    </row>
    <row r="190" spans="1:15" ht="15.75" x14ac:dyDescent="0.2">
      <c r="A190" s="1330"/>
      <c r="B190" s="1331"/>
      <c r="C190" s="1331"/>
      <c r="D190" s="1331"/>
      <c r="E190" s="1331"/>
      <c r="F190" s="1331"/>
      <c r="G190" s="1331"/>
      <c r="H190" s="1331"/>
      <c r="I190" s="1331"/>
      <c r="J190" s="1331"/>
      <c r="K190" s="1331"/>
      <c r="L190" s="1331"/>
      <c r="M190" s="1331"/>
      <c r="N190" s="1332"/>
      <c r="O190" s="903"/>
    </row>
    <row r="191" spans="1:15" ht="15.75" x14ac:dyDescent="0.2">
      <c r="A191" s="1330"/>
      <c r="B191" s="1331"/>
      <c r="C191" s="1331"/>
      <c r="D191" s="1331"/>
      <c r="E191" s="1331"/>
      <c r="F191" s="1331"/>
      <c r="G191" s="1331"/>
      <c r="H191" s="1331"/>
      <c r="I191" s="1331"/>
      <c r="J191" s="1331"/>
      <c r="K191" s="1331"/>
      <c r="L191" s="1331"/>
      <c r="M191" s="1331"/>
      <c r="N191" s="1332"/>
      <c r="O191" s="903"/>
    </row>
    <row r="192" spans="1:15" ht="16.5" thickBot="1" x14ac:dyDescent="0.25">
      <c r="A192" s="1271"/>
      <c r="B192" s="1272"/>
      <c r="C192" s="1272"/>
      <c r="D192" s="1272"/>
      <c r="E192" s="1272"/>
      <c r="F192" s="1272"/>
      <c r="G192" s="1272"/>
      <c r="H192" s="1272"/>
      <c r="I192" s="1272"/>
      <c r="J192" s="1272"/>
      <c r="K192" s="1272"/>
      <c r="L192" s="1272"/>
      <c r="M192" s="1272"/>
      <c r="N192" s="1273"/>
      <c r="O192" s="903"/>
    </row>
  </sheetData>
  <mergeCells count="232">
    <mergeCell ref="E102:E104"/>
    <mergeCell ref="G64:G65"/>
    <mergeCell ref="I64:I65"/>
    <mergeCell ref="J64:J65"/>
    <mergeCell ref="B94:N94"/>
    <mergeCell ref="A97:J97"/>
    <mergeCell ref="P11:P13"/>
    <mergeCell ref="F102:F104"/>
    <mergeCell ref="G102:J102"/>
    <mergeCell ref="G92:G93"/>
    <mergeCell ref="I92:I93"/>
    <mergeCell ref="J92:J93"/>
    <mergeCell ref="A91:A93"/>
    <mergeCell ref="B91:B93"/>
    <mergeCell ref="C91:C93"/>
    <mergeCell ref="D91:D93"/>
    <mergeCell ref="E91:E93"/>
    <mergeCell ref="F91:F93"/>
    <mergeCell ref="G91:J91"/>
    <mergeCell ref="H92:H93"/>
    <mergeCell ref="A102:A104"/>
    <mergeCell ref="B102:B104"/>
    <mergeCell ref="B49:N49"/>
    <mergeCell ref="B66:N66"/>
    <mergeCell ref="Q11:Q13"/>
    <mergeCell ref="B121:N121"/>
    <mergeCell ref="A178:F178"/>
    <mergeCell ref="B172:F172"/>
    <mergeCell ref="B173:F173"/>
    <mergeCell ref="B174:F174"/>
    <mergeCell ref="B175:F175"/>
    <mergeCell ref="B176:F176"/>
    <mergeCell ref="B177:F177"/>
    <mergeCell ref="A149:J149"/>
    <mergeCell ref="A169:A171"/>
    <mergeCell ref="B169:F171"/>
    <mergeCell ref="B78:N78"/>
    <mergeCell ref="K92:K93"/>
    <mergeCell ref="L92:L93"/>
    <mergeCell ref="A111:J111"/>
    <mergeCell ref="A98:J98"/>
    <mergeCell ref="A99:J99"/>
    <mergeCell ref="P92:P94"/>
    <mergeCell ref="Q92:Q94"/>
    <mergeCell ref="P103:P105"/>
    <mergeCell ref="Q103:Q105"/>
    <mergeCell ref="P119:P121"/>
    <mergeCell ref="Q119:Q121"/>
    <mergeCell ref="A1:N1"/>
    <mergeCell ref="A2:N2"/>
    <mergeCell ref="A3:N3"/>
    <mergeCell ref="A4:N5"/>
    <mergeCell ref="A7:N7"/>
    <mergeCell ref="G10:J10"/>
    <mergeCell ref="G11:G12"/>
    <mergeCell ref="I11:I12"/>
    <mergeCell ref="J11:J12"/>
    <mergeCell ref="A10:A12"/>
    <mergeCell ref="B10:B12"/>
    <mergeCell ref="C10:C12"/>
    <mergeCell ref="D10:D12"/>
    <mergeCell ref="E10:E12"/>
    <mergeCell ref="F10:F12"/>
    <mergeCell ref="D159:E159"/>
    <mergeCell ref="D160:E160"/>
    <mergeCell ref="D158:J158"/>
    <mergeCell ref="A191:N191"/>
    <mergeCell ref="A192:N192"/>
    <mergeCell ref="B105:N105"/>
    <mergeCell ref="B138:N138"/>
    <mergeCell ref="G119:G120"/>
    <mergeCell ref="I119:I120"/>
    <mergeCell ref="J119:J120"/>
    <mergeCell ref="A112:J112"/>
    <mergeCell ref="A113:J113"/>
    <mergeCell ref="A118:A120"/>
    <mergeCell ref="B118:B120"/>
    <mergeCell ref="C118:C120"/>
    <mergeCell ref="D118:D120"/>
    <mergeCell ref="G118:J118"/>
    <mergeCell ref="A152:J152"/>
    <mergeCell ref="A153:J153"/>
    <mergeCell ref="B125:N125"/>
    <mergeCell ref="B134:N134"/>
    <mergeCell ref="A165:N165"/>
    <mergeCell ref="A150:J150"/>
    <mergeCell ref="A151:J151"/>
    <mergeCell ref="A189:N189"/>
    <mergeCell ref="A190:N190"/>
    <mergeCell ref="B166:F168"/>
    <mergeCell ref="P76:P78"/>
    <mergeCell ref="Q76:Q78"/>
    <mergeCell ref="K63:N63"/>
    <mergeCell ref="H64:H65"/>
    <mergeCell ref="K64:K65"/>
    <mergeCell ref="L64:L65"/>
    <mergeCell ref="A86:J86"/>
    <mergeCell ref="E118:E120"/>
    <mergeCell ref="F118:F120"/>
    <mergeCell ref="B122:N122"/>
    <mergeCell ref="M92:M93"/>
    <mergeCell ref="N92:N93"/>
    <mergeCell ref="G103:G104"/>
    <mergeCell ref="I103:I104"/>
    <mergeCell ref="J103:J104"/>
    <mergeCell ref="A87:J87"/>
    <mergeCell ref="A88:J88"/>
    <mergeCell ref="A166:A168"/>
    <mergeCell ref="G167:H168"/>
    <mergeCell ref="G169:H171"/>
    <mergeCell ref="G172:H172"/>
    <mergeCell ref="L76:L77"/>
    <mergeCell ref="M76:M77"/>
    <mergeCell ref="N76:N77"/>
    <mergeCell ref="M64:M65"/>
    <mergeCell ref="N64:N65"/>
    <mergeCell ref="P47:P49"/>
    <mergeCell ref="G63:J63"/>
    <mergeCell ref="E46:E48"/>
    <mergeCell ref="A57:J57"/>
    <mergeCell ref="D75:D77"/>
    <mergeCell ref="E75:E77"/>
    <mergeCell ref="F75:F77"/>
    <mergeCell ref="G75:J75"/>
    <mergeCell ref="K75:N75"/>
    <mergeCell ref="H76:H77"/>
    <mergeCell ref="A46:A48"/>
    <mergeCell ref="B46:B48"/>
    <mergeCell ref="B63:B65"/>
    <mergeCell ref="C63:C65"/>
    <mergeCell ref="D63:D65"/>
    <mergeCell ref="E63:E65"/>
    <mergeCell ref="F63:F65"/>
    <mergeCell ref="C46:C48"/>
    <mergeCell ref="D46:D48"/>
    <mergeCell ref="F46:F48"/>
    <mergeCell ref="H119:H120"/>
    <mergeCell ref="H11:H12"/>
    <mergeCell ref="K10:N10"/>
    <mergeCell ref="K11:K12"/>
    <mergeCell ref="L11:L12"/>
    <mergeCell ref="M11:M12"/>
    <mergeCell ref="N11:N12"/>
    <mergeCell ref="K46:N46"/>
    <mergeCell ref="H47:H48"/>
    <mergeCell ref="K47:K48"/>
    <mergeCell ref="L47:L48"/>
    <mergeCell ref="M47:M48"/>
    <mergeCell ref="N47:N48"/>
    <mergeCell ref="B13:N13"/>
    <mergeCell ref="A42:J42"/>
    <mergeCell ref="A43:J43"/>
    <mergeCell ref="K76:K77"/>
    <mergeCell ref="K91:N91"/>
    <mergeCell ref="A73:J73"/>
    <mergeCell ref="A75:A77"/>
    <mergeCell ref="B75:B77"/>
    <mergeCell ref="C75:C77"/>
    <mergeCell ref="A71:J71"/>
    <mergeCell ref="A58:J58"/>
    <mergeCell ref="K119:K120"/>
    <mergeCell ref="L119:L120"/>
    <mergeCell ref="M119:M120"/>
    <mergeCell ref="N119:N120"/>
    <mergeCell ref="I167:J168"/>
    <mergeCell ref="I169:J171"/>
    <mergeCell ref="I172:J172"/>
    <mergeCell ref="S150:W150"/>
    <mergeCell ref="P8:W8"/>
    <mergeCell ref="Q47:Q49"/>
    <mergeCell ref="P64:P66"/>
    <mergeCell ref="Q64:Q66"/>
    <mergeCell ref="A59:J59"/>
    <mergeCell ref="A63:A65"/>
    <mergeCell ref="A44:J44"/>
    <mergeCell ref="G76:G77"/>
    <mergeCell ref="I76:I77"/>
    <mergeCell ref="J76:J77"/>
    <mergeCell ref="A72:J72"/>
    <mergeCell ref="G46:J46"/>
    <mergeCell ref="G47:G48"/>
    <mergeCell ref="I47:I48"/>
    <mergeCell ref="J47:J48"/>
    <mergeCell ref="A56:J56"/>
    <mergeCell ref="C102:C104"/>
    <mergeCell ref="D102:D104"/>
    <mergeCell ref="I177:J177"/>
    <mergeCell ref="I178:J178"/>
    <mergeCell ref="M167:N168"/>
    <mergeCell ref="M169:N171"/>
    <mergeCell ref="M172:N172"/>
    <mergeCell ref="M173:N173"/>
    <mergeCell ref="M174:N174"/>
    <mergeCell ref="M175:N175"/>
    <mergeCell ref="M176:N176"/>
    <mergeCell ref="M177:N177"/>
    <mergeCell ref="M178:N178"/>
    <mergeCell ref="K167:L168"/>
    <mergeCell ref="K169:L171"/>
    <mergeCell ref="K172:L172"/>
    <mergeCell ref="G166:N166"/>
    <mergeCell ref="K102:N102"/>
    <mergeCell ref="H103:H104"/>
    <mergeCell ref="K103:K104"/>
    <mergeCell ref="L103:L104"/>
    <mergeCell ref="M103:M104"/>
    <mergeCell ref="N103:N104"/>
    <mergeCell ref="K118:N118"/>
    <mergeCell ref="L187:N187"/>
    <mergeCell ref="L188:N188"/>
    <mergeCell ref="A187:K187"/>
    <mergeCell ref="A188:K188"/>
    <mergeCell ref="K173:L173"/>
    <mergeCell ref="K174:L174"/>
    <mergeCell ref="K175:L175"/>
    <mergeCell ref="K176:L176"/>
    <mergeCell ref="K177:L177"/>
    <mergeCell ref="K178:L178"/>
    <mergeCell ref="G173:H173"/>
    <mergeCell ref="G174:H174"/>
    <mergeCell ref="G175:H175"/>
    <mergeCell ref="G176:H176"/>
    <mergeCell ref="G177:H177"/>
    <mergeCell ref="G178:H178"/>
    <mergeCell ref="A185:K185"/>
    <mergeCell ref="A186:K186"/>
    <mergeCell ref="L185:N185"/>
    <mergeCell ref="L186:N186"/>
    <mergeCell ref="I173:J173"/>
    <mergeCell ref="I174:J174"/>
    <mergeCell ref="I175:J175"/>
    <mergeCell ref="I176:J176"/>
  </mergeCells>
  <printOptions horizontalCentered="1"/>
  <pageMargins left="0.59055118110236227" right="0.98425196850393704" top="0.78740157480314965" bottom="0.39370078740157483" header="0.31496062992125984" footer="0.31496062992125984"/>
  <pageSetup paperSize="9" scale="44" orientation="landscape" horizontalDpi="4294967294" verticalDpi="4294967294" r:id="rId1"/>
  <rowBreaks count="3" manualBreakCount="3">
    <brk id="59" max="13" man="1"/>
    <brk id="114" max="13" man="1"/>
    <brk id="154" max="13" man="1"/>
  </rowBreaks>
  <ignoredErrors>
    <ignoredError sqref="M54" formula="1"/>
  </ignoredError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79"/>
  <sheetViews>
    <sheetView view="pageBreakPreview" topLeftCell="A118" zoomScale="110" zoomScaleNormal="100" zoomScaleSheetLayoutView="110" workbookViewId="0">
      <selection activeCell="A150" sqref="A150:G150"/>
    </sheetView>
  </sheetViews>
  <sheetFormatPr defaultColWidth="26.28515625" defaultRowHeight="12" x14ac:dyDescent="0.2"/>
  <cols>
    <col min="1" max="1" width="8.140625" style="181" bestFit="1" customWidth="1"/>
    <col min="2" max="2" width="61.140625" style="192" customWidth="1"/>
    <col min="3" max="3" width="9.5703125" style="181" bestFit="1" customWidth="1"/>
    <col min="4" max="4" width="8.28515625" style="181" bestFit="1" customWidth="1"/>
    <col min="5" max="5" width="5.85546875" style="181" bestFit="1" customWidth="1"/>
    <col min="6" max="6" width="13" style="181" bestFit="1" customWidth="1"/>
    <col min="7" max="7" width="16" style="181" bestFit="1" customWidth="1"/>
    <col min="8" max="16384" width="26.28515625" style="181"/>
  </cols>
  <sheetData>
    <row r="1" spans="1:7" ht="12.75" x14ac:dyDescent="0.2">
      <c r="A1" s="1228" t="s">
        <v>294</v>
      </c>
      <c r="B1" s="1229"/>
      <c r="C1" s="1229"/>
      <c r="D1" s="1229"/>
      <c r="E1" s="1229"/>
      <c r="F1" s="1229"/>
      <c r="G1" s="1230"/>
    </row>
    <row r="2" spans="1:7" ht="13.5" thickBot="1" x14ac:dyDescent="0.25">
      <c r="A2" s="1397" t="s">
        <v>295</v>
      </c>
      <c r="B2" s="1398"/>
      <c r="C2" s="1398"/>
      <c r="D2" s="1398"/>
      <c r="E2" s="1398"/>
      <c r="F2" s="1398"/>
      <c r="G2" s="1399"/>
    </row>
    <row r="3" spans="1:7" ht="13.5" thickBot="1" x14ac:dyDescent="0.25">
      <c r="A3" s="1389"/>
      <c r="B3" s="1390"/>
      <c r="C3" s="1390"/>
      <c r="D3" s="1390"/>
      <c r="E3" s="1390"/>
      <c r="F3" s="1390"/>
      <c r="G3" s="585"/>
    </row>
    <row r="4" spans="1:7" x14ac:dyDescent="0.2">
      <c r="A4" s="1400" t="s">
        <v>292</v>
      </c>
      <c r="B4" s="1401"/>
      <c r="C4" s="1401"/>
      <c r="D4" s="1401"/>
      <c r="E4" s="1401"/>
      <c r="F4" s="1401"/>
      <c r="G4" s="1402"/>
    </row>
    <row r="5" spans="1:7" x14ac:dyDescent="0.2">
      <c r="A5" s="1403"/>
      <c r="B5" s="1404"/>
      <c r="C5" s="1404"/>
      <c r="D5" s="1404"/>
      <c r="E5" s="1404"/>
      <c r="F5" s="1404"/>
      <c r="G5" s="1405"/>
    </row>
    <row r="6" spans="1:7" ht="12.75" thickBot="1" x14ac:dyDescent="0.25">
      <c r="A6" s="1406"/>
      <c r="B6" s="1407"/>
      <c r="C6" s="1407"/>
      <c r="D6" s="1407"/>
      <c r="E6" s="1407"/>
      <c r="F6" s="1407"/>
      <c r="G6" s="1408"/>
    </row>
    <row r="7" spans="1:7" ht="12.75" thickBot="1" x14ac:dyDescent="0.25">
      <c r="A7" s="178"/>
      <c r="B7" s="179"/>
      <c r="C7" s="180"/>
      <c r="D7" s="178"/>
      <c r="E7" s="178"/>
      <c r="F7" s="178"/>
      <c r="G7" s="178"/>
    </row>
    <row r="8" spans="1:7" ht="12.75" thickBot="1" x14ac:dyDescent="0.25">
      <c r="A8" s="1391" t="s">
        <v>904</v>
      </c>
      <c r="B8" s="1392"/>
      <c r="C8" s="1392"/>
      <c r="D8" s="1392"/>
      <c r="E8" s="1392"/>
      <c r="F8" s="1392"/>
      <c r="G8" s="1393"/>
    </row>
    <row r="9" spans="1:7" x14ac:dyDescent="0.2">
      <c r="A9" s="178"/>
      <c r="B9" s="179"/>
      <c r="C9" s="180"/>
      <c r="D9" s="178"/>
      <c r="E9" s="178"/>
      <c r="F9" s="178"/>
      <c r="G9" s="178"/>
    </row>
    <row r="10" spans="1:7" ht="12.75" thickBot="1" x14ac:dyDescent="0.25">
      <c r="A10" s="178"/>
      <c r="B10" s="179"/>
      <c r="C10" s="180"/>
      <c r="D10" s="178"/>
      <c r="E10" s="178"/>
    </row>
    <row r="11" spans="1:7" s="192" customFormat="1" x14ac:dyDescent="0.2">
      <c r="A11" s="1380" t="s">
        <v>0</v>
      </c>
      <c r="B11" s="1380" t="s">
        <v>1</v>
      </c>
      <c r="C11" s="1386" t="s">
        <v>297</v>
      </c>
      <c r="D11" s="1380" t="s">
        <v>2</v>
      </c>
      <c r="E11" s="1386" t="s">
        <v>3</v>
      </c>
      <c r="F11" s="1380" t="s">
        <v>242</v>
      </c>
      <c r="G11" s="1380" t="s">
        <v>901</v>
      </c>
    </row>
    <row r="12" spans="1:7" s="192" customFormat="1" x14ac:dyDescent="0.2">
      <c r="A12" s="1381"/>
      <c r="B12" s="1381"/>
      <c r="C12" s="1387"/>
      <c r="D12" s="1381"/>
      <c r="E12" s="1387"/>
      <c r="F12" s="1381"/>
      <c r="G12" s="1381"/>
    </row>
    <row r="13" spans="1:7" s="192" customFormat="1" ht="12.75" thickBot="1" x14ac:dyDescent="0.25">
      <c r="A13" s="1382"/>
      <c r="B13" s="1382"/>
      <c r="C13" s="1388"/>
      <c r="D13" s="1382"/>
      <c r="E13" s="1388"/>
      <c r="F13" s="1382"/>
      <c r="G13" s="1382"/>
    </row>
    <row r="14" spans="1:7" x14ac:dyDescent="0.2">
      <c r="A14" s="1419" t="s">
        <v>99</v>
      </c>
      <c r="B14" s="1415" t="s">
        <v>551</v>
      </c>
      <c r="C14" s="1415"/>
      <c r="D14" s="1415"/>
      <c r="E14" s="1415"/>
      <c r="F14" s="1415"/>
      <c r="G14" s="1416"/>
    </row>
    <row r="15" spans="1:7" x14ac:dyDescent="0.2">
      <c r="A15" s="1420"/>
      <c r="B15" s="1417"/>
      <c r="C15" s="1417"/>
      <c r="D15" s="1417"/>
      <c r="E15" s="1417"/>
      <c r="F15" s="1417"/>
      <c r="G15" s="1418"/>
    </row>
    <row r="16" spans="1:7" ht="12.75" thickBot="1" x14ac:dyDescent="0.25">
      <c r="A16" s="1420"/>
      <c r="B16" s="1417"/>
      <c r="C16" s="1417"/>
      <c r="D16" s="1417"/>
      <c r="E16" s="1417"/>
      <c r="F16" s="1417"/>
      <c r="G16" s="1418"/>
    </row>
    <row r="17" spans="1:7" x14ac:dyDescent="0.2">
      <c r="A17" s="193" t="s">
        <v>4</v>
      </c>
      <c r="B17" s="205" t="s">
        <v>280</v>
      </c>
      <c r="C17" s="185" t="s">
        <v>14</v>
      </c>
      <c r="D17" s="135" t="s">
        <v>27</v>
      </c>
      <c r="E17" s="185">
        <v>1</v>
      </c>
      <c r="F17" s="587">
        <v>18</v>
      </c>
      <c r="G17" s="423">
        <f>E17*F17</f>
        <v>18</v>
      </c>
    </row>
    <row r="18" spans="1:7" x14ac:dyDescent="0.2">
      <c r="A18" s="195" t="s">
        <v>5</v>
      </c>
      <c r="B18" s="172" t="s">
        <v>932</v>
      </c>
      <c r="C18" s="54" t="s">
        <v>13</v>
      </c>
      <c r="D18" s="54" t="s">
        <v>27</v>
      </c>
      <c r="E18" s="54" t="s">
        <v>169</v>
      </c>
      <c r="F18" s="53" t="s">
        <v>169</v>
      </c>
      <c r="G18" s="424" t="s">
        <v>169</v>
      </c>
    </row>
    <row r="19" spans="1:7" x14ac:dyDescent="0.2">
      <c r="A19" s="195" t="s">
        <v>6</v>
      </c>
      <c r="B19" s="172" t="s">
        <v>935</v>
      </c>
      <c r="C19" s="54" t="s">
        <v>15</v>
      </c>
      <c r="D19" s="54" t="s">
        <v>27</v>
      </c>
      <c r="E19" s="54" t="s">
        <v>169</v>
      </c>
      <c r="F19" s="53" t="s">
        <v>169</v>
      </c>
      <c r="G19" s="424" t="s">
        <v>169</v>
      </c>
    </row>
    <row r="20" spans="1:7" x14ac:dyDescent="0.2">
      <c r="A20" s="195" t="s">
        <v>7</v>
      </c>
      <c r="B20" s="138" t="s">
        <v>552</v>
      </c>
      <c r="C20" s="54" t="s">
        <v>15</v>
      </c>
      <c r="D20" s="54" t="s">
        <v>27</v>
      </c>
      <c r="E20" s="54">
        <v>4</v>
      </c>
      <c r="F20" s="53">
        <v>18</v>
      </c>
      <c r="G20" s="424">
        <f t="shared" ref="G20:G44" si="0">E20*F20</f>
        <v>72</v>
      </c>
    </row>
    <row r="21" spans="1:7" x14ac:dyDescent="0.2">
      <c r="A21" s="195" t="s">
        <v>8</v>
      </c>
      <c r="B21" s="138" t="s">
        <v>553</v>
      </c>
      <c r="C21" s="54" t="s">
        <v>15</v>
      </c>
      <c r="D21" s="54" t="s">
        <v>27</v>
      </c>
      <c r="E21" s="54">
        <v>4</v>
      </c>
      <c r="F21" s="53">
        <v>18</v>
      </c>
      <c r="G21" s="424">
        <f t="shared" si="0"/>
        <v>72</v>
      </c>
    </row>
    <row r="22" spans="1:7" x14ac:dyDescent="0.2">
      <c r="A22" s="195" t="s">
        <v>9</v>
      </c>
      <c r="B22" s="138" t="s">
        <v>554</v>
      </c>
      <c r="C22" s="54" t="s">
        <v>15</v>
      </c>
      <c r="D22" s="54" t="s">
        <v>27</v>
      </c>
      <c r="E22" s="54">
        <v>4</v>
      </c>
      <c r="F22" s="53">
        <v>18</v>
      </c>
      <c r="G22" s="424">
        <f t="shared" si="0"/>
        <v>72</v>
      </c>
    </row>
    <row r="23" spans="1:7" x14ac:dyDescent="0.2">
      <c r="A23" s="195" t="s">
        <v>11</v>
      </c>
      <c r="B23" s="138" t="s">
        <v>243</v>
      </c>
      <c r="C23" s="54" t="s">
        <v>15</v>
      </c>
      <c r="D23" s="54" t="s">
        <v>27</v>
      </c>
      <c r="E23" s="54">
        <v>2</v>
      </c>
      <c r="F23" s="53">
        <v>18</v>
      </c>
      <c r="G23" s="424">
        <f t="shared" si="0"/>
        <v>36</v>
      </c>
    </row>
    <row r="24" spans="1:7" x14ac:dyDescent="0.2">
      <c r="A24" s="195" t="s">
        <v>12</v>
      </c>
      <c r="B24" s="138" t="s">
        <v>244</v>
      </c>
      <c r="C24" s="54" t="s">
        <v>15</v>
      </c>
      <c r="D24" s="54" t="s">
        <v>27</v>
      </c>
      <c r="E24" s="54">
        <v>2</v>
      </c>
      <c r="F24" s="53">
        <v>18</v>
      </c>
      <c r="G24" s="424">
        <f t="shared" si="0"/>
        <v>36</v>
      </c>
    </row>
    <row r="25" spans="1:7" x14ac:dyDescent="0.2">
      <c r="A25" s="195" t="s">
        <v>28</v>
      </c>
      <c r="B25" s="579" t="s">
        <v>245</v>
      </c>
      <c r="C25" s="54" t="s">
        <v>15</v>
      </c>
      <c r="D25" s="54" t="s">
        <v>27</v>
      </c>
      <c r="E25" s="54">
        <v>2</v>
      </c>
      <c r="F25" s="53">
        <v>18</v>
      </c>
      <c r="G25" s="424">
        <f t="shared" si="0"/>
        <v>36</v>
      </c>
    </row>
    <row r="26" spans="1:7" x14ac:dyDescent="0.2">
      <c r="A26" s="195" t="s">
        <v>29</v>
      </c>
      <c r="B26" s="138" t="s">
        <v>16</v>
      </c>
      <c r="C26" s="54" t="s">
        <v>17</v>
      </c>
      <c r="D26" s="54" t="s">
        <v>27</v>
      </c>
      <c r="E26" s="54">
        <v>6</v>
      </c>
      <c r="F26" s="53">
        <v>18</v>
      </c>
      <c r="G26" s="424">
        <f t="shared" si="0"/>
        <v>108</v>
      </c>
    </row>
    <row r="27" spans="1:7" x14ac:dyDescent="0.2">
      <c r="A27" s="195" t="s">
        <v>30</v>
      </c>
      <c r="B27" s="138" t="s">
        <v>18</v>
      </c>
      <c r="C27" s="54" t="s">
        <v>19</v>
      </c>
      <c r="D27" s="54" t="s">
        <v>27</v>
      </c>
      <c r="E27" s="54">
        <v>24</v>
      </c>
      <c r="F27" s="53">
        <v>18</v>
      </c>
      <c r="G27" s="424">
        <f t="shared" si="0"/>
        <v>432</v>
      </c>
    </row>
    <row r="28" spans="1:7" x14ac:dyDescent="0.2">
      <c r="A28" s="195" t="s">
        <v>31</v>
      </c>
      <c r="B28" s="138" t="s">
        <v>93</v>
      </c>
      <c r="C28" s="54" t="s">
        <v>15</v>
      </c>
      <c r="D28" s="54" t="s">
        <v>27</v>
      </c>
      <c r="E28" s="54">
        <v>1</v>
      </c>
      <c r="F28" s="53">
        <v>18</v>
      </c>
      <c r="G28" s="424">
        <f t="shared" si="0"/>
        <v>18</v>
      </c>
    </row>
    <row r="29" spans="1:7" x14ac:dyDescent="0.2">
      <c r="A29" s="195" t="s">
        <v>32</v>
      </c>
      <c r="B29" s="138" t="s">
        <v>92</v>
      </c>
      <c r="C29" s="54" t="s">
        <v>19</v>
      </c>
      <c r="D29" s="54" t="s">
        <v>27</v>
      </c>
      <c r="E29" s="54">
        <v>1</v>
      </c>
      <c r="F29" s="53">
        <v>18</v>
      </c>
      <c r="G29" s="424">
        <f t="shared" si="0"/>
        <v>18</v>
      </c>
    </row>
    <row r="30" spans="1:7" x14ac:dyDescent="0.2">
      <c r="A30" s="195" t="s">
        <v>33</v>
      </c>
      <c r="B30" s="138" t="s">
        <v>916</v>
      </c>
      <c r="C30" s="54" t="s">
        <v>17</v>
      </c>
      <c r="D30" s="54" t="s">
        <v>27</v>
      </c>
      <c r="E30" s="54">
        <v>2</v>
      </c>
      <c r="F30" s="53">
        <v>3</v>
      </c>
      <c r="G30" s="424">
        <f t="shared" si="0"/>
        <v>6</v>
      </c>
    </row>
    <row r="31" spans="1:7" x14ac:dyDescent="0.2">
      <c r="A31" s="195" t="s">
        <v>90</v>
      </c>
      <c r="B31" s="172" t="s">
        <v>917</v>
      </c>
      <c r="C31" s="54" t="s">
        <v>17</v>
      </c>
      <c r="D31" s="54" t="s">
        <v>27</v>
      </c>
      <c r="E31" s="54">
        <v>2</v>
      </c>
      <c r="F31" s="53">
        <v>3</v>
      </c>
      <c r="G31" s="424">
        <f t="shared" si="0"/>
        <v>6</v>
      </c>
    </row>
    <row r="32" spans="1:7" x14ac:dyDescent="0.2">
      <c r="A32" s="195" t="s">
        <v>91</v>
      </c>
      <c r="B32" s="172" t="s">
        <v>918</v>
      </c>
      <c r="C32" s="54" t="s">
        <v>17</v>
      </c>
      <c r="D32" s="54" t="s">
        <v>27</v>
      </c>
      <c r="E32" s="54">
        <v>2</v>
      </c>
      <c r="F32" s="53">
        <v>3</v>
      </c>
      <c r="G32" s="424">
        <f t="shared" si="0"/>
        <v>6</v>
      </c>
    </row>
    <row r="33" spans="1:7" x14ac:dyDescent="0.2">
      <c r="A33" s="195" t="s">
        <v>231</v>
      </c>
      <c r="B33" s="138" t="s">
        <v>919</v>
      </c>
      <c r="C33" s="54" t="s">
        <v>36</v>
      </c>
      <c r="D33" s="54" t="s">
        <v>27</v>
      </c>
      <c r="E33" s="54">
        <v>4</v>
      </c>
      <c r="F33" s="53">
        <v>3</v>
      </c>
      <c r="G33" s="424">
        <f t="shared" si="0"/>
        <v>12</v>
      </c>
    </row>
    <row r="34" spans="1:7" x14ac:dyDescent="0.2">
      <c r="A34" s="195" t="s">
        <v>232</v>
      </c>
      <c r="B34" s="138" t="s">
        <v>10</v>
      </c>
      <c r="C34" s="54" t="s">
        <v>20</v>
      </c>
      <c r="D34" s="54" t="s">
        <v>27</v>
      </c>
      <c r="E34" s="54">
        <v>6</v>
      </c>
      <c r="F34" s="53">
        <v>3</v>
      </c>
      <c r="G34" s="424">
        <f t="shared" si="0"/>
        <v>18</v>
      </c>
    </row>
    <row r="35" spans="1:7" x14ac:dyDescent="0.2">
      <c r="A35" s="195" t="s">
        <v>233</v>
      </c>
      <c r="B35" s="138" t="s">
        <v>920</v>
      </c>
      <c r="C35" s="54" t="s">
        <v>15</v>
      </c>
      <c r="D35" s="54" t="s">
        <v>27</v>
      </c>
      <c r="E35" s="54">
        <v>1</v>
      </c>
      <c r="F35" s="53">
        <v>4</v>
      </c>
      <c r="G35" s="424">
        <f t="shared" si="0"/>
        <v>4</v>
      </c>
    </row>
    <row r="36" spans="1:7" x14ac:dyDescent="0.2">
      <c r="A36" s="195" t="s">
        <v>246</v>
      </c>
      <c r="B36" s="172" t="s">
        <v>550</v>
      </c>
      <c r="C36" s="54" t="s">
        <v>19</v>
      </c>
      <c r="D36" s="54" t="s">
        <v>27</v>
      </c>
      <c r="E36" s="54">
        <v>2</v>
      </c>
      <c r="F36" s="53">
        <v>18</v>
      </c>
      <c r="G36" s="424">
        <f t="shared" si="0"/>
        <v>36</v>
      </c>
    </row>
    <row r="37" spans="1:7" x14ac:dyDescent="0.2">
      <c r="A37" s="195" t="s">
        <v>247</v>
      </c>
      <c r="B37" s="138" t="s">
        <v>613</v>
      </c>
      <c r="C37" s="54" t="s">
        <v>15</v>
      </c>
      <c r="D37" s="54" t="s">
        <v>27</v>
      </c>
      <c r="E37" s="54">
        <v>1</v>
      </c>
      <c r="F37" s="53">
        <v>18</v>
      </c>
      <c r="G37" s="424">
        <f t="shared" si="0"/>
        <v>18</v>
      </c>
    </row>
    <row r="38" spans="1:7" x14ac:dyDescent="0.2">
      <c r="A38" s="195" t="s">
        <v>248</v>
      </c>
      <c r="B38" s="138" t="s">
        <v>614</v>
      </c>
      <c r="C38" s="54" t="s">
        <v>20</v>
      </c>
      <c r="D38" s="54" t="s">
        <v>27</v>
      </c>
      <c r="E38" s="54">
        <v>2</v>
      </c>
      <c r="F38" s="53">
        <v>18</v>
      </c>
      <c r="G38" s="424">
        <f t="shared" si="0"/>
        <v>36</v>
      </c>
    </row>
    <row r="39" spans="1:7" ht="24" x14ac:dyDescent="0.2">
      <c r="A39" s="195" t="s">
        <v>249</v>
      </c>
      <c r="B39" s="138" t="s">
        <v>523</v>
      </c>
      <c r="C39" s="54" t="s">
        <v>227</v>
      </c>
      <c r="D39" s="54" t="s">
        <v>27</v>
      </c>
      <c r="E39" s="137">
        <v>2</v>
      </c>
      <c r="F39" s="580">
        <v>15</v>
      </c>
      <c r="G39" s="424">
        <f t="shared" si="0"/>
        <v>30</v>
      </c>
    </row>
    <row r="40" spans="1:7" x14ac:dyDescent="0.2">
      <c r="A40" s="195" t="s">
        <v>250</v>
      </c>
      <c r="B40" s="182" t="s">
        <v>238</v>
      </c>
      <c r="C40" s="54" t="s">
        <v>15</v>
      </c>
      <c r="D40" s="54" t="s">
        <v>27</v>
      </c>
      <c r="E40" s="54">
        <v>1</v>
      </c>
      <c r="F40" s="53">
        <v>18</v>
      </c>
      <c r="G40" s="424">
        <f t="shared" si="0"/>
        <v>18</v>
      </c>
    </row>
    <row r="41" spans="1:7" x14ac:dyDescent="0.2">
      <c r="A41" s="195" t="s">
        <v>251</v>
      </c>
      <c r="B41" s="182" t="s">
        <v>615</v>
      </c>
      <c r="C41" s="54" t="s">
        <v>15</v>
      </c>
      <c r="D41" s="54" t="s">
        <v>27</v>
      </c>
      <c r="E41" s="54">
        <v>1</v>
      </c>
      <c r="F41" s="53">
        <v>18</v>
      </c>
      <c r="G41" s="424">
        <f t="shared" si="0"/>
        <v>18</v>
      </c>
    </row>
    <row r="42" spans="1:7" x14ac:dyDescent="0.2">
      <c r="A42" s="195" t="s">
        <v>252</v>
      </c>
      <c r="B42" s="182" t="s">
        <v>279</v>
      </c>
      <c r="C42" s="54" t="s">
        <v>17</v>
      </c>
      <c r="D42" s="54" t="s">
        <v>27</v>
      </c>
      <c r="E42" s="54">
        <v>1</v>
      </c>
      <c r="F42" s="53">
        <v>18</v>
      </c>
      <c r="G42" s="424">
        <f t="shared" si="0"/>
        <v>18</v>
      </c>
    </row>
    <row r="43" spans="1:7" x14ac:dyDescent="0.2">
      <c r="A43" s="195" t="s">
        <v>253</v>
      </c>
      <c r="B43" s="138" t="s">
        <v>21</v>
      </c>
      <c r="C43" s="54" t="s">
        <v>22</v>
      </c>
      <c r="D43" s="54" t="s">
        <v>27</v>
      </c>
      <c r="E43" s="54">
        <v>2</v>
      </c>
      <c r="F43" s="580">
        <v>18</v>
      </c>
      <c r="G43" s="424">
        <f t="shared" si="0"/>
        <v>36</v>
      </c>
    </row>
    <row r="44" spans="1:7" ht="12.75" thickBot="1" x14ac:dyDescent="0.25">
      <c r="A44" s="196" t="s">
        <v>254</v>
      </c>
      <c r="B44" s="588" t="s">
        <v>23</v>
      </c>
      <c r="C44" s="140" t="s">
        <v>24</v>
      </c>
      <c r="D44" s="140" t="s">
        <v>27</v>
      </c>
      <c r="E44" s="140">
        <v>4</v>
      </c>
      <c r="F44" s="589">
        <v>18</v>
      </c>
      <c r="G44" s="150">
        <f t="shared" si="0"/>
        <v>72</v>
      </c>
    </row>
    <row r="45" spans="1:7" ht="12.75" thickBot="1" x14ac:dyDescent="0.25">
      <c r="A45" s="1409" t="s">
        <v>902</v>
      </c>
      <c r="B45" s="1410"/>
      <c r="C45" s="1410"/>
      <c r="D45" s="1410"/>
      <c r="E45" s="1410"/>
      <c r="F45" s="1411"/>
      <c r="G45" s="540">
        <f>SUM(G17:G44)</f>
        <v>1252</v>
      </c>
    </row>
    <row r="46" spans="1:7" ht="12.75" thickBot="1" x14ac:dyDescent="0.25">
      <c r="A46" s="1412" t="s">
        <v>1027</v>
      </c>
      <c r="B46" s="1413"/>
      <c r="C46" s="1413"/>
      <c r="D46" s="1413"/>
      <c r="E46" s="1413"/>
      <c r="F46" s="1414"/>
      <c r="G46" s="638">
        <v>0</v>
      </c>
    </row>
    <row r="47" spans="1:7" ht="12.75" thickBot="1" x14ac:dyDescent="0.25">
      <c r="A47" s="1383" t="s">
        <v>903</v>
      </c>
      <c r="B47" s="1384"/>
      <c r="C47" s="1384"/>
      <c r="D47" s="1384"/>
      <c r="E47" s="1384"/>
      <c r="F47" s="1385"/>
      <c r="G47" s="426">
        <f>G45*G46</f>
        <v>0</v>
      </c>
    </row>
    <row r="48" spans="1:7" x14ac:dyDescent="0.2">
      <c r="A48" s="178"/>
      <c r="B48" s="179"/>
      <c r="C48" s="180"/>
      <c r="D48" s="178"/>
      <c r="E48" s="178"/>
      <c r="F48" s="178"/>
      <c r="G48" s="178"/>
    </row>
    <row r="49" spans="1:7" ht="12.75" thickBot="1" x14ac:dyDescent="0.25">
      <c r="A49" s="178"/>
      <c r="B49" s="179"/>
      <c r="C49" s="180"/>
      <c r="D49" s="178"/>
      <c r="E49" s="178"/>
      <c r="F49" s="178"/>
      <c r="G49" s="178"/>
    </row>
    <row r="50" spans="1:7" x14ac:dyDescent="0.2">
      <c r="A50" s="1380" t="s">
        <v>0</v>
      </c>
      <c r="B50" s="1380" t="s">
        <v>1</v>
      </c>
      <c r="C50" s="1386" t="s">
        <v>297</v>
      </c>
      <c r="D50" s="1380" t="s">
        <v>2</v>
      </c>
      <c r="E50" s="1386" t="s">
        <v>3</v>
      </c>
      <c r="F50" s="1380" t="s">
        <v>242</v>
      </c>
      <c r="G50" s="1380" t="s">
        <v>901</v>
      </c>
    </row>
    <row r="51" spans="1:7" x14ac:dyDescent="0.2">
      <c r="A51" s="1381"/>
      <c r="B51" s="1381"/>
      <c r="C51" s="1387"/>
      <c r="D51" s="1381"/>
      <c r="E51" s="1387"/>
      <c r="F51" s="1381"/>
      <c r="G51" s="1381"/>
    </row>
    <row r="52" spans="1:7" ht="12.75" thickBot="1" x14ac:dyDescent="0.25">
      <c r="A52" s="1382"/>
      <c r="B52" s="1382"/>
      <c r="C52" s="1388"/>
      <c r="D52" s="1382"/>
      <c r="E52" s="1388"/>
      <c r="F52" s="1382"/>
      <c r="G52" s="1382"/>
    </row>
    <row r="53" spans="1:7" ht="12.75" thickBot="1" x14ac:dyDescent="0.25">
      <c r="A53" s="915" t="s">
        <v>100</v>
      </c>
      <c r="B53" s="1467" t="s">
        <v>44</v>
      </c>
      <c r="C53" s="1467"/>
      <c r="D53" s="1467"/>
      <c r="E53" s="1467"/>
      <c r="F53" s="1467"/>
      <c r="G53" s="1468"/>
    </row>
    <row r="54" spans="1:7" ht="24" x14ac:dyDescent="0.2">
      <c r="A54" s="193" t="s">
        <v>81</v>
      </c>
      <c r="B54" s="56" t="s">
        <v>525</v>
      </c>
      <c r="C54" s="171" t="s">
        <v>14</v>
      </c>
      <c r="D54" s="171" t="s">
        <v>27</v>
      </c>
      <c r="E54" s="171">
        <f>'Mão de Obra  (Detalhamento)'!E50</f>
        <v>1</v>
      </c>
      <c r="F54" s="418">
        <f>'Mão de Obra  (Detalhamento)'!F50</f>
        <v>1</v>
      </c>
      <c r="G54" s="151">
        <f>E54*F54</f>
        <v>1</v>
      </c>
    </row>
    <row r="55" spans="1:7" x14ac:dyDescent="0.2">
      <c r="A55" s="195" t="s">
        <v>82</v>
      </c>
      <c r="B55" s="51" t="s">
        <v>524</v>
      </c>
      <c r="C55" s="54" t="s">
        <v>227</v>
      </c>
      <c r="D55" s="54" t="s">
        <v>27</v>
      </c>
      <c r="E55" s="171">
        <f>'Mão de Obra  (Detalhamento)'!E51</f>
        <v>2</v>
      </c>
      <c r="F55" s="418">
        <f>'Mão de Obra  (Detalhamento)'!F51</f>
        <v>15</v>
      </c>
      <c r="G55" s="151">
        <f>E55*F55</f>
        <v>30</v>
      </c>
    </row>
    <row r="56" spans="1:7" x14ac:dyDescent="0.2">
      <c r="A56" s="195" t="s">
        <v>286</v>
      </c>
      <c r="B56" s="175" t="s">
        <v>707</v>
      </c>
      <c r="C56" s="54" t="s">
        <v>15</v>
      </c>
      <c r="D56" s="54" t="s">
        <v>235</v>
      </c>
      <c r="E56" s="171" t="s">
        <v>169</v>
      </c>
      <c r="F56" s="418" t="s">
        <v>169</v>
      </c>
      <c r="G56" s="151" t="s">
        <v>169</v>
      </c>
    </row>
    <row r="57" spans="1:7" x14ac:dyDescent="0.2">
      <c r="A57" s="195" t="s">
        <v>287</v>
      </c>
      <c r="B57" s="175" t="s">
        <v>708</v>
      </c>
      <c r="C57" s="54" t="s">
        <v>15</v>
      </c>
      <c r="D57" s="54" t="s">
        <v>235</v>
      </c>
      <c r="E57" s="171" t="s">
        <v>169</v>
      </c>
      <c r="F57" s="418" t="s">
        <v>169</v>
      </c>
      <c r="G57" s="151" t="s">
        <v>169</v>
      </c>
    </row>
    <row r="58" spans="1:7" x14ac:dyDescent="0.2">
      <c r="A58" s="195" t="s">
        <v>288</v>
      </c>
      <c r="B58" s="175" t="s">
        <v>526</v>
      </c>
      <c r="C58" s="54" t="s">
        <v>14</v>
      </c>
      <c r="D58" s="54" t="s">
        <v>27</v>
      </c>
      <c r="E58" s="171">
        <f>'Mão de Obra  (Detalhamento)'!E54</f>
        <v>1</v>
      </c>
      <c r="F58" s="418">
        <f>'Mão de Obra  (Detalhamento)'!F54</f>
        <v>7</v>
      </c>
      <c r="G58" s="151">
        <f>E58*F58</f>
        <v>7</v>
      </c>
    </row>
    <row r="59" spans="1:7" ht="24.75" thickBot="1" x14ac:dyDescent="0.25">
      <c r="A59" s="196" t="s">
        <v>289</v>
      </c>
      <c r="B59" s="176" t="s">
        <v>709</v>
      </c>
      <c r="C59" s="140" t="s">
        <v>15</v>
      </c>
      <c r="D59" s="140" t="s">
        <v>235</v>
      </c>
      <c r="E59" s="171" t="s">
        <v>169</v>
      </c>
      <c r="F59" s="418" t="s">
        <v>169</v>
      </c>
      <c r="G59" s="151" t="s">
        <v>169</v>
      </c>
    </row>
    <row r="60" spans="1:7" ht="12.75" thickBot="1" x14ac:dyDescent="0.25">
      <c r="A60" s="1394" t="s">
        <v>902</v>
      </c>
      <c r="B60" s="1395"/>
      <c r="C60" s="1395"/>
      <c r="D60" s="1395"/>
      <c r="E60" s="1395"/>
      <c r="F60" s="1396"/>
      <c r="G60" s="422">
        <f>SUM(G54:G59)</f>
        <v>38</v>
      </c>
    </row>
    <row r="61" spans="1:7" ht="12.75" thickBot="1" x14ac:dyDescent="0.25">
      <c r="A61" s="1412" t="s">
        <v>1027</v>
      </c>
      <c r="B61" s="1413"/>
      <c r="C61" s="1413"/>
      <c r="D61" s="1413"/>
      <c r="E61" s="1413"/>
      <c r="F61" s="1414"/>
      <c r="G61" s="638">
        <v>0</v>
      </c>
    </row>
    <row r="62" spans="1:7" ht="12.75" thickBot="1" x14ac:dyDescent="0.25">
      <c r="A62" s="1383" t="s">
        <v>905</v>
      </c>
      <c r="B62" s="1384"/>
      <c r="C62" s="1384"/>
      <c r="D62" s="1384"/>
      <c r="E62" s="1384"/>
      <c r="F62" s="1385"/>
      <c r="G62" s="426">
        <f>G60*G61</f>
        <v>0</v>
      </c>
    </row>
    <row r="63" spans="1:7" x14ac:dyDescent="0.2">
      <c r="A63" s="178"/>
      <c r="B63" s="179"/>
      <c r="C63" s="180"/>
      <c r="D63" s="178"/>
      <c r="E63" s="178"/>
      <c r="F63" s="178"/>
      <c r="G63" s="178"/>
    </row>
    <row r="64" spans="1:7" ht="12.75" thickBot="1" x14ac:dyDescent="0.25">
      <c r="A64" s="178"/>
      <c r="B64" s="179"/>
      <c r="C64" s="180"/>
      <c r="D64" s="178"/>
      <c r="E64" s="178"/>
      <c r="F64" s="178"/>
      <c r="G64" s="178"/>
    </row>
    <row r="65" spans="1:7" x14ac:dyDescent="0.2">
      <c r="A65" s="1380" t="s">
        <v>0</v>
      </c>
      <c r="B65" s="1380" t="s">
        <v>1</v>
      </c>
      <c r="C65" s="1386" t="s">
        <v>297</v>
      </c>
      <c r="D65" s="1380" t="s">
        <v>2</v>
      </c>
      <c r="E65" s="1386" t="s">
        <v>3</v>
      </c>
      <c r="F65" s="1380" t="s">
        <v>242</v>
      </c>
      <c r="G65" s="1380" t="s">
        <v>901</v>
      </c>
    </row>
    <row r="66" spans="1:7" x14ac:dyDescent="0.2">
      <c r="A66" s="1381"/>
      <c r="B66" s="1381"/>
      <c r="C66" s="1387"/>
      <c r="D66" s="1381"/>
      <c r="E66" s="1387"/>
      <c r="F66" s="1381"/>
      <c r="G66" s="1381"/>
    </row>
    <row r="67" spans="1:7" ht="12.75" thickBot="1" x14ac:dyDescent="0.25">
      <c r="A67" s="1382"/>
      <c r="B67" s="1382"/>
      <c r="C67" s="1388"/>
      <c r="D67" s="1382"/>
      <c r="E67" s="1388"/>
      <c r="F67" s="1382"/>
      <c r="G67" s="1382"/>
    </row>
    <row r="68" spans="1:7" ht="12.75" thickBot="1" x14ac:dyDescent="0.25">
      <c r="A68" s="915" t="s">
        <v>101</v>
      </c>
      <c r="B68" s="1469" t="s">
        <v>225</v>
      </c>
      <c r="C68" s="1467"/>
      <c r="D68" s="1467"/>
      <c r="E68" s="1467"/>
      <c r="F68" s="1467"/>
      <c r="G68" s="1468"/>
    </row>
    <row r="69" spans="1:7" x14ac:dyDescent="0.2">
      <c r="A69" s="193" t="s">
        <v>83</v>
      </c>
      <c r="B69" s="194" t="s">
        <v>234</v>
      </c>
      <c r="C69" s="171" t="s">
        <v>17</v>
      </c>
      <c r="D69" s="171" t="s">
        <v>27</v>
      </c>
      <c r="E69" s="171">
        <f>'Mão de Obra  (Detalhamento)'!E67</f>
        <v>1</v>
      </c>
      <c r="F69" s="230">
        <f>'Mão de Obra  (Detalhamento)'!F67</f>
        <v>3</v>
      </c>
      <c r="G69" s="423">
        <f>E69*F69</f>
        <v>3</v>
      </c>
    </row>
    <row r="70" spans="1:7" x14ac:dyDescent="0.2">
      <c r="A70" s="195" t="s">
        <v>84</v>
      </c>
      <c r="B70" s="172" t="s">
        <v>228</v>
      </c>
      <c r="C70" s="54" t="s">
        <v>227</v>
      </c>
      <c r="D70" s="54" t="s">
        <v>27</v>
      </c>
      <c r="E70" s="171">
        <f>'Mão de Obra  (Detalhamento)'!E68</f>
        <v>2</v>
      </c>
      <c r="F70" s="230">
        <f>'Mão de Obra  (Detalhamento)'!F68</f>
        <v>3</v>
      </c>
      <c r="G70" s="424">
        <f>E70*F70</f>
        <v>6</v>
      </c>
    </row>
    <row r="71" spans="1:7" x14ac:dyDescent="0.2">
      <c r="A71" s="195" t="s">
        <v>257</v>
      </c>
      <c r="B71" s="172" t="s">
        <v>226</v>
      </c>
      <c r="C71" s="54" t="s">
        <v>227</v>
      </c>
      <c r="D71" s="54" t="s">
        <v>27</v>
      </c>
      <c r="E71" s="171">
        <f>'Mão de Obra  (Detalhamento)'!E69</f>
        <v>2</v>
      </c>
      <c r="F71" s="230">
        <f>'Mão de Obra  (Detalhamento)'!F69</f>
        <v>3</v>
      </c>
      <c r="G71" s="424">
        <f>E71*F71</f>
        <v>6</v>
      </c>
    </row>
    <row r="72" spans="1:7" ht="12.75" thickBot="1" x14ac:dyDescent="0.25">
      <c r="A72" s="196" t="s">
        <v>258</v>
      </c>
      <c r="B72" s="174" t="s">
        <v>229</v>
      </c>
      <c r="C72" s="140" t="s">
        <v>36</v>
      </c>
      <c r="D72" s="140" t="s">
        <v>27</v>
      </c>
      <c r="E72" s="171">
        <f>'Mão de Obra  (Detalhamento)'!E70</f>
        <v>1</v>
      </c>
      <c r="F72" s="230">
        <f>'Mão de Obra  (Detalhamento)'!F70</f>
        <v>3</v>
      </c>
      <c r="G72" s="150">
        <f>E72*F72</f>
        <v>3</v>
      </c>
    </row>
    <row r="73" spans="1:7" ht="12.75" thickBot="1" x14ac:dyDescent="0.25">
      <c r="A73" s="1394" t="s">
        <v>902</v>
      </c>
      <c r="B73" s="1395"/>
      <c r="C73" s="1395"/>
      <c r="D73" s="1395"/>
      <c r="E73" s="1395"/>
      <c r="F73" s="1396"/>
      <c r="G73" s="422">
        <f>SUM(G69:G72)</f>
        <v>18</v>
      </c>
    </row>
    <row r="74" spans="1:7" ht="12.75" thickBot="1" x14ac:dyDescent="0.25">
      <c r="A74" s="1412" t="s">
        <v>1027</v>
      </c>
      <c r="B74" s="1413"/>
      <c r="C74" s="1413"/>
      <c r="D74" s="1413"/>
      <c r="E74" s="1413"/>
      <c r="F74" s="1414"/>
      <c r="G74" s="638">
        <v>0</v>
      </c>
    </row>
    <row r="75" spans="1:7" ht="12.75" thickBot="1" x14ac:dyDescent="0.25">
      <c r="A75" s="1383" t="s">
        <v>906</v>
      </c>
      <c r="B75" s="1384"/>
      <c r="C75" s="1384"/>
      <c r="D75" s="1384"/>
      <c r="E75" s="1384"/>
      <c r="F75" s="1385"/>
      <c r="G75" s="426">
        <f>G73*G74</f>
        <v>0</v>
      </c>
    </row>
    <row r="76" spans="1:7" ht="12.75" thickBot="1" x14ac:dyDescent="0.25">
      <c r="A76" s="178"/>
      <c r="B76" s="179"/>
      <c r="C76" s="180"/>
      <c r="D76" s="178"/>
      <c r="E76" s="178"/>
      <c r="F76" s="178"/>
      <c r="G76" s="178"/>
    </row>
    <row r="77" spans="1:7" x14ac:dyDescent="0.2">
      <c r="A77" s="1380" t="s">
        <v>0</v>
      </c>
      <c r="B77" s="1380" t="s">
        <v>1</v>
      </c>
      <c r="C77" s="1386" t="s">
        <v>297</v>
      </c>
      <c r="D77" s="1380" t="s">
        <v>2</v>
      </c>
      <c r="E77" s="1386" t="s">
        <v>3</v>
      </c>
      <c r="F77" s="1380" t="s">
        <v>242</v>
      </c>
      <c r="G77" s="1380" t="s">
        <v>901</v>
      </c>
    </row>
    <row r="78" spans="1:7" x14ac:dyDescent="0.2">
      <c r="A78" s="1381"/>
      <c r="B78" s="1381"/>
      <c r="C78" s="1387"/>
      <c r="D78" s="1381"/>
      <c r="E78" s="1387"/>
      <c r="F78" s="1381"/>
      <c r="G78" s="1381"/>
    </row>
    <row r="79" spans="1:7" ht="12.75" thickBot="1" x14ac:dyDescent="0.25">
      <c r="A79" s="1382"/>
      <c r="B79" s="1382"/>
      <c r="C79" s="1388"/>
      <c r="D79" s="1382"/>
      <c r="E79" s="1388"/>
      <c r="F79" s="1382"/>
      <c r="G79" s="1382"/>
    </row>
    <row r="80" spans="1:7" ht="12.75" thickBot="1" x14ac:dyDescent="0.25">
      <c r="A80" s="915" t="s">
        <v>260</v>
      </c>
      <c r="B80" s="1469" t="s">
        <v>677</v>
      </c>
      <c r="C80" s="1467"/>
      <c r="D80" s="1467"/>
      <c r="E80" s="1467"/>
      <c r="F80" s="1467"/>
      <c r="G80" s="1468"/>
    </row>
    <row r="81" spans="1:7" x14ac:dyDescent="0.2">
      <c r="A81" s="183" t="s">
        <v>85</v>
      </c>
      <c r="B81" s="229" t="s">
        <v>564</v>
      </c>
      <c r="C81" s="171" t="s">
        <v>13</v>
      </c>
      <c r="D81" s="171" t="s">
        <v>235</v>
      </c>
      <c r="E81" s="171" t="s">
        <v>169</v>
      </c>
      <c r="F81" s="52">
        <f>'Mão de Obra  (Detalhamento)'!F79</f>
        <v>12</v>
      </c>
      <c r="G81" s="424" t="s">
        <v>169</v>
      </c>
    </row>
    <row r="82" spans="1:7" x14ac:dyDescent="0.2">
      <c r="A82" s="177" t="s">
        <v>86</v>
      </c>
      <c r="B82" s="197" t="s">
        <v>565</v>
      </c>
      <c r="C82" s="54" t="s">
        <v>13</v>
      </c>
      <c r="D82" s="54" t="s">
        <v>235</v>
      </c>
      <c r="E82" s="171" t="s">
        <v>169</v>
      </c>
      <c r="F82" s="52">
        <f>'Mão de Obra  (Detalhamento)'!F80</f>
        <v>12</v>
      </c>
      <c r="G82" s="424" t="s">
        <v>169</v>
      </c>
    </row>
    <row r="83" spans="1:7" x14ac:dyDescent="0.2">
      <c r="A83" s="177" t="s">
        <v>261</v>
      </c>
      <c r="B83" s="197" t="s">
        <v>238</v>
      </c>
      <c r="C83" s="54" t="s">
        <v>17</v>
      </c>
      <c r="D83" s="54" t="s">
        <v>27</v>
      </c>
      <c r="E83" s="171">
        <f>'Mão de Obra  (Detalhamento)'!E81</f>
        <v>4</v>
      </c>
      <c r="F83" s="52">
        <f>'Mão de Obra  (Detalhamento)'!F81</f>
        <v>12</v>
      </c>
      <c r="G83" s="424">
        <f>E83*F83</f>
        <v>48</v>
      </c>
    </row>
    <row r="84" spans="1:7" x14ac:dyDescent="0.2">
      <c r="A84" s="177" t="s">
        <v>262</v>
      </c>
      <c r="B84" s="197" t="s">
        <v>239</v>
      </c>
      <c r="C84" s="54" t="s">
        <v>17</v>
      </c>
      <c r="D84" s="54" t="s">
        <v>27</v>
      </c>
      <c r="E84" s="171">
        <f>'Mão de Obra  (Detalhamento)'!E82</f>
        <v>2</v>
      </c>
      <c r="F84" s="52">
        <f>'Mão de Obra  (Detalhamento)'!F82</f>
        <v>12</v>
      </c>
      <c r="G84" s="424">
        <f>E84*F84</f>
        <v>24</v>
      </c>
    </row>
    <row r="85" spans="1:7" x14ac:dyDescent="0.2">
      <c r="A85" s="177" t="s">
        <v>263</v>
      </c>
      <c r="B85" s="197" t="s">
        <v>239</v>
      </c>
      <c r="C85" s="54" t="s">
        <v>227</v>
      </c>
      <c r="D85" s="54" t="s">
        <v>27</v>
      </c>
      <c r="E85" s="171">
        <f>'Mão de Obra  (Detalhamento)'!E83</f>
        <v>1</v>
      </c>
      <c r="F85" s="52">
        <f>'Mão de Obra  (Detalhamento)'!F83</f>
        <v>12</v>
      </c>
      <c r="G85" s="424">
        <f>E85*F85</f>
        <v>12</v>
      </c>
    </row>
    <row r="86" spans="1:7" x14ac:dyDescent="0.2">
      <c r="A86" s="177" t="s">
        <v>389</v>
      </c>
      <c r="B86" s="197" t="s">
        <v>240</v>
      </c>
      <c r="C86" s="54" t="s">
        <v>227</v>
      </c>
      <c r="D86" s="54" t="s">
        <v>27</v>
      </c>
      <c r="E86" s="171">
        <f>'Mão de Obra  (Detalhamento)'!E84</f>
        <v>1</v>
      </c>
      <c r="F86" s="52">
        <f>'Mão de Obra  (Detalhamento)'!F84</f>
        <v>12</v>
      </c>
      <c r="G86" s="424">
        <f>E86*F86</f>
        <v>12</v>
      </c>
    </row>
    <row r="87" spans="1:7" ht="12.75" thickBot="1" x14ac:dyDescent="0.25">
      <c r="A87" s="206" t="s">
        <v>390</v>
      </c>
      <c r="B87" s="231" t="s">
        <v>241</v>
      </c>
      <c r="C87" s="141" t="s">
        <v>22</v>
      </c>
      <c r="D87" s="141" t="s">
        <v>27</v>
      </c>
      <c r="E87" s="171">
        <f>'Mão de Obra  (Detalhamento)'!E85</f>
        <v>1</v>
      </c>
      <c r="F87" s="52">
        <f>'Mão de Obra  (Detalhamento)'!F85</f>
        <v>12</v>
      </c>
      <c r="G87" s="424">
        <f>E87*F87</f>
        <v>12</v>
      </c>
    </row>
    <row r="88" spans="1:7" ht="12.75" thickBot="1" x14ac:dyDescent="0.25">
      <c r="A88" s="1394" t="s">
        <v>902</v>
      </c>
      <c r="B88" s="1395"/>
      <c r="C88" s="1395"/>
      <c r="D88" s="1395"/>
      <c r="E88" s="1395"/>
      <c r="F88" s="1396"/>
      <c r="G88" s="422">
        <f>SUM(G83:G87)</f>
        <v>108</v>
      </c>
    </row>
    <row r="89" spans="1:7" ht="12.75" thickBot="1" x14ac:dyDescent="0.25">
      <c r="A89" s="1412" t="s">
        <v>1027</v>
      </c>
      <c r="B89" s="1413"/>
      <c r="C89" s="1413"/>
      <c r="D89" s="1413"/>
      <c r="E89" s="1413"/>
      <c r="F89" s="1414"/>
      <c r="G89" s="638">
        <v>0</v>
      </c>
    </row>
    <row r="90" spans="1:7" ht="12.75" thickBot="1" x14ac:dyDescent="0.25">
      <c r="A90" s="1383" t="s">
        <v>907</v>
      </c>
      <c r="B90" s="1384"/>
      <c r="C90" s="1384"/>
      <c r="D90" s="1384"/>
      <c r="E90" s="1384"/>
      <c r="F90" s="1385"/>
      <c r="G90" s="426">
        <f>G88*G89</f>
        <v>0</v>
      </c>
    </row>
    <row r="91" spans="1:7" x14ac:dyDescent="0.2">
      <c r="A91" s="178"/>
      <c r="B91" s="179"/>
      <c r="C91" s="180"/>
      <c r="D91" s="178"/>
      <c r="E91" s="178"/>
      <c r="F91" s="178"/>
      <c r="G91" s="178"/>
    </row>
    <row r="92" spans="1:7" ht="12.75" thickBot="1" x14ac:dyDescent="0.25">
      <c r="A92" s="178"/>
      <c r="B92" s="179"/>
      <c r="C92" s="180"/>
      <c r="D92" s="178"/>
      <c r="E92" s="178"/>
      <c r="F92" s="178"/>
      <c r="G92" s="178"/>
    </row>
    <row r="93" spans="1:7" x14ac:dyDescent="0.2">
      <c r="A93" s="1380" t="s">
        <v>0</v>
      </c>
      <c r="B93" s="1380" t="s">
        <v>1</v>
      </c>
      <c r="C93" s="1386" t="s">
        <v>297</v>
      </c>
      <c r="D93" s="1380" t="s">
        <v>2</v>
      </c>
      <c r="E93" s="1386" t="s">
        <v>3</v>
      </c>
      <c r="F93" s="1380" t="s">
        <v>242</v>
      </c>
      <c r="G93" s="1380" t="s">
        <v>901</v>
      </c>
    </row>
    <row r="94" spans="1:7" x14ac:dyDescent="0.2">
      <c r="A94" s="1381"/>
      <c r="B94" s="1381"/>
      <c r="C94" s="1387"/>
      <c r="D94" s="1381"/>
      <c r="E94" s="1387"/>
      <c r="F94" s="1381"/>
      <c r="G94" s="1381"/>
    </row>
    <row r="95" spans="1:7" ht="12.75" thickBot="1" x14ac:dyDescent="0.25">
      <c r="A95" s="1382"/>
      <c r="B95" s="1382"/>
      <c r="C95" s="1388"/>
      <c r="D95" s="1382"/>
      <c r="E95" s="1388"/>
      <c r="F95" s="1382"/>
      <c r="G95" s="1382"/>
    </row>
    <row r="96" spans="1:7" ht="12.75" thickBot="1" x14ac:dyDescent="0.25">
      <c r="A96" s="915" t="s">
        <v>265</v>
      </c>
      <c r="B96" s="1469" t="s">
        <v>678</v>
      </c>
      <c r="C96" s="1467"/>
      <c r="D96" s="1467"/>
      <c r="E96" s="1467"/>
      <c r="F96" s="1467"/>
      <c r="G96" s="1468"/>
    </row>
    <row r="97" spans="1:7" x14ac:dyDescent="0.2">
      <c r="A97" s="193" t="s">
        <v>266</v>
      </c>
      <c r="B97" s="198" t="s">
        <v>562</v>
      </c>
      <c r="C97" s="171" t="s">
        <v>13</v>
      </c>
      <c r="D97" s="171" t="s">
        <v>235</v>
      </c>
      <c r="E97" s="54" t="s">
        <v>169</v>
      </c>
      <c r="F97" s="53" t="s">
        <v>169</v>
      </c>
      <c r="G97" s="424" t="s">
        <v>169</v>
      </c>
    </row>
    <row r="98" spans="1:7" ht="12.75" thickBot="1" x14ac:dyDescent="0.25">
      <c r="A98" s="196" t="s">
        <v>267</v>
      </c>
      <c r="B98" s="200" t="s">
        <v>563</v>
      </c>
      <c r="C98" s="141" t="s">
        <v>13</v>
      </c>
      <c r="D98" s="201" t="s">
        <v>235</v>
      </c>
      <c r="E98" s="54" t="s">
        <v>169</v>
      </c>
      <c r="F98" s="53" t="s">
        <v>169</v>
      </c>
      <c r="G98" s="424" t="s">
        <v>169</v>
      </c>
    </row>
    <row r="99" spans="1:7" ht="12.75" thickBot="1" x14ac:dyDescent="0.25">
      <c r="A99" s="1394" t="s">
        <v>902</v>
      </c>
      <c r="B99" s="1395"/>
      <c r="C99" s="1395"/>
      <c r="D99" s="1395"/>
      <c r="E99" s="1395"/>
      <c r="F99" s="1396"/>
      <c r="G99" s="422">
        <f>SUM(G92:G98)</f>
        <v>0</v>
      </c>
    </row>
    <row r="100" spans="1:7" ht="12.75" thickBot="1" x14ac:dyDescent="0.25">
      <c r="A100" s="1412" t="s">
        <v>1027</v>
      </c>
      <c r="B100" s="1413"/>
      <c r="C100" s="1413"/>
      <c r="D100" s="1413"/>
      <c r="E100" s="1413"/>
      <c r="F100" s="1414"/>
      <c r="G100" s="638">
        <v>0</v>
      </c>
    </row>
    <row r="101" spans="1:7" ht="12.75" thickBot="1" x14ac:dyDescent="0.25">
      <c r="A101" s="1383" t="s">
        <v>908</v>
      </c>
      <c r="B101" s="1384"/>
      <c r="C101" s="1384"/>
      <c r="D101" s="1384"/>
      <c r="E101" s="1384"/>
      <c r="F101" s="1385"/>
      <c r="G101" s="426">
        <f>G99*G100</f>
        <v>0</v>
      </c>
    </row>
    <row r="102" spans="1:7" x14ac:dyDescent="0.2">
      <c r="A102" s="178"/>
      <c r="B102" s="179"/>
      <c r="C102" s="180"/>
      <c r="D102" s="178"/>
      <c r="E102" s="178"/>
      <c r="F102" s="178"/>
      <c r="G102" s="178"/>
    </row>
    <row r="103" spans="1:7" ht="12.75" thickBot="1" x14ac:dyDescent="0.25">
      <c r="A103" s="178"/>
      <c r="B103" s="179"/>
      <c r="C103" s="180"/>
      <c r="D103" s="178"/>
      <c r="E103" s="178"/>
      <c r="F103" s="178"/>
      <c r="G103" s="178"/>
    </row>
    <row r="104" spans="1:7" x14ac:dyDescent="0.2">
      <c r="A104" s="1380" t="s">
        <v>0</v>
      </c>
      <c r="B104" s="1380" t="s">
        <v>1</v>
      </c>
      <c r="C104" s="1386" t="s">
        <v>297</v>
      </c>
      <c r="D104" s="1380" t="s">
        <v>2</v>
      </c>
      <c r="E104" s="1386" t="s">
        <v>3</v>
      </c>
      <c r="F104" s="1380" t="s">
        <v>242</v>
      </c>
      <c r="G104" s="1380" t="s">
        <v>901</v>
      </c>
    </row>
    <row r="105" spans="1:7" x14ac:dyDescent="0.2">
      <c r="A105" s="1381"/>
      <c r="B105" s="1381"/>
      <c r="C105" s="1387"/>
      <c r="D105" s="1381"/>
      <c r="E105" s="1387"/>
      <c r="F105" s="1381"/>
      <c r="G105" s="1381"/>
    </row>
    <row r="106" spans="1:7" ht="12.75" thickBot="1" x14ac:dyDescent="0.25">
      <c r="A106" s="1382"/>
      <c r="B106" s="1382"/>
      <c r="C106" s="1388"/>
      <c r="D106" s="1382"/>
      <c r="E106" s="1388"/>
      <c r="F106" s="1382"/>
      <c r="G106" s="1382"/>
    </row>
    <row r="107" spans="1:7" ht="12.75" thickBot="1" x14ac:dyDescent="0.25">
      <c r="A107" s="916" t="s">
        <v>269</v>
      </c>
      <c r="B107" s="1469" t="s">
        <v>283</v>
      </c>
      <c r="C107" s="1467"/>
      <c r="D107" s="1467"/>
      <c r="E107" s="1467"/>
      <c r="F107" s="1467"/>
      <c r="G107" s="1468"/>
    </row>
    <row r="108" spans="1:7" x14ac:dyDescent="0.2">
      <c r="A108" s="173" t="s">
        <v>87</v>
      </c>
      <c r="B108" s="229" t="s">
        <v>569</v>
      </c>
      <c r="C108" s="171" t="s">
        <v>13</v>
      </c>
      <c r="D108" s="171" t="s">
        <v>235</v>
      </c>
      <c r="E108" s="53" t="s">
        <v>169</v>
      </c>
      <c r="F108" s="423" t="s">
        <v>169</v>
      </c>
      <c r="G108" s="424" t="s">
        <v>169</v>
      </c>
    </row>
    <row r="109" spans="1:7" x14ac:dyDescent="0.2">
      <c r="A109" s="195" t="s">
        <v>88</v>
      </c>
      <c r="B109" s="197" t="s">
        <v>566</v>
      </c>
      <c r="C109" s="54" t="s">
        <v>17</v>
      </c>
      <c r="D109" s="54" t="s">
        <v>27</v>
      </c>
      <c r="E109" s="53">
        <f>'Mão de Obra  (Detalhamento)'!E107</f>
        <v>3</v>
      </c>
      <c r="F109" s="424">
        <f>'Mão de Obra  (Detalhamento)'!F107</f>
        <v>12</v>
      </c>
      <c r="G109" s="424">
        <f>E109*F109</f>
        <v>36</v>
      </c>
    </row>
    <row r="110" spans="1:7" x14ac:dyDescent="0.2">
      <c r="A110" s="199" t="s">
        <v>270</v>
      </c>
      <c r="B110" s="202" t="s">
        <v>39</v>
      </c>
      <c r="C110" s="54" t="s">
        <v>19</v>
      </c>
      <c r="D110" s="54" t="s">
        <v>27</v>
      </c>
      <c r="E110" s="53">
        <f>'Mão de Obra  (Detalhamento)'!E108</f>
        <v>8</v>
      </c>
      <c r="F110" s="424">
        <f>'Mão de Obra  (Detalhamento)'!F108</f>
        <v>12</v>
      </c>
      <c r="G110" s="424">
        <f>E110*F110</f>
        <v>96</v>
      </c>
    </row>
    <row r="111" spans="1:7" x14ac:dyDescent="0.2">
      <c r="A111" s="199" t="s">
        <v>270</v>
      </c>
      <c r="B111" s="202" t="s">
        <v>10</v>
      </c>
      <c r="C111" s="54" t="s">
        <v>20</v>
      </c>
      <c r="D111" s="54" t="s">
        <v>27</v>
      </c>
      <c r="E111" s="53">
        <f>'Mão de Obra  (Detalhamento)'!E109</f>
        <v>6</v>
      </c>
      <c r="F111" s="424">
        <f>'Mão de Obra  (Detalhamento)'!F109</f>
        <v>12</v>
      </c>
      <c r="G111" s="424">
        <f>E111*F111</f>
        <v>72</v>
      </c>
    </row>
    <row r="112" spans="1:7" ht="12.75" thickBot="1" x14ac:dyDescent="0.25">
      <c r="A112" s="196" t="s">
        <v>270</v>
      </c>
      <c r="B112" s="232" t="s">
        <v>567</v>
      </c>
      <c r="C112" s="141" t="s">
        <v>568</v>
      </c>
      <c r="D112" s="141" t="s">
        <v>27</v>
      </c>
      <c r="E112" s="53">
        <f>'Mão de Obra  (Detalhamento)'!E110</f>
        <v>6</v>
      </c>
      <c r="F112" s="424">
        <f>'Mão de Obra  (Detalhamento)'!F110</f>
        <v>12</v>
      </c>
      <c r="G112" s="424">
        <f>E112*F112</f>
        <v>72</v>
      </c>
    </row>
    <row r="113" spans="1:7" ht="12.75" thickBot="1" x14ac:dyDescent="0.25">
      <c r="A113" s="1394" t="s">
        <v>902</v>
      </c>
      <c r="B113" s="1395"/>
      <c r="C113" s="1395"/>
      <c r="D113" s="1395"/>
      <c r="E113" s="1395"/>
      <c r="F113" s="1396"/>
      <c r="G113" s="422">
        <f>SUM(G109:G112)</f>
        <v>276</v>
      </c>
    </row>
    <row r="114" spans="1:7" ht="12.75" thickBot="1" x14ac:dyDescent="0.25">
      <c r="A114" s="1412" t="s">
        <v>1027</v>
      </c>
      <c r="B114" s="1413"/>
      <c r="C114" s="1413"/>
      <c r="D114" s="1413"/>
      <c r="E114" s="1413"/>
      <c r="F114" s="1414"/>
      <c r="G114" s="638">
        <v>0</v>
      </c>
    </row>
    <row r="115" spans="1:7" ht="12.75" thickBot="1" x14ac:dyDescent="0.25">
      <c r="A115" s="1383" t="s">
        <v>909</v>
      </c>
      <c r="B115" s="1384"/>
      <c r="C115" s="1384"/>
      <c r="D115" s="1384"/>
      <c r="E115" s="1384"/>
      <c r="F115" s="1385"/>
      <c r="G115" s="426">
        <f>G113*G114</f>
        <v>0</v>
      </c>
    </row>
    <row r="116" spans="1:7" x14ac:dyDescent="0.2">
      <c r="A116" s="178"/>
      <c r="B116" s="179"/>
      <c r="C116" s="180"/>
      <c r="D116" s="178"/>
      <c r="E116" s="178"/>
      <c r="F116" s="178"/>
      <c r="G116" s="178"/>
    </row>
    <row r="117" spans="1:7" ht="12.75" thickBot="1" x14ac:dyDescent="0.25">
      <c r="A117" s="178"/>
      <c r="B117" s="179"/>
      <c r="C117" s="180"/>
      <c r="D117" s="178"/>
      <c r="E117" s="178"/>
      <c r="F117" s="178"/>
      <c r="G117" s="178"/>
    </row>
    <row r="118" spans="1:7" x14ac:dyDescent="0.2">
      <c r="A118" s="1380" t="s">
        <v>0</v>
      </c>
      <c r="B118" s="1380" t="s">
        <v>1</v>
      </c>
      <c r="C118" s="1386" t="s">
        <v>297</v>
      </c>
      <c r="D118" s="1380" t="s">
        <v>2</v>
      </c>
      <c r="E118" s="1386" t="s">
        <v>3</v>
      </c>
      <c r="F118" s="1380" t="s">
        <v>242</v>
      </c>
      <c r="G118" s="1380" t="s">
        <v>901</v>
      </c>
    </row>
    <row r="119" spans="1:7" x14ac:dyDescent="0.2">
      <c r="A119" s="1381"/>
      <c r="B119" s="1381"/>
      <c r="C119" s="1387"/>
      <c r="D119" s="1381"/>
      <c r="E119" s="1387"/>
      <c r="F119" s="1381"/>
      <c r="G119" s="1381"/>
    </row>
    <row r="120" spans="1:7" ht="12.75" thickBot="1" x14ac:dyDescent="0.25">
      <c r="A120" s="1382"/>
      <c r="B120" s="1382"/>
      <c r="C120" s="1388"/>
      <c r="D120" s="1382"/>
      <c r="E120" s="1388"/>
      <c r="F120" s="1382"/>
      <c r="G120" s="1382"/>
    </row>
    <row r="121" spans="1:7" ht="12.75" thickBot="1" x14ac:dyDescent="0.25">
      <c r="A121" s="916">
        <v>7</v>
      </c>
      <c r="B121" s="1469" t="s">
        <v>797</v>
      </c>
      <c r="C121" s="1467"/>
      <c r="D121" s="1467"/>
      <c r="E121" s="1467"/>
      <c r="F121" s="1467"/>
      <c r="G121" s="1468"/>
    </row>
    <row r="122" spans="1:7" ht="12.75" thickBot="1" x14ac:dyDescent="0.25">
      <c r="A122" s="917" t="s">
        <v>529</v>
      </c>
      <c r="B122" s="1421" t="s">
        <v>527</v>
      </c>
      <c r="C122" s="1422"/>
      <c r="D122" s="1422"/>
      <c r="E122" s="1422"/>
      <c r="F122" s="1422"/>
      <c r="G122" s="1423"/>
    </row>
    <row r="123" spans="1:7" x14ac:dyDescent="0.2">
      <c r="A123" s="183" t="s">
        <v>531</v>
      </c>
      <c r="B123" s="205" t="s">
        <v>555</v>
      </c>
      <c r="C123" s="185" t="s">
        <v>97</v>
      </c>
      <c r="D123" s="135" t="s">
        <v>27</v>
      </c>
      <c r="E123" s="185">
        <v>4</v>
      </c>
      <c r="F123" s="185">
        <v>18</v>
      </c>
      <c r="G123" s="424">
        <f>E123*F123</f>
        <v>72</v>
      </c>
    </row>
    <row r="124" spans="1:7" ht="12.75" thickBot="1" x14ac:dyDescent="0.25">
      <c r="A124" s="206" t="s">
        <v>532</v>
      </c>
      <c r="B124" s="204" t="s">
        <v>272</v>
      </c>
      <c r="C124" s="187" t="s">
        <v>66</v>
      </c>
      <c r="D124" s="141" t="s">
        <v>235</v>
      </c>
      <c r="E124" s="187">
        <f>32*4</f>
        <v>128</v>
      </c>
      <c r="F124" s="187">
        <v>18</v>
      </c>
      <c r="G124" s="611" t="s">
        <v>169</v>
      </c>
    </row>
    <row r="125" spans="1:7" ht="12.75" thickBot="1" x14ac:dyDescent="0.25">
      <c r="A125" s="918" t="s">
        <v>530</v>
      </c>
      <c r="B125" s="1424" t="s">
        <v>528</v>
      </c>
      <c r="C125" s="1425"/>
      <c r="D125" s="1425"/>
      <c r="E125" s="1425"/>
      <c r="F125" s="1425"/>
      <c r="G125" s="1426"/>
    </row>
    <row r="126" spans="1:7" x14ac:dyDescent="0.2">
      <c r="A126" s="183" t="s">
        <v>533</v>
      </c>
      <c r="B126" s="205" t="s">
        <v>230</v>
      </c>
      <c r="C126" s="185" t="s">
        <v>95</v>
      </c>
      <c r="D126" s="135" t="s">
        <v>27</v>
      </c>
      <c r="E126" s="185">
        <v>1</v>
      </c>
      <c r="F126" s="209">
        <v>18</v>
      </c>
      <c r="G126" s="424">
        <f t="shared" ref="G126:G133" si="1">E126*F126</f>
        <v>18</v>
      </c>
    </row>
    <row r="127" spans="1:7" x14ac:dyDescent="0.2">
      <c r="A127" s="177" t="s">
        <v>534</v>
      </c>
      <c r="B127" s="182" t="s">
        <v>89</v>
      </c>
      <c r="C127" s="137" t="s">
        <v>96</v>
      </c>
      <c r="D127" s="54" t="s">
        <v>27</v>
      </c>
      <c r="E127" s="137">
        <v>1</v>
      </c>
      <c r="F127" s="152">
        <v>18</v>
      </c>
      <c r="G127" s="424">
        <f t="shared" si="1"/>
        <v>18</v>
      </c>
    </row>
    <row r="128" spans="1:7" x14ac:dyDescent="0.2">
      <c r="A128" s="177" t="s">
        <v>535</v>
      </c>
      <c r="B128" s="182" t="s">
        <v>67</v>
      </c>
      <c r="C128" s="137" t="s">
        <v>65</v>
      </c>
      <c r="D128" s="54" t="s">
        <v>27</v>
      </c>
      <c r="E128" s="137">
        <v>2</v>
      </c>
      <c r="F128" s="152">
        <v>18</v>
      </c>
      <c r="G128" s="424">
        <f t="shared" si="1"/>
        <v>36</v>
      </c>
    </row>
    <row r="129" spans="1:7" x14ac:dyDescent="0.2">
      <c r="A129" s="177" t="s">
        <v>536</v>
      </c>
      <c r="B129" s="182" t="s">
        <v>555</v>
      </c>
      <c r="C129" s="137" t="s">
        <v>97</v>
      </c>
      <c r="D129" s="54" t="s">
        <v>27</v>
      </c>
      <c r="E129" s="137">
        <v>1</v>
      </c>
      <c r="F129" s="577">
        <v>18</v>
      </c>
      <c r="G129" s="424">
        <f t="shared" si="1"/>
        <v>18</v>
      </c>
    </row>
    <row r="130" spans="1:7" x14ac:dyDescent="0.2">
      <c r="A130" s="177" t="s">
        <v>537</v>
      </c>
      <c r="B130" s="182" t="s">
        <v>273</v>
      </c>
      <c r="C130" s="137" t="s">
        <v>20</v>
      </c>
      <c r="D130" s="54" t="s">
        <v>27</v>
      </c>
      <c r="E130" s="137">
        <v>2</v>
      </c>
      <c r="F130" s="152">
        <v>18</v>
      </c>
      <c r="G130" s="424">
        <f t="shared" si="1"/>
        <v>36</v>
      </c>
    </row>
    <row r="131" spans="1:7" x14ac:dyDescent="0.2">
      <c r="A131" s="177" t="s">
        <v>538</v>
      </c>
      <c r="B131" s="182" t="s">
        <v>557</v>
      </c>
      <c r="C131" s="137" t="s">
        <v>66</v>
      </c>
      <c r="D131" s="54" t="s">
        <v>27</v>
      </c>
      <c r="E131" s="137">
        <v>2</v>
      </c>
      <c r="F131" s="152">
        <v>18</v>
      </c>
      <c r="G131" s="424">
        <f t="shared" si="1"/>
        <v>36</v>
      </c>
    </row>
    <row r="132" spans="1:7" x14ac:dyDescent="0.2">
      <c r="A132" s="177" t="s">
        <v>539</v>
      </c>
      <c r="B132" s="182" t="s">
        <v>274</v>
      </c>
      <c r="C132" s="137" t="s">
        <v>66</v>
      </c>
      <c r="D132" s="54" t="s">
        <v>27</v>
      </c>
      <c r="E132" s="137">
        <v>1</v>
      </c>
      <c r="F132" s="152">
        <v>18</v>
      </c>
      <c r="G132" s="424">
        <f t="shared" si="1"/>
        <v>18</v>
      </c>
    </row>
    <row r="133" spans="1:7" ht="12.75" thickBot="1" x14ac:dyDescent="0.25">
      <c r="A133" s="206" t="s">
        <v>556</v>
      </c>
      <c r="B133" s="207" t="s">
        <v>94</v>
      </c>
      <c r="C133" s="578" t="s">
        <v>97</v>
      </c>
      <c r="D133" s="140" t="s">
        <v>27</v>
      </c>
      <c r="E133" s="578">
        <v>2</v>
      </c>
      <c r="F133" s="210">
        <v>18</v>
      </c>
      <c r="G133" s="424">
        <f t="shared" si="1"/>
        <v>36</v>
      </c>
    </row>
    <row r="134" spans="1:7" ht="12.75" thickBot="1" x14ac:dyDescent="0.25">
      <c r="A134" s="917" t="s">
        <v>540</v>
      </c>
      <c r="B134" s="1424" t="s">
        <v>558</v>
      </c>
      <c r="C134" s="1425"/>
      <c r="D134" s="1425"/>
      <c r="E134" s="1425"/>
      <c r="F134" s="1425"/>
      <c r="G134" s="1426"/>
    </row>
    <row r="135" spans="1:7" x14ac:dyDescent="0.2">
      <c r="A135" s="177" t="s">
        <v>559</v>
      </c>
      <c r="B135" s="182" t="s">
        <v>89</v>
      </c>
      <c r="C135" s="137" t="s">
        <v>96</v>
      </c>
      <c r="D135" s="54" t="s">
        <v>27</v>
      </c>
      <c r="E135" s="137">
        <v>1</v>
      </c>
      <c r="F135" s="137">
        <v>18</v>
      </c>
      <c r="G135" s="208">
        <f>E135*F135</f>
        <v>18</v>
      </c>
    </row>
    <row r="136" spans="1:7" x14ac:dyDescent="0.2">
      <c r="A136" s="177" t="s">
        <v>560</v>
      </c>
      <c r="B136" s="182" t="s">
        <v>273</v>
      </c>
      <c r="C136" s="137" t="s">
        <v>20</v>
      </c>
      <c r="D136" s="54" t="s">
        <v>27</v>
      </c>
      <c r="E136" s="137">
        <v>1</v>
      </c>
      <c r="F136" s="137">
        <v>18</v>
      </c>
      <c r="G136" s="424">
        <f>E136*F136</f>
        <v>18</v>
      </c>
    </row>
    <row r="137" spans="1:7" ht="12.75" thickBot="1" x14ac:dyDescent="0.25">
      <c r="A137" s="203" t="s">
        <v>561</v>
      </c>
      <c r="B137" s="204" t="s">
        <v>272</v>
      </c>
      <c r="C137" s="187" t="s">
        <v>66</v>
      </c>
      <c r="D137" s="141" t="s">
        <v>27</v>
      </c>
      <c r="E137" s="187">
        <v>1</v>
      </c>
      <c r="F137" s="187">
        <v>18</v>
      </c>
      <c r="G137" s="425">
        <f>E137*F137</f>
        <v>18</v>
      </c>
    </row>
    <row r="138" spans="1:7" ht="12.75" thickBot="1" x14ac:dyDescent="0.25">
      <c r="A138" s="919" t="s">
        <v>541</v>
      </c>
      <c r="B138" s="1421" t="s">
        <v>549</v>
      </c>
      <c r="C138" s="1422"/>
      <c r="D138" s="1422"/>
      <c r="E138" s="1422"/>
      <c r="F138" s="1422"/>
      <c r="G138" s="1423"/>
    </row>
    <row r="139" spans="1:7" ht="24" x14ac:dyDescent="0.2">
      <c r="A139" s="183" t="s">
        <v>542</v>
      </c>
      <c r="B139" s="184" t="s">
        <v>523</v>
      </c>
      <c r="C139" s="135" t="s">
        <v>15</v>
      </c>
      <c r="D139" s="135" t="s">
        <v>27</v>
      </c>
      <c r="E139" s="185">
        <v>1</v>
      </c>
      <c r="F139" s="185">
        <v>18</v>
      </c>
      <c r="G139" s="208">
        <f>E139*F139</f>
        <v>18</v>
      </c>
    </row>
    <row r="140" spans="1:7" ht="24" x14ac:dyDescent="0.2">
      <c r="A140" s="177" t="s">
        <v>543</v>
      </c>
      <c r="B140" s="186" t="s">
        <v>523</v>
      </c>
      <c r="C140" s="141" t="s">
        <v>227</v>
      </c>
      <c r="D140" s="141" t="s">
        <v>27</v>
      </c>
      <c r="E140" s="187">
        <v>2</v>
      </c>
      <c r="F140" s="187">
        <v>18</v>
      </c>
      <c r="G140" s="424">
        <f t="shared" ref="G140:G148" si="2">E140*F140</f>
        <v>36</v>
      </c>
    </row>
    <row r="141" spans="1:7" x14ac:dyDescent="0.2">
      <c r="A141" s="177" t="s">
        <v>544</v>
      </c>
      <c r="B141" s="182" t="s">
        <v>616</v>
      </c>
      <c r="C141" s="54" t="s">
        <v>17</v>
      </c>
      <c r="D141" s="54" t="s">
        <v>27</v>
      </c>
      <c r="E141" s="54">
        <v>2</v>
      </c>
      <c r="F141" s="54">
        <v>18</v>
      </c>
      <c r="G141" s="424">
        <f t="shared" si="2"/>
        <v>36</v>
      </c>
    </row>
    <row r="142" spans="1:7" x14ac:dyDescent="0.2">
      <c r="A142" s="177" t="s">
        <v>545</v>
      </c>
      <c r="B142" s="182" t="s">
        <v>275</v>
      </c>
      <c r="C142" s="54" t="s">
        <v>15</v>
      </c>
      <c r="D142" s="54" t="s">
        <v>27</v>
      </c>
      <c r="E142" s="54">
        <v>3</v>
      </c>
      <c r="F142" s="54">
        <v>18</v>
      </c>
      <c r="G142" s="424">
        <f t="shared" si="2"/>
        <v>54</v>
      </c>
    </row>
    <row r="143" spans="1:7" x14ac:dyDescent="0.2">
      <c r="A143" s="177" t="s">
        <v>546</v>
      </c>
      <c r="B143" s="182" t="s">
        <v>276</v>
      </c>
      <c r="C143" s="54" t="s">
        <v>15</v>
      </c>
      <c r="D143" s="54" t="s">
        <v>27</v>
      </c>
      <c r="E143" s="54">
        <v>1</v>
      </c>
      <c r="F143" s="54">
        <v>18</v>
      </c>
      <c r="G143" s="424">
        <f t="shared" si="2"/>
        <v>18</v>
      </c>
    </row>
    <row r="144" spans="1:7" x14ac:dyDescent="0.2">
      <c r="A144" s="177" t="s">
        <v>547</v>
      </c>
      <c r="B144" s="182" t="s">
        <v>238</v>
      </c>
      <c r="C144" s="54" t="s">
        <v>15</v>
      </c>
      <c r="D144" s="54" t="s">
        <v>27</v>
      </c>
      <c r="E144" s="54">
        <v>1</v>
      </c>
      <c r="F144" s="54">
        <v>18</v>
      </c>
      <c r="G144" s="424">
        <f t="shared" si="2"/>
        <v>18</v>
      </c>
    </row>
    <row r="145" spans="1:7" x14ac:dyDescent="0.2">
      <c r="A145" s="177" t="s">
        <v>548</v>
      </c>
      <c r="B145" s="182" t="s">
        <v>615</v>
      </c>
      <c r="C145" s="54" t="s">
        <v>15</v>
      </c>
      <c r="D145" s="54" t="s">
        <v>27</v>
      </c>
      <c r="E145" s="54">
        <v>1</v>
      </c>
      <c r="F145" s="54">
        <v>18</v>
      </c>
      <c r="G145" s="424">
        <f t="shared" si="2"/>
        <v>18</v>
      </c>
    </row>
    <row r="146" spans="1:7" x14ac:dyDescent="0.2">
      <c r="A146" s="177" t="s">
        <v>763</v>
      </c>
      <c r="B146" s="182" t="s">
        <v>277</v>
      </c>
      <c r="C146" s="54" t="s">
        <v>15</v>
      </c>
      <c r="D146" s="54" t="s">
        <v>27</v>
      </c>
      <c r="E146" s="54">
        <v>1</v>
      </c>
      <c r="F146" s="54">
        <v>18</v>
      </c>
      <c r="G146" s="424">
        <f t="shared" si="2"/>
        <v>18</v>
      </c>
    </row>
    <row r="147" spans="1:7" x14ac:dyDescent="0.2">
      <c r="A147" s="177" t="s">
        <v>764</v>
      </c>
      <c r="B147" s="182" t="s">
        <v>278</v>
      </c>
      <c r="C147" s="54" t="s">
        <v>15</v>
      </c>
      <c r="D147" s="54" t="s">
        <v>27</v>
      </c>
      <c r="E147" s="54">
        <v>1</v>
      </c>
      <c r="F147" s="54">
        <v>18</v>
      </c>
      <c r="G147" s="424">
        <f t="shared" si="2"/>
        <v>18</v>
      </c>
    </row>
    <row r="148" spans="1:7" ht="12.75" thickBot="1" x14ac:dyDescent="0.25">
      <c r="A148" s="206" t="s">
        <v>765</v>
      </c>
      <c r="B148" s="207" t="s">
        <v>617</v>
      </c>
      <c r="C148" s="140" t="s">
        <v>36</v>
      </c>
      <c r="D148" s="140" t="s">
        <v>27</v>
      </c>
      <c r="E148" s="140">
        <v>2</v>
      </c>
      <c r="F148" s="140">
        <v>18</v>
      </c>
      <c r="G148" s="425">
        <f t="shared" si="2"/>
        <v>36</v>
      </c>
    </row>
    <row r="149" spans="1:7" ht="12.75" thickBot="1" x14ac:dyDescent="0.25">
      <c r="A149" s="1394" t="s">
        <v>902</v>
      </c>
      <c r="B149" s="1395"/>
      <c r="C149" s="1395"/>
      <c r="D149" s="1395"/>
      <c r="E149" s="1395"/>
      <c r="F149" s="1396"/>
      <c r="G149" s="422">
        <f>SUM(G123:G148)</f>
        <v>612</v>
      </c>
    </row>
    <row r="150" spans="1:7" ht="12.75" thickBot="1" x14ac:dyDescent="0.25">
      <c r="A150" s="1412" t="s">
        <v>1027</v>
      </c>
      <c r="B150" s="1413"/>
      <c r="C150" s="1413"/>
      <c r="D150" s="1413"/>
      <c r="E150" s="1413"/>
      <c r="F150" s="1414"/>
      <c r="G150" s="638">
        <v>0</v>
      </c>
    </row>
    <row r="151" spans="1:7" ht="12.75" thickBot="1" x14ac:dyDescent="0.25">
      <c r="A151" s="1383" t="s">
        <v>910</v>
      </c>
      <c r="B151" s="1384"/>
      <c r="C151" s="1384"/>
      <c r="D151" s="1384"/>
      <c r="E151" s="1384"/>
      <c r="F151" s="1385"/>
      <c r="G151" s="426">
        <f>G149*G150</f>
        <v>0</v>
      </c>
    </row>
    <row r="152" spans="1:7" x14ac:dyDescent="0.2">
      <c r="A152" s="178"/>
      <c r="B152" s="179"/>
      <c r="C152" s="180"/>
      <c r="D152" s="178"/>
      <c r="E152" s="178"/>
      <c r="F152" s="178"/>
      <c r="G152" s="178"/>
    </row>
    <row r="153" spans="1:7" x14ac:dyDescent="0.2">
      <c r="A153" s="178"/>
      <c r="B153" s="179"/>
      <c r="C153" s="180"/>
      <c r="D153" s="178"/>
      <c r="E153" s="178"/>
      <c r="F153" s="178"/>
      <c r="G153" s="178"/>
    </row>
    <row r="154" spans="1:7" x14ac:dyDescent="0.2">
      <c r="A154" s="178"/>
      <c r="B154" s="179"/>
      <c r="C154" s="180"/>
      <c r="D154" s="178"/>
      <c r="E154" s="178"/>
      <c r="F154" s="178"/>
      <c r="G154" s="178"/>
    </row>
    <row r="155" spans="1:7" x14ac:dyDescent="0.2">
      <c r="A155" s="178"/>
      <c r="B155" s="179"/>
      <c r="C155" s="180"/>
      <c r="D155" s="178"/>
      <c r="E155" s="178"/>
      <c r="F155" s="178"/>
      <c r="G155" s="178"/>
    </row>
    <row r="156" spans="1:7" ht="12.75" thickBot="1" x14ac:dyDescent="0.25">
      <c r="A156" s="178"/>
      <c r="B156" s="179"/>
      <c r="C156" s="180"/>
      <c r="D156" s="178"/>
      <c r="E156" s="178"/>
      <c r="F156" s="178"/>
      <c r="G156" s="178"/>
    </row>
    <row r="157" spans="1:7" ht="15.75" customHeight="1" thickBot="1" x14ac:dyDescent="0.25">
      <c r="A157" s="1446" t="s">
        <v>930</v>
      </c>
      <c r="B157" s="1447"/>
      <c r="C157" s="1447"/>
      <c r="D157" s="1447"/>
      <c r="E157" s="1447"/>
      <c r="F157" s="1447"/>
      <c r="G157" s="1448"/>
    </row>
    <row r="158" spans="1:7" x14ac:dyDescent="0.2">
      <c r="A158" s="1435" t="s">
        <v>46</v>
      </c>
      <c r="B158" s="1438" t="s">
        <v>43</v>
      </c>
      <c r="C158" s="1438"/>
      <c r="D158" s="1438"/>
      <c r="E158" s="1438"/>
      <c r="F158" s="1439"/>
      <c r="G158" s="1442" t="s">
        <v>879</v>
      </c>
    </row>
    <row r="159" spans="1:7" x14ac:dyDescent="0.2">
      <c r="A159" s="1436"/>
      <c r="B159" s="1440"/>
      <c r="C159" s="1440"/>
      <c r="D159" s="1440"/>
      <c r="E159" s="1440"/>
      <c r="F159" s="1441"/>
      <c r="G159" s="1443"/>
    </row>
    <row r="160" spans="1:7" ht="12.75" thickBot="1" x14ac:dyDescent="0.25">
      <c r="A160" s="1437"/>
      <c r="B160" s="1440"/>
      <c r="C160" s="1440"/>
      <c r="D160" s="1440"/>
      <c r="E160" s="1440"/>
      <c r="F160" s="1441"/>
      <c r="G160" s="1443"/>
    </row>
    <row r="161" spans="1:7" x14ac:dyDescent="0.2">
      <c r="A161" s="1427" t="s">
        <v>34</v>
      </c>
      <c r="B161" s="1429" t="s">
        <v>281</v>
      </c>
      <c r="C161" s="1430"/>
      <c r="D161" s="1430"/>
      <c r="E161" s="1430"/>
      <c r="F161" s="1431"/>
      <c r="G161" s="1444">
        <f>G47</f>
        <v>0</v>
      </c>
    </row>
    <row r="162" spans="1:7" x14ac:dyDescent="0.2">
      <c r="A162" s="1428"/>
      <c r="B162" s="1432"/>
      <c r="C162" s="1433"/>
      <c r="D162" s="1433"/>
      <c r="E162" s="1433"/>
      <c r="F162" s="1434"/>
      <c r="G162" s="1443"/>
    </row>
    <row r="163" spans="1:7" x14ac:dyDescent="0.2">
      <c r="A163" s="1428"/>
      <c r="B163" s="1432"/>
      <c r="C163" s="1433"/>
      <c r="D163" s="1433"/>
      <c r="E163" s="1433"/>
      <c r="F163" s="1434"/>
      <c r="G163" s="1445"/>
    </row>
    <row r="164" spans="1:7" x14ac:dyDescent="0.2">
      <c r="A164" s="586" t="s">
        <v>35</v>
      </c>
      <c r="B164" s="1432" t="s">
        <v>44</v>
      </c>
      <c r="C164" s="1433"/>
      <c r="D164" s="1433"/>
      <c r="E164" s="1433"/>
      <c r="F164" s="1434"/>
      <c r="G164" s="542">
        <f>G62</f>
        <v>0</v>
      </c>
    </row>
    <row r="165" spans="1:7" x14ac:dyDescent="0.2">
      <c r="A165" s="586" t="s">
        <v>37</v>
      </c>
      <c r="B165" s="1432" t="s">
        <v>225</v>
      </c>
      <c r="C165" s="1433"/>
      <c r="D165" s="1433"/>
      <c r="E165" s="1433"/>
      <c r="F165" s="1434"/>
      <c r="G165" s="542">
        <f>G75</f>
        <v>0</v>
      </c>
    </row>
    <row r="166" spans="1:7" x14ac:dyDescent="0.2">
      <c r="A166" s="586" t="s">
        <v>38</v>
      </c>
      <c r="B166" s="1432" t="s">
        <v>282</v>
      </c>
      <c r="C166" s="1433"/>
      <c r="D166" s="1433"/>
      <c r="E166" s="1433"/>
      <c r="F166" s="1434"/>
      <c r="G166" s="542">
        <f>G90</f>
        <v>0</v>
      </c>
    </row>
    <row r="167" spans="1:7" x14ac:dyDescent="0.2">
      <c r="A167" s="586" t="s">
        <v>40</v>
      </c>
      <c r="B167" s="1432" t="s">
        <v>45</v>
      </c>
      <c r="C167" s="1433"/>
      <c r="D167" s="1433"/>
      <c r="E167" s="1433"/>
      <c r="F167" s="1434"/>
      <c r="G167" s="542">
        <f>G101</f>
        <v>0</v>
      </c>
    </row>
    <row r="168" spans="1:7" x14ac:dyDescent="0.2">
      <c r="A168" s="586" t="s">
        <v>41</v>
      </c>
      <c r="B168" s="1432" t="s">
        <v>283</v>
      </c>
      <c r="C168" s="1433"/>
      <c r="D168" s="1433"/>
      <c r="E168" s="1433"/>
      <c r="F168" s="1434"/>
      <c r="G168" s="542">
        <f>G115</f>
        <v>0</v>
      </c>
    </row>
    <row r="169" spans="1:7" ht="12.75" thickBot="1" x14ac:dyDescent="0.25">
      <c r="A169" s="541" t="s">
        <v>42</v>
      </c>
      <c r="B169" s="1457" t="s">
        <v>284</v>
      </c>
      <c r="C169" s="1458"/>
      <c r="D169" s="1458"/>
      <c r="E169" s="1458"/>
      <c r="F169" s="1459"/>
      <c r="G169" s="543">
        <f>G151</f>
        <v>0</v>
      </c>
    </row>
    <row r="170" spans="1:7" ht="12.75" thickBot="1" x14ac:dyDescent="0.25">
      <c r="A170" s="1449" t="s">
        <v>929</v>
      </c>
      <c r="B170" s="1450"/>
      <c r="C170" s="1450"/>
      <c r="D170" s="1450"/>
      <c r="E170" s="1450"/>
      <c r="F170" s="1450"/>
      <c r="G170" s="544">
        <f>SUM(G161:G169)</f>
        <v>0</v>
      </c>
    </row>
    <row r="171" spans="1:7" ht="12.75" thickBot="1" x14ac:dyDescent="0.25">
      <c r="A171" s="178"/>
      <c r="B171" s="179"/>
      <c r="C171" s="180"/>
      <c r="D171" s="178"/>
      <c r="E171" s="178"/>
      <c r="F171" s="178"/>
      <c r="G171" s="178"/>
    </row>
    <row r="172" spans="1:7" x14ac:dyDescent="0.2">
      <c r="A172" s="1451" t="s">
        <v>49</v>
      </c>
      <c r="B172" s="1452"/>
      <c r="C172" s="1452"/>
      <c r="D172" s="1452"/>
      <c r="E172" s="1452"/>
      <c r="F172" s="1452"/>
      <c r="G172" s="581" t="s">
        <v>50</v>
      </c>
    </row>
    <row r="173" spans="1:7" ht="12.75" thickBot="1" x14ac:dyDescent="0.25">
      <c r="A173" s="1453"/>
      <c r="B173" s="1454"/>
      <c r="C173" s="1454"/>
      <c r="D173" s="1454"/>
      <c r="E173" s="1454"/>
      <c r="F173" s="1454"/>
      <c r="G173" s="582"/>
    </row>
    <row r="174" spans="1:7" x14ac:dyDescent="0.2">
      <c r="A174" s="1455" t="s">
        <v>161</v>
      </c>
      <c r="B174" s="1456"/>
      <c r="C174" s="1456"/>
      <c r="D174" s="1456"/>
      <c r="E174" s="1456"/>
      <c r="F174" s="1456"/>
      <c r="G174" s="581" t="s">
        <v>52</v>
      </c>
    </row>
    <row r="175" spans="1:7" ht="12.75" thickBot="1" x14ac:dyDescent="0.25">
      <c r="A175" s="1460"/>
      <c r="B175" s="1461"/>
      <c r="C175" s="1461"/>
      <c r="D175" s="1461"/>
      <c r="E175" s="1461"/>
      <c r="F175" s="1461"/>
      <c r="G175" s="582"/>
    </row>
    <row r="176" spans="1:7" x14ac:dyDescent="0.2">
      <c r="A176" s="1455" t="s">
        <v>53</v>
      </c>
      <c r="B176" s="1456"/>
      <c r="C176" s="1456"/>
      <c r="D176" s="1456"/>
      <c r="E176" s="1456"/>
      <c r="F176" s="1456"/>
      <c r="G176" s="1466"/>
    </row>
    <row r="177" spans="1:7" x14ac:dyDescent="0.2">
      <c r="A177" s="1463"/>
      <c r="B177" s="1464"/>
      <c r="C177" s="1464"/>
      <c r="D177" s="1464"/>
      <c r="E177" s="1464"/>
      <c r="F177" s="1464"/>
      <c r="G177" s="1465"/>
    </row>
    <row r="178" spans="1:7" x14ac:dyDescent="0.2">
      <c r="A178" s="1463"/>
      <c r="B178" s="1464"/>
      <c r="C178" s="1464"/>
      <c r="D178" s="1464"/>
      <c r="E178" s="1464"/>
      <c r="F178" s="1464"/>
      <c r="G178" s="1465"/>
    </row>
    <row r="179" spans="1:7" ht="15.75" customHeight="1" thickBot="1" x14ac:dyDescent="0.25">
      <c r="A179" s="1460"/>
      <c r="B179" s="1461"/>
      <c r="C179" s="1461"/>
      <c r="D179" s="1461"/>
      <c r="E179" s="1461"/>
      <c r="F179" s="1461"/>
      <c r="G179" s="1462"/>
    </row>
  </sheetData>
  <mergeCells count="109">
    <mergeCell ref="A179:G179"/>
    <mergeCell ref="A178:G178"/>
    <mergeCell ref="A177:G177"/>
    <mergeCell ref="A176:G176"/>
    <mergeCell ref="A175:F175"/>
    <mergeCell ref="B53:G53"/>
    <mergeCell ref="B68:G68"/>
    <mergeCell ref="B80:G80"/>
    <mergeCell ref="B107:G107"/>
    <mergeCell ref="B121:G121"/>
    <mergeCell ref="B96:G96"/>
    <mergeCell ref="G65:G67"/>
    <mergeCell ref="G77:G79"/>
    <mergeCell ref="G93:G95"/>
    <mergeCell ref="G104:G106"/>
    <mergeCell ref="G118:G120"/>
    <mergeCell ref="A113:F113"/>
    <mergeCell ref="A114:F114"/>
    <mergeCell ref="F104:F106"/>
    <mergeCell ref="A99:F99"/>
    <mergeCell ref="A100:F100"/>
    <mergeCell ref="A101:F101"/>
    <mergeCell ref="A104:A106"/>
    <mergeCell ref="B104:B106"/>
    <mergeCell ref="A170:F170"/>
    <mergeCell ref="A172:F172"/>
    <mergeCell ref="A173:F173"/>
    <mergeCell ref="A174:F174"/>
    <mergeCell ref="B164:F164"/>
    <mergeCell ref="B165:F165"/>
    <mergeCell ref="B166:F166"/>
    <mergeCell ref="B167:F167"/>
    <mergeCell ref="B168:F168"/>
    <mergeCell ref="B169:F169"/>
    <mergeCell ref="A161:A163"/>
    <mergeCell ref="B161:F163"/>
    <mergeCell ref="A158:A160"/>
    <mergeCell ref="B158:F160"/>
    <mergeCell ref="A149:F149"/>
    <mergeCell ref="A150:F150"/>
    <mergeCell ref="A151:F151"/>
    <mergeCell ref="G158:G160"/>
    <mergeCell ref="G161:G163"/>
    <mergeCell ref="A157:G157"/>
    <mergeCell ref="B138:G138"/>
    <mergeCell ref="B134:G134"/>
    <mergeCell ref="B125:G125"/>
    <mergeCell ref="A115:F115"/>
    <mergeCell ref="A118:A120"/>
    <mergeCell ref="B118:B120"/>
    <mergeCell ref="C118:C120"/>
    <mergeCell ref="D118:D120"/>
    <mergeCell ref="E118:E120"/>
    <mergeCell ref="F118:F120"/>
    <mergeCell ref="B122:G122"/>
    <mergeCell ref="E104:E106"/>
    <mergeCell ref="A90:F90"/>
    <mergeCell ref="A93:A95"/>
    <mergeCell ref="B93:B95"/>
    <mergeCell ref="C93:C95"/>
    <mergeCell ref="D93:D95"/>
    <mergeCell ref="E93:E95"/>
    <mergeCell ref="F93:F95"/>
    <mergeCell ref="A88:F88"/>
    <mergeCell ref="A89:F89"/>
    <mergeCell ref="C104:C106"/>
    <mergeCell ref="D104:D106"/>
    <mergeCell ref="A1:G1"/>
    <mergeCell ref="A2:G2"/>
    <mergeCell ref="A4:G6"/>
    <mergeCell ref="F50:F52"/>
    <mergeCell ref="A45:F45"/>
    <mergeCell ref="A46:F46"/>
    <mergeCell ref="A47:F47"/>
    <mergeCell ref="A50:A52"/>
    <mergeCell ref="B50:B52"/>
    <mergeCell ref="C50:C52"/>
    <mergeCell ref="D50:D52"/>
    <mergeCell ref="E50:E52"/>
    <mergeCell ref="G11:G13"/>
    <mergeCell ref="G50:G52"/>
    <mergeCell ref="B14:G16"/>
    <mergeCell ref="A14:A16"/>
    <mergeCell ref="A11:A13"/>
    <mergeCell ref="B11:B13"/>
    <mergeCell ref="C11:C13"/>
    <mergeCell ref="D11:D13"/>
    <mergeCell ref="E11:E13"/>
    <mergeCell ref="F11:F13"/>
    <mergeCell ref="A77:A79"/>
    <mergeCell ref="A62:F62"/>
    <mergeCell ref="A65:A67"/>
    <mergeCell ref="B65:B67"/>
    <mergeCell ref="C65:C67"/>
    <mergeCell ref="D65:D67"/>
    <mergeCell ref="E65:E67"/>
    <mergeCell ref="F65:F67"/>
    <mergeCell ref="A3:F3"/>
    <mergeCell ref="A8:G8"/>
    <mergeCell ref="B77:B79"/>
    <mergeCell ref="C77:C79"/>
    <mergeCell ref="D77:D79"/>
    <mergeCell ref="E77:E79"/>
    <mergeCell ref="F77:F79"/>
    <mergeCell ref="A60:F60"/>
    <mergeCell ref="A61:F61"/>
    <mergeCell ref="A73:F73"/>
    <mergeCell ref="A74:F74"/>
    <mergeCell ref="A75:F75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69" fitToHeight="0" orientation="portrait" horizontalDpi="4294967294" verticalDpi="4294967294" r:id="rId1"/>
  <rowBreaks count="3" manualBreakCount="3">
    <brk id="64" max="6" man="1"/>
    <brk id="117" max="6" man="1"/>
    <brk id="155" max="6" man="1"/>
  </row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57"/>
  <sheetViews>
    <sheetView view="pageBreakPreview" zoomScaleNormal="110" zoomScaleSheetLayoutView="100" workbookViewId="0">
      <selection activeCell="E14" sqref="E14"/>
    </sheetView>
  </sheetViews>
  <sheetFormatPr defaultRowHeight="12" x14ac:dyDescent="0.25"/>
  <cols>
    <col min="1" max="1" width="4.85546875" style="545" bestFit="1" customWidth="1"/>
    <col min="2" max="2" width="32" style="545" customWidth="1"/>
    <col min="3" max="3" width="9.140625" style="545" bestFit="1" customWidth="1"/>
    <col min="4" max="4" width="4.42578125" style="545" bestFit="1" customWidth="1"/>
    <col min="5" max="5" width="10.5703125" style="545" customWidth="1"/>
    <col min="6" max="6" width="10.28515625" style="545" customWidth="1"/>
    <col min="7" max="7" width="12.140625" style="545" customWidth="1"/>
    <col min="8" max="8" width="9.28515625" style="545" customWidth="1"/>
    <col min="9" max="9" width="17" style="545" customWidth="1"/>
    <col min="10" max="16384" width="9.140625" style="545"/>
  </cols>
  <sheetData>
    <row r="1" spans="1:9" x14ac:dyDescent="0.25">
      <c r="A1" s="1470" t="s">
        <v>647</v>
      </c>
      <c r="B1" s="1471"/>
      <c r="C1" s="1471"/>
      <c r="D1" s="1471"/>
      <c r="E1" s="1471"/>
      <c r="F1" s="1471"/>
      <c r="G1" s="1471"/>
      <c r="H1" s="1471"/>
      <c r="I1" s="1472"/>
    </row>
    <row r="2" spans="1:9" x14ac:dyDescent="0.25">
      <c r="A2" s="1473" t="s">
        <v>295</v>
      </c>
      <c r="B2" s="1474"/>
      <c r="C2" s="1474"/>
      <c r="D2" s="1474"/>
      <c r="E2" s="1474"/>
      <c r="F2" s="1474"/>
      <c r="G2" s="1474"/>
      <c r="H2" s="1474"/>
      <c r="I2" s="1475"/>
    </row>
    <row r="3" spans="1:9" ht="12.75" thickBot="1" x14ac:dyDescent="0.3">
      <c r="A3" s="1476"/>
      <c r="B3" s="1477"/>
      <c r="C3" s="1477"/>
      <c r="D3" s="1477"/>
      <c r="E3" s="1477"/>
      <c r="F3" s="1477"/>
      <c r="G3" s="1477"/>
      <c r="H3" s="1477"/>
      <c r="I3" s="1478"/>
    </row>
    <row r="4" spans="1:9" ht="12.75" thickBot="1" x14ac:dyDescent="0.3">
      <c r="A4" s="178"/>
      <c r="B4" s="179"/>
      <c r="C4" s="178"/>
      <c r="D4" s="180"/>
      <c r="E4" s="180"/>
      <c r="F4" s="180"/>
      <c r="G4" s="178"/>
      <c r="H4" s="178"/>
      <c r="I4" s="178"/>
    </row>
    <row r="5" spans="1:9" x14ac:dyDescent="0.25">
      <c r="A5" s="1400" t="s">
        <v>292</v>
      </c>
      <c r="B5" s="1401"/>
      <c r="C5" s="1401"/>
      <c r="D5" s="1401"/>
      <c r="E5" s="1401"/>
      <c r="F5" s="1401"/>
      <c r="G5" s="1401"/>
      <c r="H5" s="1401"/>
      <c r="I5" s="1402"/>
    </row>
    <row r="6" spans="1:9" ht="12.75" thickBot="1" x14ac:dyDescent="0.3">
      <c r="A6" s="1406"/>
      <c r="B6" s="1407"/>
      <c r="C6" s="1407"/>
      <c r="D6" s="1407"/>
      <c r="E6" s="1407"/>
      <c r="F6" s="1407"/>
      <c r="G6" s="1407"/>
      <c r="H6" s="1407"/>
      <c r="I6" s="1408"/>
    </row>
    <row r="7" spans="1:9" ht="12.75" thickBot="1" x14ac:dyDescent="0.3">
      <c r="A7" s="178"/>
      <c r="B7" s="179"/>
      <c r="C7" s="180"/>
      <c r="D7" s="180"/>
      <c r="E7" s="180"/>
      <c r="F7" s="180"/>
      <c r="G7" s="178"/>
      <c r="H7" s="178"/>
      <c r="I7" s="178"/>
    </row>
    <row r="8" spans="1:9" ht="12.75" thickBot="1" x14ac:dyDescent="0.3">
      <c r="A8" s="1391" t="s">
        <v>641</v>
      </c>
      <c r="B8" s="1392"/>
      <c r="C8" s="1392"/>
      <c r="D8" s="1392"/>
      <c r="E8" s="1392"/>
      <c r="F8" s="1392"/>
      <c r="G8" s="1392"/>
      <c r="H8" s="1392"/>
      <c r="I8" s="1393"/>
    </row>
    <row r="9" spans="1:9" ht="12.75" thickBot="1" x14ac:dyDescent="0.3">
      <c r="A9" s="178"/>
      <c r="B9" s="179"/>
      <c r="C9" s="180"/>
      <c r="D9" s="180"/>
      <c r="E9" s="180"/>
      <c r="F9" s="180"/>
    </row>
    <row r="10" spans="1:9" x14ac:dyDescent="0.25">
      <c r="A10" s="1509" t="s">
        <v>0</v>
      </c>
      <c r="B10" s="1485" t="s">
        <v>1</v>
      </c>
      <c r="C10" s="1485" t="s">
        <v>2</v>
      </c>
      <c r="D10" s="1485" t="s">
        <v>3</v>
      </c>
      <c r="E10" s="1485" t="s">
        <v>991</v>
      </c>
      <c r="F10" s="1520" t="s">
        <v>992</v>
      </c>
      <c r="G10" s="1485" t="s">
        <v>994</v>
      </c>
      <c r="H10" s="1488" t="s">
        <v>995</v>
      </c>
      <c r="I10" s="1491" t="s">
        <v>997</v>
      </c>
    </row>
    <row r="11" spans="1:9" x14ac:dyDescent="0.25">
      <c r="A11" s="1510"/>
      <c r="B11" s="1486"/>
      <c r="C11" s="1486"/>
      <c r="D11" s="1486"/>
      <c r="E11" s="1486"/>
      <c r="F11" s="1521"/>
      <c r="G11" s="1486"/>
      <c r="H11" s="1489"/>
      <c r="I11" s="1492"/>
    </row>
    <row r="12" spans="1:9" ht="12.75" thickBot="1" x14ac:dyDescent="0.3">
      <c r="A12" s="1511"/>
      <c r="B12" s="1487"/>
      <c r="C12" s="1487"/>
      <c r="D12" s="1487"/>
      <c r="E12" s="1487"/>
      <c r="F12" s="1522"/>
      <c r="G12" s="1487"/>
      <c r="H12" s="1490"/>
      <c r="I12" s="1493"/>
    </row>
    <row r="13" spans="1:9" ht="12.75" thickBot="1" x14ac:dyDescent="0.3">
      <c r="A13" s="548" t="s">
        <v>99</v>
      </c>
      <c r="B13" s="1494" t="s">
        <v>642</v>
      </c>
      <c r="C13" s="1495"/>
      <c r="D13" s="1495"/>
      <c r="E13" s="1495"/>
      <c r="F13" s="1495"/>
      <c r="G13" s="1495"/>
      <c r="H13" s="1495"/>
      <c r="I13" s="1496"/>
    </row>
    <row r="14" spans="1:9" x14ac:dyDescent="0.25">
      <c r="A14" s="349" t="s">
        <v>4</v>
      </c>
      <c r="B14" s="731" t="s">
        <v>643</v>
      </c>
      <c r="C14" s="721" t="s">
        <v>80</v>
      </c>
      <c r="D14" s="783">
        <v>20</v>
      </c>
      <c r="E14" s="681">
        <f>'MemCalculo (Trecho Aéreo)'!E70</f>
        <v>0</v>
      </c>
      <c r="F14" s="722">
        <f t="shared" ref="F14:F23" si="0">D14*E14</f>
        <v>0</v>
      </c>
      <c r="G14" s="769">
        <f>0.05*F14</f>
        <v>0</v>
      </c>
      <c r="H14" s="793">
        <f>0.1662*(F14+G14)</f>
        <v>0</v>
      </c>
      <c r="I14" s="717">
        <f>F14+G14+H14</f>
        <v>0</v>
      </c>
    </row>
    <row r="15" spans="1:9" ht="24" x14ac:dyDescent="0.25">
      <c r="A15" s="21" t="s">
        <v>5</v>
      </c>
      <c r="B15" s="784" t="s">
        <v>429</v>
      </c>
      <c r="C15" s="785" t="s">
        <v>61</v>
      </c>
      <c r="D15" s="786">
        <v>1</v>
      </c>
      <c r="E15" s="10">
        <f>'Outras Despesas (Adm_Manut)'!G40</f>
        <v>0</v>
      </c>
      <c r="F15" s="719">
        <f t="shared" si="0"/>
        <v>0</v>
      </c>
      <c r="G15" s="768">
        <f>0.05*F15</f>
        <v>0</v>
      </c>
      <c r="H15" s="794">
        <f>0.1662*(F15+G15)</f>
        <v>0</v>
      </c>
      <c r="I15" s="119">
        <f>F15+G15+H15</f>
        <v>0</v>
      </c>
    </row>
    <row r="16" spans="1:9" x14ac:dyDescent="0.25">
      <c r="A16" s="21" t="s">
        <v>6</v>
      </c>
      <c r="B16" s="732" t="s">
        <v>310</v>
      </c>
      <c r="C16" s="785" t="s">
        <v>61</v>
      </c>
      <c r="D16" s="787">
        <v>1</v>
      </c>
      <c r="E16" s="735">
        <f>'Outras Despesas (Adm_Manut)'!G14</f>
        <v>0</v>
      </c>
      <c r="F16" s="719">
        <f t="shared" si="0"/>
        <v>0</v>
      </c>
      <c r="G16" s="768">
        <f t="shared" ref="G16:G23" si="1">0.05*F16</f>
        <v>0</v>
      </c>
      <c r="H16" s="794">
        <f t="shared" ref="H16:H23" si="2">0.1662*(F16+G16)</f>
        <v>0</v>
      </c>
      <c r="I16" s="119">
        <f t="shared" ref="I16:I23" si="3">F16+G16+H16</f>
        <v>0</v>
      </c>
    </row>
    <row r="17" spans="1:10" x14ac:dyDescent="0.25">
      <c r="A17" s="21" t="s">
        <v>7</v>
      </c>
      <c r="B17" s="732" t="s">
        <v>311</v>
      </c>
      <c r="C17" s="785" t="s">
        <v>61</v>
      </c>
      <c r="D17" s="787">
        <v>2</v>
      </c>
      <c r="E17" s="735">
        <f>'Outras Despesas (Adm_Manut)'!G15</f>
        <v>0</v>
      </c>
      <c r="F17" s="719">
        <f t="shared" si="0"/>
        <v>0</v>
      </c>
      <c r="G17" s="768">
        <f t="shared" si="1"/>
        <v>0</v>
      </c>
      <c r="H17" s="794">
        <f t="shared" si="2"/>
        <v>0</v>
      </c>
      <c r="I17" s="119">
        <f t="shared" si="3"/>
        <v>0</v>
      </c>
    </row>
    <row r="18" spans="1:10" x14ac:dyDescent="0.25">
      <c r="A18" s="21" t="s">
        <v>8</v>
      </c>
      <c r="B18" s="732" t="s">
        <v>306</v>
      </c>
      <c r="C18" s="785" t="s">
        <v>61</v>
      </c>
      <c r="D18" s="787">
        <v>1</v>
      </c>
      <c r="E18" s="735">
        <f>'Outras Despesas (Adm_Manut)'!G16</f>
        <v>0</v>
      </c>
      <c r="F18" s="719">
        <f t="shared" si="0"/>
        <v>0</v>
      </c>
      <c r="G18" s="768">
        <f t="shared" si="1"/>
        <v>0</v>
      </c>
      <c r="H18" s="794">
        <f t="shared" si="2"/>
        <v>0</v>
      </c>
      <c r="I18" s="119">
        <f t="shared" si="3"/>
        <v>0</v>
      </c>
    </row>
    <row r="19" spans="1:10" x14ac:dyDescent="0.25">
      <c r="A19" s="21" t="s">
        <v>9</v>
      </c>
      <c r="B19" s="732" t="s">
        <v>307</v>
      </c>
      <c r="C19" s="785" t="s">
        <v>61</v>
      </c>
      <c r="D19" s="787">
        <v>1</v>
      </c>
      <c r="E19" s="735">
        <f>'Outras Despesas (Adm_Manut)'!G17</f>
        <v>0</v>
      </c>
      <c r="F19" s="719">
        <f t="shared" si="0"/>
        <v>0</v>
      </c>
      <c r="G19" s="768">
        <f t="shared" si="1"/>
        <v>0</v>
      </c>
      <c r="H19" s="794">
        <f t="shared" si="2"/>
        <v>0</v>
      </c>
      <c r="I19" s="119">
        <f t="shared" si="3"/>
        <v>0</v>
      </c>
    </row>
    <row r="20" spans="1:10" x14ac:dyDescent="0.25">
      <c r="A20" s="21" t="s">
        <v>11</v>
      </c>
      <c r="B20" s="732" t="s">
        <v>637</v>
      </c>
      <c r="C20" s="785" t="s">
        <v>61</v>
      </c>
      <c r="D20" s="787">
        <v>1</v>
      </c>
      <c r="E20" s="735">
        <f>'Outras Despesas (Adm_Manut)'!G19</f>
        <v>0</v>
      </c>
      <c r="F20" s="719">
        <f t="shared" si="0"/>
        <v>0</v>
      </c>
      <c r="G20" s="768">
        <f t="shared" si="1"/>
        <v>0</v>
      </c>
      <c r="H20" s="794">
        <f t="shared" si="2"/>
        <v>0</v>
      </c>
      <c r="I20" s="119">
        <f t="shared" si="3"/>
        <v>0</v>
      </c>
    </row>
    <row r="21" spans="1:10" x14ac:dyDescent="0.25">
      <c r="A21" s="21" t="s">
        <v>12</v>
      </c>
      <c r="B21" s="732" t="s">
        <v>638</v>
      </c>
      <c r="C21" s="785" t="s">
        <v>61</v>
      </c>
      <c r="D21" s="787">
        <v>2</v>
      </c>
      <c r="E21" s="735">
        <f>'Outras Despesas (Adm_Manut)'!G20</f>
        <v>0</v>
      </c>
      <c r="F21" s="719">
        <f t="shared" si="0"/>
        <v>0</v>
      </c>
      <c r="G21" s="768">
        <f t="shared" si="1"/>
        <v>0</v>
      </c>
      <c r="H21" s="794">
        <f t="shared" si="2"/>
        <v>0</v>
      </c>
      <c r="I21" s="119">
        <f t="shared" si="3"/>
        <v>0</v>
      </c>
    </row>
    <row r="22" spans="1:10" x14ac:dyDescent="0.25">
      <c r="A22" s="21" t="s">
        <v>28</v>
      </c>
      <c r="B22" s="732" t="s">
        <v>639</v>
      </c>
      <c r="C22" s="785" t="s">
        <v>61</v>
      </c>
      <c r="D22" s="787">
        <v>1</v>
      </c>
      <c r="E22" s="735">
        <f>'Outras Despesas (Adm_Manut)'!G21</f>
        <v>0</v>
      </c>
      <c r="F22" s="719">
        <f t="shared" si="0"/>
        <v>0</v>
      </c>
      <c r="G22" s="768">
        <f t="shared" si="1"/>
        <v>0</v>
      </c>
      <c r="H22" s="794">
        <f t="shared" si="2"/>
        <v>0</v>
      </c>
      <c r="I22" s="119">
        <f t="shared" si="3"/>
        <v>0</v>
      </c>
    </row>
    <row r="23" spans="1:10" ht="12.75" thickBot="1" x14ac:dyDescent="0.3">
      <c r="A23" s="713" t="s">
        <v>29</v>
      </c>
      <c r="B23" s="823" t="s">
        <v>640</v>
      </c>
      <c r="C23" s="844" t="s">
        <v>61</v>
      </c>
      <c r="D23" s="845">
        <v>1</v>
      </c>
      <c r="E23" s="846">
        <f>'Outras Despesas (Adm_Manut)'!G22</f>
        <v>0</v>
      </c>
      <c r="F23" s="790">
        <f t="shared" si="0"/>
        <v>0</v>
      </c>
      <c r="G23" s="847">
        <f t="shared" si="1"/>
        <v>0</v>
      </c>
      <c r="H23" s="848">
        <f t="shared" si="2"/>
        <v>0</v>
      </c>
      <c r="I23" s="849">
        <f t="shared" si="3"/>
        <v>0</v>
      </c>
    </row>
    <row r="24" spans="1:10" ht="12.75" thickBot="1" x14ac:dyDescent="0.3">
      <c r="A24" s="1523" t="s">
        <v>645</v>
      </c>
      <c r="B24" s="1524"/>
      <c r="C24" s="1524"/>
      <c r="D24" s="1524"/>
      <c r="E24" s="1524"/>
      <c r="F24" s="765">
        <f>SUM(F14:F23)</f>
        <v>0</v>
      </c>
      <c r="G24" s="762">
        <f>SUM(G14:G23)</f>
        <v>0</v>
      </c>
      <c r="H24" s="795">
        <f>SUM(H14:H23)</f>
        <v>0</v>
      </c>
      <c r="I24" s="796">
        <f>SUM(I14:I23)</f>
        <v>0</v>
      </c>
      <c r="J24" s="791"/>
    </row>
    <row r="25" spans="1:10" ht="12.75" thickBot="1" x14ac:dyDescent="0.3">
      <c r="A25" s="188"/>
      <c r="B25" s="684"/>
      <c r="C25" s="684"/>
      <c r="D25" s="684"/>
      <c r="E25" s="684"/>
      <c r="F25" s="684"/>
      <c r="H25" s="791"/>
    </row>
    <row r="26" spans="1:10" ht="12.75" thickBot="1" x14ac:dyDescent="0.3">
      <c r="A26" s="554" t="s">
        <v>100</v>
      </c>
      <c r="B26" s="1495" t="s">
        <v>644</v>
      </c>
      <c r="C26" s="1495"/>
      <c r="D26" s="1495"/>
      <c r="E26" s="1495"/>
      <c r="F26" s="1495"/>
      <c r="G26" s="1495"/>
      <c r="H26" s="1495"/>
      <c r="I26" s="1496"/>
    </row>
    <row r="27" spans="1:10" x14ac:dyDescent="0.25">
      <c r="A27" s="1" t="s">
        <v>81</v>
      </c>
      <c r="B27" s="920" t="s">
        <v>643</v>
      </c>
      <c r="C27" s="721" t="s">
        <v>80</v>
      </c>
      <c r="D27" s="783">
        <v>40</v>
      </c>
      <c r="E27" s="99">
        <f>'MemCalculo (Trecho Aéreo)'!E70</f>
        <v>0</v>
      </c>
      <c r="F27" s="723">
        <f t="shared" ref="F27:F36" si="4">D27*E27</f>
        <v>0</v>
      </c>
      <c r="G27" s="769">
        <f>0.05*F27</f>
        <v>0</v>
      </c>
      <c r="H27" s="793">
        <f>0.1662*(F27+G27)</f>
        <v>0</v>
      </c>
      <c r="I27" s="717">
        <f>F27+G27+H27</f>
        <v>0</v>
      </c>
    </row>
    <row r="28" spans="1:10" ht="24" x14ac:dyDescent="0.25">
      <c r="A28" s="2" t="s">
        <v>82</v>
      </c>
      <c r="B28" s="921" t="s">
        <v>429</v>
      </c>
      <c r="C28" s="785" t="s">
        <v>61</v>
      </c>
      <c r="D28" s="786">
        <v>1</v>
      </c>
      <c r="E28" s="10">
        <f>'Outras Despesas (Adm_Manut)'!G40</f>
        <v>0</v>
      </c>
      <c r="F28" s="725">
        <f t="shared" si="4"/>
        <v>0</v>
      </c>
      <c r="G28" s="768">
        <f>0.05*F28</f>
        <v>0</v>
      </c>
      <c r="H28" s="794">
        <f>0.1662*(F28+G28)</f>
        <v>0</v>
      </c>
      <c r="I28" s="119">
        <f>F28+G28+H28</f>
        <v>0</v>
      </c>
    </row>
    <row r="29" spans="1:10" x14ac:dyDescent="0.25">
      <c r="A29" s="2" t="s">
        <v>286</v>
      </c>
      <c r="B29" s="51" t="s">
        <v>310</v>
      </c>
      <c r="C29" s="785" t="s">
        <v>61</v>
      </c>
      <c r="D29" s="787">
        <v>1</v>
      </c>
      <c r="E29" s="735">
        <f>'Outras Despesas (Adm_Manut)'!G14</f>
        <v>0</v>
      </c>
      <c r="F29" s="725">
        <f t="shared" si="4"/>
        <v>0</v>
      </c>
      <c r="G29" s="768">
        <f t="shared" ref="G29:G36" si="5">0.05*F29</f>
        <v>0</v>
      </c>
      <c r="H29" s="794">
        <f t="shared" ref="H29:H36" si="6">0.1662*(F29+G29)</f>
        <v>0</v>
      </c>
      <c r="I29" s="119">
        <f t="shared" ref="I29:I36" si="7">F29+G29+H29</f>
        <v>0</v>
      </c>
    </row>
    <row r="30" spans="1:10" x14ac:dyDescent="0.25">
      <c r="A30" s="2" t="s">
        <v>287</v>
      </c>
      <c r="B30" s="51" t="s">
        <v>311</v>
      </c>
      <c r="C30" s="785" t="s">
        <v>61</v>
      </c>
      <c r="D30" s="787">
        <v>2</v>
      </c>
      <c r="E30" s="735">
        <f>'Outras Despesas (Adm_Manut)'!G15</f>
        <v>0</v>
      </c>
      <c r="F30" s="725">
        <f t="shared" si="4"/>
        <v>0</v>
      </c>
      <c r="G30" s="768">
        <f t="shared" si="5"/>
        <v>0</v>
      </c>
      <c r="H30" s="794">
        <f t="shared" si="6"/>
        <v>0</v>
      </c>
      <c r="I30" s="119">
        <f t="shared" si="7"/>
        <v>0</v>
      </c>
    </row>
    <row r="31" spans="1:10" x14ac:dyDescent="0.25">
      <c r="A31" s="2" t="s">
        <v>288</v>
      </c>
      <c r="B31" s="51" t="s">
        <v>306</v>
      </c>
      <c r="C31" s="785" t="s">
        <v>61</v>
      </c>
      <c r="D31" s="787">
        <v>1</v>
      </c>
      <c r="E31" s="735">
        <f>'Outras Despesas (Adm_Manut)'!G16</f>
        <v>0</v>
      </c>
      <c r="F31" s="725">
        <f t="shared" si="4"/>
        <v>0</v>
      </c>
      <c r="G31" s="768">
        <f t="shared" si="5"/>
        <v>0</v>
      </c>
      <c r="H31" s="794">
        <f t="shared" si="6"/>
        <v>0</v>
      </c>
      <c r="I31" s="119">
        <f t="shared" si="7"/>
        <v>0</v>
      </c>
    </row>
    <row r="32" spans="1:10" x14ac:dyDescent="0.25">
      <c r="A32" s="2" t="s">
        <v>289</v>
      </c>
      <c r="B32" s="51" t="s">
        <v>307</v>
      </c>
      <c r="C32" s="785" t="s">
        <v>61</v>
      </c>
      <c r="D32" s="787">
        <v>1</v>
      </c>
      <c r="E32" s="735">
        <f>'Outras Despesas (Adm_Manut)'!G17</f>
        <v>0</v>
      </c>
      <c r="F32" s="725">
        <f t="shared" si="4"/>
        <v>0</v>
      </c>
      <c r="G32" s="768">
        <f t="shared" si="5"/>
        <v>0</v>
      </c>
      <c r="H32" s="794">
        <f t="shared" si="6"/>
        <v>0</v>
      </c>
      <c r="I32" s="119">
        <f t="shared" si="7"/>
        <v>0</v>
      </c>
    </row>
    <row r="33" spans="1:9" x14ac:dyDescent="0.25">
      <c r="A33" s="2" t="s">
        <v>290</v>
      </c>
      <c r="B33" s="51" t="s">
        <v>637</v>
      </c>
      <c r="C33" s="785" t="s">
        <v>61</v>
      </c>
      <c r="D33" s="787">
        <v>1</v>
      </c>
      <c r="E33" s="735">
        <f>'Outras Despesas (Adm_Manut)'!G19</f>
        <v>0</v>
      </c>
      <c r="F33" s="725">
        <f t="shared" si="4"/>
        <v>0</v>
      </c>
      <c r="G33" s="768">
        <f t="shared" si="5"/>
        <v>0</v>
      </c>
      <c r="H33" s="794">
        <f t="shared" si="6"/>
        <v>0</v>
      </c>
      <c r="I33" s="119">
        <f t="shared" si="7"/>
        <v>0</v>
      </c>
    </row>
    <row r="34" spans="1:9" x14ac:dyDescent="0.25">
      <c r="A34" s="2" t="s">
        <v>291</v>
      </c>
      <c r="B34" s="51" t="s">
        <v>638</v>
      </c>
      <c r="C34" s="785" t="s">
        <v>61</v>
      </c>
      <c r="D34" s="787">
        <v>2</v>
      </c>
      <c r="E34" s="735">
        <f>'Outras Despesas (Adm_Manut)'!G20</f>
        <v>0</v>
      </c>
      <c r="F34" s="725">
        <f t="shared" si="4"/>
        <v>0</v>
      </c>
      <c r="G34" s="768">
        <f t="shared" si="5"/>
        <v>0</v>
      </c>
      <c r="H34" s="794">
        <f t="shared" si="6"/>
        <v>0</v>
      </c>
      <c r="I34" s="119">
        <f t="shared" si="7"/>
        <v>0</v>
      </c>
    </row>
    <row r="35" spans="1:9" x14ac:dyDescent="0.25">
      <c r="A35" s="2" t="s">
        <v>358</v>
      </c>
      <c r="B35" s="51" t="s">
        <v>639</v>
      </c>
      <c r="C35" s="785" t="s">
        <v>61</v>
      </c>
      <c r="D35" s="787">
        <v>1</v>
      </c>
      <c r="E35" s="735">
        <f>'Outras Despesas (Adm_Manut)'!G21</f>
        <v>0</v>
      </c>
      <c r="F35" s="725">
        <f t="shared" si="4"/>
        <v>0</v>
      </c>
      <c r="G35" s="768">
        <f t="shared" si="5"/>
        <v>0</v>
      </c>
      <c r="H35" s="794">
        <f t="shared" si="6"/>
        <v>0</v>
      </c>
      <c r="I35" s="119">
        <f t="shared" si="7"/>
        <v>0</v>
      </c>
    </row>
    <row r="36" spans="1:9" ht="12.75" thickBot="1" x14ac:dyDescent="0.3">
      <c r="A36" s="3" t="s">
        <v>359</v>
      </c>
      <c r="B36" s="922" t="s">
        <v>640</v>
      </c>
      <c r="C36" s="788" t="s">
        <v>61</v>
      </c>
      <c r="D36" s="789">
        <v>1</v>
      </c>
      <c r="E36" s="735">
        <f>'Outras Despesas (Adm_Manut)'!G22</f>
        <v>0</v>
      </c>
      <c r="F36" s="729">
        <f t="shared" si="4"/>
        <v>0</v>
      </c>
      <c r="G36" s="768">
        <f t="shared" si="5"/>
        <v>0</v>
      </c>
      <c r="H36" s="794">
        <f t="shared" si="6"/>
        <v>0</v>
      </c>
      <c r="I36" s="119">
        <f t="shared" si="7"/>
        <v>0</v>
      </c>
    </row>
    <row r="37" spans="1:9" ht="12.75" thickBot="1" x14ac:dyDescent="0.3">
      <c r="A37" s="1518" t="s">
        <v>646</v>
      </c>
      <c r="B37" s="1519"/>
      <c r="C37" s="1519"/>
      <c r="D37" s="1519"/>
      <c r="E37" s="1519"/>
      <c r="F37" s="792">
        <f>SUM(F27:F36)</f>
        <v>0</v>
      </c>
      <c r="G37" s="762">
        <f>SUM(G27:G36)</f>
        <v>0</v>
      </c>
      <c r="H37" s="795">
        <f>SUM(H27:H36)</f>
        <v>0</v>
      </c>
      <c r="I37" s="796">
        <f>SUM(I27:I36)</f>
        <v>0</v>
      </c>
    </row>
    <row r="38" spans="1:9" x14ac:dyDescent="0.25">
      <c r="A38" s="178"/>
      <c r="B38" s="178"/>
      <c r="C38" s="178"/>
      <c r="D38" s="178"/>
      <c r="E38" s="178"/>
      <c r="F38" s="178"/>
      <c r="G38" s="178"/>
      <c r="H38" s="178"/>
      <c r="I38" s="178"/>
    </row>
    <row r="39" spans="1:9" ht="12.75" thickBot="1" x14ac:dyDescent="0.3">
      <c r="A39" s="178"/>
      <c r="B39" s="178"/>
      <c r="C39" s="178"/>
      <c r="D39" s="178"/>
      <c r="E39" s="178"/>
      <c r="F39" s="178"/>
      <c r="G39" s="178"/>
      <c r="H39" s="178"/>
      <c r="I39" s="178"/>
    </row>
    <row r="40" spans="1:9" x14ac:dyDescent="0.25">
      <c r="A40" s="1512" t="s">
        <v>993</v>
      </c>
      <c r="B40" s="1513"/>
      <c r="C40" s="1513"/>
      <c r="D40" s="1513"/>
      <c r="E40" s="1513"/>
      <c r="F40" s="1513"/>
      <c r="G40" s="1513"/>
      <c r="H40" s="778">
        <f>0.05*(F37+F24)</f>
        <v>0</v>
      </c>
      <c r="I40" s="900"/>
    </row>
    <row r="41" spans="1:9" ht="12.75" thickBot="1" x14ac:dyDescent="0.3">
      <c r="A41" s="1514" t="s">
        <v>970</v>
      </c>
      <c r="B41" s="1515"/>
      <c r="C41" s="1515"/>
      <c r="D41" s="1515"/>
      <c r="E41" s="1515"/>
      <c r="F41" s="1515"/>
      <c r="G41" s="1515"/>
      <c r="H41" s="780">
        <f>0.1662*(F24+F37+H40)</f>
        <v>0</v>
      </c>
      <c r="I41" s="900"/>
    </row>
    <row r="42" spans="1:9" ht="12.75" thickBot="1" x14ac:dyDescent="0.3">
      <c r="A42" s="1516" t="s">
        <v>508</v>
      </c>
      <c r="B42" s="1517"/>
      <c r="C42" s="1517"/>
      <c r="D42" s="1517"/>
      <c r="E42" s="1517"/>
      <c r="F42" s="1517"/>
      <c r="G42" s="1517"/>
      <c r="H42" s="716">
        <f>SUM(H40:H41)</f>
        <v>0</v>
      </c>
      <c r="I42" s="178"/>
    </row>
    <row r="43" spans="1:9" x14ac:dyDescent="0.25">
      <c r="A43" s="178"/>
      <c r="B43" s="178"/>
      <c r="C43" s="178"/>
      <c r="D43" s="178"/>
      <c r="E43" s="178"/>
      <c r="F43" s="178"/>
      <c r="G43" s="178"/>
      <c r="H43" s="178"/>
      <c r="I43" s="178"/>
    </row>
    <row r="44" spans="1:9" x14ac:dyDescent="0.25">
      <c r="A44" s="178"/>
      <c r="B44" s="178"/>
      <c r="C44" s="178"/>
      <c r="D44" s="178"/>
      <c r="E44" s="178"/>
      <c r="F44" s="178"/>
      <c r="G44" s="178"/>
      <c r="H44" s="178"/>
      <c r="I44" s="178"/>
    </row>
    <row r="45" spans="1:9" ht="12.75" thickBot="1" x14ac:dyDescent="0.3">
      <c r="A45" s="178"/>
      <c r="B45" s="178"/>
      <c r="C45" s="178"/>
      <c r="D45" s="178"/>
      <c r="E45" s="178"/>
      <c r="F45" s="178"/>
      <c r="G45" s="178"/>
      <c r="H45" s="178"/>
      <c r="I45" s="178"/>
    </row>
    <row r="46" spans="1:9" ht="15" customHeight="1" x14ac:dyDescent="0.25">
      <c r="A46" s="1479" t="s">
        <v>49</v>
      </c>
      <c r="B46" s="1480"/>
      <c r="C46" s="1480"/>
      <c r="D46" s="1480"/>
      <c r="E46" s="1480"/>
      <c r="F46" s="1480"/>
      <c r="G46" s="1481"/>
      <c r="H46" s="1479" t="s">
        <v>50</v>
      </c>
      <c r="I46" s="1481"/>
    </row>
    <row r="47" spans="1:9" ht="15.75" customHeight="1" thickBot="1" x14ac:dyDescent="0.3">
      <c r="A47" s="1482"/>
      <c r="B47" s="1483"/>
      <c r="C47" s="1483"/>
      <c r="D47" s="1483"/>
      <c r="E47" s="1483"/>
      <c r="F47" s="1483"/>
      <c r="G47" s="1484"/>
      <c r="H47" s="1482"/>
      <c r="I47" s="1484"/>
    </row>
    <row r="48" spans="1:9" ht="15" customHeight="1" x14ac:dyDescent="0.25">
      <c r="A48" s="1503" t="s">
        <v>51</v>
      </c>
      <c r="B48" s="1506"/>
      <c r="C48" s="1506"/>
      <c r="D48" s="1506"/>
      <c r="E48" s="1506"/>
      <c r="F48" s="1506"/>
      <c r="G48" s="1507"/>
      <c r="H48" s="1503" t="s">
        <v>52</v>
      </c>
      <c r="I48" s="1481"/>
    </row>
    <row r="49" spans="1:9" ht="15.75" customHeight="1" thickBot="1" x14ac:dyDescent="0.3">
      <c r="A49" s="1504"/>
      <c r="B49" s="1508"/>
      <c r="C49" s="1508"/>
      <c r="D49" s="1508"/>
      <c r="E49" s="1508"/>
      <c r="F49" s="1508"/>
      <c r="G49" s="1505"/>
      <c r="H49" s="1504"/>
      <c r="I49" s="1505"/>
    </row>
    <row r="50" spans="1:9" ht="12.75" thickTop="1" x14ac:dyDescent="0.25">
      <c r="A50" s="1500" t="s">
        <v>53</v>
      </c>
      <c r="B50" s="1501"/>
      <c r="C50" s="1501"/>
      <c r="D50" s="1501"/>
      <c r="E50" s="1501"/>
      <c r="F50" s="1501"/>
      <c r="G50" s="1501"/>
      <c r="H50" s="1501"/>
      <c r="I50" s="1502"/>
    </row>
    <row r="51" spans="1:9" ht="12" customHeight="1" x14ac:dyDescent="0.25">
      <c r="A51" s="1497" t="s">
        <v>648</v>
      </c>
      <c r="B51" s="1498"/>
      <c r="C51" s="1498"/>
      <c r="D51" s="1498"/>
      <c r="E51" s="1498"/>
      <c r="F51" s="1498"/>
      <c r="G51" s="1498"/>
      <c r="H51" s="1498"/>
      <c r="I51" s="1499"/>
    </row>
    <row r="52" spans="1:9" x14ac:dyDescent="0.25">
      <c r="A52" s="1497"/>
      <c r="B52" s="1498"/>
      <c r="C52" s="1498"/>
      <c r="D52" s="1498"/>
      <c r="E52" s="1498"/>
      <c r="F52" s="1498"/>
      <c r="G52" s="1498"/>
      <c r="H52" s="1498"/>
      <c r="I52" s="1499"/>
    </row>
    <row r="53" spans="1:9" ht="12" customHeight="1" x14ac:dyDescent="0.25">
      <c r="A53" s="1497" t="s">
        <v>649</v>
      </c>
      <c r="B53" s="1498"/>
      <c r="C53" s="1498"/>
      <c r="D53" s="1498"/>
      <c r="E53" s="1498"/>
      <c r="F53" s="1498"/>
      <c r="G53" s="1498"/>
      <c r="H53" s="1498"/>
      <c r="I53" s="1499"/>
    </row>
    <row r="54" spans="1:9" ht="15.75" customHeight="1" x14ac:dyDescent="0.25">
      <c r="A54" s="1528" t="s">
        <v>928</v>
      </c>
      <c r="B54" s="1529"/>
      <c r="C54" s="1529"/>
      <c r="D54" s="1529"/>
      <c r="E54" s="1529"/>
      <c r="F54" s="1529"/>
      <c r="G54" s="1529"/>
      <c r="H54" s="1529"/>
      <c r="I54" s="1530"/>
    </row>
    <row r="55" spans="1:9" x14ac:dyDescent="0.25">
      <c r="A55" s="1528" t="s">
        <v>1013</v>
      </c>
      <c r="B55" s="1529"/>
      <c r="C55" s="1529"/>
      <c r="D55" s="1529"/>
      <c r="E55" s="1529"/>
      <c r="F55" s="1529"/>
      <c r="G55" s="1529"/>
      <c r="H55" s="1529"/>
      <c r="I55" s="1530"/>
    </row>
    <row r="56" spans="1:9" x14ac:dyDescent="0.25">
      <c r="A56" s="1528" t="s">
        <v>1014</v>
      </c>
      <c r="B56" s="1529"/>
      <c r="C56" s="1529"/>
      <c r="D56" s="1529"/>
      <c r="E56" s="1529"/>
      <c r="F56" s="1529"/>
      <c r="G56" s="1529"/>
      <c r="H56" s="1529"/>
      <c r="I56" s="1530"/>
    </row>
    <row r="57" spans="1:9" ht="15.75" customHeight="1" thickBot="1" x14ac:dyDescent="0.3">
      <c r="A57" s="1525" t="s">
        <v>1015</v>
      </c>
      <c r="B57" s="1526"/>
      <c r="C57" s="1526"/>
      <c r="D57" s="1526"/>
      <c r="E57" s="1526"/>
      <c r="F57" s="1526"/>
      <c r="G57" s="1526"/>
      <c r="H57" s="1526"/>
      <c r="I57" s="1527"/>
    </row>
  </sheetData>
  <mergeCells count="32">
    <mergeCell ref="A57:I57"/>
    <mergeCell ref="A56:I56"/>
    <mergeCell ref="A55:I55"/>
    <mergeCell ref="A54:I54"/>
    <mergeCell ref="A53:I53"/>
    <mergeCell ref="A51:I52"/>
    <mergeCell ref="A50:I50"/>
    <mergeCell ref="H48:I49"/>
    <mergeCell ref="A48:G49"/>
    <mergeCell ref="A10:A12"/>
    <mergeCell ref="B10:B12"/>
    <mergeCell ref="C10:C12"/>
    <mergeCell ref="D10:D12"/>
    <mergeCell ref="B26:I26"/>
    <mergeCell ref="A40:G40"/>
    <mergeCell ref="A41:G41"/>
    <mergeCell ref="A42:G42"/>
    <mergeCell ref="A37:E37"/>
    <mergeCell ref="E10:E12"/>
    <mergeCell ref="F10:F12"/>
    <mergeCell ref="A24:E24"/>
    <mergeCell ref="A46:G47"/>
    <mergeCell ref="H46:I47"/>
    <mergeCell ref="G10:G12"/>
    <mergeCell ref="H10:H12"/>
    <mergeCell ref="I10:I12"/>
    <mergeCell ref="B13:I13"/>
    <mergeCell ref="A5:I6"/>
    <mergeCell ref="A8:I8"/>
    <mergeCell ref="A1:I1"/>
    <mergeCell ref="A2:I2"/>
    <mergeCell ref="A3:I3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77" orientation="portrait" horizontalDpi="4294967294" verticalDpi="4294967294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253"/>
  <sheetViews>
    <sheetView view="pageBreakPreview" topLeftCell="A10" zoomScale="90" zoomScaleNormal="100" zoomScaleSheetLayoutView="90" workbookViewId="0">
      <selection activeCell="N52" sqref="N52"/>
    </sheetView>
  </sheetViews>
  <sheetFormatPr defaultRowHeight="12" x14ac:dyDescent="0.25"/>
  <cols>
    <col min="1" max="1" width="5.28515625" style="545" bestFit="1" customWidth="1"/>
    <col min="2" max="2" width="38.7109375" style="557" customWidth="1"/>
    <col min="3" max="3" width="9.140625" style="545" bestFit="1" customWidth="1"/>
    <col min="4" max="4" width="8.85546875" style="558" bestFit="1" customWidth="1"/>
    <col min="5" max="5" width="11.5703125" style="559" bestFit="1" customWidth="1"/>
    <col min="6" max="6" width="17.7109375" style="559" bestFit="1" customWidth="1"/>
    <col min="7" max="7" width="11.7109375" style="558" customWidth="1"/>
    <col min="8" max="8" width="13" style="558" customWidth="1"/>
    <col min="9" max="10" width="16.42578125" style="558" customWidth="1"/>
    <col min="11" max="11" width="14.7109375" style="558" bestFit="1" customWidth="1"/>
    <col min="12" max="12" width="2" style="545" bestFit="1" customWidth="1"/>
    <col min="13" max="13" width="9.140625" style="545"/>
    <col min="14" max="14" width="40.7109375" style="546" customWidth="1"/>
    <col min="15" max="15" width="9" style="545" bestFit="1" customWidth="1"/>
    <col min="16" max="16" width="5.85546875" style="545" bestFit="1" customWidth="1"/>
    <col min="17" max="17" width="6.28515625" style="545" bestFit="1" customWidth="1"/>
    <col min="18" max="18" width="9.28515625" style="545" bestFit="1" customWidth="1"/>
    <col min="19" max="19" width="6" style="545" bestFit="1" customWidth="1"/>
    <col min="20" max="20" width="9.28515625" style="545" bestFit="1" customWidth="1"/>
    <col min="21" max="16384" width="9.140625" style="545"/>
  </cols>
  <sheetData>
    <row r="1" spans="1:11" x14ac:dyDescent="0.25">
      <c r="A1" s="1541" t="s">
        <v>294</v>
      </c>
      <c r="B1" s="1542"/>
      <c r="C1" s="1542"/>
      <c r="D1" s="1542"/>
      <c r="E1" s="1542"/>
      <c r="F1" s="1542"/>
      <c r="G1" s="1542"/>
      <c r="H1" s="1542"/>
      <c r="I1" s="1542"/>
      <c r="J1" s="1542"/>
      <c r="K1" s="1543"/>
    </row>
    <row r="2" spans="1:11" x14ac:dyDescent="0.25">
      <c r="A2" s="1544" t="s">
        <v>295</v>
      </c>
      <c r="B2" s="1545"/>
      <c r="C2" s="1545"/>
      <c r="D2" s="1545"/>
      <c r="E2" s="1545"/>
      <c r="F2" s="1545"/>
      <c r="G2" s="1545"/>
      <c r="H2" s="1545"/>
      <c r="I2" s="1545"/>
      <c r="J2" s="1545"/>
      <c r="K2" s="1546"/>
    </row>
    <row r="3" spans="1:11" ht="12.75" thickBot="1" x14ac:dyDescent="0.3">
      <c r="A3" s="1547"/>
      <c r="B3" s="1548"/>
      <c r="C3" s="1548"/>
      <c r="D3" s="1548"/>
      <c r="E3" s="1548"/>
      <c r="F3" s="1548"/>
      <c r="G3" s="1548"/>
      <c r="H3" s="1548"/>
      <c r="I3" s="1548"/>
      <c r="J3" s="1548"/>
      <c r="K3" s="1549"/>
    </row>
    <row r="4" spans="1:11" ht="12.75" thickBot="1" x14ac:dyDescent="0.3">
      <c r="A4" s="178"/>
      <c r="B4" s="179"/>
      <c r="C4" s="178"/>
      <c r="D4" s="180"/>
      <c r="E4" s="180"/>
      <c r="F4" s="180"/>
      <c r="G4" s="180"/>
      <c r="H4" s="180"/>
      <c r="I4" s="180"/>
      <c r="J4" s="180"/>
      <c r="K4" s="180"/>
    </row>
    <row r="5" spans="1:11" x14ac:dyDescent="0.25">
      <c r="A5" s="1400" t="s">
        <v>292</v>
      </c>
      <c r="B5" s="1401"/>
      <c r="C5" s="1401"/>
      <c r="D5" s="1401"/>
      <c r="E5" s="1401"/>
      <c r="F5" s="1401"/>
      <c r="G5" s="1401"/>
      <c r="H5" s="1401"/>
      <c r="I5" s="1401"/>
      <c r="J5" s="1401"/>
      <c r="K5" s="1402"/>
    </row>
    <row r="6" spans="1:11" ht="12.75" thickBot="1" x14ac:dyDescent="0.3">
      <c r="A6" s="1406"/>
      <c r="B6" s="1407"/>
      <c r="C6" s="1407"/>
      <c r="D6" s="1407"/>
      <c r="E6" s="1407"/>
      <c r="F6" s="1407"/>
      <c r="G6" s="1407"/>
      <c r="H6" s="1407"/>
      <c r="I6" s="1407"/>
      <c r="J6" s="1407"/>
      <c r="K6" s="1408"/>
    </row>
    <row r="7" spans="1:11" ht="12.75" thickBot="1" x14ac:dyDescent="0.3">
      <c r="A7" s="178"/>
      <c r="B7" s="179"/>
      <c r="C7" s="180"/>
      <c r="D7" s="180"/>
      <c r="E7" s="180"/>
      <c r="F7" s="180"/>
      <c r="G7" s="180"/>
      <c r="H7" s="180"/>
      <c r="I7" s="180"/>
      <c r="J7" s="180"/>
      <c r="K7" s="180"/>
    </row>
    <row r="8" spans="1:11" ht="12.75" thickBot="1" x14ac:dyDescent="0.3">
      <c r="A8" s="1391" t="s">
        <v>965</v>
      </c>
      <c r="B8" s="1392"/>
      <c r="C8" s="1392"/>
      <c r="D8" s="1392"/>
      <c r="E8" s="1392"/>
      <c r="F8" s="1392"/>
      <c r="G8" s="1392"/>
      <c r="H8" s="1392"/>
      <c r="I8" s="1392"/>
      <c r="J8" s="1392"/>
      <c r="K8" s="1393"/>
    </row>
    <row r="9" spans="1:11" ht="12.75" thickBot="1" x14ac:dyDescent="0.3">
      <c r="A9" s="178"/>
      <c r="B9" s="179"/>
      <c r="C9" s="180"/>
      <c r="D9" s="180"/>
      <c r="E9" s="180"/>
      <c r="F9" s="180"/>
      <c r="G9" s="180"/>
      <c r="H9" s="180"/>
      <c r="I9" s="180"/>
      <c r="J9" s="180"/>
      <c r="K9" s="180"/>
    </row>
    <row r="10" spans="1:11" x14ac:dyDescent="0.25">
      <c r="A10" s="1509" t="s">
        <v>0</v>
      </c>
      <c r="B10" s="1485" t="s">
        <v>1</v>
      </c>
      <c r="C10" s="1485" t="s">
        <v>2</v>
      </c>
      <c r="D10" s="1485" t="s">
        <v>3</v>
      </c>
      <c r="E10" s="1485" t="s">
        <v>242</v>
      </c>
      <c r="F10" s="1485" t="s">
        <v>308</v>
      </c>
      <c r="G10" s="1550" t="s">
        <v>991</v>
      </c>
      <c r="H10" s="1520" t="s">
        <v>992</v>
      </c>
      <c r="I10" s="1485" t="s">
        <v>994</v>
      </c>
      <c r="J10" s="1488" t="s">
        <v>995</v>
      </c>
      <c r="K10" s="1491" t="s">
        <v>997</v>
      </c>
    </row>
    <row r="11" spans="1:11" x14ac:dyDescent="0.25">
      <c r="A11" s="1510"/>
      <c r="B11" s="1486"/>
      <c r="C11" s="1486"/>
      <c r="D11" s="1486"/>
      <c r="E11" s="1486"/>
      <c r="F11" s="1486"/>
      <c r="G11" s="1551"/>
      <c r="H11" s="1521"/>
      <c r="I11" s="1486"/>
      <c r="J11" s="1489"/>
      <c r="K11" s="1492"/>
    </row>
    <row r="12" spans="1:11" ht="12.75" thickBot="1" x14ac:dyDescent="0.3">
      <c r="A12" s="1511"/>
      <c r="B12" s="1487"/>
      <c r="C12" s="1487"/>
      <c r="D12" s="1487"/>
      <c r="E12" s="1487"/>
      <c r="F12" s="1487"/>
      <c r="G12" s="1552"/>
      <c r="H12" s="1522"/>
      <c r="I12" s="1487"/>
      <c r="J12" s="1490"/>
      <c r="K12" s="1493"/>
    </row>
    <row r="13" spans="1:11" ht="12.75" thickBot="1" x14ac:dyDescent="0.3">
      <c r="A13" s="553" t="s">
        <v>99</v>
      </c>
      <c r="B13" s="1538" t="s">
        <v>959</v>
      </c>
      <c r="C13" s="1539"/>
      <c r="D13" s="1539"/>
      <c r="E13" s="1539"/>
      <c r="F13" s="1539"/>
      <c r="G13" s="1539"/>
      <c r="H13" s="1539"/>
      <c r="I13" s="1539"/>
      <c r="J13" s="1540"/>
      <c r="K13" s="715">
        <f>SUM(K14:K17)</f>
        <v>0</v>
      </c>
    </row>
    <row r="14" spans="1:11" x14ac:dyDescent="0.25">
      <c r="A14" s="349" t="s">
        <v>4</v>
      </c>
      <c r="B14" s="720" t="s">
        <v>310</v>
      </c>
      <c r="C14" s="721" t="s">
        <v>27</v>
      </c>
      <c r="D14" s="135">
        <v>4</v>
      </c>
      <c r="E14" s="549">
        <v>18</v>
      </c>
      <c r="F14" s="99">
        <f>D14*E14</f>
        <v>72</v>
      </c>
      <c r="G14" s="681"/>
      <c r="H14" s="750">
        <f>F14*G14</f>
        <v>0</v>
      </c>
      <c r="I14" s="756">
        <f>0.05*H14</f>
        <v>0</v>
      </c>
      <c r="J14" s="757">
        <f>0.1662*(H14+I14)</f>
        <v>0</v>
      </c>
      <c r="K14" s="753">
        <f>H14+I14+J14</f>
        <v>0</v>
      </c>
    </row>
    <row r="15" spans="1:11" x14ac:dyDescent="0.25">
      <c r="A15" s="21" t="s">
        <v>5</v>
      </c>
      <c r="B15" s="724" t="s">
        <v>311</v>
      </c>
      <c r="C15" s="45" t="s">
        <v>27</v>
      </c>
      <c r="D15" s="54">
        <v>2</v>
      </c>
      <c r="E15" s="415">
        <v>18</v>
      </c>
      <c r="F15" s="65">
        <f>D15*E15</f>
        <v>36</v>
      </c>
      <c r="G15" s="550"/>
      <c r="H15" s="751">
        <f t="shared" ref="H15:H42" si="0">F15*G15</f>
        <v>0</v>
      </c>
      <c r="I15" s="758">
        <f t="shared" ref="I15:I51" si="1">0.05*H15</f>
        <v>0</v>
      </c>
      <c r="J15" s="759">
        <f t="shared" ref="J15:J51" si="2">0.1662*(H15+I15)</f>
        <v>0</v>
      </c>
      <c r="K15" s="754">
        <f t="shared" ref="K15:K49" si="3">H15+I15+J15</f>
        <v>0</v>
      </c>
    </row>
    <row r="16" spans="1:11" x14ac:dyDescent="0.25">
      <c r="A16" s="21" t="s">
        <v>6</v>
      </c>
      <c r="B16" s="724" t="s">
        <v>306</v>
      </c>
      <c r="C16" s="45" t="s">
        <v>27</v>
      </c>
      <c r="D16" s="54">
        <f>ROUND('Mão de Obra  (Detalhamento)'!U153/8,0)</f>
        <v>6</v>
      </c>
      <c r="E16" s="415">
        <v>18</v>
      </c>
      <c r="F16" s="65">
        <f>D16*E16</f>
        <v>108</v>
      </c>
      <c r="G16" s="550"/>
      <c r="H16" s="751">
        <f t="shared" si="0"/>
        <v>0</v>
      </c>
      <c r="I16" s="758">
        <f t="shared" si="1"/>
        <v>0</v>
      </c>
      <c r="J16" s="759">
        <f t="shared" si="2"/>
        <v>0</v>
      </c>
      <c r="K16" s="754">
        <f t="shared" si="3"/>
        <v>0</v>
      </c>
    </row>
    <row r="17" spans="1:15" ht="12.75" thickBot="1" x14ac:dyDescent="0.3">
      <c r="A17" s="350" t="s">
        <v>7</v>
      </c>
      <c r="B17" s="726" t="s">
        <v>307</v>
      </c>
      <c r="C17" s="727" t="s">
        <v>27</v>
      </c>
      <c r="D17" s="140">
        <f>ROUND('Mão de Obra  (Detalhamento)'!V153/10,0)</f>
        <v>4</v>
      </c>
      <c r="E17" s="539">
        <v>18</v>
      </c>
      <c r="F17" s="555">
        <f>D17*E17</f>
        <v>72</v>
      </c>
      <c r="G17" s="728"/>
      <c r="H17" s="752">
        <f t="shared" si="0"/>
        <v>0</v>
      </c>
      <c r="I17" s="760">
        <f t="shared" si="1"/>
        <v>0</v>
      </c>
      <c r="J17" s="761">
        <f t="shared" si="2"/>
        <v>0</v>
      </c>
      <c r="K17" s="755">
        <f t="shared" si="3"/>
        <v>0</v>
      </c>
    </row>
    <row r="18" spans="1:15" ht="12.75" thickBot="1" x14ac:dyDescent="0.3">
      <c r="A18" s="547" t="s">
        <v>100</v>
      </c>
      <c r="B18" s="1535" t="s">
        <v>312</v>
      </c>
      <c r="C18" s="1536"/>
      <c r="D18" s="1536"/>
      <c r="E18" s="1536"/>
      <c r="F18" s="1536"/>
      <c r="G18" s="1536"/>
      <c r="H18" s="1536"/>
      <c r="I18" s="1536"/>
      <c r="J18" s="1537"/>
      <c r="K18" s="730">
        <f>SUM(K19:K22)</f>
        <v>0</v>
      </c>
    </row>
    <row r="19" spans="1:15" x14ac:dyDescent="0.25">
      <c r="A19" s="349" t="s">
        <v>81</v>
      </c>
      <c r="B19" s="731" t="s">
        <v>315</v>
      </c>
      <c r="C19" s="721" t="s">
        <v>27</v>
      </c>
      <c r="D19" s="135">
        <f>D14</f>
        <v>4</v>
      </c>
      <c r="E19" s="549">
        <v>18</v>
      </c>
      <c r="F19" s="99">
        <f>D19*E19</f>
        <v>72</v>
      </c>
      <c r="G19" s="681"/>
      <c r="H19" s="750">
        <f t="shared" si="0"/>
        <v>0</v>
      </c>
      <c r="I19" s="756">
        <f t="shared" si="1"/>
        <v>0</v>
      </c>
      <c r="J19" s="757">
        <f t="shared" si="2"/>
        <v>0</v>
      </c>
      <c r="K19" s="753">
        <f t="shared" si="3"/>
        <v>0</v>
      </c>
    </row>
    <row r="20" spans="1:15" x14ac:dyDescent="0.25">
      <c r="A20" s="714" t="s">
        <v>82</v>
      </c>
      <c r="B20" s="732" t="s">
        <v>316</v>
      </c>
      <c r="C20" s="45" t="s">
        <v>27</v>
      </c>
      <c r="D20" s="54">
        <f>D15</f>
        <v>2</v>
      </c>
      <c r="E20" s="415">
        <v>18</v>
      </c>
      <c r="F20" s="65">
        <f>D20*E20</f>
        <v>36</v>
      </c>
      <c r="G20" s="550"/>
      <c r="H20" s="751">
        <f t="shared" si="0"/>
        <v>0</v>
      </c>
      <c r="I20" s="758">
        <f t="shared" si="1"/>
        <v>0</v>
      </c>
      <c r="J20" s="759">
        <f t="shared" si="2"/>
        <v>0</v>
      </c>
      <c r="K20" s="754">
        <f t="shared" si="3"/>
        <v>0</v>
      </c>
    </row>
    <row r="21" spans="1:15" x14ac:dyDescent="0.25">
      <c r="A21" s="714" t="s">
        <v>286</v>
      </c>
      <c r="B21" s="732" t="s">
        <v>317</v>
      </c>
      <c r="C21" s="45" t="s">
        <v>27</v>
      </c>
      <c r="D21" s="54">
        <f>D16</f>
        <v>6</v>
      </c>
      <c r="E21" s="415">
        <v>18</v>
      </c>
      <c r="F21" s="65">
        <f>D21*E21</f>
        <v>108</v>
      </c>
      <c r="G21" s="550"/>
      <c r="H21" s="751">
        <f t="shared" si="0"/>
        <v>0</v>
      </c>
      <c r="I21" s="758">
        <f t="shared" si="1"/>
        <v>0</v>
      </c>
      <c r="J21" s="759">
        <f t="shared" si="2"/>
        <v>0</v>
      </c>
      <c r="K21" s="754">
        <f t="shared" si="3"/>
        <v>0</v>
      </c>
    </row>
    <row r="22" spans="1:15" ht="12.75" thickBot="1" x14ac:dyDescent="0.3">
      <c r="A22" s="712" t="s">
        <v>287</v>
      </c>
      <c r="B22" s="733" t="s">
        <v>318</v>
      </c>
      <c r="C22" s="727" t="s">
        <v>27</v>
      </c>
      <c r="D22" s="140">
        <f>D17</f>
        <v>4</v>
      </c>
      <c r="E22" s="539">
        <v>18</v>
      </c>
      <c r="F22" s="555">
        <f>D22*E22</f>
        <v>72</v>
      </c>
      <c r="G22" s="728"/>
      <c r="H22" s="752">
        <f t="shared" si="0"/>
        <v>0</v>
      </c>
      <c r="I22" s="760">
        <f t="shared" si="1"/>
        <v>0</v>
      </c>
      <c r="J22" s="761">
        <f t="shared" si="2"/>
        <v>0</v>
      </c>
      <c r="K22" s="755">
        <f t="shared" si="3"/>
        <v>0</v>
      </c>
      <c r="O22" s="546"/>
    </row>
    <row r="23" spans="1:15" ht="12.75" thickBot="1" x14ac:dyDescent="0.3">
      <c r="A23" s="548" t="s">
        <v>101</v>
      </c>
      <c r="B23" s="1535" t="s">
        <v>960</v>
      </c>
      <c r="C23" s="1536"/>
      <c r="D23" s="1536"/>
      <c r="E23" s="1536"/>
      <c r="F23" s="1536"/>
      <c r="G23" s="1536"/>
      <c r="H23" s="1536"/>
      <c r="I23" s="1536"/>
      <c r="J23" s="1537"/>
      <c r="K23" s="730">
        <f>SUM(K24:K35)</f>
        <v>0</v>
      </c>
    </row>
    <row r="24" spans="1:15" x14ac:dyDescent="0.25">
      <c r="A24" s="349" t="s">
        <v>83</v>
      </c>
      <c r="B24" s="736" t="s">
        <v>68</v>
      </c>
      <c r="C24" s="66" t="s">
        <v>61</v>
      </c>
      <c r="D24" s="679">
        <v>10</v>
      </c>
      <c r="E24" s="680">
        <v>18</v>
      </c>
      <c r="F24" s="681">
        <f t="shared" ref="F24:F35" si="4">D24*E24</f>
        <v>180</v>
      </c>
      <c r="G24" s="681"/>
      <c r="H24" s="750">
        <f t="shared" si="0"/>
        <v>0</v>
      </c>
      <c r="I24" s="756">
        <f t="shared" si="1"/>
        <v>0</v>
      </c>
      <c r="J24" s="757">
        <f t="shared" si="2"/>
        <v>0</v>
      </c>
      <c r="K24" s="753">
        <f>H24+I24+J24</f>
        <v>0</v>
      </c>
    </row>
    <row r="25" spans="1:15" x14ac:dyDescent="0.25">
      <c r="A25" s="21" t="s">
        <v>84</v>
      </c>
      <c r="B25" s="737" t="s">
        <v>897</v>
      </c>
      <c r="C25" s="9" t="s">
        <v>61</v>
      </c>
      <c r="D25" s="735">
        <v>34</v>
      </c>
      <c r="E25" s="551">
        <v>18</v>
      </c>
      <c r="F25" s="550">
        <f t="shared" si="4"/>
        <v>612</v>
      </c>
      <c r="G25" s="550"/>
      <c r="H25" s="751">
        <f t="shared" si="0"/>
        <v>0</v>
      </c>
      <c r="I25" s="758">
        <f t="shared" si="1"/>
        <v>0</v>
      </c>
      <c r="J25" s="759">
        <f t="shared" si="2"/>
        <v>0</v>
      </c>
      <c r="K25" s="754">
        <f t="shared" si="3"/>
        <v>0</v>
      </c>
    </row>
    <row r="26" spans="1:15" x14ac:dyDescent="0.25">
      <c r="A26" s="21" t="s">
        <v>257</v>
      </c>
      <c r="B26" s="737" t="s">
        <v>850</v>
      </c>
      <c r="C26" s="9" t="s">
        <v>61</v>
      </c>
      <c r="D26" s="550">
        <f>D14</f>
        <v>4</v>
      </c>
      <c r="E26" s="551">
        <v>18</v>
      </c>
      <c r="F26" s="550">
        <f t="shared" si="4"/>
        <v>72</v>
      </c>
      <c r="G26" s="550"/>
      <c r="H26" s="751">
        <f t="shared" si="0"/>
        <v>0</v>
      </c>
      <c r="I26" s="758">
        <f t="shared" si="1"/>
        <v>0</v>
      </c>
      <c r="J26" s="759">
        <f t="shared" si="2"/>
        <v>0</v>
      </c>
      <c r="K26" s="754">
        <f t="shared" si="3"/>
        <v>0</v>
      </c>
    </row>
    <row r="27" spans="1:15" x14ac:dyDescent="0.25">
      <c r="A27" s="21" t="s">
        <v>258</v>
      </c>
      <c r="B27" s="737" t="s">
        <v>849</v>
      </c>
      <c r="C27" s="9" t="s">
        <v>61</v>
      </c>
      <c r="D27" s="550">
        <f>D15</f>
        <v>2</v>
      </c>
      <c r="E27" s="551">
        <v>18</v>
      </c>
      <c r="F27" s="550">
        <f t="shared" si="4"/>
        <v>36</v>
      </c>
      <c r="G27" s="550"/>
      <c r="H27" s="751">
        <f t="shared" si="0"/>
        <v>0</v>
      </c>
      <c r="I27" s="758">
        <f t="shared" si="1"/>
        <v>0</v>
      </c>
      <c r="J27" s="759">
        <f t="shared" si="2"/>
        <v>0</v>
      </c>
      <c r="K27" s="754">
        <f t="shared" si="3"/>
        <v>0</v>
      </c>
    </row>
    <row r="28" spans="1:15" x14ac:dyDescent="0.25">
      <c r="A28" s="21" t="s">
        <v>313</v>
      </c>
      <c r="B28" s="737" t="s">
        <v>848</v>
      </c>
      <c r="C28" s="9" t="s">
        <v>61</v>
      </c>
      <c r="D28" s="550">
        <f>SUM(D16:D17)</f>
        <v>10</v>
      </c>
      <c r="E28" s="551">
        <v>18</v>
      </c>
      <c r="F28" s="550">
        <f t="shared" si="4"/>
        <v>180</v>
      </c>
      <c r="G28" s="550"/>
      <c r="H28" s="751">
        <f t="shared" si="0"/>
        <v>0</v>
      </c>
      <c r="I28" s="758">
        <f t="shared" si="1"/>
        <v>0</v>
      </c>
      <c r="J28" s="759">
        <f t="shared" si="2"/>
        <v>0</v>
      </c>
      <c r="K28" s="754">
        <f t="shared" si="3"/>
        <v>0</v>
      </c>
    </row>
    <row r="29" spans="1:15" x14ac:dyDescent="0.25">
      <c r="A29" s="734" t="s">
        <v>372</v>
      </c>
      <c r="B29" s="737" t="s">
        <v>851</v>
      </c>
      <c r="C29" s="9" t="s">
        <v>61</v>
      </c>
      <c r="D29" s="550">
        <f>D14</f>
        <v>4</v>
      </c>
      <c r="E29" s="551">
        <v>18</v>
      </c>
      <c r="F29" s="550">
        <f t="shared" si="4"/>
        <v>72</v>
      </c>
      <c r="G29" s="550"/>
      <c r="H29" s="751">
        <f t="shared" si="0"/>
        <v>0</v>
      </c>
      <c r="I29" s="758">
        <f t="shared" si="1"/>
        <v>0</v>
      </c>
      <c r="J29" s="759">
        <f t="shared" si="2"/>
        <v>0</v>
      </c>
      <c r="K29" s="754">
        <f t="shared" si="3"/>
        <v>0</v>
      </c>
    </row>
    <row r="30" spans="1:15" x14ac:dyDescent="0.25">
      <c r="A30" s="734" t="s">
        <v>373</v>
      </c>
      <c r="B30" s="737" t="s">
        <v>852</v>
      </c>
      <c r="C30" s="9" t="s">
        <v>61</v>
      </c>
      <c r="D30" s="550">
        <f>D15</f>
        <v>2</v>
      </c>
      <c r="E30" s="551">
        <v>18</v>
      </c>
      <c r="F30" s="550">
        <f t="shared" si="4"/>
        <v>36</v>
      </c>
      <c r="G30" s="550"/>
      <c r="H30" s="751">
        <f t="shared" si="0"/>
        <v>0</v>
      </c>
      <c r="I30" s="758">
        <f t="shared" si="1"/>
        <v>0</v>
      </c>
      <c r="J30" s="759">
        <f t="shared" si="2"/>
        <v>0</v>
      </c>
      <c r="K30" s="754">
        <f t="shared" si="3"/>
        <v>0</v>
      </c>
    </row>
    <row r="31" spans="1:15" x14ac:dyDescent="0.25">
      <c r="A31" s="734" t="s">
        <v>375</v>
      </c>
      <c r="B31" s="737" t="s">
        <v>853</v>
      </c>
      <c r="C31" s="9" t="s">
        <v>61</v>
      </c>
      <c r="D31" s="550">
        <f>D16+D17</f>
        <v>10</v>
      </c>
      <c r="E31" s="551">
        <v>18</v>
      </c>
      <c r="F31" s="550">
        <f t="shared" si="4"/>
        <v>180</v>
      </c>
      <c r="G31" s="550"/>
      <c r="H31" s="751">
        <f t="shared" si="0"/>
        <v>0</v>
      </c>
      <c r="I31" s="758">
        <f t="shared" si="1"/>
        <v>0</v>
      </c>
      <c r="J31" s="759">
        <f t="shared" si="2"/>
        <v>0</v>
      </c>
      <c r="K31" s="754">
        <f t="shared" si="3"/>
        <v>0</v>
      </c>
    </row>
    <row r="32" spans="1:15" x14ac:dyDescent="0.25">
      <c r="A32" s="21" t="s">
        <v>376</v>
      </c>
      <c r="B32" s="738" t="s">
        <v>351</v>
      </c>
      <c r="C32" s="9" t="s">
        <v>61</v>
      </c>
      <c r="D32" s="14">
        <f>D15</f>
        <v>2</v>
      </c>
      <c r="E32" s="415">
        <v>18</v>
      </c>
      <c r="F32" s="65">
        <f t="shared" si="4"/>
        <v>36</v>
      </c>
      <c r="G32" s="550"/>
      <c r="H32" s="751">
        <f t="shared" si="0"/>
        <v>0</v>
      </c>
      <c r="I32" s="758">
        <f t="shared" si="1"/>
        <v>0</v>
      </c>
      <c r="J32" s="759">
        <f t="shared" si="2"/>
        <v>0</v>
      </c>
      <c r="K32" s="754">
        <f t="shared" si="3"/>
        <v>0</v>
      </c>
    </row>
    <row r="33" spans="1:11" x14ac:dyDescent="0.25">
      <c r="A33" s="21" t="s">
        <v>377</v>
      </c>
      <c r="B33" s="738" t="s">
        <v>352</v>
      </c>
      <c r="C33" s="9" t="s">
        <v>61</v>
      </c>
      <c r="D33" s="14">
        <f>D14</f>
        <v>4</v>
      </c>
      <c r="E33" s="415">
        <v>18</v>
      </c>
      <c r="F33" s="65">
        <f t="shared" si="4"/>
        <v>72</v>
      </c>
      <c r="G33" s="550"/>
      <c r="H33" s="751">
        <f t="shared" si="0"/>
        <v>0</v>
      </c>
      <c r="I33" s="758">
        <f t="shared" si="1"/>
        <v>0</v>
      </c>
      <c r="J33" s="759">
        <f t="shared" si="2"/>
        <v>0</v>
      </c>
      <c r="K33" s="754">
        <f t="shared" si="3"/>
        <v>0</v>
      </c>
    </row>
    <row r="34" spans="1:11" x14ac:dyDescent="0.25">
      <c r="A34" s="21" t="s">
        <v>378</v>
      </c>
      <c r="B34" s="738" t="s">
        <v>349</v>
      </c>
      <c r="C34" s="9" t="s">
        <v>61</v>
      </c>
      <c r="D34" s="14">
        <f>D15</f>
        <v>2</v>
      </c>
      <c r="E34" s="415">
        <v>18</v>
      </c>
      <c r="F34" s="65">
        <f t="shared" si="4"/>
        <v>36</v>
      </c>
      <c r="G34" s="550"/>
      <c r="H34" s="751">
        <f t="shared" si="0"/>
        <v>0</v>
      </c>
      <c r="I34" s="758">
        <f t="shared" si="1"/>
        <v>0</v>
      </c>
      <c r="J34" s="759">
        <f t="shared" si="2"/>
        <v>0</v>
      </c>
      <c r="K34" s="754">
        <f t="shared" si="3"/>
        <v>0</v>
      </c>
    </row>
    <row r="35" spans="1:11" ht="12.75" thickBot="1" x14ac:dyDescent="0.3">
      <c r="A35" s="350" t="s">
        <v>379</v>
      </c>
      <c r="B35" s="739" t="s">
        <v>350</v>
      </c>
      <c r="C35" s="13" t="s">
        <v>61</v>
      </c>
      <c r="D35" s="15">
        <f>D14</f>
        <v>4</v>
      </c>
      <c r="E35" s="539">
        <v>18</v>
      </c>
      <c r="F35" s="555">
        <f t="shared" si="4"/>
        <v>72</v>
      </c>
      <c r="G35" s="728"/>
      <c r="H35" s="752">
        <f t="shared" si="0"/>
        <v>0</v>
      </c>
      <c r="I35" s="760">
        <f t="shared" si="1"/>
        <v>0</v>
      </c>
      <c r="J35" s="761">
        <f t="shared" si="2"/>
        <v>0</v>
      </c>
      <c r="K35" s="755">
        <f t="shared" si="3"/>
        <v>0</v>
      </c>
    </row>
    <row r="36" spans="1:11" ht="12.75" thickBot="1" x14ac:dyDescent="0.3">
      <c r="A36" s="552" t="s">
        <v>260</v>
      </c>
      <c r="B36" s="1535" t="s">
        <v>407</v>
      </c>
      <c r="C36" s="1536"/>
      <c r="D36" s="1536"/>
      <c r="E36" s="1536"/>
      <c r="F36" s="1536"/>
      <c r="G36" s="1536"/>
      <c r="H36" s="1536"/>
      <c r="I36" s="1536"/>
      <c r="J36" s="1537"/>
      <c r="K36" s="730">
        <f>SUM(K37:K40)</f>
        <v>0</v>
      </c>
    </row>
    <row r="37" spans="1:11" ht="24" x14ac:dyDescent="0.25">
      <c r="A37" s="349" t="s">
        <v>85</v>
      </c>
      <c r="B37" s="740" t="s">
        <v>426</v>
      </c>
      <c r="C37" s="66" t="s">
        <v>61</v>
      </c>
      <c r="D37" s="103">
        <v>1</v>
      </c>
      <c r="E37" s="549">
        <v>18</v>
      </c>
      <c r="F37" s="99">
        <f>D37*E37</f>
        <v>18</v>
      </c>
      <c r="G37" s="681"/>
      <c r="H37" s="750">
        <f t="shared" si="0"/>
        <v>0</v>
      </c>
      <c r="I37" s="756">
        <f t="shared" si="1"/>
        <v>0</v>
      </c>
      <c r="J37" s="757">
        <f t="shared" si="2"/>
        <v>0</v>
      </c>
      <c r="K37" s="753">
        <f t="shared" si="3"/>
        <v>0</v>
      </c>
    </row>
    <row r="38" spans="1:11" ht="24" x14ac:dyDescent="0.25">
      <c r="A38" s="21" t="s">
        <v>86</v>
      </c>
      <c r="B38" s="741" t="s">
        <v>427</v>
      </c>
      <c r="C38" s="9" t="s">
        <v>61</v>
      </c>
      <c r="D38" s="14">
        <f>2+2+2</f>
        <v>6</v>
      </c>
      <c r="E38" s="415">
        <v>18</v>
      </c>
      <c r="F38" s="65">
        <f>D38*E38</f>
        <v>108</v>
      </c>
      <c r="G38" s="550"/>
      <c r="H38" s="751">
        <f t="shared" si="0"/>
        <v>0</v>
      </c>
      <c r="I38" s="758">
        <f t="shared" si="1"/>
        <v>0</v>
      </c>
      <c r="J38" s="759">
        <f t="shared" si="2"/>
        <v>0</v>
      </c>
      <c r="K38" s="754">
        <f t="shared" si="3"/>
        <v>0</v>
      </c>
    </row>
    <row r="39" spans="1:11" ht="24" x14ac:dyDescent="0.25">
      <c r="A39" s="21" t="s">
        <v>262</v>
      </c>
      <c r="B39" s="741" t="s">
        <v>428</v>
      </c>
      <c r="C39" s="9" t="s">
        <v>61</v>
      </c>
      <c r="D39" s="14">
        <v>2</v>
      </c>
      <c r="E39" s="415">
        <v>18</v>
      </c>
      <c r="F39" s="65">
        <f>D39*E39</f>
        <v>36</v>
      </c>
      <c r="G39" s="550"/>
      <c r="H39" s="751">
        <f t="shared" si="0"/>
        <v>0</v>
      </c>
      <c r="I39" s="758">
        <f t="shared" si="1"/>
        <v>0</v>
      </c>
      <c r="J39" s="759">
        <f t="shared" si="2"/>
        <v>0</v>
      </c>
      <c r="K39" s="754">
        <f t="shared" si="3"/>
        <v>0</v>
      </c>
    </row>
    <row r="40" spans="1:11" ht="24.75" thickBot="1" x14ac:dyDescent="0.3">
      <c r="A40" s="713" t="s">
        <v>389</v>
      </c>
      <c r="B40" s="742" t="s">
        <v>429</v>
      </c>
      <c r="C40" s="13" t="s">
        <v>61</v>
      </c>
      <c r="D40" s="15">
        <f>SUM('Mão de Obra  (Detalhamento)'!E17:E24)/4+SUM('Mão de Obra  (Detalhamento)'!E27:E31)/4+SUM('Mão de Obra  (Detalhamento)'!E34:E39)/4</f>
        <v>18</v>
      </c>
      <c r="E40" s="539">
        <v>18</v>
      </c>
      <c r="F40" s="555">
        <f>D40*E40</f>
        <v>324</v>
      </c>
      <c r="G40" s="728"/>
      <c r="H40" s="752">
        <f t="shared" si="0"/>
        <v>0</v>
      </c>
      <c r="I40" s="760">
        <f t="shared" si="1"/>
        <v>0</v>
      </c>
      <c r="J40" s="761">
        <f t="shared" si="2"/>
        <v>0</v>
      </c>
      <c r="K40" s="755">
        <f t="shared" si="3"/>
        <v>0</v>
      </c>
    </row>
    <row r="41" spans="1:11" ht="12.75" thickBot="1" x14ac:dyDescent="0.3">
      <c r="A41" s="553" t="s">
        <v>265</v>
      </c>
      <c r="B41" s="1535" t="s">
        <v>759</v>
      </c>
      <c r="C41" s="1536"/>
      <c r="D41" s="1536"/>
      <c r="E41" s="1536"/>
      <c r="F41" s="1536"/>
      <c r="G41" s="1536"/>
      <c r="H41" s="1536"/>
      <c r="I41" s="1536"/>
      <c r="J41" s="1537"/>
      <c r="K41" s="730">
        <f>SUM(K42)</f>
        <v>0</v>
      </c>
    </row>
    <row r="42" spans="1:11" ht="24.75" thickBot="1" x14ac:dyDescent="0.3">
      <c r="A42" s="349" t="s">
        <v>266</v>
      </c>
      <c r="B42" s="743" t="s">
        <v>760</v>
      </c>
      <c r="C42" s="744" t="s">
        <v>61</v>
      </c>
      <c r="D42" s="745">
        <v>2</v>
      </c>
      <c r="E42" s="746">
        <v>18</v>
      </c>
      <c r="F42" s="747">
        <f>D42*E42</f>
        <v>36</v>
      </c>
      <c r="G42" s="748"/>
      <c r="H42" s="763">
        <f t="shared" si="0"/>
        <v>0</v>
      </c>
      <c r="I42" s="766">
        <f t="shared" si="1"/>
        <v>0</v>
      </c>
      <c r="J42" s="767">
        <f t="shared" si="2"/>
        <v>0</v>
      </c>
      <c r="K42" s="764">
        <f t="shared" si="3"/>
        <v>0</v>
      </c>
    </row>
    <row r="43" spans="1:11" ht="12.75" thickBot="1" x14ac:dyDescent="0.3">
      <c r="A43" s="554" t="s">
        <v>269</v>
      </c>
      <c r="B43" s="1494" t="s">
        <v>742</v>
      </c>
      <c r="C43" s="1495"/>
      <c r="D43" s="1495"/>
      <c r="E43" s="1495"/>
      <c r="F43" s="1495"/>
      <c r="G43" s="1495"/>
      <c r="H43" s="1495"/>
      <c r="I43" s="1495"/>
      <c r="J43" s="1496"/>
      <c r="K43" s="730">
        <f>SUM(K44:K46)</f>
        <v>0</v>
      </c>
    </row>
    <row r="44" spans="1:11" x14ac:dyDescent="0.25">
      <c r="A44" s="349" t="s">
        <v>87</v>
      </c>
      <c r="B44" s="749" t="s">
        <v>743</v>
      </c>
      <c r="C44" s="66" t="s">
        <v>61</v>
      </c>
      <c r="D44" s="103">
        <f>84</f>
        <v>84</v>
      </c>
      <c r="E44" s="549">
        <v>18</v>
      </c>
      <c r="F44" s="99" t="s">
        <v>169</v>
      </c>
      <c r="G44" s="681"/>
      <c r="H44" s="750">
        <f>D44*E44*G44</f>
        <v>0</v>
      </c>
      <c r="I44" s="770">
        <f t="shared" si="1"/>
        <v>0</v>
      </c>
      <c r="J44" s="756">
        <f t="shared" si="2"/>
        <v>0</v>
      </c>
      <c r="K44" s="753">
        <f t="shared" si="3"/>
        <v>0</v>
      </c>
    </row>
    <row r="45" spans="1:11" x14ac:dyDescent="0.25">
      <c r="A45" s="21" t="s">
        <v>88</v>
      </c>
      <c r="B45" s="738" t="s">
        <v>744</v>
      </c>
      <c r="C45" s="9" t="s">
        <v>61</v>
      </c>
      <c r="D45" s="14">
        <v>4</v>
      </c>
      <c r="E45" s="415">
        <v>18</v>
      </c>
      <c r="F45" s="65" t="s">
        <v>169</v>
      </c>
      <c r="G45" s="550"/>
      <c r="H45" s="751">
        <f t="shared" ref="H45:H46" si="5">D45*E45*G45</f>
        <v>0</v>
      </c>
      <c r="I45" s="772">
        <f t="shared" si="1"/>
        <v>0</v>
      </c>
      <c r="J45" s="758">
        <f t="shared" si="2"/>
        <v>0</v>
      </c>
      <c r="K45" s="754">
        <f t="shared" si="3"/>
        <v>0</v>
      </c>
    </row>
    <row r="46" spans="1:11" ht="12.75" thickBot="1" x14ac:dyDescent="0.3">
      <c r="A46" s="350" t="s">
        <v>270</v>
      </c>
      <c r="B46" s="739" t="s">
        <v>745</v>
      </c>
      <c r="C46" s="13" t="s">
        <v>61</v>
      </c>
      <c r="D46" s="15">
        <v>14</v>
      </c>
      <c r="E46" s="539">
        <v>18</v>
      </c>
      <c r="F46" s="555" t="s">
        <v>169</v>
      </c>
      <c r="G46" s="728"/>
      <c r="H46" s="752">
        <f t="shared" si="5"/>
        <v>0</v>
      </c>
      <c r="I46" s="771">
        <f t="shared" si="1"/>
        <v>0</v>
      </c>
      <c r="J46" s="760">
        <f t="shared" si="2"/>
        <v>0</v>
      </c>
      <c r="K46" s="755">
        <f t="shared" si="3"/>
        <v>0</v>
      </c>
    </row>
    <row r="47" spans="1:11" ht="12.75" thickBot="1" x14ac:dyDescent="0.3">
      <c r="A47" s="554" t="s">
        <v>679</v>
      </c>
      <c r="B47" s="1535" t="s">
        <v>691</v>
      </c>
      <c r="C47" s="1536"/>
      <c r="D47" s="1536"/>
      <c r="E47" s="1536"/>
      <c r="F47" s="1536"/>
      <c r="G47" s="1536"/>
      <c r="H47" s="1536"/>
      <c r="I47" s="1536"/>
      <c r="J47" s="1537"/>
      <c r="K47" s="730">
        <f>SUM(K48:K49)</f>
        <v>0</v>
      </c>
    </row>
    <row r="48" spans="1:11" x14ac:dyDescent="0.25">
      <c r="A48" s="349" t="s">
        <v>529</v>
      </c>
      <c r="B48" s="749" t="s">
        <v>1020</v>
      </c>
      <c r="C48" s="66" t="s">
        <v>80</v>
      </c>
      <c r="D48" s="679">
        <f>'Viagens e Diárias (Por Demanda)'!G13</f>
        <v>900</v>
      </c>
      <c r="E48" s="680" t="s">
        <v>169</v>
      </c>
      <c r="F48" s="681" t="s">
        <v>169</v>
      </c>
      <c r="G48" s="681"/>
      <c r="H48" s="636">
        <f>D48*G48</f>
        <v>0</v>
      </c>
      <c r="I48" s="770">
        <f>0.05*H48</f>
        <v>0</v>
      </c>
      <c r="J48" s="756">
        <f>0.1662*(H48+I48)</f>
        <v>0</v>
      </c>
      <c r="K48" s="906">
        <f>H48+I48+J48</f>
        <v>0</v>
      </c>
    </row>
    <row r="49" spans="1:14" ht="12.75" thickBot="1" x14ac:dyDescent="0.3">
      <c r="A49" s="713" t="s">
        <v>530</v>
      </c>
      <c r="B49" s="739" t="s">
        <v>961</v>
      </c>
      <c r="C49" s="13" t="s">
        <v>80</v>
      </c>
      <c r="D49" s="907">
        <f>'Viagens e Diárias (Por Demanda)'!G19+'Viagens e Diárias (Por Demanda)'!G20</f>
        <v>14328</v>
      </c>
      <c r="E49" s="908" t="s">
        <v>169</v>
      </c>
      <c r="F49" s="728" t="s">
        <v>169</v>
      </c>
      <c r="G49" s="728"/>
      <c r="H49" s="637">
        <f>D49*G49</f>
        <v>0</v>
      </c>
      <c r="I49" s="771">
        <f>0.05*H49</f>
        <v>0</v>
      </c>
      <c r="J49" s="760">
        <f>0.1662*(H49+I49)</f>
        <v>0</v>
      </c>
      <c r="K49" s="909">
        <f t="shared" si="3"/>
        <v>0</v>
      </c>
    </row>
    <row r="50" spans="1:14" ht="12.75" thickBot="1" x14ac:dyDescent="0.3">
      <c r="A50" s="554" t="s">
        <v>962</v>
      </c>
      <c r="B50" s="1535" t="s">
        <v>963</v>
      </c>
      <c r="C50" s="1536"/>
      <c r="D50" s="1536"/>
      <c r="E50" s="1536"/>
      <c r="F50" s="1536"/>
      <c r="G50" s="1536"/>
      <c r="H50" s="1536"/>
      <c r="I50" s="1536"/>
      <c r="J50" s="1537"/>
      <c r="K50" s="730">
        <f>SUM(K51:K57)</f>
        <v>0</v>
      </c>
    </row>
    <row r="51" spans="1:14" x14ac:dyDescent="0.25">
      <c r="A51" s="349" t="s">
        <v>964</v>
      </c>
      <c r="B51" s="749" t="s">
        <v>999</v>
      </c>
      <c r="C51" s="66" t="s">
        <v>80</v>
      </c>
      <c r="D51" s="103">
        <v>1</v>
      </c>
      <c r="E51" s="549" t="s">
        <v>169</v>
      </c>
      <c r="F51" s="99" t="s">
        <v>169</v>
      </c>
      <c r="G51" s="681"/>
      <c r="H51" s="634">
        <f>D51*G51</f>
        <v>0</v>
      </c>
      <c r="I51" s="910">
        <f t="shared" si="1"/>
        <v>0</v>
      </c>
      <c r="J51" s="911">
        <f t="shared" si="2"/>
        <v>0</v>
      </c>
      <c r="K51" s="912">
        <f>H51+I51+J51</f>
        <v>0</v>
      </c>
    </row>
    <row r="52" spans="1:14" x14ac:dyDescent="0.25">
      <c r="A52" s="21" t="s">
        <v>1006</v>
      </c>
      <c r="B52" s="738" t="s">
        <v>1000</v>
      </c>
      <c r="C52" s="9" t="s">
        <v>80</v>
      </c>
      <c r="D52" s="14">
        <v>1</v>
      </c>
      <c r="E52" s="415" t="s">
        <v>169</v>
      </c>
      <c r="F52" s="65" t="s">
        <v>169</v>
      </c>
      <c r="G52" s="550"/>
      <c r="H52" s="631">
        <f>D52*G52</f>
        <v>0</v>
      </c>
      <c r="I52" s="630">
        <f t="shared" ref="I52" si="6">0.05*H52</f>
        <v>0</v>
      </c>
      <c r="J52" s="678">
        <f t="shared" ref="J52" si="7">0.1662*(H52+I52)</f>
        <v>0</v>
      </c>
      <c r="K52" s="913">
        <f t="shared" ref="K52" si="8">H52+I52+J52</f>
        <v>0</v>
      </c>
    </row>
    <row r="53" spans="1:14" x14ac:dyDescent="0.25">
      <c r="A53" s="21" t="s">
        <v>1007</v>
      </c>
      <c r="B53" s="738" t="s">
        <v>1001</v>
      </c>
      <c r="C53" s="9" t="s">
        <v>80</v>
      </c>
      <c r="D53" s="14">
        <v>1</v>
      </c>
      <c r="E53" s="415" t="s">
        <v>169</v>
      </c>
      <c r="F53" s="65" t="s">
        <v>169</v>
      </c>
      <c r="G53" s="550"/>
      <c r="H53" s="631">
        <f t="shared" ref="H53:H57" si="9">D53*G53</f>
        <v>0</v>
      </c>
      <c r="I53" s="630">
        <f t="shared" ref="I53:I57" si="10">0.05*H53</f>
        <v>0</v>
      </c>
      <c r="J53" s="678">
        <f t="shared" ref="J53:J57" si="11">0.1662*(H53+I53)</f>
        <v>0</v>
      </c>
      <c r="K53" s="913">
        <f t="shared" ref="K53:K57" si="12">H53+I53+J53</f>
        <v>0</v>
      </c>
    </row>
    <row r="54" spans="1:14" x14ac:dyDescent="0.25">
      <c r="A54" s="21" t="s">
        <v>1008</v>
      </c>
      <c r="B54" s="738" t="s">
        <v>1002</v>
      </c>
      <c r="C54" s="9" t="s">
        <v>80</v>
      </c>
      <c r="D54" s="14">
        <v>1</v>
      </c>
      <c r="E54" s="415" t="s">
        <v>169</v>
      </c>
      <c r="F54" s="65" t="s">
        <v>169</v>
      </c>
      <c r="G54" s="550"/>
      <c r="H54" s="631">
        <f t="shared" si="9"/>
        <v>0</v>
      </c>
      <c r="I54" s="630">
        <f t="shared" si="10"/>
        <v>0</v>
      </c>
      <c r="J54" s="678">
        <f t="shared" si="11"/>
        <v>0</v>
      </c>
      <c r="K54" s="913">
        <f t="shared" si="12"/>
        <v>0</v>
      </c>
    </row>
    <row r="55" spans="1:14" x14ac:dyDescent="0.25">
      <c r="A55" s="21" t="s">
        <v>1009</v>
      </c>
      <c r="B55" s="738" t="s">
        <v>1003</v>
      </c>
      <c r="C55" s="9" t="s">
        <v>80</v>
      </c>
      <c r="D55" s="14">
        <v>1</v>
      </c>
      <c r="E55" s="415" t="s">
        <v>169</v>
      </c>
      <c r="F55" s="65" t="s">
        <v>169</v>
      </c>
      <c r="G55" s="550"/>
      <c r="H55" s="631">
        <f t="shared" si="9"/>
        <v>0</v>
      </c>
      <c r="I55" s="630">
        <f t="shared" si="10"/>
        <v>0</v>
      </c>
      <c r="J55" s="678">
        <f t="shared" si="11"/>
        <v>0</v>
      </c>
      <c r="K55" s="913">
        <f t="shared" si="12"/>
        <v>0</v>
      </c>
      <c r="N55" s="899"/>
    </row>
    <row r="56" spans="1:14" x14ac:dyDescent="0.25">
      <c r="A56" s="21" t="s">
        <v>1010</v>
      </c>
      <c r="B56" s="738" t="s">
        <v>1004</v>
      </c>
      <c r="C56" s="9" t="s">
        <v>80</v>
      </c>
      <c r="D56" s="14">
        <v>1</v>
      </c>
      <c r="E56" s="415" t="s">
        <v>169</v>
      </c>
      <c r="F56" s="65" t="s">
        <v>169</v>
      </c>
      <c r="G56" s="550"/>
      <c r="H56" s="631">
        <f t="shared" si="9"/>
        <v>0</v>
      </c>
      <c r="I56" s="630">
        <f t="shared" si="10"/>
        <v>0</v>
      </c>
      <c r="J56" s="678">
        <f t="shared" si="11"/>
        <v>0</v>
      </c>
      <c r="K56" s="913">
        <f t="shared" si="12"/>
        <v>0</v>
      </c>
    </row>
    <row r="57" spans="1:14" ht="12.75" thickBot="1" x14ac:dyDescent="0.3">
      <c r="A57" s="350" t="s">
        <v>1011</v>
      </c>
      <c r="B57" s="739" t="s">
        <v>1005</v>
      </c>
      <c r="C57" s="13" t="s">
        <v>80</v>
      </c>
      <c r="D57" s="15">
        <v>1</v>
      </c>
      <c r="E57" s="539" t="s">
        <v>169</v>
      </c>
      <c r="F57" s="555" t="s">
        <v>169</v>
      </c>
      <c r="G57" s="728"/>
      <c r="H57" s="635">
        <f t="shared" si="9"/>
        <v>0</v>
      </c>
      <c r="I57" s="630">
        <f t="shared" si="10"/>
        <v>0</v>
      </c>
      <c r="J57" s="678">
        <f t="shared" si="11"/>
        <v>0</v>
      </c>
      <c r="K57" s="913">
        <f t="shared" si="12"/>
        <v>0</v>
      </c>
    </row>
    <row r="58" spans="1:14" ht="16.5" thickBot="1" x14ac:dyDescent="0.3">
      <c r="A58" s="1531" t="s">
        <v>966</v>
      </c>
      <c r="B58" s="1532"/>
      <c r="C58" s="1532"/>
      <c r="D58" s="1532"/>
      <c r="E58" s="1532"/>
      <c r="F58" s="1532"/>
      <c r="G58" s="1532"/>
      <c r="H58" s="227">
        <f>SUM(H14:H57)</f>
        <v>0</v>
      </c>
      <c r="I58" s="227">
        <f>SUM(I14:I57)</f>
        <v>0</v>
      </c>
      <c r="J58" s="227">
        <f>SUM(J14:J57)</f>
        <v>0</v>
      </c>
      <c r="K58" s="773">
        <f>K13+K18+K23+K36+K41+K43+K47+K50</f>
        <v>0</v>
      </c>
    </row>
    <row r="59" spans="1:14" x14ac:dyDescent="0.25">
      <c r="A59" s="178"/>
      <c r="B59" s="179"/>
      <c r="C59" s="178"/>
      <c r="D59" s="233"/>
      <c r="E59" s="180"/>
      <c r="F59" s="180"/>
      <c r="G59" s="233"/>
      <c r="H59" s="233"/>
      <c r="I59" s="233"/>
      <c r="J59" s="233"/>
      <c r="K59" s="233"/>
    </row>
    <row r="60" spans="1:14" ht="12.75" thickBot="1" x14ac:dyDescent="0.3">
      <c r="A60" s="178"/>
      <c r="B60" s="179"/>
      <c r="C60" s="178"/>
      <c r="D60" s="233"/>
      <c r="E60" s="180"/>
      <c r="F60" s="180"/>
      <c r="G60" s="233"/>
      <c r="H60" s="233"/>
      <c r="I60" s="233"/>
      <c r="J60" s="233"/>
      <c r="K60" s="233"/>
    </row>
    <row r="61" spans="1:14" x14ac:dyDescent="0.25">
      <c r="A61" s="1512" t="s">
        <v>969</v>
      </c>
      <c r="B61" s="1513"/>
      <c r="C61" s="1513"/>
      <c r="D61" s="1513"/>
      <c r="E61" s="1513"/>
      <c r="F61" s="1513"/>
      <c r="G61" s="1513"/>
      <c r="H61" s="778">
        <f>0.05*H58</f>
        <v>0</v>
      </c>
      <c r="I61" s="774"/>
      <c r="J61" s="774"/>
      <c r="K61" s="779"/>
    </row>
    <row r="62" spans="1:14" ht="12.75" thickBot="1" x14ac:dyDescent="0.3">
      <c r="A62" s="1514" t="s">
        <v>970</v>
      </c>
      <c r="B62" s="1515"/>
      <c r="C62" s="1515"/>
      <c r="D62" s="1515"/>
      <c r="E62" s="1515"/>
      <c r="F62" s="1515"/>
      <c r="G62" s="1515"/>
      <c r="H62" s="780">
        <f>0.1662*(H58+H61)</f>
        <v>0</v>
      </c>
      <c r="I62" s="775"/>
      <c r="J62" s="775"/>
      <c r="K62" s="779"/>
    </row>
    <row r="63" spans="1:14" ht="12.75" thickBot="1" x14ac:dyDescent="0.3">
      <c r="A63" s="1516" t="s">
        <v>508</v>
      </c>
      <c r="B63" s="1517"/>
      <c r="C63" s="1517"/>
      <c r="D63" s="1517"/>
      <c r="E63" s="1517"/>
      <c r="F63" s="1517"/>
      <c r="G63" s="1517"/>
      <c r="H63" s="716">
        <f>SUM(H61:H62)</f>
        <v>0</v>
      </c>
      <c r="I63" s="776"/>
      <c r="J63" s="776"/>
      <c r="K63" s="777"/>
    </row>
    <row r="64" spans="1:14" x14ac:dyDescent="0.25">
      <c r="A64" s="178"/>
      <c r="B64" s="179"/>
      <c r="C64" s="178"/>
      <c r="D64" s="233"/>
      <c r="E64" s="180"/>
      <c r="F64" s="180"/>
      <c r="G64" s="233"/>
      <c r="H64" s="233"/>
      <c r="I64" s="233"/>
      <c r="J64" s="233"/>
      <c r="K64" s="233"/>
    </row>
    <row r="65" spans="1:14" x14ac:dyDescent="0.25">
      <c r="A65" s="178"/>
      <c r="B65" s="179"/>
      <c r="C65" s="178"/>
      <c r="D65" s="233"/>
      <c r="E65" s="180"/>
      <c r="F65" s="180"/>
      <c r="G65" s="233"/>
      <c r="H65" s="233"/>
      <c r="I65" s="233"/>
      <c r="J65" s="233"/>
      <c r="K65" s="233"/>
    </row>
    <row r="66" spans="1:14" x14ac:dyDescent="0.25">
      <c r="A66" s="178"/>
      <c r="B66" s="179"/>
      <c r="C66" s="178"/>
      <c r="D66" s="233"/>
      <c r="E66" s="180"/>
      <c r="F66" s="180"/>
      <c r="G66" s="233"/>
      <c r="H66" s="233"/>
      <c r="I66" s="233"/>
      <c r="J66" s="233"/>
      <c r="K66" s="233"/>
    </row>
    <row r="67" spans="1:14" x14ac:dyDescent="0.25">
      <c r="A67" s="178"/>
      <c r="B67" s="179"/>
      <c r="C67" s="178"/>
      <c r="D67" s="233"/>
      <c r="E67" s="180"/>
      <c r="F67" s="180"/>
      <c r="G67" s="233"/>
      <c r="H67" s="233"/>
      <c r="I67" s="233"/>
      <c r="J67" s="233"/>
      <c r="K67" s="233"/>
    </row>
    <row r="68" spans="1:14" ht="12.75" thickBot="1" x14ac:dyDescent="0.3">
      <c r="A68" s="178"/>
      <c r="B68" s="179"/>
      <c r="C68" s="178"/>
      <c r="D68" s="233"/>
      <c r="E68" s="180"/>
      <c r="F68" s="180"/>
      <c r="G68" s="233"/>
      <c r="H68" s="233"/>
      <c r="I68" s="233"/>
      <c r="J68" s="233"/>
      <c r="K68" s="233"/>
    </row>
    <row r="69" spans="1:14" x14ac:dyDescent="0.25">
      <c r="A69" s="1479" t="s">
        <v>49</v>
      </c>
      <c r="B69" s="1480"/>
      <c r="C69" s="1480"/>
      <c r="D69" s="1480"/>
      <c r="E69" s="1480"/>
      <c r="F69" s="1480"/>
      <c r="G69" s="1480"/>
      <c r="H69" s="1480"/>
      <c r="I69" s="1479" t="s">
        <v>50</v>
      </c>
      <c r="J69" s="1480"/>
      <c r="K69" s="1481"/>
    </row>
    <row r="70" spans="1:14" ht="12.75" thickBot="1" x14ac:dyDescent="0.3">
      <c r="A70" s="1482"/>
      <c r="B70" s="1483"/>
      <c r="C70" s="1483"/>
      <c r="D70" s="1483"/>
      <c r="E70" s="1483"/>
      <c r="F70" s="1483"/>
      <c r="G70" s="1483"/>
      <c r="H70" s="1483"/>
      <c r="I70" s="1482"/>
      <c r="J70" s="1483"/>
      <c r="K70" s="1484"/>
    </row>
    <row r="71" spans="1:14" x14ac:dyDescent="0.25">
      <c r="A71" s="1479" t="s">
        <v>51</v>
      </c>
      <c r="B71" s="1480"/>
      <c r="C71" s="1480"/>
      <c r="D71" s="1480"/>
      <c r="E71" s="1480"/>
      <c r="F71" s="1480"/>
      <c r="G71" s="1480"/>
      <c r="H71" s="1480"/>
      <c r="I71" s="1481"/>
      <c r="J71" s="1479" t="s">
        <v>52</v>
      </c>
      <c r="K71" s="1481"/>
    </row>
    <row r="72" spans="1:14" ht="12.75" thickBot="1" x14ac:dyDescent="0.3">
      <c r="A72" s="1504"/>
      <c r="B72" s="1508"/>
      <c r="C72" s="1508"/>
      <c r="D72" s="1508"/>
      <c r="E72" s="1508"/>
      <c r="F72" s="1508"/>
      <c r="G72" s="1508"/>
      <c r="H72" s="1508"/>
      <c r="I72" s="1505"/>
      <c r="J72" s="1504"/>
      <c r="K72" s="1505"/>
    </row>
    <row r="73" spans="1:14" ht="12.75" thickTop="1" x14ac:dyDescent="0.25">
      <c r="A73" s="1500" t="s">
        <v>53</v>
      </c>
      <c r="B73" s="1501"/>
      <c r="C73" s="1501"/>
      <c r="D73" s="1501"/>
      <c r="E73" s="1501"/>
      <c r="F73" s="1501"/>
      <c r="G73" s="1501"/>
      <c r="H73" s="1501"/>
      <c r="I73" s="1501"/>
      <c r="J73" s="1501"/>
      <c r="K73" s="1502"/>
    </row>
    <row r="74" spans="1:14" x14ac:dyDescent="0.25">
      <c r="A74" s="576" t="s">
        <v>99</v>
      </c>
      <c r="B74" s="1533" t="s">
        <v>618</v>
      </c>
      <c r="C74" s="1533"/>
      <c r="D74" s="1533"/>
      <c r="E74" s="1533"/>
      <c r="F74" s="1533"/>
      <c r="G74" s="1533"/>
      <c r="H74" s="1533"/>
      <c r="I74" s="1533"/>
      <c r="J74" s="1533"/>
      <c r="K74" s="1534"/>
    </row>
    <row r="75" spans="1:14" x14ac:dyDescent="0.25">
      <c r="A75" s="576" t="s">
        <v>100</v>
      </c>
      <c r="B75" s="1533" t="s">
        <v>430</v>
      </c>
      <c r="C75" s="1533"/>
      <c r="D75" s="1533"/>
      <c r="E75" s="1533"/>
      <c r="F75" s="1533"/>
      <c r="G75" s="1533"/>
      <c r="H75" s="1533"/>
      <c r="I75" s="1533"/>
      <c r="J75" s="1533"/>
      <c r="K75" s="1534"/>
    </row>
    <row r="76" spans="1:14" x14ac:dyDescent="0.25">
      <c r="A76" s="576" t="s">
        <v>101</v>
      </c>
      <c r="B76" s="1533" t="s">
        <v>431</v>
      </c>
      <c r="C76" s="1533"/>
      <c r="D76" s="1533"/>
      <c r="E76" s="1533"/>
      <c r="F76" s="1533"/>
      <c r="G76" s="1533"/>
      <c r="H76" s="1533"/>
      <c r="I76" s="1533"/>
      <c r="J76" s="1533"/>
      <c r="K76" s="1534"/>
    </row>
    <row r="77" spans="1:14" x14ac:dyDescent="0.25">
      <c r="A77" s="576" t="s">
        <v>260</v>
      </c>
      <c r="B77" s="1203" t="s">
        <v>977</v>
      </c>
      <c r="C77" s="1203"/>
      <c r="D77" s="1203"/>
      <c r="E77" s="1203"/>
      <c r="F77" s="1203"/>
      <c r="G77" s="1203"/>
      <c r="H77" s="1203"/>
      <c r="I77" s="1203"/>
      <c r="J77" s="1203"/>
      <c r="K77" s="1204"/>
    </row>
    <row r="78" spans="1:14" x14ac:dyDescent="0.25">
      <c r="A78" s="576" t="s">
        <v>265</v>
      </c>
      <c r="B78" s="1203" t="s">
        <v>432</v>
      </c>
      <c r="C78" s="1203"/>
      <c r="D78" s="1203"/>
      <c r="E78" s="1203"/>
      <c r="F78" s="1203"/>
      <c r="G78" s="1203"/>
      <c r="H78" s="1203"/>
      <c r="I78" s="1203"/>
      <c r="J78" s="1203"/>
      <c r="K78" s="1204"/>
      <c r="N78" s="545"/>
    </row>
    <row r="79" spans="1:14" x14ac:dyDescent="0.25">
      <c r="A79" s="576" t="s">
        <v>269</v>
      </c>
      <c r="B79" s="1203" t="s">
        <v>927</v>
      </c>
      <c r="C79" s="1203"/>
      <c r="D79" s="1203"/>
      <c r="E79" s="1203"/>
      <c r="F79" s="1203"/>
      <c r="G79" s="1203"/>
      <c r="H79" s="1203"/>
      <c r="I79" s="1203"/>
      <c r="J79" s="1203"/>
      <c r="K79" s="1204"/>
      <c r="N79" s="545"/>
    </row>
    <row r="80" spans="1:14" x14ac:dyDescent="0.25">
      <c r="A80" s="576" t="s">
        <v>679</v>
      </c>
      <c r="B80" s="1529" t="s">
        <v>988</v>
      </c>
      <c r="C80" s="1529"/>
      <c r="D80" s="1529"/>
      <c r="E80" s="1529"/>
      <c r="F80" s="1529"/>
      <c r="G80" s="1529"/>
      <c r="H80" s="1529"/>
      <c r="I80" s="1529"/>
      <c r="J80" s="1529"/>
      <c r="K80" s="1530"/>
      <c r="N80" s="545"/>
    </row>
    <row r="81" spans="1:14" x14ac:dyDescent="0.25">
      <c r="A81" s="576" t="s">
        <v>972</v>
      </c>
      <c r="B81" s="1529" t="s">
        <v>996</v>
      </c>
      <c r="C81" s="1529"/>
      <c r="D81" s="1529"/>
      <c r="E81" s="1529"/>
      <c r="F81" s="1529"/>
      <c r="G81" s="1529"/>
      <c r="H81" s="1529"/>
      <c r="I81" s="1529"/>
      <c r="J81" s="1529"/>
      <c r="K81" s="1530"/>
      <c r="N81" s="545"/>
    </row>
    <row r="82" spans="1:14" ht="12.75" thickBot="1" x14ac:dyDescent="0.3">
      <c r="A82" s="857" t="s">
        <v>1012</v>
      </c>
      <c r="B82" s="1526" t="s">
        <v>998</v>
      </c>
      <c r="C82" s="1526"/>
      <c r="D82" s="1526"/>
      <c r="E82" s="1526"/>
      <c r="F82" s="1526"/>
      <c r="G82" s="1526"/>
      <c r="H82" s="1526"/>
      <c r="I82" s="1526"/>
      <c r="J82" s="1526"/>
      <c r="K82" s="1527"/>
      <c r="N82" s="545"/>
    </row>
    <row r="83" spans="1:14" x14ac:dyDescent="0.25">
      <c r="G83" s="545"/>
      <c r="H83" s="545"/>
      <c r="I83" s="545"/>
      <c r="J83" s="545"/>
      <c r="K83" s="545"/>
    </row>
    <row r="84" spans="1:14" x14ac:dyDescent="0.25">
      <c r="G84" s="545"/>
      <c r="H84" s="545"/>
      <c r="I84" s="545"/>
      <c r="J84" s="545"/>
      <c r="K84" s="545"/>
    </row>
    <row r="85" spans="1:14" x14ac:dyDescent="0.25">
      <c r="G85" s="545"/>
      <c r="H85" s="545"/>
      <c r="I85" s="545"/>
      <c r="J85" s="545"/>
      <c r="K85" s="545"/>
    </row>
    <row r="86" spans="1:14" x14ac:dyDescent="0.25">
      <c r="G86" s="545"/>
      <c r="H86" s="545"/>
      <c r="I86" s="545"/>
      <c r="J86" s="545"/>
      <c r="K86" s="545"/>
    </row>
    <row r="87" spans="1:14" x14ac:dyDescent="0.25">
      <c r="G87" s="545"/>
      <c r="H87" s="545"/>
      <c r="I87" s="545"/>
      <c r="J87" s="545"/>
      <c r="K87" s="545"/>
    </row>
    <row r="88" spans="1:14" x14ac:dyDescent="0.25">
      <c r="G88" s="545"/>
      <c r="H88" s="545"/>
      <c r="I88" s="545"/>
      <c r="J88" s="545"/>
      <c r="K88" s="545"/>
    </row>
    <row r="89" spans="1:14" x14ac:dyDescent="0.25">
      <c r="G89" s="545"/>
      <c r="H89" s="545"/>
      <c r="I89" s="545"/>
      <c r="J89" s="545"/>
      <c r="K89" s="545"/>
    </row>
    <row r="90" spans="1:14" x14ac:dyDescent="0.25">
      <c r="G90" s="545"/>
      <c r="H90" s="545"/>
      <c r="I90" s="545"/>
      <c r="J90" s="545"/>
      <c r="K90" s="545"/>
    </row>
    <row r="91" spans="1:14" x14ac:dyDescent="0.25">
      <c r="G91" s="545"/>
      <c r="H91" s="545"/>
      <c r="I91" s="545"/>
      <c r="J91" s="545"/>
      <c r="K91" s="545"/>
    </row>
    <row r="92" spans="1:14" x14ac:dyDescent="0.25">
      <c r="G92" s="545"/>
      <c r="H92" s="545"/>
      <c r="I92" s="545"/>
      <c r="J92" s="545"/>
      <c r="K92" s="545"/>
    </row>
    <row r="93" spans="1:14" x14ac:dyDescent="0.25">
      <c r="G93" s="545"/>
      <c r="H93" s="545"/>
      <c r="I93" s="545"/>
      <c r="J93" s="545"/>
      <c r="K93" s="545"/>
    </row>
    <row r="94" spans="1:14" x14ac:dyDescent="0.25">
      <c r="G94" s="545"/>
      <c r="H94" s="545"/>
      <c r="I94" s="545"/>
      <c r="J94" s="545"/>
      <c r="K94" s="545"/>
    </row>
    <row r="95" spans="1:14" x14ac:dyDescent="0.25">
      <c r="G95" s="545"/>
      <c r="H95" s="545"/>
      <c r="I95" s="545"/>
      <c r="J95" s="545"/>
      <c r="K95" s="545"/>
    </row>
    <row r="96" spans="1:14" x14ac:dyDescent="0.25">
      <c r="G96" s="545"/>
      <c r="H96" s="545"/>
      <c r="I96" s="545"/>
      <c r="J96" s="545"/>
      <c r="K96" s="545"/>
    </row>
    <row r="97" spans="7:11" x14ac:dyDescent="0.25">
      <c r="G97" s="545"/>
      <c r="H97" s="545"/>
      <c r="I97" s="545"/>
      <c r="J97" s="545"/>
      <c r="K97" s="545"/>
    </row>
    <row r="98" spans="7:11" x14ac:dyDescent="0.25">
      <c r="G98" s="545"/>
      <c r="H98" s="545"/>
      <c r="I98" s="545"/>
      <c r="J98" s="545"/>
      <c r="K98" s="545"/>
    </row>
    <row r="99" spans="7:11" x14ac:dyDescent="0.25">
      <c r="G99" s="545"/>
      <c r="H99" s="545"/>
      <c r="I99" s="545"/>
      <c r="J99" s="545"/>
      <c r="K99" s="545"/>
    </row>
    <row r="100" spans="7:11" x14ac:dyDescent="0.25">
      <c r="G100" s="545"/>
      <c r="H100" s="545"/>
      <c r="I100" s="545"/>
      <c r="J100" s="545"/>
      <c r="K100" s="545"/>
    </row>
    <row r="101" spans="7:11" x14ac:dyDescent="0.25">
      <c r="G101" s="545"/>
      <c r="H101" s="545"/>
      <c r="I101" s="545"/>
      <c r="J101" s="545"/>
      <c r="K101" s="545"/>
    </row>
    <row r="102" spans="7:11" x14ac:dyDescent="0.25">
      <c r="G102" s="545"/>
      <c r="H102" s="545"/>
      <c r="I102" s="545"/>
      <c r="J102" s="545"/>
      <c r="K102" s="545"/>
    </row>
    <row r="103" spans="7:11" x14ac:dyDescent="0.25">
      <c r="G103" s="545"/>
      <c r="H103" s="545"/>
      <c r="I103" s="545"/>
      <c r="J103" s="545"/>
      <c r="K103" s="545"/>
    </row>
    <row r="104" spans="7:11" x14ac:dyDescent="0.25">
      <c r="G104" s="545"/>
      <c r="H104" s="545"/>
      <c r="I104" s="545"/>
      <c r="J104" s="545"/>
      <c r="K104" s="545"/>
    </row>
    <row r="105" spans="7:11" x14ac:dyDescent="0.25">
      <c r="G105" s="545"/>
      <c r="H105" s="545"/>
      <c r="I105" s="545"/>
      <c r="J105" s="545"/>
      <c r="K105" s="545"/>
    </row>
    <row r="106" spans="7:11" x14ac:dyDescent="0.25">
      <c r="G106" s="545"/>
      <c r="H106" s="545"/>
      <c r="I106" s="545"/>
      <c r="J106" s="545"/>
      <c r="K106" s="545"/>
    </row>
    <row r="107" spans="7:11" x14ac:dyDescent="0.25">
      <c r="G107" s="545"/>
      <c r="H107" s="545"/>
      <c r="I107" s="545"/>
      <c r="J107" s="545"/>
      <c r="K107" s="545"/>
    </row>
    <row r="108" spans="7:11" x14ac:dyDescent="0.25">
      <c r="G108" s="545"/>
      <c r="H108" s="545"/>
      <c r="I108" s="545"/>
      <c r="J108" s="545"/>
      <c r="K108" s="545"/>
    </row>
    <row r="109" spans="7:11" x14ac:dyDescent="0.25">
      <c r="G109" s="545"/>
      <c r="H109" s="545"/>
      <c r="I109" s="545"/>
      <c r="J109" s="545"/>
      <c r="K109" s="545"/>
    </row>
    <row r="110" spans="7:11" x14ac:dyDescent="0.25">
      <c r="G110" s="545"/>
      <c r="H110" s="545"/>
      <c r="I110" s="545"/>
      <c r="J110" s="545"/>
      <c r="K110" s="545"/>
    </row>
    <row r="111" spans="7:11" x14ac:dyDescent="0.25">
      <c r="G111" s="545"/>
      <c r="H111" s="545"/>
      <c r="I111" s="545"/>
      <c r="J111" s="545"/>
      <c r="K111" s="545"/>
    </row>
    <row r="112" spans="7:11" x14ac:dyDescent="0.25">
      <c r="G112" s="545"/>
      <c r="H112" s="545"/>
      <c r="I112" s="545"/>
      <c r="J112" s="545"/>
      <c r="K112" s="545"/>
    </row>
    <row r="113" spans="1:16" x14ac:dyDescent="0.25">
      <c r="G113" s="545"/>
      <c r="H113" s="545"/>
      <c r="I113" s="545"/>
      <c r="J113" s="545"/>
      <c r="K113" s="545"/>
    </row>
    <row r="114" spans="1:16" x14ac:dyDescent="0.25">
      <c r="G114" s="545"/>
      <c r="H114" s="545"/>
      <c r="I114" s="545"/>
      <c r="J114" s="545"/>
      <c r="K114" s="545"/>
    </row>
    <row r="115" spans="1:16" x14ac:dyDescent="0.25">
      <c r="G115" s="545"/>
      <c r="H115" s="545"/>
      <c r="I115" s="545"/>
      <c r="J115" s="545"/>
      <c r="K115" s="545"/>
    </row>
    <row r="116" spans="1:16" x14ac:dyDescent="0.25">
      <c r="G116" s="545"/>
      <c r="H116" s="545"/>
      <c r="I116" s="545"/>
      <c r="J116" s="545"/>
      <c r="K116" s="545"/>
    </row>
    <row r="117" spans="1:16" x14ac:dyDescent="0.25">
      <c r="G117" s="545"/>
      <c r="H117" s="545"/>
      <c r="I117" s="545"/>
      <c r="J117" s="545"/>
      <c r="K117" s="545"/>
    </row>
    <row r="118" spans="1:16" x14ac:dyDescent="0.25">
      <c r="G118" s="545"/>
      <c r="H118" s="545"/>
      <c r="I118" s="545"/>
      <c r="J118" s="545"/>
      <c r="K118" s="545"/>
    </row>
    <row r="119" spans="1:16" x14ac:dyDescent="0.25">
      <c r="G119" s="545"/>
      <c r="H119" s="545"/>
      <c r="I119" s="545"/>
      <c r="J119" s="545"/>
      <c r="K119" s="545"/>
    </row>
    <row r="120" spans="1:16" x14ac:dyDescent="0.25">
      <c r="G120" s="545"/>
      <c r="H120" s="545"/>
      <c r="I120" s="545"/>
      <c r="J120" s="545"/>
      <c r="K120" s="545"/>
    </row>
    <row r="121" spans="1:16" x14ac:dyDescent="0.25">
      <c r="G121" s="545"/>
      <c r="H121" s="545"/>
      <c r="I121" s="545"/>
      <c r="J121" s="545"/>
      <c r="K121" s="545"/>
    </row>
    <row r="122" spans="1:16" x14ac:dyDescent="0.25">
      <c r="G122" s="545"/>
      <c r="H122" s="545"/>
      <c r="I122" s="545"/>
      <c r="J122" s="545"/>
      <c r="K122" s="545"/>
    </row>
    <row r="123" spans="1:16" x14ac:dyDescent="0.25">
      <c r="G123" s="545"/>
      <c r="H123" s="545"/>
      <c r="I123" s="545"/>
      <c r="J123" s="545"/>
      <c r="K123" s="545"/>
    </row>
    <row r="124" spans="1:16" x14ac:dyDescent="0.25">
      <c r="G124" s="545"/>
      <c r="H124" s="545"/>
      <c r="I124" s="545"/>
      <c r="J124" s="545"/>
      <c r="K124" s="545"/>
    </row>
    <row r="125" spans="1:16" x14ac:dyDescent="0.25">
      <c r="G125" s="545"/>
      <c r="H125" s="545"/>
      <c r="I125" s="545"/>
      <c r="J125" s="545"/>
      <c r="K125" s="545"/>
    </row>
    <row r="126" spans="1:16" x14ac:dyDescent="0.25">
      <c r="G126" s="545"/>
      <c r="H126" s="545"/>
      <c r="I126" s="545"/>
      <c r="J126" s="545"/>
      <c r="K126" s="545"/>
    </row>
    <row r="127" spans="1:16" s="546" customFormat="1" x14ac:dyDescent="0.25">
      <c r="A127" s="545"/>
      <c r="B127" s="557"/>
      <c r="C127" s="545"/>
      <c r="D127" s="558"/>
      <c r="E127" s="559"/>
      <c r="F127" s="559"/>
      <c r="G127" s="545"/>
      <c r="H127" s="545"/>
      <c r="I127" s="545"/>
      <c r="J127" s="545"/>
      <c r="K127" s="545"/>
      <c r="L127" s="545"/>
      <c r="M127" s="545"/>
      <c r="O127" s="545"/>
      <c r="P127" s="545"/>
    </row>
    <row r="128" spans="1:16" s="546" customFormat="1" x14ac:dyDescent="0.25">
      <c r="A128" s="545"/>
      <c r="B128" s="557"/>
      <c r="C128" s="545"/>
      <c r="D128" s="558"/>
      <c r="E128" s="559"/>
      <c r="F128" s="559"/>
      <c r="G128" s="545"/>
      <c r="H128" s="545"/>
      <c r="I128" s="545"/>
      <c r="J128" s="545"/>
      <c r="K128" s="545"/>
      <c r="L128" s="560"/>
      <c r="M128" s="560"/>
      <c r="O128" s="545"/>
      <c r="P128" s="545"/>
    </row>
    <row r="129" spans="1:16" s="546" customFormat="1" x14ac:dyDescent="0.25">
      <c r="A129" s="545"/>
      <c r="B129" s="557"/>
      <c r="C129" s="545"/>
      <c r="D129" s="558"/>
      <c r="E129" s="559"/>
      <c r="F129" s="559"/>
      <c r="G129" s="545"/>
      <c r="H129" s="545"/>
      <c r="I129" s="545"/>
      <c r="J129" s="545"/>
      <c r="K129" s="545"/>
      <c r="L129" s="560"/>
      <c r="M129" s="560"/>
      <c r="O129" s="545"/>
      <c r="P129" s="545"/>
    </row>
    <row r="130" spans="1:16" s="546" customFormat="1" x14ac:dyDescent="0.25">
      <c r="A130" s="545"/>
      <c r="B130" s="557"/>
      <c r="C130" s="545"/>
      <c r="D130" s="558"/>
      <c r="E130" s="559"/>
      <c r="F130" s="559"/>
      <c r="G130" s="545"/>
      <c r="H130" s="545"/>
      <c r="I130" s="545"/>
      <c r="J130" s="545"/>
      <c r="K130" s="545"/>
      <c r="L130" s="560"/>
      <c r="M130" s="560"/>
      <c r="O130" s="545"/>
      <c r="P130" s="545"/>
    </row>
    <row r="131" spans="1:16" s="546" customFormat="1" x14ac:dyDescent="0.25">
      <c r="A131" s="545"/>
      <c r="B131" s="557"/>
      <c r="C131" s="545"/>
      <c r="D131" s="558"/>
      <c r="E131" s="559"/>
      <c r="F131" s="559"/>
      <c r="G131" s="545"/>
      <c r="H131" s="545"/>
      <c r="I131" s="545"/>
      <c r="J131" s="545"/>
      <c r="K131" s="545"/>
      <c r="L131" s="560"/>
      <c r="M131" s="560"/>
      <c r="O131" s="545"/>
      <c r="P131" s="545"/>
    </row>
    <row r="132" spans="1:16" s="546" customFormat="1" x14ac:dyDescent="0.25">
      <c r="A132" s="545"/>
      <c r="B132" s="557"/>
      <c r="C132" s="545"/>
      <c r="D132" s="558"/>
      <c r="E132" s="559"/>
      <c r="F132" s="559"/>
      <c r="G132" s="545"/>
      <c r="H132" s="545"/>
      <c r="I132" s="545"/>
      <c r="J132" s="545"/>
      <c r="K132" s="545"/>
      <c r="L132" s="560"/>
      <c r="M132" s="560"/>
      <c r="O132" s="545"/>
      <c r="P132" s="545"/>
    </row>
    <row r="133" spans="1:16" s="546" customFormat="1" x14ac:dyDescent="0.25">
      <c r="A133" s="545"/>
      <c r="B133" s="557"/>
      <c r="C133" s="545"/>
      <c r="D133" s="558"/>
      <c r="E133" s="559"/>
      <c r="F133" s="559"/>
      <c r="G133" s="545"/>
      <c r="H133" s="545"/>
      <c r="I133" s="545"/>
      <c r="J133" s="545"/>
      <c r="K133" s="545"/>
      <c r="L133" s="545"/>
      <c r="M133" s="545"/>
      <c r="O133" s="545"/>
      <c r="P133" s="545"/>
    </row>
    <row r="134" spans="1:16" s="546" customFormat="1" x14ac:dyDescent="0.25">
      <c r="A134" s="545"/>
      <c r="B134" s="557"/>
      <c r="C134" s="545"/>
      <c r="D134" s="558"/>
      <c r="E134" s="559"/>
      <c r="F134" s="559"/>
      <c r="G134" s="545"/>
      <c r="H134" s="545"/>
      <c r="I134" s="545"/>
      <c r="J134" s="545"/>
      <c r="K134" s="545"/>
      <c r="L134" s="545"/>
      <c r="M134" s="545"/>
      <c r="O134" s="545"/>
      <c r="P134" s="545"/>
    </row>
    <row r="135" spans="1:16" s="546" customFormat="1" x14ac:dyDescent="0.25">
      <c r="A135" s="545"/>
      <c r="B135" s="557"/>
      <c r="C135" s="545"/>
      <c r="D135" s="558"/>
      <c r="E135" s="559"/>
      <c r="F135" s="559"/>
      <c r="G135" s="545"/>
      <c r="H135" s="545"/>
      <c r="I135" s="545"/>
      <c r="J135" s="545"/>
      <c r="K135" s="545"/>
      <c r="L135" s="545"/>
      <c r="M135" s="545"/>
      <c r="O135" s="545"/>
      <c r="P135" s="545"/>
    </row>
    <row r="136" spans="1:16" s="546" customFormat="1" x14ac:dyDescent="0.25">
      <c r="A136" s="545"/>
      <c r="B136" s="557"/>
      <c r="C136" s="545"/>
      <c r="D136" s="558"/>
      <c r="E136" s="559"/>
      <c r="F136" s="559"/>
      <c r="G136" s="545"/>
      <c r="H136" s="545"/>
      <c r="I136" s="545"/>
      <c r="J136" s="545"/>
      <c r="K136" s="545"/>
      <c r="L136" s="545"/>
      <c r="M136" s="545"/>
      <c r="O136" s="545"/>
      <c r="P136" s="545"/>
    </row>
    <row r="137" spans="1:16" s="546" customFormat="1" x14ac:dyDescent="0.25">
      <c r="A137" s="545"/>
      <c r="B137" s="557"/>
      <c r="C137" s="545"/>
      <c r="D137" s="558"/>
      <c r="E137" s="559"/>
      <c r="F137" s="559"/>
      <c r="G137" s="545"/>
      <c r="H137" s="545"/>
      <c r="I137" s="545"/>
      <c r="J137" s="545"/>
      <c r="K137" s="545"/>
      <c r="L137" s="545"/>
      <c r="M137" s="545"/>
      <c r="O137" s="545"/>
      <c r="P137" s="545"/>
    </row>
    <row r="138" spans="1:16" s="546" customFormat="1" x14ac:dyDescent="0.25">
      <c r="A138" s="545"/>
      <c r="B138" s="557"/>
      <c r="C138" s="545"/>
      <c r="D138" s="558"/>
      <c r="E138" s="559"/>
      <c r="F138" s="559"/>
      <c r="G138" s="545"/>
      <c r="H138" s="545"/>
      <c r="I138" s="545"/>
      <c r="J138" s="545"/>
      <c r="K138" s="545"/>
      <c r="L138" s="545"/>
      <c r="M138" s="545"/>
      <c r="O138" s="545"/>
      <c r="P138" s="545"/>
    </row>
    <row r="139" spans="1:16" s="546" customFormat="1" x14ac:dyDescent="0.25">
      <c r="A139" s="545"/>
      <c r="B139" s="557"/>
      <c r="C139" s="545"/>
      <c r="D139" s="558"/>
      <c r="E139" s="559"/>
      <c r="F139" s="559"/>
      <c r="G139" s="545"/>
      <c r="H139" s="545"/>
      <c r="I139" s="545"/>
      <c r="J139" s="545"/>
      <c r="K139" s="545"/>
      <c r="L139" s="545"/>
      <c r="M139" s="545"/>
      <c r="O139" s="545"/>
      <c r="P139" s="545"/>
    </row>
    <row r="140" spans="1:16" s="546" customFormat="1" x14ac:dyDescent="0.25">
      <c r="A140" s="545"/>
      <c r="B140" s="557"/>
      <c r="C140" s="545"/>
      <c r="D140" s="558"/>
      <c r="E140" s="559"/>
      <c r="F140" s="559"/>
      <c r="G140" s="545"/>
      <c r="H140" s="545"/>
      <c r="I140" s="545"/>
      <c r="J140" s="545"/>
      <c r="K140" s="545"/>
      <c r="L140" s="545"/>
      <c r="M140" s="545"/>
      <c r="O140" s="545"/>
      <c r="P140" s="545"/>
    </row>
    <row r="141" spans="1:16" s="546" customFormat="1" x14ac:dyDescent="0.25">
      <c r="A141" s="545"/>
      <c r="B141" s="557"/>
      <c r="C141" s="545"/>
      <c r="D141" s="558"/>
      <c r="E141" s="559"/>
      <c r="F141" s="559"/>
      <c r="G141" s="545"/>
      <c r="H141" s="545"/>
      <c r="I141" s="545"/>
      <c r="J141" s="545"/>
      <c r="K141" s="545"/>
      <c r="L141" s="545"/>
      <c r="M141" s="545"/>
      <c r="O141" s="545"/>
      <c r="P141" s="545"/>
    </row>
    <row r="142" spans="1:16" s="546" customFormat="1" x14ac:dyDescent="0.25">
      <c r="A142" s="545"/>
      <c r="B142" s="557"/>
      <c r="C142" s="545"/>
      <c r="D142" s="558"/>
      <c r="E142" s="559"/>
      <c r="F142" s="559"/>
      <c r="G142" s="545"/>
      <c r="H142" s="545"/>
      <c r="I142" s="545"/>
      <c r="J142" s="545"/>
      <c r="K142" s="545"/>
      <c r="L142" s="545"/>
      <c r="M142" s="545"/>
      <c r="O142" s="545"/>
      <c r="P142" s="545"/>
    </row>
    <row r="143" spans="1:16" x14ac:dyDescent="0.25">
      <c r="G143" s="545"/>
      <c r="H143" s="545"/>
      <c r="I143" s="545"/>
      <c r="J143" s="545"/>
      <c r="K143" s="545"/>
    </row>
    <row r="144" spans="1:16" x14ac:dyDescent="0.25">
      <c r="G144" s="545"/>
      <c r="H144" s="545"/>
      <c r="I144" s="545"/>
      <c r="J144" s="545"/>
      <c r="K144" s="545"/>
    </row>
    <row r="145" spans="2:14" x14ac:dyDescent="0.25">
      <c r="G145" s="545"/>
      <c r="H145" s="545"/>
      <c r="I145" s="545"/>
      <c r="J145" s="545"/>
      <c r="K145" s="545"/>
    </row>
    <row r="146" spans="2:14" x14ac:dyDescent="0.25">
      <c r="G146" s="545"/>
      <c r="H146" s="545"/>
      <c r="I146" s="545"/>
      <c r="J146" s="545"/>
      <c r="K146" s="545"/>
    </row>
    <row r="147" spans="2:14" x14ac:dyDescent="0.25">
      <c r="G147" s="545"/>
      <c r="H147" s="545"/>
      <c r="I147" s="545"/>
      <c r="J147" s="545"/>
      <c r="K147" s="545"/>
    </row>
    <row r="148" spans="2:14" x14ac:dyDescent="0.25">
      <c r="G148" s="545"/>
      <c r="H148" s="545"/>
      <c r="I148" s="545"/>
      <c r="J148" s="545"/>
      <c r="K148" s="545"/>
    </row>
    <row r="149" spans="2:14" x14ac:dyDescent="0.25">
      <c r="G149" s="545"/>
      <c r="H149" s="545"/>
      <c r="I149" s="545"/>
      <c r="J149" s="545"/>
      <c r="K149" s="545"/>
    </row>
    <row r="150" spans="2:14" x14ac:dyDescent="0.25">
      <c r="G150" s="545"/>
      <c r="H150" s="545"/>
      <c r="I150" s="545"/>
      <c r="J150" s="545"/>
      <c r="K150" s="545"/>
    </row>
    <row r="151" spans="2:14" s="556" customFormat="1" x14ac:dyDescent="0.25">
      <c r="B151" s="561"/>
      <c r="N151" s="562"/>
    </row>
    <row r="152" spans="2:14" s="556" customFormat="1" x14ac:dyDescent="0.25">
      <c r="B152" s="561"/>
      <c r="N152" s="562"/>
    </row>
    <row r="153" spans="2:14" s="556" customFormat="1" x14ac:dyDescent="0.25">
      <c r="B153" s="561"/>
      <c r="N153" s="562"/>
    </row>
    <row r="154" spans="2:14" s="556" customFormat="1" x14ac:dyDescent="0.25">
      <c r="B154" s="561"/>
      <c r="N154" s="562"/>
    </row>
    <row r="155" spans="2:14" s="556" customFormat="1" x14ac:dyDescent="0.25">
      <c r="B155" s="561"/>
      <c r="N155" s="562"/>
    </row>
    <row r="156" spans="2:14" s="556" customFormat="1" x14ac:dyDescent="0.25">
      <c r="B156" s="561"/>
      <c r="N156" s="562"/>
    </row>
    <row r="157" spans="2:14" s="556" customFormat="1" x14ac:dyDescent="0.25">
      <c r="B157" s="561"/>
      <c r="N157" s="562"/>
    </row>
    <row r="158" spans="2:14" s="556" customFormat="1" x14ac:dyDescent="0.25">
      <c r="B158" s="561"/>
      <c r="N158" s="562"/>
    </row>
    <row r="159" spans="2:14" s="556" customFormat="1" x14ac:dyDescent="0.25">
      <c r="B159" s="561"/>
      <c r="N159" s="562"/>
    </row>
    <row r="160" spans="2:14" s="556" customFormat="1" x14ac:dyDescent="0.25">
      <c r="B160" s="561"/>
      <c r="N160" s="562"/>
    </row>
    <row r="161" spans="2:14" s="556" customFormat="1" x14ac:dyDescent="0.25">
      <c r="B161" s="561"/>
      <c r="N161" s="562"/>
    </row>
    <row r="162" spans="2:14" s="556" customFormat="1" x14ac:dyDescent="0.25">
      <c r="B162" s="561"/>
      <c r="N162" s="562"/>
    </row>
    <row r="163" spans="2:14" s="556" customFormat="1" x14ac:dyDescent="0.25">
      <c r="B163" s="561"/>
      <c r="N163" s="562"/>
    </row>
    <row r="164" spans="2:14" s="556" customFormat="1" x14ac:dyDescent="0.25">
      <c r="B164" s="561"/>
      <c r="N164" s="562"/>
    </row>
    <row r="165" spans="2:14" s="556" customFormat="1" x14ac:dyDescent="0.25">
      <c r="B165" s="561"/>
      <c r="N165" s="562"/>
    </row>
    <row r="166" spans="2:14" s="556" customFormat="1" x14ac:dyDescent="0.25">
      <c r="B166" s="561"/>
      <c r="N166" s="562"/>
    </row>
    <row r="167" spans="2:14" s="556" customFormat="1" x14ac:dyDescent="0.25">
      <c r="B167" s="561"/>
      <c r="N167" s="562"/>
    </row>
    <row r="168" spans="2:14" s="556" customFormat="1" x14ac:dyDescent="0.25">
      <c r="B168" s="561"/>
      <c r="N168" s="562"/>
    </row>
    <row r="169" spans="2:14" s="556" customFormat="1" x14ac:dyDescent="0.25">
      <c r="B169" s="561"/>
      <c r="N169" s="562"/>
    </row>
    <row r="170" spans="2:14" s="556" customFormat="1" x14ac:dyDescent="0.25">
      <c r="B170" s="561"/>
      <c r="N170" s="562"/>
    </row>
    <row r="171" spans="2:14" s="556" customFormat="1" x14ac:dyDescent="0.25">
      <c r="B171" s="561"/>
      <c r="N171" s="562"/>
    </row>
    <row r="172" spans="2:14" s="556" customFormat="1" x14ac:dyDescent="0.25">
      <c r="B172" s="561"/>
      <c r="N172" s="562"/>
    </row>
    <row r="173" spans="2:14" s="556" customFormat="1" x14ac:dyDescent="0.25">
      <c r="B173" s="561"/>
      <c r="N173" s="562"/>
    </row>
    <row r="174" spans="2:14" s="556" customFormat="1" x14ac:dyDescent="0.25">
      <c r="B174" s="561"/>
      <c r="N174" s="562"/>
    </row>
    <row r="175" spans="2:14" s="556" customFormat="1" x14ac:dyDescent="0.25">
      <c r="B175" s="561"/>
      <c r="N175" s="562"/>
    </row>
    <row r="176" spans="2:14" s="556" customFormat="1" x14ac:dyDescent="0.25">
      <c r="B176" s="561"/>
      <c r="N176" s="562"/>
    </row>
    <row r="177" spans="2:14" s="556" customFormat="1" x14ac:dyDescent="0.25">
      <c r="B177" s="561"/>
      <c r="N177" s="562"/>
    </row>
    <row r="178" spans="2:14" s="556" customFormat="1" x14ac:dyDescent="0.25">
      <c r="B178" s="561"/>
      <c r="N178" s="562"/>
    </row>
    <row r="179" spans="2:14" s="556" customFormat="1" x14ac:dyDescent="0.25">
      <c r="B179" s="561"/>
      <c r="N179" s="562"/>
    </row>
    <row r="180" spans="2:14" s="556" customFormat="1" x14ac:dyDescent="0.25">
      <c r="B180" s="561"/>
      <c r="N180" s="562"/>
    </row>
    <row r="181" spans="2:14" s="556" customFormat="1" x14ac:dyDescent="0.25">
      <c r="B181" s="561"/>
      <c r="N181" s="562"/>
    </row>
    <row r="182" spans="2:14" s="556" customFormat="1" x14ac:dyDescent="0.25">
      <c r="B182" s="561"/>
      <c r="N182" s="562"/>
    </row>
    <row r="183" spans="2:14" s="556" customFormat="1" x14ac:dyDescent="0.25">
      <c r="B183" s="561"/>
      <c r="N183" s="562"/>
    </row>
    <row r="184" spans="2:14" s="556" customFormat="1" x14ac:dyDescent="0.25">
      <c r="B184" s="561"/>
      <c r="N184" s="562"/>
    </row>
    <row r="185" spans="2:14" s="556" customFormat="1" x14ac:dyDescent="0.25">
      <c r="B185" s="561"/>
      <c r="N185" s="562"/>
    </row>
    <row r="186" spans="2:14" s="556" customFormat="1" x14ac:dyDescent="0.25">
      <c r="B186" s="561"/>
      <c r="N186" s="562"/>
    </row>
    <row r="187" spans="2:14" s="556" customFormat="1" x14ac:dyDescent="0.25">
      <c r="B187" s="561"/>
      <c r="N187" s="562"/>
    </row>
    <row r="188" spans="2:14" s="556" customFormat="1" x14ac:dyDescent="0.25">
      <c r="B188" s="561"/>
      <c r="N188" s="562"/>
    </row>
    <row r="189" spans="2:14" s="556" customFormat="1" x14ac:dyDescent="0.25">
      <c r="B189" s="561"/>
      <c r="N189" s="562"/>
    </row>
    <row r="190" spans="2:14" s="556" customFormat="1" x14ac:dyDescent="0.25">
      <c r="B190" s="561"/>
      <c r="N190" s="562"/>
    </row>
    <row r="191" spans="2:14" s="556" customFormat="1" x14ac:dyDescent="0.25">
      <c r="B191" s="561"/>
      <c r="N191" s="562"/>
    </row>
    <row r="192" spans="2:14" s="556" customFormat="1" x14ac:dyDescent="0.25">
      <c r="B192" s="561"/>
      <c r="N192" s="562"/>
    </row>
    <row r="193" spans="1:14" s="556" customFormat="1" x14ac:dyDescent="0.25">
      <c r="B193" s="561"/>
      <c r="N193" s="562"/>
    </row>
    <row r="194" spans="1:14" s="556" customFormat="1" x14ac:dyDescent="0.25">
      <c r="A194" s="93"/>
      <c r="B194" s="93"/>
      <c r="C194" s="93"/>
      <c r="D194" s="683"/>
      <c r="E194" s="683"/>
      <c r="F194" s="563"/>
      <c r="N194" s="562"/>
    </row>
    <row r="195" spans="1:14" s="556" customFormat="1" x14ac:dyDescent="0.25">
      <c r="A195" s="93"/>
      <c r="B195" s="93"/>
      <c r="C195" s="93"/>
      <c r="D195" s="683"/>
      <c r="E195" s="683"/>
      <c r="F195" s="563"/>
      <c r="N195" s="562"/>
    </row>
    <row r="196" spans="1:14" s="556" customFormat="1" x14ac:dyDescent="0.25">
      <c r="A196" s="93"/>
      <c r="B196" s="93"/>
      <c r="C196" s="93"/>
      <c r="D196" s="683"/>
      <c r="E196" s="683"/>
      <c r="F196" s="563"/>
      <c r="N196" s="562"/>
    </row>
    <row r="197" spans="1:14" s="556" customFormat="1" x14ac:dyDescent="0.25">
      <c r="A197" s="93"/>
      <c r="B197" s="93"/>
      <c r="C197" s="93"/>
      <c r="D197" s="683"/>
      <c r="E197" s="683"/>
      <c r="F197" s="563"/>
      <c r="N197" s="562"/>
    </row>
    <row r="198" spans="1:14" s="556" customFormat="1" x14ac:dyDescent="0.25">
      <c r="A198" s="93"/>
      <c r="B198" s="93"/>
      <c r="C198" s="93"/>
      <c r="D198" s="683"/>
      <c r="E198" s="683"/>
      <c r="F198" s="563"/>
      <c r="N198" s="562"/>
    </row>
    <row r="199" spans="1:14" s="556" customFormat="1" x14ac:dyDescent="0.25">
      <c r="A199" s="93"/>
      <c r="B199" s="93"/>
      <c r="C199" s="93"/>
      <c r="D199" s="683"/>
      <c r="E199" s="683"/>
      <c r="F199" s="563"/>
      <c r="N199" s="562"/>
    </row>
    <row r="200" spans="1:14" s="556" customFormat="1" x14ac:dyDescent="0.25">
      <c r="A200" s="93"/>
      <c r="B200" s="93"/>
      <c r="C200" s="93"/>
      <c r="D200" s="683"/>
      <c r="E200" s="683"/>
      <c r="F200" s="563"/>
      <c r="N200" s="562"/>
    </row>
    <row r="201" spans="1:14" s="556" customFormat="1" x14ac:dyDescent="0.25">
      <c r="A201" s="93"/>
      <c r="B201" s="93"/>
      <c r="C201" s="93"/>
      <c r="D201" s="683"/>
      <c r="E201" s="683"/>
      <c r="F201" s="563"/>
      <c r="N201" s="562"/>
    </row>
    <row r="202" spans="1:14" s="556" customFormat="1" x14ac:dyDescent="0.25">
      <c r="A202" s="93"/>
      <c r="B202" s="93"/>
      <c r="C202" s="93"/>
      <c r="D202" s="683"/>
      <c r="E202" s="683"/>
      <c r="F202" s="563"/>
      <c r="N202" s="562"/>
    </row>
    <row r="203" spans="1:14" s="556" customFormat="1" x14ac:dyDescent="0.25">
      <c r="A203" s="93"/>
      <c r="B203" s="93"/>
      <c r="C203" s="93"/>
      <c r="D203" s="683"/>
      <c r="E203" s="683"/>
      <c r="F203" s="563"/>
      <c r="N203" s="562"/>
    </row>
    <row r="204" spans="1:14" s="556" customFormat="1" x14ac:dyDescent="0.25">
      <c r="A204" s="93"/>
      <c r="B204" s="93"/>
      <c r="C204" s="93"/>
      <c r="D204" s="683"/>
      <c r="E204" s="683"/>
      <c r="F204" s="563"/>
      <c r="N204" s="562"/>
    </row>
    <row r="205" spans="1:14" s="556" customFormat="1" x14ac:dyDescent="0.25">
      <c r="A205" s="93"/>
      <c r="B205" s="93"/>
      <c r="C205" s="93"/>
      <c r="D205" s="683"/>
      <c r="E205" s="683"/>
      <c r="F205" s="563"/>
      <c r="N205" s="562"/>
    </row>
    <row r="206" spans="1:14" s="556" customFormat="1" x14ac:dyDescent="0.25">
      <c r="A206" s="93"/>
      <c r="B206" s="93"/>
      <c r="C206" s="93"/>
      <c r="D206" s="683"/>
      <c r="E206" s="683"/>
      <c r="F206" s="563"/>
      <c r="N206" s="562"/>
    </row>
    <row r="207" spans="1:14" s="556" customFormat="1" x14ac:dyDescent="0.25">
      <c r="A207" s="93"/>
      <c r="B207" s="93"/>
      <c r="C207" s="93"/>
      <c r="D207" s="683"/>
      <c r="E207" s="683"/>
      <c r="F207" s="563"/>
      <c r="N207" s="562"/>
    </row>
    <row r="208" spans="1:14" s="556" customFormat="1" x14ac:dyDescent="0.25">
      <c r="A208" s="93"/>
      <c r="B208" s="93"/>
      <c r="C208" s="93"/>
      <c r="D208" s="683"/>
      <c r="E208" s="683"/>
      <c r="F208" s="563"/>
      <c r="N208" s="562"/>
    </row>
    <row r="209" spans="1:14" s="556" customFormat="1" x14ac:dyDescent="0.25">
      <c r="A209" s="93"/>
      <c r="B209" s="93"/>
      <c r="C209" s="93"/>
      <c r="D209" s="683"/>
      <c r="E209" s="683"/>
      <c r="F209" s="563"/>
      <c r="N209" s="562"/>
    </row>
    <row r="210" spans="1:14" s="556" customFormat="1" x14ac:dyDescent="0.25">
      <c r="A210" s="93"/>
      <c r="B210" s="93"/>
      <c r="C210" s="93"/>
      <c r="D210" s="683"/>
      <c r="E210" s="683"/>
      <c r="F210" s="563"/>
      <c r="N210" s="562"/>
    </row>
    <row r="211" spans="1:14" s="556" customFormat="1" x14ac:dyDescent="0.25">
      <c r="A211" s="93"/>
      <c r="B211" s="93"/>
      <c r="C211" s="93"/>
      <c r="D211" s="683"/>
      <c r="E211" s="683"/>
      <c r="F211" s="563"/>
      <c r="N211" s="562"/>
    </row>
    <row r="212" spans="1:14" s="556" customFormat="1" x14ac:dyDescent="0.25">
      <c r="A212" s="93"/>
      <c r="B212" s="93"/>
      <c r="C212" s="93"/>
      <c r="D212" s="683"/>
      <c r="E212" s="683"/>
      <c r="F212" s="563"/>
      <c r="N212" s="562"/>
    </row>
    <row r="213" spans="1:14" s="556" customFormat="1" x14ac:dyDescent="0.25">
      <c r="A213" s="93"/>
      <c r="B213" s="93"/>
      <c r="C213" s="93"/>
      <c r="D213" s="683"/>
      <c r="E213" s="683"/>
      <c r="F213" s="563"/>
      <c r="N213" s="562"/>
    </row>
    <row r="214" spans="1:14" s="556" customFormat="1" x14ac:dyDescent="0.25">
      <c r="A214" s="93"/>
      <c r="B214" s="93"/>
      <c r="C214" s="93"/>
      <c r="D214" s="683"/>
      <c r="E214" s="683"/>
      <c r="F214" s="563"/>
      <c r="N214" s="562"/>
    </row>
    <row r="215" spans="1:14" s="556" customFormat="1" x14ac:dyDescent="0.25">
      <c r="A215" s="79"/>
      <c r="B215" s="101"/>
      <c r="C215" s="76"/>
      <c r="D215" s="95"/>
      <c r="E215" s="564"/>
      <c r="F215" s="564"/>
      <c r="N215" s="562"/>
    </row>
    <row r="216" spans="1:14" s="556" customFormat="1" x14ac:dyDescent="0.25">
      <c r="A216" s="79"/>
      <c r="B216" s="101"/>
      <c r="C216" s="76"/>
      <c r="D216" s="95"/>
      <c r="E216" s="564"/>
      <c r="F216" s="564"/>
      <c r="N216" s="562"/>
    </row>
    <row r="217" spans="1:14" s="556" customFormat="1" x14ac:dyDescent="0.25">
      <c r="A217" s="79"/>
      <c r="B217" s="101"/>
      <c r="C217" s="76"/>
      <c r="D217" s="95"/>
      <c r="E217" s="564"/>
      <c r="F217" s="564"/>
      <c r="N217" s="562"/>
    </row>
    <row r="218" spans="1:14" s="556" customFormat="1" x14ac:dyDescent="0.25">
      <c r="A218" s="79"/>
      <c r="B218" s="101"/>
      <c r="C218" s="76"/>
      <c r="D218" s="95"/>
      <c r="E218" s="564"/>
      <c r="F218" s="564"/>
      <c r="N218" s="562"/>
    </row>
    <row r="219" spans="1:14" s="556" customFormat="1" x14ac:dyDescent="0.25">
      <c r="A219" s="79"/>
      <c r="B219" s="101"/>
      <c r="C219" s="76"/>
      <c r="D219" s="95"/>
      <c r="E219" s="564"/>
      <c r="F219" s="564"/>
      <c r="N219" s="562"/>
    </row>
    <row r="220" spans="1:14" s="556" customFormat="1" x14ac:dyDescent="0.25">
      <c r="A220" s="79"/>
      <c r="B220" s="101"/>
      <c r="C220" s="76"/>
      <c r="D220" s="95"/>
      <c r="E220" s="564"/>
      <c r="F220" s="564"/>
      <c r="N220" s="562"/>
    </row>
    <row r="221" spans="1:14" s="556" customFormat="1" x14ac:dyDescent="0.25">
      <c r="A221" s="79"/>
      <c r="B221" s="101"/>
      <c r="C221" s="76"/>
      <c r="D221" s="95"/>
      <c r="E221" s="564"/>
      <c r="F221" s="564"/>
      <c r="N221" s="562"/>
    </row>
    <row r="222" spans="1:14" s="556" customFormat="1" x14ac:dyDescent="0.25">
      <c r="A222" s="79"/>
      <c r="B222" s="101"/>
      <c r="C222" s="76"/>
      <c r="D222" s="95"/>
      <c r="E222" s="564"/>
      <c r="F222" s="564"/>
      <c r="N222" s="562"/>
    </row>
    <row r="223" spans="1:14" s="556" customFormat="1" x14ac:dyDescent="0.25">
      <c r="A223" s="79"/>
      <c r="B223" s="101"/>
      <c r="C223" s="76"/>
      <c r="D223" s="95"/>
      <c r="E223" s="564"/>
      <c r="F223" s="564"/>
      <c r="N223" s="562"/>
    </row>
    <row r="224" spans="1:14" s="556" customFormat="1" x14ac:dyDescent="0.25">
      <c r="A224" s="79"/>
      <c r="B224" s="101"/>
      <c r="C224" s="76"/>
      <c r="D224" s="95"/>
      <c r="E224" s="564"/>
      <c r="F224" s="564"/>
      <c r="N224" s="562"/>
    </row>
    <row r="225" spans="1:14" s="556" customFormat="1" x14ac:dyDescent="0.25">
      <c r="A225" s="79"/>
      <c r="B225" s="101"/>
      <c r="C225" s="76"/>
      <c r="D225" s="95"/>
      <c r="E225" s="564"/>
      <c r="F225" s="564"/>
      <c r="N225" s="562"/>
    </row>
    <row r="226" spans="1:14" s="556" customFormat="1" x14ac:dyDescent="0.25">
      <c r="A226" s="79"/>
      <c r="B226" s="101"/>
      <c r="C226" s="76"/>
      <c r="D226" s="95"/>
      <c r="E226" s="564"/>
      <c r="F226" s="564"/>
      <c r="N226" s="562"/>
    </row>
    <row r="227" spans="1:14" s="556" customFormat="1" x14ac:dyDescent="0.25">
      <c r="A227" s="79"/>
      <c r="B227" s="101"/>
      <c r="C227" s="76"/>
      <c r="D227" s="95"/>
      <c r="E227" s="564"/>
      <c r="F227" s="564"/>
      <c r="N227" s="562"/>
    </row>
    <row r="228" spans="1:14" s="556" customFormat="1" x14ac:dyDescent="0.25">
      <c r="A228" s="79"/>
      <c r="B228" s="101"/>
      <c r="C228" s="76"/>
      <c r="D228" s="95"/>
      <c r="E228" s="564"/>
      <c r="F228" s="564"/>
      <c r="N228" s="562"/>
    </row>
    <row r="229" spans="1:14" s="556" customFormat="1" x14ac:dyDescent="0.25">
      <c r="B229" s="561"/>
      <c r="E229" s="564"/>
      <c r="F229" s="564"/>
      <c r="N229" s="562"/>
    </row>
    <row r="230" spans="1:14" s="556" customFormat="1" x14ac:dyDescent="0.25">
      <c r="B230" s="561"/>
      <c r="E230" s="564"/>
      <c r="F230" s="564"/>
      <c r="N230" s="562"/>
    </row>
    <row r="231" spans="1:14" s="556" customFormat="1" x14ac:dyDescent="0.25">
      <c r="B231" s="561"/>
      <c r="E231" s="564"/>
      <c r="F231" s="564"/>
      <c r="N231" s="562"/>
    </row>
    <row r="232" spans="1:14" s="556" customFormat="1" x14ac:dyDescent="0.25">
      <c r="B232" s="561"/>
      <c r="E232" s="564"/>
      <c r="F232" s="564"/>
      <c r="N232" s="562"/>
    </row>
    <row r="233" spans="1:14" s="556" customFormat="1" x14ac:dyDescent="0.25">
      <c r="B233" s="561"/>
      <c r="E233" s="564"/>
      <c r="F233" s="564"/>
      <c r="N233" s="562"/>
    </row>
    <row r="234" spans="1:14" s="556" customFormat="1" x14ac:dyDescent="0.25">
      <c r="B234" s="561"/>
      <c r="E234" s="564"/>
      <c r="F234" s="564"/>
      <c r="N234" s="562"/>
    </row>
    <row r="235" spans="1:14" s="556" customFormat="1" x14ac:dyDescent="0.25">
      <c r="B235" s="561"/>
      <c r="E235" s="564"/>
      <c r="F235" s="564"/>
      <c r="N235" s="562"/>
    </row>
    <row r="236" spans="1:14" s="556" customFormat="1" x14ac:dyDescent="0.25">
      <c r="B236" s="561"/>
      <c r="E236" s="564"/>
      <c r="F236" s="564"/>
      <c r="N236" s="562"/>
    </row>
    <row r="237" spans="1:14" s="556" customFormat="1" x14ac:dyDescent="0.25">
      <c r="B237" s="561"/>
      <c r="E237" s="564"/>
      <c r="F237" s="564"/>
      <c r="N237" s="562"/>
    </row>
    <row r="238" spans="1:14" s="556" customFormat="1" x14ac:dyDescent="0.25">
      <c r="B238" s="561"/>
      <c r="E238" s="564"/>
      <c r="F238" s="564"/>
      <c r="N238" s="562"/>
    </row>
    <row r="239" spans="1:14" s="556" customFormat="1" x14ac:dyDescent="0.25">
      <c r="B239" s="561"/>
      <c r="E239" s="564"/>
      <c r="F239" s="564"/>
      <c r="N239" s="562"/>
    </row>
    <row r="240" spans="1:14" s="556" customFormat="1" x14ac:dyDescent="0.25">
      <c r="B240" s="561"/>
      <c r="E240" s="564"/>
      <c r="F240" s="564"/>
      <c r="N240" s="562"/>
    </row>
    <row r="241" spans="1:14" s="556" customFormat="1" x14ac:dyDescent="0.25">
      <c r="B241" s="565"/>
      <c r="C241" s="75"/>
      <c r="D241" s="76"/>
      <c r="E241" s="564"/>
      <c r="F241" s="564"/>
      <c r="N241" s="562"/>
    </row>
    <row r="242" spans="1:14" s="556" customFormat="1" x14ac:dyDescent="0.25">
      <c r="A242" s="565"/>
      <c r="B242" s="101"/>
      <c r="C242" s="76"/>
      <c r="D242" s="95"/>
      <c r="E242" s="76"/>
      <c r="F242" s="564"/>
      <c r="N242" s="562"/>
    </row>
    <row r="243" spans="1:14" s="556" customFormat="1" x14ac:dyDescent="0.25">
      <c r="B243" s="561"/>
      <c r="C243" s="566"/>
      <c r="D243" s="564"/>
      <c r="E243" s="564"/>
      <c r="F243" s="564"/>
      <c r="G243" s="566"/>
      <c r="H243" s="566"/>
      <c r="I243" s="566"/>
      <c r="J243" s="566"/>
      <c r="K243" s="566"/>
      <c r="N243" s="562"/>
    </row>
    <row r="244" spans="1:14" s="556" customFormat="1" x14ac:dyDescent="0.25">
      <c r="B244" s="561"/>
      <c r="C244" s="566"/>
      <c r="D244" s="564"/>
      <c r="E244" s="564"/>
      <c r="F244" s="564"/>
      <c r="G244" s="566"/>
      <c r="H244" s="566"/>
      <c r="I244" s="566"/>
      <c r="J244" s="566"/>
      <c r="K244" s="566"/>
      <c r="N244" s="562"/>
    </row>
    <row r="245" spans="1:14" s="556" customFormat="1" x14ac:dyDescent="0.25">
      <c r="B245" s="561"/>
      <c r="C245" s="566"/>
      <c r="D245" s="564"/>
      <c r="E245" s="564"/>
      <c r="F245" s="564"/>
      <c r="G245" s="566"/>
      <c r="H245" s="566"/>
      <c r="I245" s="566"/>
      <c r="J245" s="566"/>
      <c r="K245" s="566"/>
      <c r="N245" s="562"/>
    </row>
    <row r="246" spans="1:14" s="556" customFormat="1" x14ac:dyDescent="0.25">
      <c r="B246" s="561"/>
      <c r="D246" s="566"/>
      <c r="E246" s="564"/>
      <c r="F246" s="564"/>
      <c r="G246" s="566"/>
      <c r="H246" s="566"/>
      <c r="I246" s="566"/>
      <c r="J246" s="566"/>
      <c r="K246" s="566"/>
      <c r="N246" s="562"/>
    </row>
    <row r="247" spans="1:14" s="556" customFormat="1" x14ac:dyDescent="0.25">
      <c r="B247" s="561"/>
      <c r="D247" s="566"/>
      <c r="E247" s="564"/>
      <c r="F247" s="564"/>
      <c r="G247" s="566"/>
      <c r="H247" s="566"/>
      <c r="I247" s="566"/>
      <c r="J247" s="566"/>
      <c r="K247" s="566"/>
      <c r="N247" s="562"/>
    </row>
    <row r="248" spans="1:14" s="556" customFormat="1" x14ac:dyDescent="0.25">
      <c r="B248" s="561"/>
      <c r="D248" s="566"/>
      <c r="E248" s="564"/>
      <c r="F248" s="564"/>
      <c r="G248" s="566"/>
      <c r="H248" s="566"/>
      <c r="I248" s="566"/>
      <c r="J248" s="566"/>
      <c r="K248" s="566"/>
      <c r="N248" s="562"/>
    </row>
    <row r="249" spans="1:14" s="556" customFormat="1" x14ac:dyDescent="0.25">
      <c r="B249" s="561"/>
      <c r="D249" s="566"/>
      <c r="E249" s="564"/>
      <c r="F249" s="564"/>
      <c r="G249" s="566"/>
      <c r="H249" s="566"/>
      <c r="I249" s="566"/>
      <c r="J249" s="566"/>
      <c r="K249" s="566"/>
      <c r="N249" s="562"/>
    </row>
    <row r="250" spans="1:14" s="556" customFormat="1" x14ac:dyDescent="0.25">
      <c r="B250" s="561"/>
      <c r="D250" s="566"/>
      <c r="E250" s="564"/>
      <c r="F250" s="564"/>
      <c r="G250" s="566"/>
      <c r="H250" s="566"/>
      <c r="I250" s="566"/>
      <c r="J250" s="566"/>
      <c r="K250" s="566"/>
      <c r="N250" s="562"/>
    </row>
    <row r="251" spans="1:14" s="556" customFormat="1" x14ac:dyDescent="0.25">
      <c r="B251" s="561"/>
      <c r="D251" s="566"/>
      <c r="E251" s="564"/>
      <c r="F251" s="564"/>
      <c r="G251" s="566"/>
      <c r="H251" s="566"/>
      <c r="I251" s="566"/>
      <c r="J251" s="566"/>
      <c r="K251" s="566"/>
      <c r="N251" s="562"/>
    </row>
    <row r="252" spans="1:14" s="556" customFormat="1" x14ac:dyDescent="0.25">
      <c r="B252" s="561"/>
      <c r="D252" s="566"/>
      <c r="E252" s="564"/>
      <c r="F252" s="564"/>
      <c r="G252" s="566"/>
      <c r="H252" s="566"/>
      <c r="I252" s="566"/>
      <c r="J252" s="566"/>
      <c r="K252" s="566"/>
      <c r="N252" s="562"/>
    </row>
    <row r="253" spans="1:14" s="556" customFormat="1" x14ac:dyDescent="0.25">
      <c r="B253" s="561"/>
      <c r="D253" s="566"/>
      <c r="E253" s="564"/>
      <c r="F253" s="564"/>
      <c r="G253" s="566"/>
      <c r="H253" s="566"/>
      <c r="I253" s="566"/>
      <c r="J253" s="566"/>
      <c r="K253" s="566"/>
      <c r="N253" s="562"/>
    </row>
  </sheetData>
  <mergeCells count="42">
    <mergeCell ref="B82:K82"/>
    <mergeCell ref="J71:K72"/>
    <mergeCell ref="A71:I72"/>
    <mergeCell ref="B13:J13"/>
    <mergeCell ref="A1:K1"/>
    <mergeCell ref="A2:K2"/>
    <mergeCell ref="A3:K3"/>
    <mergeCell ref="A5:K6"/>
    <mergeCell ref="A8:K8"/>
    <mergeCell ref="A10:A12"/>
    <mergeCell ref="B10:B12"/>
    <mergeCell ref="C10:C12"/>
    <mergeCell ref="D10:D12"/>
    <mergeCell ref="E10:E12"/>
    <mergeCell ref="F10:F12"/>
    <mergeCell ref="G10:G12"/>
    <mergeCell ref="K10:K12"/>
    <mergeCell ref="I10:I12"/>
    <mergeCell ref="J10:J12"/>
    <mergeCell ref="H10:H12"/>
    <mergeCell ref="B50:J50"/>
    <mergeCell ref="B43:J43"/>
    <mergeCell ref="B18:J18"/>
    <mergeCell ref="B23:J23"/>
    <mergeCell ref="B36:J36"/>
    <mergeCell ref="B41:J41"/>
    <mergeCell ref="B47:J47"/>
    <mergeCell ref="A58:G58"/>
    <mergeCell ref="I69:K70"/>
    <mergeCell ref="A69:H70"/>
    <mergeCell ref="B75:K75"/>
    <mergeCell ref="B76:K76"/>
    <mergeCell ref="A73:K73"/>
    <mergeCell ref="B74:K74"/>
    <mergeCell ref="B81:K81"/>
    <mergeCell ref="B80:K80"/>
    <mergeCell ref="B78:K78"/>
    <mergeCell ref="B79:K79"/>
    <mergeCell ref="A61:G61"/>
    <mergeCell ref="A62:G62"/>
    <mergeCell ref="A63:G63"/>
    <mergeCell ref="B77:K77"/>
  </mergeCells>
  <printOptions horizontalCentered="1"/>
  <pageMargins left="0.98425196850393704" right="0.39370078740157483" top="0.98425196850393704" bottom="0.39370078740157483" header="0.31496062992125984" footer="0.31496062992125984"/>
  <pageSetup paperSize="9" scale="53" orientation="portrait" horizontalDpi="4294967294" verticalDpi="4294967294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4"/>
  <sheetViews>
    <sheetView view="pageBreakPreview" zoomScale="90" zoomScaleNormal="100" zoomScaleSheetLayoutView="90" workbookViewId="0">
      <selection activeCell="P31" sqref="P31"/>
    </sheetView>
  </sheetViews>
  <sheetFormatPr defaultRowHeight="12" x14ac:dyDescent="0.25"/>
  <cols>
    <col min="1" max="1" width="5" style="832" bestFit="1" customWidth="1"/>
    <col min="2" max="2" width="15" style="833" bestFit="1" customWidth="1"/>
    <col min="3" max="3" width="8.28515625" style="7" bestFit="1" customWidth="1"/>
    <col min="4" max="4" width="12.42578125" style="8" bestFit="1" customWidth="1"/>
    <col min="5" max="5" width="11" style="811" bestFit="1" customWidth="1"/>
    <col min="6" max="6" width="11" style="8" bestFit="1" customWidth="1"/>
    <col min="7" max="7" width="11.5703125" style="8" bestFit="1" customWidth="1"/>
    <col min="8" max="8" width="12.85546875" style="8" bestFit="1" customWidth="1"/>
    <col min="9" max="9" width="16.5703125" style="7" bestFit="1" customWidth="1"/>
    <col min="10" max="10" width="9.140625" style="7"/>
    <col min="11" max="11" width="8.5703125" style="7" bestFit="1" customWidth="1"/>
    <col min="12" max="13" width="8.42578125" style="7" bestFit="1" customWidth="1"/>
    <col min="14" max="16384" width="9.140625" style="7"/>
  </cols>
  <sheetData>
    <row r="1" spans="1:9" x14ac:dyDescent="0.25">
      <c r="A1" s="1575" t="s">
        <v>294</v>
      </c>
      <c r="B1" s="1576"/>
      <c r="C1" s="1576"/>
      <c r="D1" s="1576"/>
      <c r="E1" s="1576"/>
      <c r="F1" s="1576"/>
      <c r="G1" s="1576"/>
      <c r="H1" s="1576"/>
      <c r="I1" s="1577"/>
    </row>
    <row r="2" spans="1:9" x14ac:dyDescent="0.25">
      <c r="A2" s="1473" t="s">
        <v>295</v>
      </c>
      <c r="B2" s="1474"/>
      <c r="C2" s="1474"/>
      <c r="D2" s="1474"/>
      <c r="E2" s="1474"/>
      <c r="F2" s="1474"/>
      <c r="G2" s="1474"/>
      <c r="H2" s="1474"/>
      <c r="I2" s="1475"/>
    </row>
    <row r="3" spans="1:9" ht="12.75" thickBot="1" x14ac:dyDescent="0.3">
      <c r="A3" s="1476"/>
      <c r="B3" s="1477"/>
      <c r="C3" s="1477"/>
      <c r="D3" s="1477"/>
      <c r="E3" s="1477"/>
      <c r="F3" s="1477"/>
      <c r="G3" s="1477"/>
      <c r="H3" s="1477"/>
      <c r="I3" s="1478"/>
    </row>
    <row r="4" spans="1:9" ht="12.75" thickBot="1" x14ac:dyDescent="0.25">
      <c r="A4" s="23"/>
      <c r="B4" s="799"/>
      <c r="C4" s="23"/>
      <c r="D4" s="800"/>
      <c r="E4" s="800"/>
      <c r="F4" s="800"/>
      <c r="G4" s="800"/>
      <c r="H4" s="800"/>
    </row>
    <row r="5" spans="1:9" x14ac:dyDescent="0.25">
      <c r="A5" s="1400" t="s">
        <v>292</v>
      </c>
      <c r="B5" s="1401"/>
      <c r="C5" s="1401"/>
      <c r="D5" s="1401"/>
      <c r="E5" s="1401"/>
      <c r="F5" s="1401"/>
      <c r="G5" s="1401"/>
      <c r="H5" s="1401"/>
      <c r="I5" s="1402"/>
    </row>
    <row r="6" spans="1:9" ht="12.75" thickBot="1" x14ac:dyDescent="0.3">
      <c r="A6" s="1406"/>
      <c r="B6" s="1407"/>
      <c r="C6" s="1407"/>
      <c r="D6" s="1407"/>
      <c r="E6" s="1407"/>
      <c r="F6" s="1407"/>
      <c r="G6" s="1407"/>
      <c r="H6" s="1407"/>
      <c r="I6" s="1408"/>
    </row>
    <row r="7" spans="1:9" ht="12.75" thickBot="1" x14ac:dyDescent="0.25">
      <c r="A7" s="169"/>
      <c r="B7" s="63"/>
      <c r="C7" s="64"/>
      <c r="D7" s="64"/>
      <c r="E7" s="64"/>
      <c r="F7" s="64"/>
      <c r="G7" s="64"/>
      <c r="H7" s="800"/>
    </row>
    <row r="8" spans="1:9" ht="12.75" thickBot="1" x14ac:dyDescent="0.3">
      <c r="A8" s="1580" t="s">
        <v>691</v>
      </c>
      <c r="B8" s="1581"/>
      <c r="C8" s="1581"/>
      <c r="D8" s="1581"/>
      <c r="E8" s="1581"/>
      <c r="F8" s="1581"/>
      <c r="G8" s="1581"/>
      <c r="H8" s="1581"/>
      <c r="I8" s="1582"/>
    </row>
    <row r="9" spans="1:9" x14ac:dyDescent="0.2">
      <c r="A9" s="169"/>
      <c r="B9" s="63"/>
      <c r="C9" s="64"/>
      <c r="D9" s="64"/>
      <c r="E9" s="64"/>
      <c r="F9" s="64"/>
      <c r="G9" s="64"/>
      <c r="H9" s="800"/>
      <c r="I9" s="169"/>
    </row>
    <row r="10" spans="1:9" ht="12.75" thickBot="1" x14ac:dyDescent="0.3">
      <c r="A10" s="1579"/>
      <c r="B10" s="1579"/>
      <c r="C10" s="1579"/>
      <c r="D10" s="1579"/>
      <c r="E10" s="1579"/>
      <c r="F10" s="1579"/>
      <c r="G10" s="1579"/>
      <c r="H10" s="1579"/>
      <c r="I10" s="169"/>
    </row>
    <row r="11" spans="1:9" ht="48.75" thickBot="1" x14ac:dyDescent="0.3">
      <c r="A11" s="801" t="s">
        <v>0</v>
      </c>
      <c r="B11" s="802" t="s">
        <v>1</v>
      </c>
      <c r="C11" s="803" t="s">
        <v>55</v>
      </c>
      <c r="D11" s="804" t="s">
        <v>635</v>
      </c>
      <c r="E11" s="805" t="s">
        <v>685</v>
      </c>
      <c r="F11" s="804" t="s">
        <v>299</v>
      </c>
      <c r="G11" s="804" t="s">
        <v>301</v>
      </c>
      <c r="H11" s="804" t="s">
        <v>303</v>
      </c>
      <c r="I11" s="806" t="s">
        <v>302</v>
      </c>
    </row>
    <row r="12" spans="1:9" ht="12.75" thickBot="1" x14ac:dyDescent="0.3">
      <c r="A12" s="807" t="s">
        <v>99</v>
      </c>
      <c r="B12" s="1553" t="s">
        <v>304</v>
      </c>
      <c r="C12" s="1554"/>
      <c r="D12" s="1554"/>
      <c r="E12" s="1554"/>
      <c r="F12" s="1554"/>
      <c r="G12" s="1554"/>
      <c r="H12" s="1554"/>
      <c r="I12" s="1559"/>
    </row>
    <row r="13" spans="1:9" ht="12.75" thickBot="1" x14ac:dyDescent="0.3">
      <c r="A13" s="808" t="s">
        <v>4</v>
      </c>
      <c r="B13" s="809" t="s">
        <v>633</v>
      </c>
      <c r="C13" s="718" t="s">
        <v>80</v>
      </c>
      <c r="D13" s="810">
        <v>25</v>
      </c>
      <c r="E13" s="811">
        <v>2</v>
      </c>
      <c r="F13" s="812">
        <v>18</v>
      </c>
      <c r="G13" s="201">
        <f>D13*E13*F13</f>
        <v>900</v>
      </c>
      <c r="H13" s="813"/>
      <c r="I13" s="814">
        <f>G13*H13</f>
        <v>0</v>
      </c>
    </row>
    <row r="14" spans="1:9" ht="12.75" thickBot="1" x14ac:dyDescent="0.3">
      <c r="A14" s="1557" t="s">
        <v>686</v>
      </c>
      <c r="B14" s="1558"/>
      <c r="C14" s="1558"/>
      <c r="D14" s="1558"/>
      <c r="E14" s="1558"/>
      <c r="F14" s="1558"/>
      <c r="G14" s="1558"/>
      <c r="H14" s="1578"/>
      <c r="I14" s="815">
        <f>SUM(I13:I13)</f>
        <v>0</v>
      </c>
    </row>
    <row r="15" spans="1:9" x14ac:dyDescent="0.25">
      <c r="A15" s="816"/>
      <c r="B15" s="817"/>
      <c r="C15" s="238"/>
      <c r="D15" s="686"/>
      <c r="E15" s="686"/>
      <c r="F15" s="686"/>
      <c r="G15" s="686"/>
      <c r="H15" s="686"/>
      <c r="I15" s="238"/>
    </row>
    <row r="16" spans="1:9" ht="12.75" thickBot="1" x14ac:dyDescent="0.3">
      <c r="A16" s="816"/>
      <c r="B16" s="817"/>
      <c r="C16" s="238"/>
      <c r="D16" s="686"/>
      <c r="E16" s="686"/>
      <c r="F16" s="686"/>
      <c r="G16" s="686"/>
      <c r="H16" s="686"/>
      <c r="I16" s="238"/>
    </row>
    <row r="17" spans="1:9" ht="36.75" thickBot="1" x14ac:dyDescent="0.3">
      <c r="A17" s="801" t="s">
        <v>0</v>
      </c>
      <c r="B17" s="802" t="s">
        <v>1</v>
      </c>
      <c r="C17" s="803" t="s">
        <v>55</v>
      </c>
      <c r="D17" s="804" t="s">
        <v>635</v>
      </c>
      <c r="E17" s="804" t="s">
        <v>299</v>
      </c>
      <c r="F17" s="804" t="s">
        <v>636</v>
      </c>
      <c r="G17" s="804" t="s">
        <v>634</v>
      </c>
      <c r="H17" s="804" t="s">
        <v>305</v>
      </c>
      <c r="I17" s="806" t="s">
        <v>302</v>
      </c>
    </row>
    <row r="18" spans="1:9" ht="12.75" thickBot="1" x14ac:dyDescent="0.3">
      <c r="A18" s="807" t="s">
        <v>100</v>
      </c>
      <c r="B18" s="1553" t="s">
        <v>1021</v>
      </c>
      <c r="C18" s="1554"/>
      <c r="D18" s="1554"/>
      <c r="E18" s="1555"/>
      <c r="F18" s="1555"/>
      <c r="G18" s="1555"/>
      <c r="H18" s="1555"/>
      <c r="I18" s="1556"/>
    </row>
    <row r="19" spans="1:9" x14ac:dyDescent="0.25">
      <c r="A19" s="6" t="s">
        <v>81</v>
      </c>
      <c r="B19" s="731" t="s">
        <v>1022</v>
      </c>
      <c r="C19" s="66" t="s">
        <v>80</v>
      </c>
      <c r="D19" s="818">
        <f>D13</f>
        <v>25</v>
      </c>
      <c r="E19" s="819">
        <v>18</v>
      </c>
      <c r="F19" s="820">
        <v>4</v>
      </c>
      <c r="G19" s="820">
        <f>D19*E19*F19</f>
        <v>1800</v>
      </c>
      <c r="H19" s="821"/>
      <c r="I19" s="822">
        <f>G19*H19</f>
        <v>0</v>
      </c>
    </row>
    <row r="20" spans="1:9" ht="12.75" thickBot="1" x14ac:dyDescent="0.3">
      <c r="A20" s="4" t="s">
        <v>82</v>
      </c>
      <c r="B20" s="823" t="s">
        <v>1023</v>
      </c>
      <c r="C20" s="211" t="s">
        <v>80</v>
      </c>
      <c r="D20" s="824">
        <f>'Mão de Obra  (Detalhamento)'!U16+'Mão de Obra  (Detalhamento)'!V16+'Mão de Obra  (Detalhamento)'!U52+'Mão de Obra  (Detalhamento)'!U68+'Mão de Obra  (Detalhamento)'!U80+'Mão de Obra  (Detalhamento)'!U107+'Mão de Obra  (Detalhamento)'!U121</f>
        <v>87</v>
      </c>
      <c r="E20" s="825">
        <v>18</v>
      </c>
      <c r="F20" s="826">
        <v>8</v>
      </c>
      <c r="G20" s="827">
        <f>D20*E20*F20</f>
        <v>12528</v>
      </c>
      <c r="H20" s="828"/>
      <c r="I20" s="829">
        <f>G20*H20</f>
        <v>0</v>
      </c>
    </row>
    <row r="21" spans="1:9" ht="12.75" thickBot="1" x14ac:dyDescent="0.3">
      <c r="A21" s="1557" t="s">
        <v>687</v>
      </c>
      <c r="B21" s="1558"/>
      <c r="C21" s="1558"/>
      <c r="D21" s="1558"/>
      <c r="E21" s="1558"/>
      <c r="F21" s="1558"/>
      <c r="G21" s="1558"/>
      <c r="H21" s="1558"/>
      <c r="I21" s="815">
        <f>SUM(I19:I20)</f>
        <v>0</v>
      </c>
    </row>
    <row r="22" spans="1:9" x14ac:dyDescent="0.25">
      <c r="A22" s="816"/>
      <c r="B22" s="817"/>
      <c r="C22" s="238"/>
      <c r="D22" s="686"/>
      <c r="E22" s="686"/>
      <c r="F22" s="686"/>
      <c r="G22" s="902"/>
      <c r="H22" s="686"/>
      <c r="I22" s="238"/>
    </row>
    <row r="23" spans="1:9" x14ac:dyDescent="0.25">
      <c r="A23" s="816"/>
      <c r="B23" s="817"/>
      <c r="C23" s="238"/>
      <c r="D23" s="686"/>
      <c r="E23" s="686"/>
      <c r="F23" s="686"/>
      <c r="G23" s="686"/>
      <c r="H23" s="686"/>
      <c r="I23" s="830"/>
    </row>
    <row r="24" spans="1:9" ht="12.75" thickBot="1" x14ac:dyDescent="0.3">
      <c r="A24" s="816"/>
      <c r="B24" s="817"/>
      <c r="C24" s="238"/>
      <c r="D24" s="686"/>
      <c r="E24" s="686"/>
      <c r="F24" s="686"/>
      <c r="G24" s="686"/>
      <c r="H24" s="686"/>
      <c r="I24" s="238"/>
    </row>
    <row r="25" spans="1:9" x14ac:dyDescent="0.25">
      <c r="A25" s="1563" t="s">
        <v>49</v>
      </c>
      <c r="B25" s="1564"/>
      <c r="C25" s="1564"/>
      <c r="D25" s="1564"/>
      <c r="E25" s="1564"/>
      <c r="F25" s="1565"/>
      <c r="G25" s="1563" t="s">
        <v>50</v>
      </c>
      <c r="H25" s="1564"/>
      <c r="I25" s="1565"/>
    </row>
    <row r="26" spans="1:9" ht="12.75" thickBot="1" x14ac:dyDescent="0.3">
      <c r="A26" s="1560"/>
      <c r="B26" s="1561"/>
      <c r="C26" s="1561"/>
      <c r="D26" s="1561"/>
      <c r="E26" s="1561"/>
      <c r="F26" s="1562"/>
      <c r="G26" s="1560"/>
      <c r="H26" s="1561"/>
      <c r="I26" s="1562"/>
    </row>
    <row r="27" spans="1:9" x14ac:dyDescent="0.25">
      <c r="A27" s="1563" t="s">
        <v>51</v>
      </c>
      <c r="B27" s="1564"/>
      <c r="C27" s="1564"/>
      <c r="D27" s="1564"/>
      <c r="E27" s="1564"/>
      <c r="F27" s="1564"/>
      <c r="G27" s="1564"/>
      <c r="H27" s="1565"/>
      <c r="I27" s="831" t="s">
        <v>52</v>
      </c>
    </row>
    <row r="28" spans="1:9" ht="12.75" thickBot="1" x14ac:dyDescent="0.3">
      <c r="A28" s="1566"/>
      <c r="B28" s="1567"/>
      <c r="C28" s="1567"/>
      <c r="D28" s="1567"/>
      <c r="E28" s="1567"/>
      <c r="F28" s="1567"/>
      <c r="G28" s="1567"/>
      <c r="H28" s="1568"/>
      <c r="I28" s="876"/>
    </row>
    <row r="29" spans="1:9" ht="12.75" thickTop="1" x14ac:dyDescent="0.25">
      <c r="A29" s="1569" t="s">
        <v>53</v>
      </c>
      <c r="B29" s="1570"/>
      <c r="C29" s="1570"/>
      <c r="D29" s="1570"/>
      <c r="E29" s="1570"/>
      <c r="F29" s="1570"/>
      <c r="G29" s="1570"/>
      <c r="H29" s="1570"/>
      <c r="I29" s="1571"/>
    </row>
    <row r="30" spans="1:9" x14ac:dyDescent="0.25">
      <c r="A30" s="1572" t="s">
        <v>688</v>
      </c>
      <c r="B30" s="1573"/>
      <c r="C30" s="1573"/>
      <c r="D30" s="1573"/>
      <c r="E30" s="1573"/>
      <c r="F30" s="1573"/>
      <c r="G30" s="1573"/>
      <c r="H30" s="1573"/>
      <c r="I30" s="1574"/>
    </row>
    <row r="31" spans="1:9" x14ac:dyDescent="0.25">
      <c r="A31" s="1572" t="s">
        <v>689</v>
      </c>
      <c r="B31" s="1573"/>
      <c r="C31" s="1573"/>
      <c r="D31" s="1573"/>
      <c r="E31" s="1573"/>
      <c r="F31" s="1573"/>
      <c r="G31" s="1573"/>
      <c r="H31" s="1573"/>
      <c r="I31" s="1574"/>
    </row>
    <row r="32" spans="1:9" x14ac:dyDescent="0.25">
      <c r="A32" s="1572" t="s">
        <v>1024</v>
      </c>
      <c r="B32" s="1573"/>
      <c r="C32" s="1573"/>
      <c r="D32" s="1573"/>
      <c r="E32" s="1573"/>
      <c r="F32" s="1573"/>
      <c r="G32" s="1573"/>
      <c r="H32" s="1573"/>
      <c r="I32" s="1574"/>
    </row>
    <row r="33" spans="1:9" x14ac:dyDescent="0.25">
      <c r="A33" s="1572" t="s">
        <v>690</v>
      </c>
      <c r="B33" s="1573"/>
      <c r="C33" s="1573"/>
      <c r="D33" s="1573"/>
      <c r="E33" s="1573"/>
      <c r="F33" s="1573"/>
      <c r="G33" s="1573"/>
      <c r="H33" s="1573"/>
      <c r="I33" s="1574"/>
    </row>
    <row r="34" spans="1:9" ht="12.75" thickBot="1" x14ac:dyDescent="0.3">
      <c r="A34" s="1560" t="s">
        <v>899</v>
      </c>
      <c r="B34" s="1561"/>
      <c r="C34" s="1561"/>
      <c r="D34" s="1561"/>
      <c r="E34" s="1561"/>
      <c r="F34" s="1561"/>
      <c r="G34" s="1561"/>
      <c r="H34" s="1561"/>
      <c r="I34" s="1562"/>
    </row>
  </sheetData>
  <mergeCells count="22">
    <mergeCell ref="A1:I1"/>
    <mergeCell ref="A14:H14"/>
    <mergeCell ref="A10:H10"/>
    <mergeCell ref="A8:I8"/>
    <mergeCell ref="A5:I6"/>
    <mergeCell ref="A3:I3"/>
    <mergeCell ref="A2:I2"/>
    <mergeCell ref="B18:I18"/>
    <mergeCell ref="A21:H21"/>
    <mergeCell ref="B12:I12"/>
    <mergeCell ref="A34:I34"/>
    <mergeCell ref="G25:I25"/>
    <mergeCell ref="G26:I26"/>
    <mergeCell ref="A27:H27"/>
    <mergeCell ref="A28:H28"/>
    <mergeCell ref="A25:F25"/>
    <mergeCell ref="A26:F26"/>
    <mergeCell ref="A29:I29"/>
    <mergeCell ref="A30:I30"/>
    <mergeCell ref="A31:I31"/>
    <mergeCell ref="A32:I32"/>
    <mergeCell ref="A33:I33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70" orientation="portrait" horizontalDpi="4294967294" verticalDpi="4294967294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31"/>
  <sheetViews>
    <sheetView view="pageBreakPreview" zoomScale="90" zoomScaleNormal="100" zoomScaleSheetLayoutView="90" workbookViewId="0">
      <selection activeCell="C19" sqref="C19:C21"/>
    </sheetView>
  </sheetViews>
  <sheetFormatPr defaultRowHeight="12.75" x14ac:dyDescent="0.2"/>
  <cols>
    <col min="1" max="1" width="3.42578125" style="121" bestFit="1" customWidth="1"/>
    <col min="2" max="2" width="82.42578125" style="121" customWidth="1"/>
    <col min="3" max="3" width="18.42578125" style="121" customWidth="1"/>
    <col min="4" max="16384" width="9.140625" style="121"/>
  </cols>
  <sheetData>
    <row r="1" spans="1:3" x14ac:dyDescent="0.2">
      <c r="A1" s="1228" t="s">
        <v>294</v>
      </c>
      <c r="B1" s="1229"/>
      <c r="C1" s="1229"/>
    </row>
    <row r="2" spans="1:3" x14ac:dyDescent="0.2">
      <c r="A2" s="1231" t="s">
        <v>295</v>
      </c>
      <c r="B2" s="1232"/>
      <c r="C2" s="1232"/>
    </row>
    <row r="3" spans="1:3" ht="13.5" thickBot="1" x14ac:dyDescent="0.25">
      <c r="A3" s="1583"/>
      <c r="B3" s="1584"/>
      <c r="C3" s="1584"/>
    </row>
    <row r="4" spans="1:3" ht="13.5" thickBot="1" x14ac:dyDescent="0.25">
      <c r="A4" s="61"/>
      <c r="B4" s="62"/>
      <c r="C4" s="60"/>
    </row>
    <row r="5" spans="1:3" x14ac:dyDescent="0.2">
      <c r="A5" s="1237" t="s">
        <v>292</v>
      </c>
      <c r="B5" s="1238"/>
      <c r="C5" s="1238"/>
    </row>
    <row r="6" spans="1:3" x14ac:dyDescent="0.2">
      <c r="A6" s="1587"/>
      <c r="B6" s="1588"/>
      <c r="C6" s="1588"/>
    </row>
    <row r="7" spans="1:3" ht="13.5" thickBot="1" x14ac:dyDescent="0.25">
      <c r="A7" s="1240"/>
      <c r="B7" s="1241"/>
      <c r="C7" s="1241"/>
    </row>
    <row r="8" spans="1:3" ht="13.5" thickBot="1" x14ac:dyDescent="0.25">
      <c r="A8" s="57"/>
      <c r="B8" s="58"/>
      <c r="C8" s="59"/>
    </row>
    <row r="9" spans="1:3" ht="13.5" thickBot="1" x14ac:dyDescent="0.25">
      <c r="A9" s="1243" t="s">
        <v>516</v>
      </c>
      <c r="B9" s="1244"/>
      <c r="C9" s="1244"/>
    </row>
    <row r="10" spans="1:3" x14ac:dyDescent="0.2">
      <c r="A10" s="61"/>
      <c r="B10" s="61"/>
      <c r="C10" s="61"/>
    </row>
    <row r="11" spans="1:3" ht="13.5" thickBot="1" x14ac:dyDescent="0.25">
      <c r="A11" s="61"/>
      <c r="B11" s="61"/>
      <c r="C11" s="61"/>
    </row>
    <row r="12" spans="1:3" ht="13.5" thickBot="1" x14ac:dyDescent="0.25">
      <c r="A12" s="1585" t="s">
        <v>1</v>
      </c>
      <c r="B12" s="1586"/>
      <c r="C12" s="417" t="s">
        <v>434</v>
      </c>
    </row>
    <row r="13" spans="1:3" x14ac:dyDescent="0.2">
      <c r="A13" s="1607">
        <v>1</v>
      </c>
      <c r="B13" s="1605" t="s">
        <v>510</v>
      </c>
      <c r="C13" s="1589">
        <v>0.15</v>
      </c>
    </row>
    <row r="14" spans="1:3" x14ac:dyDescent="0.2">
      <c r="A14" s="1608"/>
      <c r="B14" s="1606"/>
      <c r="C14" s="1590"/>
    </row>
    <row r="15" spans="1:3" x14ac:dyDescent="0.2">
      <c r="A15" s="1608"/>
      <c r="B15" s="1606"/>
      <c r="C15" s="1591"/>
    </row>
    <row r="16" spans="1:3" x14ac:dyDescent="0.2">
      <c r="A16" s="1608">
        <v>2</v>
      </c>
      <c r="B16" s="1609" t="s">
        <v>511</v>
      </c>
      <c r="C16" s="1592">
        <v>0.03</v>
      </c>
    </row>
    <row r="17" spans="1:3" x14ac:dyDescent="0.2">
      <c r="A17" s="1608"/>
      <c r="B17" s="1609"/>
      <c r="C17" s="1590"/>
    </row>
    <row r="18" spans="1:3" x14ac:dyDescent="0.2">
      <c r="A18" s="1608"/>
      <c r="B18" s="1609"/>
      <c r="C18" s="1591"/>
    </row>
    <row r="19" spans="1:3" x14ac:dyDescent="0.2">
      <c r="A19" s="1608">
        <v>3</v>
      </c>
      <c r="B19" s="1609" t="s">
        <v>512</v>
      </c>
      <c r="C19" s="1592">
        <v>0.02</v>
      </c>
    </row>
    <row r="20" spans="1:3" x14ac:dyDescent="0.2">
      <c r="A20" s="1608"/>
      <c r="B20" s="1609"/>
      <c r="C20" s="1590"/>
    </row>
    <row r="21" spans="1:3" ht="13.5" thickBot="1" x14ac:dyDescent="0.25">
      <c r="A21" s="1611"/>
      <c r="B21" s="1610"/>
      <c r="C21" s="1612"/>
    </row>
    <row r="22" spans="1:3" ht="13.5" thickBot="1" x14ac:dyDescent="0.25">
      <c r="A22" s="1603" t="s">
        <v>513</v>
      </c>
      <c r="B22" s="1604"/>
      <c r="C22" s="834">
        <f>SUM(C13:C20)</f>
        <v>0.19999999999999998</v>
      </c>
    </row>
    <row r="23" spans="1:3" ht="13.5" thickBot="1" x14ac:dyDescent="0.25">
      <c r="A23" s="61"/>
      <c r="B23" s="61"/>
      <c r="C23" s="61"/>
    </row>
    <row r="24" spans="1:3" ht="15" customHeight="1" x14ac:dyDescent="0.2">
      <c r="A24" s="1593" t="s">
        <v>49</v>
      </c>
      <c r="B24" s="1594"/>
      <c r="C24" s="877" t="s">
        <v>50</v>
      </c>
    </row>
    <row r="25" spans="1:3" ht="15.75" customHeight="1" thickBot="1" x14ac:dyDescent="0.25">
      <c r="A25" s="1595"/>
      <c r="B25" s="1596"/>
      <c r="C25" s="878"/>
    </row>
    <row r="26" spans="1:3" x14ac:dyDescent="0.2">
      <c r="A26" s="1593" t="s">
        <v>51</v>
      </c>
      <c r="B26" s="1594"/>
      <c r="C26" s="877" t="s">
        <v>52</v>
      </c>
    </row>
    <row r="27" spans="1:3" ht="13.5" thickBot="1" x14ac:dyDescent="0.25">
      <c r="A27" s="1597"/>
      <c r="B27" s="1598"/>
      <c r="C27" s="879"/>
    </row>
    <row r="28" spans="1:3" ht="13.5" thickTop="1" x14ac:dyDescent="0.2">
      <c r="A28" s="1599" t="s">
        <v>514</v>
      </c>
      <c r="B28" s="1600"/>
      <c r="C28" s="1601"/>
    </row>
    <row r="29" spans="1:3" x14ac:dyDescent="0.2">
      <c r="A29" s="1599"/>
      <c r="B29" s="1600"/>
      <c r="C29" s="1601"/>
    </row>
    <row r="30" spans="1:3" x14ac:dyDescent="0.2">
      <c r="A30" s="1599"/>
      <c r="B30" s="1600"/>
      <c r="C30" s="1601"/>
    </row>
    <row r="31" spans="1:3" ht="13.5" thickBot="1" x14ac:dyDescent="0.25">
      <c r="A31" s="1595"/>
      <c r="B31" s="1602"/>
      <c r="C31" s="1596"/>
    </row>
  </sheetData>
  <mergeCells count="19">
    <mergeCell ref="C13:C15"/>
    <mergeCell ref="C16:C18"/>
    <mergeCell ref="A24:B25"/>
    <mergeCell ref="A26:B27"/>
    <mergeCell ref="A28:C31"/>
    <mergeCell ref="A22:B22"/>
    <mergeCell ref="B13:B15"/>
    <mergeCell ref="A13:A15"/>
    <mergeCell ref="A16:A18"/>
    <mergeCell ref="B16:B18"/>
    <mergeCell ref="B19:B21"/>
    <mergeCell ref="A19:A21"/>
    <mergeCell ref="C19:C21"/>
    <mergeCell ref="A1:C1"/>
    <mergeCell ref="A2:C2"/>
    <mergeCell ref="A3:C3"/>
    <mergeCell ref="A9:C9"/>
    <mergeCell ref="A12:B12"/>
    <mergeCell ref="A5:C7"/>
  </mergeCells>
  <printOptions horizontalCentered="1"/>
  <pageMargins left="0.98425196850393704" right="0.59055118110236227" top="0.98425196850393704" bottom="0.59055118110236227" header="0.31496062992125984" footer="0.31496062992125984"/>
  <pageSetup paperSize="9" scale="81" orientation="portrait" horizontalDpi="4294967294" verticalDpi="4294967294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33"/>
  <sheetViews>
    <sheetView view="pageBreakPreview" zoomScale="90" zoomScaleNormal="100" zoomScaleSheetLayoutView="90" workbookViewId="0">
      <selection activeCell="H12" sqref="H12"/>
    </sheetView>
  </sheetViews>
  <sheetFormatPr defaultRowHeight="12.75" x14ac:dyDescent="0.25"/>
  <cols>
    <col min="1" max="1" width="2" style="48" bestFit="1" customWidth="1"/>
    <col min="2" max="2" width="44.7109375" style="48" customWidth="1"/>
    <col min="3" max="4" width="18.7109375" style="48" customWidth="1"/>
    <col min="5" max="16384" width="9.140625" style="48"/>
  </cols>
  <sheetData>
    <row r="1" spans="1:4" x14ac:dyDescent="0.25">
      <c r="A1" s="1167" t="s">
        <v>294</v>
      </c>
      <c r="B1" s="1168"/>
      <c r="C1" s="1168"/>
      <c r="D1" s="1169"/>
    </row>
    <row r="2" spans="1:4" x14ac:dyDescent="0.25">
      <c r="A2" s="1640" t="s">
        <v>295</v>
      </c>
      <c r="B2" s="1641"/>
      <c r="C2" s="1641"/>
      <c r="D2" s="1642"/>
    </row>
    <row r="3" spans="1:4" ht="13.5" thickBot="1" x14ac:dyDescent="0.3">
      <c r="A3" s="1643"/>
      <c r="B3" s="1644"/>
      <c r="C3" s="1644"/>
      <c r="D3" s="1645"/>
    </row>
    <row r="4" spans="1:4" ht="13.5" thickBot="1" x14ac:dyDescent="0.3">
      <c r="A4" s="254"/>
      <c r="B4" s="254"/>
      <c r="C4" s="254"/>
      <c r="D4" s="254"/>
    </row>
    <row r="5" spans="1:4" x14ac:dyDescent="0.25">
      <c r="A5" s="1237" t="s">
        <v>292</v>
      </c>
      <c r="B5" s="1238"/>
      <c r="C5" s="1238"/>
      <c r="D5" s="1239"/>
    </row>
    <row r="6" spans="1:4" x14ac:dyDescent="0.25">
      <c r="A6" s="1587"/>
      <c r="B6" s="1588"/>
      <c r="C6" s="1588"/>
      <c r="D6" s="1639"/>
    </row>
    <row r="7" spans="1:4" ht="13.5" thickBot="1" x14ac:dyDescent="0.3">
      <c r="A7" s="1240"/>
      <c r="B7" s="1241"/>
      <c r="C7" s="1241"/>
      <c r="D7" s="1242"/>
    </row>
    <row r="8" spans="1:4" ht="13.5" thickBot="1" x14ac:dyDescent="0.3">
      <c r="A8" s="1622"/>
      <c r="B8" s="1622"/>
      <c r="C8" s="1622"/>
      <c r="D8" s="1622"/>
    </row>
    <row r="9" spans="1:4" ht="13.5" thickBot="1" x14ac:dyDescent="0.3">
      <c r="A9" s="1243" t="s">
        <v>947</v>
      </c>
      <c r="B9" s="1244"/>
      <c r="C9" s="1244"/>
      <c r="D9" s="1245"/>
    </row>
    <row r="10" spans="1:4" ht="13.5" thickBot="1" x14ac:dyDescent="0.3">
      <c r="A10" s="254"/>
      <c r="B10" s="254"/>
      <c r="C10" s="254"/>
      <c r="D10" s="254"/>
    </row>
    <row r="11" spans="1:4" ht="13.5" thickBot="1" x14ac:dyDescent="0.3">
      <c r="A11" s="1625" t="s">
        <v>1</v>
      </c>
      <c r="B11" s="1626"/>
      <c r="C11" s="858" t="s">
        <v>517</v>
      </c>
      <c r="D11" s="859" t="s">
        <v>518</v>
      </c>
    </row>
    <row r="12" spans="1:4" ht="13.5" thickTop="1" x14ac:dyDescent="0.25">
      <c r="A12" s="860">
        <v>1</v>
      </c>
      <c r="B12" s="861" t="s">
        <v>519</v>
      </c>
      <c r="C12" s="862">
        <v>5</v>
      </c>
      <c r="D12" s="863">
        <f>(1/(1-$C$15/100))*C12</f>
        <v>5.8309037900874632</v>
      </c>
    </row>
    <row r="13" spans="1:4" x14ac:dyDescent="0.25">
      <c r="A13" s="864">
        <v>2</v>
      </c>
      <c r="B13" s="865" t="s">
        <v>520</v>
      </c>
      <c r="C13" s="866">
        <v>1.65</v>
      </c>
      <c r="D13" s="867">
        <f>(1/(1-$C$15/100))*C13</f>
        <v>1.9241982507288626</v>
      </c>
    </row>
    <row r="14" spans="1:4" ht="13.5" thickBot="1" x14ac:dyDescent="0.3">
      <c r="A14" s="868">
        <v>3</v>
      </c>
      <c r="B14" s="869" t="s">
        <v>521</v>
      </c>
      <c r="C14" s="870">
        <v>7.6</v>
      </c>
      <c r="D14" s="871">
        <f>(1/(1-$C$15/100))*C14</f>
        <v>8.8629737609329435</v>
      </c>
    </row>
    <row r="15" spans="1:4" ht="13.5" thickBot="1" x14ac:dyDescent="0.3">
      <c r="A15" s="1623" t="s">
        <v>981</v>
      </c>
      <c r="B15" s="1624"/>
      <c r="C15" s="872">
        <f>C12+C13+C14</f>
        <v>14.25</v>
      </c>
      <c r="D15" s="873">
        <f>D12+D13+D14</f>
        <v>16.618075801749271</v>
      </c>
    </row>
    <row r="16" spans="1:4" x14ac:dyDescent="0.25">
      <c r="A16" s="57"/>
      <c r="B16" s="57"/>
      <c r="C16" s="57"/>
      <c r="D16" s="57"/>
    </row>
    <row r="17" spans="1:4" x14ac:dyDescent="0.25">
      <c r="A17" s="57"/>
      <c r="B17" s="57"/>
      <c r="C17" s="57"/>
      <c r="D17" s="57"/>
    </row>
    <row r="18" spans="1:4" ht="13.5" thickBot="1" x14ac:dyDescent="0.3">
      <c r="A18" s="57"/>
      <c r="B18" s="57"/>
      <c r="C18" s="57"/>
      <c r="D18" s="57"/>
    </row>
    <row r="19" spans="1:4" x14ac:dyDescent="0.25">
      <c r="A19" s="1627" t="s">
        <v>49</v>
      </c>
      <c r="B19" s="1628"/>
      <c r="C19" s="1627" t="s">
        <v>50</v>
      </c>
      <c r="D19" s="1628"/>
    </row>
    <row r="20" spans="1:4" ht="13.5" thickBot="1" x14ac:dyDescent="0.3">
      <c r="A20" s="1629"/>
      <c r="B20" s="1630"/>
      <c r="C20" s="1629"/>
      <c r="D20" s="1630"/>
    </row>
    <row r="21" spans="1:4" x14ac:dyDescent="0.25">
      <c r="A21" s="1627" t="s">
        <v>51</v>
      </c>
      <c r="B21" s="1633"/>
      <c r="C21" s="1633"/>
      <c r="D21" s="1631" t="s">
        <v>52</v>
      </c>
    </row>
    <row r="22" spans="1:4" ht="13.5" thickBot="1" x14ac:dyDescent="0.3">
      <c r="A22" s="1634"/>
      <c r="B22" s="1635"/>
      <c r="C22" s="1635"/>
      <c r="D22" s="1632"/>
    </row>
    <row r="23" spans="1:4" ht="13.5" thickTop="1" x14ac:dyDescent="0.25">
      <c r="A23" s="1619" t="s">
        <v>514</v>
      </c>
      <c r="B23" s="1620"/>
      <c r="C23" s="1620"/>
      <c r="D23" s="1621"/>
    </row>
    <row r="24" spans="1:4" x14ac:dyDescent="0.25">
      <c r="A24" s="1636" t="s">
        <v>967</v>
      </c>
      <c r="B24" s="1637"/>
      <c r="C24" s="1637"/>
      <c r="D24" s="1638"/>
    </row>
    <row r="25" spans="1:4" x14ac:dyDescent="0.25">
      <c r="A25" s="1636"/>
      <c r="B25" s="1637"/>
      <c r="C25" s="1637"/>
      <c r="D25" s="1638"/>
    </row>
    <row r="26" spans="1:4" x14ac:dyDescent="0.25">
      <c r="A26" s="1636" t="s">
        <v>978</v>
      </c>
      <c r="B26" s="1637"/>
      <c r="C26" s="1637"/>
      <c r="D26" s="1638"/>
    </row>
    <row r="27" spans="1:4" x14ac:dyDescent="0.25">
      <c r="A27" s="1636"/>
      <c r="B27" s="1637"/>
      <c r="C27" s="1637"/>
      <c r="D27" s="1638"/>
    </row>
    <row r="28" spans="1:4" x14ac:dyDescent="0.25">
      <c r="A28" s="1636" t="s">
        <v>968</v>
      </c>
      <c r="B28" s="1637"/>
      <c r="C28" s="1637"/>
      <c r="D28" s="1638"/>
    </row>
    <row r="29" spans="1:4" x14ac:dyDescent="0.25">
      <c r="A29" s="1636"/>
      <c r="B29" s="1637"/>
      <c r="C29" s="1637"/>
      <c r="D29" s="1638"/>
    </row>
    <row r="30" spans="1:4" x14ac:dyDescent="0.25">
      <c r="A30" s="1613" t="s">
        <v>979</v>
      </c>
      <c r="B30" s="1614"/>
      <c r="C30" s="1614"/>
      <c r="D30" s="1615"/>
    </row>
    <row r="31" spans="1:4" x14ac:dyDescent="0.25">
      <c r="A31" s="1613" t="s">
        <v>980</v>
      </c>
      <c r="B31" s="1614"/>
      <c r="C31" s="1614"/>
      <c r="D31" s="1615"/>
    </row>
    <row r="32" spans="1:4" x14ac:dyDescent="0.25">
      <c r="A32" s="1613" t="s">
        <v>982</v>
      </c>
      <c r="B32" s="1614"/>
      <c r="C32" s="1614"/>
      <c r="D32" s="1615"/>
    </row>
    <row r="33" spans="1:4" ht="13.5" thickBot="1" x14ac:dyDescent="0.3">
      <c r="A33" s="1616"/>
      <c r="B33" s="1617"/>
      <c r="C33" s="1617"/>
      <c r="D33" s="1618"/>
    </row>
  </sheetData>
  <mergeCells count="19">
    <mergeCell ref="A5:D7"/>
    <mergeCell ref="A1:D1"/>
    <mergeCell ref="A2:D2"/>
    <mergeCell ref="A3:D3"/>
    <mergeCell ref="A9:D9"/>
    <mergeCell ref="A32:D33"/>
    <mergeCell ref="A23:D23"/>
    <mergeCell ref="A8:D8"/>
    <mergeCell ref="A15:B15"/>
    <mergeCell ref="A11:B11"/>
    <mergeCell ref="A19:B20"/>
    <mergeCell ref="C19:D20"/>
    <mergeCell ref="D21:D22"/>
    <mergeCell ref="A21:C22"/>
    <mergeCell ref="A30:D30"/>
    <mergeCell ref="A31:D31"/>
    <mergeCell ref="A28:D29"/>
    <mergeCell ref="A24:D25"/>
    <mergeCell ref="A26:D27"/>
  </mergeCells>
  <printOptions horizontalCentered="1"/>
  <pageMargins left="0.98425196850393704" right="0.59055118110236227" top="0.98425196850393704" bottom="0.59055118110236227" header="0.31496062992125984" footer="0.31496062992125984"/>
  <pageSetup paperSize="9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22</vt:i4>
      </vt:variant>
    </vt:vector>
  </HeadingPairs>
  <TitlesOfParts>
    <vt:vector size="40" baseType="lpstr">
      <vt:lpstr>Resumo Total</vt:lpstr>
      <vt:lpstr>Mao de Obra</vt:lpstr>
      <vt:lpstr>Mão de Obra  (Detalhamento)</vt:lpstr>
      <vt:lpstr>Alimentação (Detalhamento)</vt:lpstr>
      <vt:lpstr>Mobilizacao_Desmobilizacao</vt:lpstr>
      <vt:lpstr>Outras Despesas (Adm_Manut)</vt:lpstr>
      <vt:lpstr>Viagens e Diárias (Por Demanda)</vt:lpstr>
      <vt:lpstr>Custo Adminstração (Detalham)</vt:lpstr>
      <vt:lpstr>Despesas Fiscais</vt:lpstr>
      <vt:lpstr>Encargos Sociais</vt:lpstr>
      <vt:lpstr>Cronograma Físico</vt:lpstr>
      <vt:lpstr>Cronograma Físico-Financeiro</vt:lpstr>
      <vt:lpstr>Cronograma Físico - RELATORIOS</vt:lpstr>
      <vt:lpstr>MemCalculo (Trecho Aéreo)</vt:lpstr>
      <vt:lpstr>MemCalculo (AdmManutEscritorio)</vt:lpstr>
      <vt:lpstr>Base de Preço (Salários)</vt:lpstr>
      <vt:lpstr>(Resumo - Calculo)</vt:lpstr>
      <vt:lpstr>Resumo Total (%)</vt:lpstr>
      <vt:lpstr>'Alimentação (Detalhamento)'!Area_de_impressao</vt:lpstr>
      <vt:lpstr>'Base de Preço (Salários)'!Area_de_impressao</vt:lpstr>
      <vt:lpstr>'Cronograma Físico'!Area_de_impressao</vt:lpstr>
      <vt:lpstr>'Cronograma Físico - RELATORIOS'!Area_de_impressao</vt:lpstr>
      <vt:lpstr>'Cronograma Físico-Financeiro'!Area_de_impressao</vt:lpstr>
      <vt:lpstr>'Custo Adminstração (Detalham)'!Area_de_impressao</vt:lpstr>
      <vt:lpstr>'Despesas Fiscais'!Area_de_impressao</vt:lpstr>
      <vt:lpstr>'Encargos Sociais'!Area_de_impressao</vt:lpstr>
      <vt:lpstr>'Mao de Obra'!Area_de_impressao</vt:lpstr>
      <vt:lpstr>'Mão de Obra  (Detalhamento)'!Area_de_impressao</vt:lpstr>
      <vt:lpstr>'MemCalculo (AdmManutEscritorio)'!Area_de_impressao</vt:lpstr>
      <vt:lpstr>'MemCalculo (Trecho Aéreo)'!Area_de_impressao</vt:lpstr>
      <vt:lpstr>Mobilizacao_Desmobilizacao!Area_de_impressao</vt:lpstr>
      <vt:lpstr>'Outras Despesas (Adm_Manut)'!Area_de_impressao</vt:lpstr>
      <vt:lpstr>'Resumo Total'!Area_de_impressao</vt:lpstr>
      <vt:lpstr>'Resumo Total (%)'!Area_de_impressao</vt:lpstr>
      <vt:lpstr>'Viagens e Diárias (Por Demanda)'!Area_de_impressao</vt:lpstr>
      <vt:lpstr>'Alimentação (Detalhamento)'!Titulos_de_impressao</vt:lpstr>
      <vt:lpstr>'Mao de Obra'!Titulos_de_impressao</vt:lpstr>
      <vt:lpstr>'Mão de Obra  (Detalhamento)'!Titulos_de_impressao</vt:lpstr>
      <vt:lpstr>'MemCalculo (AdmManutEscritorio)'!Titulos_de_impressao</vt:lpstr>
      <vt:lpstr>'Viagens e Diárias (Por Demanda)'!Titulos_de_impressao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Alcantara Dutra Ribeiro</dc:creator>
  <cp:lastModifiedBy>Camila Alcantara Dutra Ribeiro</cp:lastModifiedBy>
  <cp:lastPrinted>2018-04-25T18:55:50Z</cp:lastPrinted>
  <dcterms:created xsi:type="dcterms:W3CDTF">2017-06-26T18:50:28Z</dcterms:created>
  <dcterms:modified xsi:type="dcterms:W3CDTF">2018-04-25T19:24:23Z</dcterms:modified>
</cp:coreProperties>
</file>