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C:\Users\alexandre.ruggeri\Desktop\AD-GCT - GERAL\ORÇAMENTOS\CD-Orçamento Serv Esp Regul Amb-092018\"/>
    </mc:Choice>
  </mc:AlternateContent>
  <xr:revisionPtr revIDLastSave="0" documentId="13_ncr:1_{5FCB6139-47EC-49FA-B573-92E6E4EB9689}" xr6:coauthVersionLast="36" xr6:coauthVersionMax="36" xr10:uidLastSave="{00000000-0000-0000-0000-000000000000}"/>
  <bookViews>
    <workbookView xWindow="0" yWindow="60" windowWidth="20490" windowHeight="7695" tabRatio="818" xr2:uid="{00000000-000D-0000-FFFF-FFFF00000000}"/>
  </bookViews>
  <sheets>
    <sheet name="Resumo" sheetId="1" r:id="rId1"/>
    <sheet name="FSUP" sheetId="2" r:id="rId2"/>
    <sheet name="FSUP-I EQUIPE TÉCNICA" sheetId="3" r:id="rId3"/>
    <sheet name="FSUP-II VIAGENS" sheetId="4" r:id="rId4"/>
    <sheet name="FSUP-III Manutenção Operac" sheetId="5" r:id="rId5"/>
    <sheet name="FSUP-IV Mobiliz Desmob" sheetId="6" r:id="rId6"/>
    <sheet name="FSUP-V Det. custos Adm." sheetId="7" r:id="rId7"/>
    <sheet name="FSUP-VI Det. Desp Fiscais" sheetId="8" r:id="rId8"/>
    <sheet name="FSUP-VII Det. Enc. Sociais" sheetId="9" r:id="rId9"/>
  </sheets>
  <externalReferences>
    <externalReference r:id="rId10"/>
  </externalReferences>
  <definedNames>
    <definedName name="_xlnm.Print_Area" localSheetId="1">FSUP!$A$1:$O$46</definedName>
    <definedName name="_xlnm.Print_Area" localSheetId="2">'FSUP-I EQUIPE TÉCNICA'!$A$1:$M$60</definedName>
    <definedName name="_xlnm.Print_Area" localSheetId="3">'FSUP-II VIAGENS'!$A$1:$O$47</definedName>
    <definedName name="_xlnm.Print_Area" localSheetId="4">'FSUP-III Manutenção Operac'!$A$3:$K$51</definedName>
    <definedName name="_xlnm.Print_Area" localSheetId="5">'FSUP-IV Mobiliz Desmob'!$A$1:$N$47</definedName>
    <definedName name="_xlnm.Print_Area" localSheetId="7">'FSUP-VI Det. Desp Fiscais'!$A$1:$H$45</definedName>
    <definedName name="_xlnm.Print_Area" localSheetId="0">Resumo!$A$1:$O$3</definedName>
    <definedName name="COD_ATRIUM">#REF!</definedName>
    <definedName name="COD_SINAPI">#REF!</definedName>
    <definedName name="Excel_BuiltIn_Print_Area_10_1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0">#REF!</definedName>
    <definedName name="Excel_BuiltIn_Print_Area_4">'[1]Item 1.3 Adm. Local'!#REF!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>'[1]Item 1.3 Adm. Local'!#REF!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>#REF!</definedName>
    <definedName name="Excel_BuiltIn_Print_Titles_10">#REF!</definedName>
    <definedName name="Excel_BuiltIn_Print_Titles_13_1">#REF!</definedName>
    <definedName name="Excel_BuiltIn_Print_Titles_16">#REF!</definedName>
    <definedName name="Excel_BuiltIn_Print_Titles_18">#REF!</definedName>
    <definedName name="Excel_BuiltIn_Print_Titles_20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M27" i="5" l="1"/>
  <c r="I25" i="6" l="1"/>
  <c r="H17" i="5" l="1"/>
  <c r="I14" i="3" l="1"/>
  <c r="I37" i="3"/>
  <c r="I22" i="3"/>
  <c r="I16" i="3"/>
  <c r="J16" i="3" s="1"/>
  <c r="I17" i="3"/>
  <c r="J17" i="3" s="1"/>
  <c r="I15" i="3"/>
  <c r="F37" i="3"/>
  <c r="F22" i="3"/>
  <c r="F16" i="3"/>
  <c r="F17" i="3"/>
  <c r="F15" i="3"/>
  <c r="A36" i="8" l="1"/>
  <c r="A52" i="3"/>
  <c r="A18" i="2"/>
  <c r="A33" i="2"/>
  <c r="P37" i="3"/>
  <c r="M31" i="5" l="1"/>
  <c r="M30" i="5"/>
  <c r="M29" i="5"/>
  <c r="M28" i="5"/>
  <c r="F29" i="8" l="1"/>
  <c r="A42" i="8" s="1"/>
  <c r="G14" i="6"/>
  <c r="F34" i="9" l="1"/>
  <c r="P17" i="3" l="1"/>
  <c r="P22" i="3"/>
  <c r="L15" i="3" l="1"/>
  <c r="M14" i="3"/>
  <c r="F14" i="3"/>
  <c r="J25" i="6" l="1"/>
  <c r="G14" i="3"/>
  <c r="N16" i="2"/>
  <c r="N19" i="2" s="1"/>
  <c r="G15" i="3"/>
  <c r="G16" i="3"/>
  <c r="H16" i="3" s="1"/>
  <c r="L16" i="3"/>
  <c r="G17" i="3"/>
  <c r="L17" i="3"/>
  <c r="G22" i="3"/>
  <c r="L22" i="3"/>
  <c r="G37" i="3"/>
  <c r="L37" i="3"/>
  <c r="H13" i="4"/>
  <c r="H14" i="4"/>
  <c r="I12" i="5"/>
  <c r="I13" i="5"/>
  <c r="I17" i="5"/>
  <c r="I18" i="5"/>
  <c r="I19" i="5"/>
  <c r="I20" i="5"/>
  <c r="I21" i="5"/>
  <c r="I22" i="5"/>
  <c r="I23" i="5"/>
  <c r="I27" i="5"/>
  <c r="I28" i="5"/>
  <c r="I35" i="5"/>
  <c r="I36" i="5"/>
  <c r="I37" i="5"/>
  <c r="I38" i="5"/>
  <c r="I39" i="5"/>
  <c r="H14" i="6"/>
  <c r="K14" i="6"/>
  <c r="H25" i="6"/>
  <c r="F38" i="7"/>
  <c r="G13" i="8"/>
  <c r="F21" i="9"/>
  <c r="F42" i="9"/>
  <c r="F47" i="9"/>
  <c r="F49" i="9" s="1"/>
  <c r="L14" i="6" l="1"/>
  <c r="L41" i="6" s="1"/>
  <c r="N12" i="2" s="1"/>
  <c r="I40" i="5"/>
  <c r="N29" i="2" s="1"/>
  <c r="I14" i="5"/>
  <c r="N26" i="2" s="1"/>
  <c r="H32" i="4"/>
  <c r="N21" i="2" s="1"/>
  <c r="I25" i="5"/>
  <c r="N27" i="2" s="1"/>
  <c r="G12" i="8"/>
  <c r="G14" i="8"/>
  <c r="H41" i="6"/>
  <c r="N11" i="2" s="1"/>
  <c r="M42" i="3"/>
  <c r="H15" i="3"/>
  <c r="K16" i="3"/>
  <c r="H14" i="3"/>
  <c r="J14" i="3" s="1"/>
  <c r="K14" i="3" s="1"/>
  <c r="H17" i="3"/>
  <c r="K17" i="3" s="1"/>
  <c r="H22" i="3"/>
  <c r="L42" i="3"/>
  <c r="M13" i="4"/>
  <c r="I29" i="5"/>
  <c r="H37" i="3"/>
  <c r="G29" i="8" l="1"/>
  <c r="N13" i="2"/>
  <c r="G37" i="9"/>
  <c r="G24" i="9"/>
  <c r="G28" i="9"/>
  <c r="G32" i="9"/>
  <c r="G39" i="9"/>
  <c r="G25" i="9"/>
  <c r="G29" i="9"/>
  <c r="G33" i="9"/>
  <c r="G34" i="9" s="1"/>
  <c r="G40" i="9"/>
  <c r="G26" i="9"/>
  <c r="G30" i="9"/>
  <c r="G12" i="9"/>
  <c r="G27" i="9"/>
  <c r="G31" i="9"/>
  <c r="J22" i="3"/>
  <c r="K22" i="3" s="1"/>
  <c r="M32" i="4"/>
  <c r="N22" i="2" s="1"/>
  <c r="N23" i="2" s="1"/>
  <c r="G19" i="9"/>
  <c r="G16" i="9"/>
  <c r="N15" i="2"/>
  <c r="G15" i="9"/>
  <c r="G17" i="9"/>
  <c r="G20" i="9"/>
  <c r="G18" i="9"/>
  <c r="G13" i="9"/>
  <c r="G14" i="9"/>
  <c r="G45" i="9"/>
  <c r="G41" i="9"/>
  <c r="J15" i="3"/>
  <c r="G38" i="9"/>
  <c r="G46" i="9"/>
  <c r="I30" i="5"/>
  <c r="J37" i="3"/>
  <c r="K37" i="3" s="1"/>
  <c r="N17" i="2" l="1"/>
  <c r="N33" i="2" s="1"/>
  <c r="G11" i="7" s="1"/>
  <c r="N18" i="2"/>
  <c r="N20" i="2" s="1"/>
  <c r="A49" i="5"/>
  <c r="A44" i="4"/>
  <c r="A35" i="2"/>
  <c r="J36" i="5"/>
  <c r="K36" i="5" s="1"/>
  <c r="J35" i="5"/>
  <c r="K35" i="5" s="1"/>
  <c r="J31" i="5"/>
  <c r="K31" i="5" s="1"/>
  <c r="J20" i="5"/>
  <c r="K20" i="5" s="1"/>
  <c r="J17" i="5"/>
  <c r="K17" i="5" s="1"/>
  <c r="I14" i="4"/>
  <c r="J14" i="4" s="1"/>
  <c r="J38" i="5"/>
  <c r="K38" i="5" s="1"/>
  <c r="J18" i="5"/>
  <c r="K18" i="5" s="1"/>
  <c r="J12" i="5"/>
  <c r="K12" i="5" s="1"/>
  <c r="A43" i="8"/>
  <c r="J37" i="5"/>
  <c r="K37" i="5" s="1"/>
  <c r="J28" i="5"/>
  <c r="K28" i="5" s="1"/>
  <c r="J27" i="5"/>
  <c r="K27" i="5" s="1"/>
  <c r="J21" i="5"/>
  <c r="K21" i="5" s="1"/>
  <c r="J13" i="5"/>
  <c r="K13" i="5" s="1"/>
  <c r="I13" i="4"/>
  <c r="J13" i="4" s="1"/>
  <c r="M14" i="6"/>
  <c r="N14" i="6" s="1"/>
  <c r="N41" i="6" s="1"/>
  <c r="J29" i="5"/>
  <c r="K29" i="5" s="1"/>
  <c r="J22" i="5"/>
  <c r="K22" i="5" s="1"/>
  <c r="I14" i="6"/>
  <c r="J14" i="6" s="1"/>
  <c r="J41" i="6" s="1"/>
  <c r="J39" i="5"/>
  <c r="K39" i="5" s="1"/>
  <c r="J30" i="5"/>
  <c r="K30" i="5" s="1"/>
  <c r="J19" i="5"/>
  <c r="K19" i="5" s="1"/>
  <c r="J23" i="5"/>
  <c r="K23" i="5" s="1"/>
  <c r="N13" i="4"/>
  <c r="O13" i="4" s="1"/>
  <c r="O32" i="4" s="1"/>
  <c r="K15" i="3"/>
  <c r="G47" i="9"/>
  <c r="G21" i="9"/>
  <c r="G42" i="9"/>
  <c r="I31" i="5"/>
  <c r="I33" i="5" s="1"/>
  <c r="N28" i="2" s="1"/>
  <c r="N31" i="2" s="1"/>
  <c r="J32" i="4" l="1"/>
  <c r="K40" i="5"/>
  <c r="K14" i="5"/>
  <c r="K25" i="5"/>
  <c r="K33" i="5"/>
  <c r="G49" i="9"/>
  <c r="N34" i="2"/>
  <c r="N35" i="2" s="1"/>
  <c r="G13" i="7"/>
  <c r="G12" i="7"/>
  <c r="N32" i="2"/>
  <c r="H12" i="8" l="1"/>
  <c r="G38" i="7"/>
  <c r="N1" i="1"/>
  <c r="N36" i="2" l="1"/>
  <c r="N2" i="1" s="1"/>
  <c r="H14" i="8"/>
  <c r="H13" i="8"/>
  <c r="N37" i="2" l="1"/>
  <c r="N3" i="1" s="1"/>
  <c r="H29" i="8"/>
</calcChain>
</file>

<file path=xl/sharedStrings.xml><?xml version="1.0" encoding="utf-8"?>
<sst xmlns="http://schemas.openxmlformats.org/spreadsheetml/2006/main" count="417" uniqueCount="271">
  <si>
    <t>TOTAL DOS CUSTOS DIRETOS</t>
  </si>
  <si>
    <t>TOTAL DO CUSTOS INDIRETOS</t>
  </si>
  <si>
    <t>TOTAL DA PROPOSTA</t>
  </si>
  <si>
    <t>PROPOSTA FINANCEIRA SUP. E APOIO A FISC. DE OBRA</t>
  </si>
  <si>
    <t>CODIGO:</t>
  </si>
  <si>
    <t>FSUP</t>
  </si>
  <si>
    <t>NOME DA CONSULTORA:</t>
  </si>
  <si>
    <t>PROJETO:</t>
  </si>
  <si>
    <t>OBJETO:</t>
  </si>
  <si>
    <t>EDITAL:</t>
  </si>
  <si>
    <t>SERVIÇOS PAGOS A PREÇO UNITÁRIO</t>
  </si>
  <si>
    <t>MOBILIZAÇÃO/DESMOBILIZAÇÃO</t>
  </si>
  <si>
    <t xml:space="preserve"> A1 - MOBILIZAÇÃO (FSUP-IV)</t>
  </si>
  <si>
    <t xml:space="preserve"> A2 - DESMOBILIZAÇÃO (FSUP-IV)</t>
  </si>
  <si>
    <t xml:space="preserve"> A - TOTAL DOS CUSTOS COM MOBILIZAÇÃO E DESMOBILIZAÇÃO</t>
  </si>
  <si>
    <t>MÃO-DE-OBRA</t>
  </si>
  <si>
    <t xml:space="preserve"> B1 - TOTAL DE SALÁRIO DA EQUIPE COM VÍNCULO (FSUP-I)</t>
  </si>
  <si>
    <t xml:space="preserve"> B2 - TOTAL DE SALÁRIO DO AUTÔNOMO (FSUP-I)</t>
  </si>
  <si>
    <t xml:space="preserve"> B - TOTAL DOS CUSTOS DE SALÁRIOS DA EQUIPE</t>
  </si>
  <si>
    <t xml:space="preserve"> C2 - ENCARGOS SOCIAIS DE B2 (20% DO B2)</t>
  </si>
  <si>
    <t xml:space="preserve"> C - TOTAL DOS CUSTOS COM ENCARGOS SOCIAIS</t>
  </si>
  <si>
    <t xml:space="preserve"> D1 - CUSTO TOTAL DAS PASSAGENS AÉREAS E TERRESTRES (FSUP-II)</t>
  </si>
  <si>
    <t xml:space="preserve"> D2 - CUSTO TOTAL DAS DIÁRIAS (FSUP-II)</t>
  </si>
  <si>
    <t xml:space="preserve"> D - TOTAL DO CUSTO COM VIAGENS</t>
  </si>
  <si>
    <t>MANUTENÇÃO OPERACIONAL</t>
  </si>
  <si>
    <t xml:space="preserve"> 1 - CUSTO DOS VEÍCULOS (FSUP-III, ITEM 1)</t>
  </si>
  <si>
    <t>E - TOTAL DOS PREÇOS COM MANUTENÇÃO OPERACIONAL</t>
  </si>
  <si>
    <t xml:space="preserve"> G - REMUNERAÇÃO DA EMPRESA (LUCRO) = (10% DE A + B + C + D + E + F)</t>
  </si>
  <si>
    <t>NOME DO INFORMANTE:</t>
  </si>
  <si>
    <t>QUALIFICAÇÃO:</t>
  </si>
  <si>
    <t>ASSINATURA:</t>
  </si>
  <si>
    <t>DATA:</t>
  </si>
  <si>
    <t>OBSERVAÇÃO:</t>
  </si>
  <si>
    <t>SALÁRIOS DA EQUIPE TÉCNICA</t>
  </si>
  <si>
    <t>FSUP- I</t>
  </si>
  <si>
    <t>EQUIPE TÉCNICA</t>
  </si>
  <si>
    <t>COMPOSIÇÃO DOS SALÁRIOS POR PROFISSÃO/FUNÇÃO</t>
  </si>
  <si>
    <t xml:space="preserve">CUSTOS </t>
  </si>
  <si>
    <t>SALÁRIO</t>
  </si>
  <si>
    <t>ENC.</t>
  </si>
  <si>
    <t xml:space="preserve">CUSTO 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</si>
  <si>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</si>
  <si>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</si>
  <si>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</si>
  <si>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</si>
  <si>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</si>
  <si>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</si>
  <si>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</si>
  <si>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</si>
  <si>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</si>
  <si>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</si>
  <si>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</si>
  <si>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</si>
  <si>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</si>
  <si>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B1</t>
  </si>
  <si>
    <t>B2</t>
  </si>
  <si>
    <t>NÍVEL SUPERIOR</t>
  </si>
  <si>
    <t>C</t>
  </si>
  <si>
    <t>P1</t>
  </si>
  <si>
    <t>P2</t>
  </si>
  <si>
    <t>NÍVEL TÉCNICO</t>
  </si>
  <si>
    <t>T1</t>
  </si>
  <si>
    <t>NÍVEL AUXILIAR</t>
  </si>
  <si>
    <t>A2</t>
  </si>
  <si>
    <t>A3</t>
  </si>
  <si>
    <t>APOIO</t>
  </si>
  <si>
    <t>TOTAIS DOS  SALÁRIOS DA EQUIPE</t>
  </si>
  <si>
    <t>1 - UTILIZAR  OS PARÂMETROS DE CLASSIFICAÇÃO  INDICADOS NO TSUP- II EQUIPE TÉCNICA</t>
  </si>
  <si>
    <t>2- UTILIZAR OS SÍMBOLOS INDICADOS NO TSUP-II EQUIPE TÉCNICA</t>
  </si>
  <si>
    <t xml:space="preserve">3- INDICAR A QUANTIDADE DE HOMENS POR CATEGORIA. </t>
  </si>
  <si>
    <t>4- INIDCAR O SALÁRIO BASE DA CATEGORIA</t>
  </si>
  <si>
    <t>6- CUSTO DE ADMINISTRAÇÃO, APLICAR NO MÁXIMO 25% SOBRE O SALÁRIO BASE DA CATEGORIA</t>
  </si>
  <si>
    <t>7 - REMUN. DA EMPRESA (LUCRO), APLICAR NO MÁXIMO 10% SOBRE O SALÁRIO DA CATEG + ENCARGOS SOCIAIS + CUSTO DE ADM.</t>
  </si>
  <si>
    <r>
      <t xml:space="preserve">8 - DESP. FISCAIS, APLICAR O </t>
    </r>
    <r>
      <rPr>
        <b/>
        <sz val="7"/>
        <rFont val="Arial"/>
        <family val="2"/>
      </rPr>
      <t xml:space="preserve">DF' </t>
    </r>
    <r>
      <rPr>
        <sz val="7"/>
        <rFont val="Arial"/>
        <family val="2"/>
      </rPr>
      <t xml:space="preserve">CALCULADO NO FSUP-VI SOBRE O SALÁRIO DA CATEG. + ENC. SOCIAIS + CUSTO DE ADM. + LUCRO </t>
    </r>
  </si>
  <si>
    <t xml:space="preserve">9- PREÇO DO HOMEM MÊS POR CATEGORIA = SOMATÓRIO DOS ITENS   (4) + (5) + (6) + (7) +(8) </t>
  </si>
  <si>
    <t>10- PREÇO DA HORA TÉCNICA = (9) / 176</t>
  </si>
  <si>
    <t>11 - SALÁRIOS DE B1 = SALARIO DOS EMPREGADOS COM VÍNCULO X QTD HOMEM MÊS. EXPORTAR O TOTAL PARA LINHA B1 DO FSUP</t>
  </si>
  <si>
    <t>12 - SALÁRIO DE B2 = SALÁRIO DO AUTÔNOMO X QTD HOMEM X MÊS. EXPORTAR O TOTAL PARA A LINHA B2 DO FSUP</t>
  </si>
  <si>
    <t>VIAGENS DA EQUIPE TÉCNICA</t>
  </si>
  <si>
    <t>SIMBOLO</t>
  </si>
  <si>
    <t>ROTEIRO (ida e volta)</t>
  </si>
  <si>
    <t>PASSAGENS</t>
  </si>
  <si>
    <t>DIÁRIAS</t>
  </si>
  <si>
    <t>A/T</t>
  </si>
  <si>
    <t>CUSTO</t>
  </si>
  <si>
    <t>PREÇO</t>
  </si>
  <si>
    <t>UNITÁRIO</t>
  </si>
  <si>
    <t>TOTAL</t>
  </si>
  <si>
    <t>A</t>
  </si>
  <si>
    <t>T</t>
  </si>
  <si>
    <t>TOTAIS DE CUSTOS E DE PREÇOS DE PASSAGENS E DIÁRIAS</t>
  </si>
  <si>
    <t>OBSERVAÇÕES:</t>
  </si>
  <si>
    <t xml:space="preserve">1 - VIAGENS DURANTE  A EXECUÇÃO DOS SERVIÇOS,  INCLUÍNDO REUNIÕES NA ADM. CENTRAL DA CODEVASF </t>
  </si>
  <si>
    <t>2 - NÂO INCLUIR  VIAGENS COM MOBILIZAÇÃO/DESMOBILIZAÇÃO DA EQUIPE QUE SERÃO CALCULADOS NO PSUP-IV</t>
  </si>
  <si>
    <t>3 - AS DIÁRIAS COBREM DESPESAS COM TAXI, ALIMENTAÇÃO E HOSPEDAGEM</t>
  </si>
  <si>
    <t>4 - INDICAR (A) PARA AS PASSAGENS  AÉREAS E (T) PARA AS TERRESTRES</t>
  </si>
  <si>
    <t>5 - CUSTO DO ITEM SEM LUCRO E SEM DESPESAS FISCAIS</t>
  </si>
  <si>
    <t>6 - EXPORTAR O TOTAL DO CUSTO COM PASSAGENS E DIÁRIAS, RESPECTIVAMENTE,  LINHAS  "D1" E "D2" DO PSUP</t>
  </si>
  <si>
    <t>7 - OS PREÇOS UNITÁRIOS SERÃO UTILIZADOS PARA FINS  DE FATURARAMENTO</t>
  </si>
  <si>
    <t xml:space="preserve"> MANUTENÇÃO OPERACIONAL</t>
  </si>
  <si>
    <t>FSUP-III</t>
  </si>
  <si>
    <t>DISCRIMINAÇÃO</t>
  </si>
  <si>
    <t>UND</t>
  </si>
  <si>
    <r>
      <t xml:space="preserve">CUSTOS </t>
    </r>
    <r>
      <rPr>
        <b/>
        <vertAlign val="superscript"/>
        <sz val="8"/>
        <rFont val="Arial"/>
        <family val="2"/>
      </rPr>
      <t>2</t>
    </r>
  </si>
  <si>
    <r>
      <t xml:space="preserve">PREÇOS </t>
    </r>
    <r>
      <rPr>
        <b/>
        <vertAlign val="superscript"/>
        <sz val="8"/>
        <rFont val="Arial"/>
        <family val="2"/>
      </rPr>
      <t>3</t>
    </r>
  </si>
  <si>
    <t>UNT</t>
  </si>
  <si>
    <t>1    VEÍCULOS</t>
  </si>
  <si>
    <t>mês</t>
  </si>
  <si>
    <t>1.2 Aluguel de veículos leve</t>
  </si>
  <si>
    <t>Total dos custos e dos preços dos veículos</t>
  </si>
  <si>
    <t>Total dos custos e dos preços dos serv. gráficos/computação</t>
  </si>
  <si>
    <t>2. Custo do item sem lucro e despesas fiscais</t>
  </si>
  <si>
    <t>4. Exportar " total custo" para a  linha corresponde no FSUP. Os preços serão aplicados para fins de faturamento</t>
  </si>
  <si>
    <t>MOBILIZAÇÃO E DESMOBILIZAÇÃO</t>
  </si>
  <si>
    <t>FSUP-IV</t>
  </si>
  <si>
    <t>SÍMB.</t>
  </si>
  <si>
    <t>UNID</t>
  </si>
  <si>
    <t>QTD.</t>
  </si>
  <si>
    <t>MOBILIZAÇÃO</t>
  </si>
  <si>
    <t>DESMOBILIZAÇÃO</t>
  </si>
  <si>
    <t>1.      DESLOCAMENTO DA EQUIPE</t>
  </si>
  <si>
    <t>1.1    Passagens aéreas</t>
  </si>
  <si>
    <t>unid.</t>
  </si>
  <si>
    <t>1.2    Diárias</t>
  </si>
  <si>
    <t>TOTAIS DE CUSTOS E DE PREÇOS DE MOBILIZAÇÃO/DESMOBILIZAÇÃO</t>
  </si>
  <si>
    <t>OBS: 1 - Custo do item sem lucro e sem despesas fiscais. Os totais detes deverão ser exportados para o item correspondente no FSUP</t>
  </si>
  <si>
    <t>DETALHAMENTO DOS CUSTOS DE ADMINISTRAÇÃO</t>
  </si>
  <si>
    <t>FSUP-V</t>
  </si>
  <si>
    <t>SEQ.</t>
  </si>
  <si>
    <t>VALORES</t>
  </si>
  <si>
    <t>%</t>
  </si>
  <si>
    <t>R$</t>
  </si>
  <si>
    <t>Custos da equipe da administração central da empresa consultora(diretoria,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</si>
  <si>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</si>
  <si>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</si>
  <si>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</si>
  <si>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OBSERVAÇAO:</t>
  </si>
  <si>
    <t xml:space="preserve">1 - RELACIONAR OS CUSTOS DE ADMINISTRAÇÃO COM RESPECTIVOS PERCENTUAIS INCIDENTES NA MÃO -DE-OBRA DOS </t>
  </si>
  <si>
    <t xml:space="preserve">     SERVIÇOS</t>
  </si>
  <si>
    <t xml:space="preserve"> DETALHAMENTO DAS DESPESAS FISCAIS</t>
  </si>
  <si>
    <t>FSUP-VI</t>
  </si>
  <si>
    <r>
      <t xml:space="preserve">DISCRIMINAÇÃO </t>
    </r>
    <r>
      <rPr>
        <b/>
        <vertAlign val="superscript"/>
        <sz val="9"/>
        <rFont val="Arial"/>
        <family val="2"/>
      </rPr>
      <t>1</t>
    </r>
  </si>
  <si>
    <r>
      <t xml:space="preserve"> DF (%) </t>
    </r>
    <r>
      <rPr>
        <b/>
        <vertAlign val="superscript"/>
        <sz val="9"/>
        <rFont val="Arial"/>
        <family val="2"/>
      </rPr>
      <t>2</t>
    </r>
  </si>
  <si>
    <r>
      <t xml:space="preserve">DF' (%) </t>
    </r>
    <r>
      <rPr>
        <b/>
        <vertAlign val="superscript"/>
        <sz val="9"/>
        <rFont val="Arial"/>
        <family val="2"/>
      </rPr>
      <t>3</t>
    </r>
  </si>
  <si>
    <t>2 - PIS</t>
  </si>
  <si>
    <t>3 - COFINS</t>
  </si>
  <si>
    <t xml:space="preserve">TOTAIS DE DESPESAS FISCAIS </t>
  </si>
  <si>
    <t>Observação:</t>
  </si>
  <si>
    <t>1 - DISCRIMINAR OS TRIBUTOS QUE INCIDEM SOBRE OS CUSTOS DA PRESTAÇÃO DOS SERVIÇOS</t>
  </si>
  <si>
    <t xml:space="preserve">3 - AS DESPESAS FISCAIS (DF) INCIDEM SOBRE O TOTAL DA FATURA E NÃO SOBRE OS CUSTOS INCORRIDOS, </t>
  </si>
  <si>
    <t>DETALHAMENTO DOS ENCARGOS SOCIAIS</t>
  </si>
  <si>
    <t>FSUP-VII</t>
  </si>
  <si>
    <t>ENCARGOS SOCIAIS BÁSICOS</t>
  </si>
  <si>
    <t>A1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</si>
  <si>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</si>
  <si>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</si>
  <si>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</si>
  <si>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</si>
  <si>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</si>
  <si>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</si>
  <si>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</si>
  <si>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</si>
  <si>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</si>
  <si>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</si>
  <si>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</si>
  <si>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</si>
  <si>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</si>
  <si>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</si>
  <si>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</si>
  <si>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</si>
  <si>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</si>
  <si>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 xml:space="preserve"> ENCARGOS SOCIAIS QUE RECEBEM INCIDÊNCIA DE "A"</t>
  </si>
  <si>
    <t xml:space="preserve">13º Salário  </t>
  </si>
  <si>
    <t>SUBTOTAL DE  "B"</t>
  </si>
  <si>
    <t xml:space="preserve"> ENCARGOS SOCIAIS QUE NÃO RECEBEM INCIDÊNCIA DE "A"</t>
  </si>
  <si>
    <t>C1</t>
  </si>
  <si>
    <t>Depósito por despedida sem justa causa</t>
  </si>
  <si>
    <t>C2</t>
  </si>
  <si>
    <t>Férias</t>
  </si>
  <si>
    <t>C3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</si>
  <si>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</si>
  <si>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</si>
  <si>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</si>
  <si>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</si>
  <si>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</si>
  <si>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</si>
  <si>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de "A" sobre aviso prévio</t>
  </si>
  <si>
    <t>SUBTOTAL DE "D"</t>
  </si>
  <si>
    <t>TOTAIS DE ENCARGOS SOCIAIS</t>
  </si>
  <si>
    <t xml:space="preserve">1 - DISCRIMINAR OS ENCARGOS SOCIAIS COM SEUS RESPECTIVOS PERCENTUAS TOTALIZANDO OS MESMOS. </t>
  </si>
  <si>
    <t>2 - O % TOTAL SERÁ APLICADO PARA CÁLCULAR OS E. SOCIAIS INCIDENTES NA MÃO-DE-OBRA COM VÍNCULO, LINHA "B1" DO FSUP</t>
  </si>
  <si>
    <t>FSUP-II</t>
  </si>
  <si>
    <t xml:space="preserve">Ajudante Administrativo </t>
  </si>
  <si>
    <t>Consultoria</t>
  </si>
  <si>
    <t>Profissional Pleno</t>
  </si>
  <si>
    <t>P0</t>
  </si>
  <si>
    <t>Profissional Médio</t>
  </si>
  <si>
    <t>Técnico Pleno</t>
  </si>
  <si>
    <t>Coordenador Geral - Profissional Senior</t>
  </si>
  <si>
    <t>Sede/Diversos/Sede</t>
  </si>
  <si>
    <t xml:space="preserve">         a) Coordenador</t>
  </si>
  <si>
    <t xml:space="preserve">         a)  Coordenador</t>
  </si>
  <si>
    <t>Meio Ambiente</t>
  </si>
  <si>
    <t>Regularidade Ambiental</t>
  </si>
  <si>
    <t xml:space="preserve">Meio Ambiente </t>
  </si>
  <si>
    <t>Total dos custos e dos preços da manut. e adm. do escrit.  de apoio em Brasília/DF</t>
  </si>
  <si>
    <t>2     MANUTENÇÃO E ADMINISTRAÇÃO DO ESCRITÓRIO DE APOIO (BRASÍLIA/DF)</t>
  </si>
  <si>
    <t>2.3 Energia elétrica</t>
  </si>
  <si>
    <t xml:space="preserve">3     EQUIPAMENTOS </t>
  </si>
  <si>
    <t>4.2 Relatórios de atividades dos profissionais (média = 50 folhas)</t>
  </si>
  <si>
    <t>4.4 Confecção de Faixas/Banners</t>
  </si>
  <si>
    <t>Total dos custos e dos preços dos equip. de apoio em Brasília/DF</t>
  </si>
  <si>
    <t xml:space="preserve"> 3 - EQUIPAMENTO (FSUP-III, ITEM 3)</t>
  </si>
  <si>
    <t xml:space="preserve"> 2 - CUSTO DA MANUTENÇÃO E ADMINISTRAÇÃO DO ESCRITÓRIO DE APOIO (FSUP-III, ITEM 2)</t>
  </si>
  <si>
    <t xml:space="preserve"> 4 - SERVIÇOS GRÁFICOS/COMPUTAÇÃO  (FSUP-III, ITEM 4)</t>
  </si>
  <si>
    <t>4     SERVIÇOS GRÁFICOS</t>
  </si>
  <si>
    <t>4.3 Impressão de Material de Divulgação (Folders - formato: a) aberto 15,0 x 59,5cm; b) fechado 15,0 x 15,0cm - em papel Couche Liso)</t>
  </si>
  <si>
    <t>4.5 Impressão de Cartilhas para Ações de Educação Ambiental (média = 50 folhas)</t>
  </si>
  <si>
    <t xml:space="preserve">OBS.: Tendo em vista que o contrato será desenvolvido em localidades diversas, foi adotada a alíquota de 5% de ISS, </t>
  </si>
  <si>
    <t>usual em muitos municípios.</t>
  </si>
  <si>
    <t>Regularização Ambiental</t>
  </si>
  <si>
    <t xml:space="preserve">1 - ISS </t>
  </si>
  <si>
    <t xml:space="preserve">         2 -  Preço = custo + lucro + despesas fiscais e será calculado com a seguinte fórmula: custo*(1+0,1)*(1+0,1396). O preço será utilizado para fins de faturamento</t>
  </si>
  <si>
    <t xml:space="preserve"> O TOTAL CALCULADO NA LINHA "H" DO PFSUP  SERÁ IMPORTADO PARA COMPOR ESTE DETALHAMENTO.</t>
  </si>
  <si>
    <t>C/P0/P1/P2/T1</t>
  </si>
  <si>
    <t>C/P0/P1/P2/T1/A2</t>
  </si>
  <si>
    <t xml:space="preserve">NOME DO INFORMANTE: </t>
  </si>
  <si>
    <t xml:space="preserve">QUALIFICAÇÃO: 
                                   </t>
  </si>
  <si>
    <t xml:space="preserve">DATA: </t>
  </si>
  <si>
    <t xml:space="preserve">8 - AS PASSAGENS AÉREAS POSSUEM VALOR UNITÁRIO MÉDIO ENTRE OS TRECHOS SDU/BSB/SDU, GRU/BSB/GRU, POA/BSB/POA E SSA/BSB/SSA </t>
  </si>
  <si>
    <t xml:space="preserve">9 - AS PASSAGENS TERRESTRES SÃO COM BASE NO VALOR DA PASSAGEM DA CAPITAL AO INTERIOR DO ESTADO DA BAHIA (MAIOR ESTADO DA ÁREA DE ATUAÇÃO DA CODEVASF) </t>
  </si>
  <si>
    <t>1.1 Aluguel de veículos 4x4 - Tipo Caminhonete (Cabine Dupla)</t>
  </si>
  <si>
    <r>
      <t xml:space="preserve">     DEVENDO SER CALCULADO O </t>
    </r>
    <r>
      <rPr>
        <b/>
        <sz val="7"/>
        <rFont val="Arial"/>
        <family val="2"/>
      </rPr>
      <t>DF'</t>
    </r>
    <r>
      <rPr>
        <sz val="7"/>
        <rFont val="Arial"/>
        <family val="2"/>
      </rPr>
      <t xml:space="preserve"> APLICANDO-SE A SEGUINTE FÓRMULA:</t>
    </r>
  </si>
  <si>
    <t>1. Aluguel de veículos inclui combustível e manutenção até o limite de 3000km/mês</t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</si>
  <si>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</si>
  <si>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</si>
  <si>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</si>
  <si>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</si>
  <si>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</si>
  <si>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</si>
  <si>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</si>
  <si>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</si>
  <si>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</si>
  <si>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</si>
  <si>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Auxílio - Enfermidade</t>
  </si>
  <si>
    <t>Licença Paternidade</t>
  </si>
  <si>
    <t>faltas Justificadas</t>
  </si>
  <si>
    <t>Dias de Chuvas</t>
  </si>
  <si>
    <t>Auxílio Acidente de Trabalho</t>
  </si>
  <si>
    <t>Férias Gozadas</t>
  </si>
  <si>
    <t>Salário Maternidade</t>
  </si>
  <si>
    <t>C4</t>
  </si>
  <si>
    <t>C5</t>
  </si>
  <si>
    <t>Aviso prévio Indenizado</t>
  </si>
  <si>
    <t>Aviso prévio Trabalhado</t>
  </si>
  <si>
    <t>Indenização Adicional</t>
  </si>
  <si>
    <t xml:space="preserve"> (10555/ORSE)</t>
  </si>
  <si>
    <t>2.5 Material de limpeza (10563/ORSE)</t>
  </si>
  <si>
    <t>2.6 Internet (10562/ORSE)</t>
  </si>
  <si>
    <t>2.2 Telefone (10557/ORSE)</t>
  </si>
  <si>
    <t>2.7 Material de escritório (10562/ORSE)</t>
  </si>
  <si>
    <t>UNID/MÊS</t>
  </si>
  <si>
    <t>4.1 Relatórios Mensais do Contrato (até 200 folhas)</t>
  </si>
  <si>
    <r>
      <t>DF'</t>
    </r>
    <r>
      <rPr>
        <sz val="7"/>
        <rFont val="Arial"/>
        <family val="2"/>
      </rPr>
      <t xml:space="preserve"> = { [ 1 / ( 1 - DF) ] - 1 } x 100</t>
    </r>
  </si>
  <si>
    <t>2.1 Aluguel de escritório com mobiliário (Consultoria SICRO-Esc.1750,92+Mob.753,04)</t>
  </si>
  <si>
    <t>2.4 água  e esgoto (AGETOP-Agua/2755-Esgoto/2759)</t>
  </si>
  <si>
    <t>3.1 Notebook (P0, P1, P2 e T1) - (Core i7, 8Gb RAM, 1Tb)</t>
  </si>
  <si>
    <t>3.2 Impressora Multifuncional Colorida</t>
  </si>
  <si>
    <t>3.3 Máquina fotográfica (16.1MP, 8Gb de memória)</t>
  </si>
  <si>
    <t>3.4 GPS</t>
  </si>
  <si>
    <t>3.5 Data 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</si>
</sst>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R$&quot;\ #,##0.00;[Red]\-&quot;R$&quot;\ #,##0.00"/>
    <numFmt numFmtId="165" formatCode="General_)"/>
    <numFmt numFmtId="166" formatCode="0_)"/>
    <numFmt numFmtId="167" formatCode="#,##0.000;[Red]\-#,##0.000"/>
    <numFmt numFmtId="168" formatCode="&quot;R$&quot;\ #,##0.00"/>
    <numFmt numFmtId="169" formatCode="#,##0.0000_ ;[Red]\-#,##0.0000\ "/>
    <numFmt numFmtId="170" formatCode="0.000%"/>
  </numFmts>
  <fonts count="29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6"/>
      <name val="MS Sans Serif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7"/>
      <color indexed="8"/>
      <name val="Times New Roman"/>
      <family val="1"/>
    </font>
    <font>
      <sz val="8"/>
      <name val="Times New Roman"/>
      <family val="1"/>
    </font>
    <font>
      <b/>
      <vertAlign val="superscript"/>
      <sz val="8"/>
      <name val="Arial"/>
      <family val="2"/>
    </font>
    <font>
      <sz val="8"/>
      <color indexed="8"/>
      <name val="Arial"/>
      <family val="2"/>
    </font>
    <font>
      <sz val="14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7"/>
      <color indexed="10"/>
      <name val="Arial"/>
      <family val="2"/>
    </font>
    <font>
      <b/>
      <sz val="7"/>
      <color indexed="10"/>
      <name val="Arial"/>
      <family val="2"/>
    </font>
    <font>
      <sz val="8"/>
      <color indexed="10"/>
      <name val="Arial"/>
      <family val="2"/>
    </font>
    <font>
      <sz val="8"/>
      <color theme="0"/>
      <name val="Arial"/>
      <family val="2"/>
    </font>
    <font>
      <sz val="8"/>
      <color theme="0" tint="-0.34998626667073579"/>
      <name val="Arial"/>
      <family val="2"/>
    </font>
    <font>
      <sz val="10"/>
      <color theme="0" tint="-0.34998626667073579"/>
      <name val="MS Sans Serif"/>
      <family val="2"/>
    </font>
    <font>
      <sz val="8"/>
      <color rgb="FF00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4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5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1" applyNumberFormat="0" applyFill="0" applyAlignment="0" applyProtection="0"/>
    <xf numFmtId="40" fontId="21" fillId="0" borderId="0" applyFill="0" applyBorder="0" applyAlignment="0" applyProtection="0"/>
    <xf numFmtId="9" fontId="21" fillId="0" borderId="0" applyFont="0" applyFill="0" applyBorder="0" applyAlignment="0" applyProtection="0"/>
  </cellStyleXfs>
  <cellXfs count="495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5" xfId="0" applyFont="1" applyFill="1" applyBorder="1" applyAlignment="1">
      <alignment horizontal="left" vertical="top"/>
    </xf>
    <xf numFmtId="0" fontId="7" fillId="0" borderId="5" xfId="5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7" fillId="0" borderId="9" xfId="5" applyFont="1" applyBorder="1" applyAlignment="1">
      <alignment horizontal="left" vertical="top"/>
    </xf>
    <xf numFmtId="4" fontId="10" fillId="0" borderId="5" xfId="5" applyNumberFormat="1" applyFont="1" applyBorder="1" applyAlignment="1">
      <alignment horizontal="center" vertical="center"/>
    </xf>
    <xf numFmtId="39" fontId="11" fillId="0" borderId="10" xfId="1" applyNumberFormat="1" applyFont="1" applyFill="1" applyBorder="1" applyAlignment="1" applyProtection="1">
      <alignment horizontal="center" vertical="center"/>
      <protection locked="0"/>
    </xf>
    <xf numFmtId="40" fontId="11" fillId="0" borderId="10" xfId="7" applyFont="1" applyFill="1" applyBorder="1" applyAlignment="1" applyProtection="1">
      <alignment horizontal="center" vertical="center"/>
      <protection locked="0"/>
    </xf>
    <xf numFmtId="40" fontId="11" fillId="0" borderId="6" xfId="7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Border="1" applyAlignment="1">
      <alignment horizontal="center" vertical="center"/>
    </xf>
    <xf numFmtId="4" fontId="12" fillId="0" borderId="11" xfId="5" applyNumberFormat="1" applyFont="1" applyBorder="1" applyAlignment="1">
      <alignment horizontal="center" vertical="center"/>
    </xf>
    <xf numFmtId="4" fontId="9" fillId="0" borderId="11" xfId="5" applyNumberFormat="1" applyFont="1" applyBorder="1" applyAlignment="1">
      <alignment horizontal="center" vertical="center"/>
    </xf>
    <xf numFmtId="49" fontId="11" fillId="0" borderId="2" xfId="7" applyNumberFormat="1" applyFont="1" applyFill="1" applyBorder="1" applyAlignment="1" applyProtection="1">
      <alignment horizontal="center" vertical="center"/>
      <protection locked="0"/>
    </xf>
    <xf numFmtId="49" fontId="11" fillId="0" borderId="12" xfId="7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center" vertical="top" wrapText="1"/>
    </xf>
    <xf numFmtId="4" fontId="7" fillId="0" borderId="4" xfId="5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center" wrapText="1"/>
    </xf>
    <xf numFmtId="1" fontId="7" fillId="0" borderId="4" xfId="5" applyNumberFormat="1" applyFont="1" applyBorder="1" applyAlignment="1">
      <alignment horizontal="center"/>
    </xf>
    <xf numFmtId="4" fontId="7" fillId="0" borderId="4" xfId="5" applyNumberFormat="1" applyFont="1" applyBorder="1" applyAlignment="1">
      <alignment horizontal="right"/>
    </xf>
    <xf numFmtId="4" fontId="7" fillId="0" borderId="13" xfId="5" applyNumberFormat="1" applyFont="1" applyBorder="1" applyAlignment="1">
      <alignment horizontal="center"/>
    </xf>
    <xf numFmtId="0" fontId="9" fillId="0" borderId="15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1" fontId="7" fillId="0" borderId="4" xfId="5" applyNumberFormat="1" applyFont="1" applyBorder="1" applyAlignment="1">
      <alignment horizontal="center" vertical="center"/>
    </xf>
    <xf numFmtId="4" fontId="9" fillId="0" borderId="4" xfId="5" applyNumberFormat="1" applyFont="1" applyBorder="1" applyAlignment="1">
      <alignment horizontal="right" vertical="center"/>
    </xf>
    <xf numFmtId="0" fontId="7" fillId="0" borderId="4" xfId="5" applyFont="1" applyBorder="1" applyAlignment="1">
      <alignment horizontal="left" vertical="top"/>
    </xf>
    <xf numFmtId="0" fontId="7" fillId="0" borderId="6" xfId="2" applyFont="1" applyBorder="1" applyAlignment="1">
      <alignment horizontal="left" vertical="top"/>
    </xf>
    <xf numFmtId="0" fontId="9" fillId="0" borderId="0" xfId="2" applyFont="1" applyBorder="1" applyAlignment="1">
      <alignment horizontal="left" vertical="top"/>
    </xf>
    <xf numFmtId="0" fontId="9" fillId="0" borderId="10" xfId="2" applyFont="1" applyBorder="1" applyAlignment="1">
      <alignment horizontal="left" vertical="top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6" fillId="2" borderId="9" xfId="2" applyFont="1" applyFill="1" applyBorder="1" applyAlignment="1">
      <alignment horizontal="center" vertical="center"/>
    </xf>
    <xf numFmtId="0" fontId="7" fillId="0" borderId="2" xfId="5" applyFont="1" applyBorder="1" applyAlignment="1">
      <alignment horizontal="left" vertical="top"/>
    </xf>
    <xf numFmtId="0" fontId="7" fillId="0" borderId="3" xfId="5" applyFont="1" applyBorder="1" applyAlignment="1">
      <alignment horizontal="left" vertical="top"/>
    </xf>
    <xf numFmtId="0" fontId="7" fillId="0" borderId="8" xfId="2" applyFont="1" applyBorder="1" applyAlignment="1">
      <alignment horizontal="left" vertical="center"/>
    </xf>
    <xf numFmtId="0" fontId="1" fillId="0" borderId="16" xfId="0" applyFont="1" applyBorder="1" applyAlignment="1">
      <alignment horizontal="left"/>
    </xf>
    <xf numFmtId="0" fontId="8" fillId="0" borderId="17" xfId="5" applyFont="1" applyBorder="1" applyAlignment="1">
      <alignment horizontal="center" vertical="center" wrapText="1"/>
    </xf>
    <xf numFmtId="0" fontId="8" fillId="0" borderId="14" xfId="5" applyFont="1" applyBorder="1" applyAlignment="1">
      <alignment horizontal="center" vertical="center"/>
    </xf>
    <xf numFmtId="0" fontId="8" fillId="0" borderId="13" xfId="5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4" fontId="14" fillId="0" borderId="14" xfId="0" applyNumberFormat="1" applyFont="1" applyBorder="1" applyAlignment="1" applyProtection="1">
      <alignment horizontal="right"/>
      <protection locked="0"/>
    </xf>
    <xf numFmtId="4" fontId="1" fillId="0" borderId="14" xfId="0" applyNumberFormat="1" applyFont="1" applyBorder="1" applyAlignment="1">
      <alignment horizontal="right" vertical="center"/>
    </xf>
    <xf numFmtId="4" fontId="14" fillId="0" borderId="14" xfId="0" applyNumberFormat="1" applyFont="1" applyBorder="1" applyAlignment="1" applyProtection="1">
      <protection locked="0"/>
    </xf>
    <xf numFmtId="4" fontId="1" fillId="0" borderId="14" xfId="5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1" fillId="0" borderId="14" xfId="5" applyNumberFormat="1" applyFont="1" applyFill="1" applyBorder="1" applyAlignment="1">
      <alignment horizontal="right" vertical="center"/>
    </xf>
    <xf numFmtId="0" fontId="1" fillId="0" borderId="14" xfId="0" applyFont="1" applyBorder="1" applyAlignment="1">
      <alignment horizontal="left" vertical="center"/>
    </xf>
    <xf numFmtId="4" fontId="1" fillId="0" borderId="14" xfId="0" applyNumberFormat="1" applyFont="1" applyFill="1" applyBorder="1" applyAlignment="1">
      <alignment horizontal="right" vertical="center"/>
    </xf>
    <xf numFmtId="0" fontId="1" fillId="0" borderId="14" xfId="5" applyFont="1" applyBorder="1" applyAlignment="1">
      <alignment vertical="center"/>
    </xf>
    <xf numFmtId="0" fontId="1" fillId="0" borderId="14" xfId="5" applyFont="1" applyBorder="1" applyAlignment="1">
      <alignment horizontal="right" vertical="center"/>
    </xf>
    <xf numFmtId="4" fontId="1" fillId="3" borderId="14" xfId="5" applyNumberFormat="1" applyFont="1" applyFill="1" applyBorder="1" applyAlignment="1">
      <alignment horizontal="right" vertical="center"/>
    </xf>
    <xf numFmtId="4" fontId="8" fillId="0" borderId="14" xfId="5" applyNumberFormat="1" applyFont="1" applyBorder="1" applyAlignment="1">
      <alignment horizontal="right" vertical="center"/>
    </xf>
    <xf numFmtId="4" fontId="8" fillId="0" borderId="5" xfId="5" applyNumberFormat="1" applyFont="1" applyBorder="1" applyAlignment="1">
      <alignment horizontal="right" vertical="center"/>
    </xf>
    <xf numFmtId="4" fontId="0" fillId="0" borderId="0" xfId="0" applyNumberFormat="1"/>
    <xf numFmtId="0" fontId="1" fillId="0" borderId="0" xfId="3" applyFont="1" applyBorder="1" applyAlignment="1">
      <alignment horizontal="left" vertical="top"/>
    </xf>
    <xf numFmtId="0" fontId="1" fillId="0" borderId="0" xfId="4" applyFont="1" applyBorder="1" applyAlignment="1">
      <alignment horizontal="left" vertical="top"/>
    </xf>
    <xf numFmtId="0" fontId="1" fillId="0" borderId="3" xfId="4" applyFont="1" applyBorder="1" applyAlignment="1">
      <alignment horizontal="left" vertical="top"/>
    </xf>
    <xf numFmtId="0" fontId="1" fillId="0" borderId="4" xfId="4" applyFont="1" applyBorder="1" applyAlignment="1">
      <alignment horizontal="left" vertical="top"/>
    </xf>
    <xf numFmtId="0" fontId="1" fillId="0" borderId="0" xfId="4" applyFont="1" applyAlignment="1">
      <alignment vertical="center"/>
    </xf>
    <xf numFmtId="0" fontId="1" fillId="0" borderId="2" xfId="4" applyFont="1" applyBorder="1" applyAlignment="1">
      <alignment horizontal="left" vertical="top"/>
    </xf>
    <xf numFmtId="0" fontId="7" fillId="0" borderId="8" xfId="5" applyFont="1" applyBorder="1" applyAlignment="1">
      <alignment horizontal="left" vertical="top"/>
    </xf>
    <xf numFmtId="0" fontId="9" fillId="0" borderId="14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1" fillId="0" borderId="12" xfId="4" applyFont="1" applyBorder="1" applyAlignment="1">
      <alignment horizontal="center" vertical="center" wrapText="1"/>
    </xf>
    <xf numFmtId="0" fontId="1" fillId="0" borderId="14" xfId="4" applyFont="1" applyBorder="1" applyAlignment="1">
      <alignment horizontal="center" vertical="center"/>
    </xf>
    <xf numFmtId="0" fontId="1" fillId="0" borderId="13" xfId="4" applyFont="1" applyBorder="1" applyAlignment="1">
      <alignment horizontal="center" vertical="center"/>
    </xf>
    <xf numFmtId="4" fontId="1" fillId="0" borderId="14" xfId="4" applyNumberFormat="1" applyFont="1" applyBorder="1" applyAlignment="1">
      <alignment horizontal="right" vertical="center"/>
    </xf>
    <xf numFmtId="4" fontId="1" fillId="0" borderId="14" xfId="4" applyNumberFormat="1" applyFont="1" applyBorder="1" applyAlignment="1">
      <alignment vertical="center"/>
    </xf>
    <xf numFmtId="0" fontId="8" fillId="3" borderId="18" xfId="4" applyFont="1" applyFill="1" applyBorder="1" applyAlignment="1">
      <alignment horizontal="right" vertical="center"/>
    </xf>
    <xf numFmtId="4" fontId="8" fillId="0" borderId="18" xfId="4" applyNumberFormat="1" applyFont="1" applyBorder="1" applyAlignment="1">
      <alignment horizontal="right" vertical="center"/>
    </xf>
    <xf numFmtId="0" fontId="8" fillId="3" borderId="19" xfId="4" applyFont="1" applyFill="1" applyBorder="1" applyAlignment="1">
      <alignment horizontal="right" vertical="center"/>
    </xf>
    <xf numFmtId="4" fontId="8" fillId="0" borderId="19" xfId="4" applyNumberFormat="1" applyFont="1" applyBorder="1" applyAlignment="1">
      <alignment horizontal="right" vertical="center"/>
    </xf>
    <xf numFmtId="39" fontId="16" fillId="0" borderId="14" xfId="0" applyNumberFormat="1" applyFont="1" applyBorder="1" applyAlignment="1" applyProtection="1">
      <alignment horizontal="center" vertical="center"/>
      <protection locked="0"/>
    </xf>
    <xf numFmtId="0" fontId="1" fillId="0" borderId="0" xfId="4" applyFont="1" applyBorder="1" applyAlignment="1">
      <alignment vertical="center"/>
    </xf>
    <xf numFmtId="49" fontId="1" fillId="0" borderId="15" xfId="4" applyNumberFormat="1" applyFont="1" applyBorder="1" applyAlignment="1">
      <alignment horizontal="left" vertical="center"/>
    </xf>
    <xf numFmtId="49" fontId="1" fillId="0" borderId="20" xfId="4" applyNumberFormat="1" applyFont="1" applyBorder="1" applyAlignment="1">
      <alignment horizontal="left" vertical="center"/>
    </xf>
    <xf numFmtId="49" fontId="1" fillId="0" borderId="13" xfId="4" applyNumberFormat="1" applyFont="1" applyBorder="1" applyAlignment="1">
      <alignment horizontal="left" vertical="center"/>
    </xf>
    <xf numFmtId="49" fontId="1" fillId="0" borderId="21" xfId="4" applyNumberFormat="1" applyFont="1" applyBorder="1" applyAlignment="1">
      <alignment horizontal="left" vertical="center"/>
    </xf>
    <xf numFmtId="49" fontId="1" fillId="0" borderId="22" xfId="4" applyNumberFormat="1" applyFont="1" applyBorder="1" applyAlignment="1">
      <alignment horizontal="left" vertical="center"/>
    </xf>
    <xf numFmtId="49" fontId="1" fillId="0" borderId="23" xfId="4" applyNumberFormat="1" applyFont="1" applyBorder="1" applyAlignment="1">
      <alignment horizontal="left" vertical="center"/>
    </xf>
    <xf numFmtId="4" fontId="1" fillId="0" borderId="5" xfId="4" applyNumberFormat="1" applyFont="1" applyBorder="1" applyAlignment="1">
      <alignment horizontal="right" vertical="center"/>
    </xf>
    <xf numFmtId="1" fontId="1" fillId="0" borderId="14" xfId="4" applyNumberFormat="1" applyFont="1" applyBorder="1" applyAlignment="1">
      <alignment horizontal="center" vertical="center"/>
    </xf>
    <xf numFmtId="4" fontId="1" fillId="0" borderId="14" xfId="4" applyNumberFormat="1" applyFont="1" applyFill="1" applyBorder="1" applyAlignment="1">
      <alignment horizontal="right" vertical="center"/>
    </xf>
    <xf numFmtId="4" fontId="1" fillId="0" borderId="0" xfId="4" applyNumberFormat="1" applyFont="1" applyAlignment="1">
      <alignment vertical="center"/>
    </xf>
    <xf numFmtId="0" fontId="7" fillId="0" borderId="24" xfId="4" applyFont="1" applyBorder="1" applyAlignment="1">
      <alignment horizontal="left" vertical="top"/>
    </xf>
    <xf numFmtId="0" fontId="7" fillId="0" borderId="25" xfId="4" applyFont="1" applyBorder="1" applyAlignment="1">
      <alignment horizontal="left" vertical="top"/>
    </xf>
    <xf numFmtId="0" fontId="7" fillId="0" borderId="26" xfId="4" applyFont="1" applyBorder="1" applyAlignment="1">
      <alignment horizontal="left" vertical="top"/>
    </xf>
    <xf numFmtId="0" fontId="1" fillId="0" borderId="4" xfId="4" applyFont="1" applyBorder="1" applyAlignment="1">
      <alignment vertical="center"/>
    </xf>
    <xf numFmtId="0" fontId="7" fillId="0" borderId="21" xfId="4" applyFont="1" applyBorder="1" applyAlignment="1">
      <alignment horizontal="left" vertical="top"/>
    </xf>
    <xf numFmtId="0" fontId="7" fillId="0" borderId="22" xfId="4" applyFont="1" applyBorder="1" applyAlignment="1">
      <alignment horizontal="left" vertical="top"/>
    </xf>
    <xf numFmtId="0" fontId="1" fillId="0" borderId="3" xfId="4" applyFont="1" applyBorder="1" applyAlignment="1">
      <alignment vertical="center"/>
    </xf>
    <xf numFmtId="0" fontId="1" fillId="0" borderId="0" xfId="5" applyFont="1" applyAlignment="1">
      <alignment vertical="center"/>
    </xf>
    <xf numFmtId="0" fontId="7" fillId="0" borderId="16" xfId="5" applyFont="1" applyBorder="1" applyAlignment="1">
      <alignment horizontal="left" vertical="top"/>
    </xf>
    <xf numFmtId="0" fontId="1" fillId="0" borderId="15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5" applyNumberFormat="1" applyFont="1" applyBorder="1" applyAlignment="1">
      <alignment horizontal="center" vertical="center"/>
    </xf>
    <xf numFmtId="3" fontId="1" fillId="0" borderId="14" xfId="5" applyNumberFormat="1" applyFont="1" applyBorder="1" applyAlignment="1">
      <alignment horizontal="center" vertical="center"/>
    </xf>
    <xf numFmtId="0" fontId="1" fillId="0" borderId="0" xfId="5" applyFont="1" applyBorder="1" applyAlignment="1">
      <alignment vertical="center"/>
    </xf>
    <xf numFmtId="0" fontId="17" fillId="0" borderId="0" xfId="5" applyFont="1" applyBorder="1" applyAlignment="1">
      <alignment vertical="center"/>
    </xf>
    <xf numFmtId="49" fontId="1" fillId="0" borderId="13" xfId="5" applyNumberFormat="1" applyFont="1" applyBorder="1" applyAlignment="1">
      <alignment horizontal="center" vertical="center"/>
    </xf>
    <xf numFmtId="49" fontId="1" fillId="0" borderId="15" xfId="5" applyNumberFormat="1" applyFont="1" applyBorder="1" applyAlignment="1">
      <alignment horizontal="left" vertical="center"/>
    </xf>
    <xf numFmtId="49" fontId="1" fillId="0" borderId="20" xfId="5" applyNumberFormat="1" applyFont="1" applyBorder="1" applyAlignment="1">
      <alignment horizontal="left" vertical="center"/>
    </xf>
    <xf numFmtId="49" fontId="1" fillId="0" borderId="13" xfId="5" applyNumberFormat="1" applyFont="1" applyBorder="1" applyAlignment="1">
      <alignment horizontal="left" vertical="center"/>
    </xf>
    <xf numFmtId="4" fontId="1" fillId="0" borderId="0" xfId="5" applyNumberFormat="1" applyFont="1" applyBorder="1" applyAlignment="1">
      <alignment vertical="center"/>
    </xf>
    <xf numFmtId="0" fontId="1" fillId="0" borderId="6" xfId="5" applyFont="1" applyBorder="1" applyAlignment="1">
      <alignment horizontal="left" vertical="top"/>
    </xf>
    <xf numFmtId="0" fontId="1" fillId="0" borderId="0" xfId="5" applyFont="1" applyBorder="1" applyAlignment="1">
      <alignment horizontal="left" vertical="top"/>
    </xf>
    <xf numFmtId="40" fontId="1" fillId="0" borderId="0" xfId="7" applyFont="1" applyFill="1" applyBorder="1" applyAlignment="1" applyProtection="1">
      <alignment vertical="center"/>
    </xf>
    <xf numFmtId="0" fontId="1" fillId="0" borderId="6" xfId="5" applyFont="1" applyBorder="1" applyAlignment="1">
      <alignment vertical="center"/>
    </xf>
    <xf numFmtId="40" fontId="1" fillId="0" borderId="4" xfId="7" applyFont="1" applyFill="1" applyBorder="1" applyAlignment="1" applyProtection="1">
      <alignment vertical="center"/>
    </xf>
    <xf numFmtId="0" fontId="7" fillId="0" borderId="21" xfId="5" applyFont="1" applyBorder="1" applyAlignment="1">
      <alignment horizontal="left" vertical="top"/>
    </xf>
    <xf numFmtId="0" fontId="7" fillId="0" borderId="23" xfId="5" applyFont="1" applyBorder="1" applyAlignment="1">
      <alignment horizontal="left" vertical="top"/>
    </xf>
    <xf numFmtId="40" fontId="7" fillId="0" borderId="5" xfId="7" applyFont="1" applyFill="1" applyBorder="1" applyAlignment="1" applyProtection="1">
      <alignment vertical="top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40" fontId="8" fillId="0" borderId="14" xfId="7" applyFont="1" applyFill="1" applyBorder="1" applyAlignment="1" applyProtection="1">
      <alignment horizontal="center"/>
    </xf>
    <xf numFmtId="0" fontId="1" fillId="0" borderId="14" xfId="5" applyFont="1" applyBorder="1" applyAlignment="1">
      <alignment horizontal="center" vertical="center"/>
    </xf>
    <xf numFmtId="40" fontId="1" fillId="0" borderId="14" xfId="7" applyFont="1" applyFill="1" applyBorder="1" applyAlignment="1" applyProtection="1">
      <alignment horizontal="center"/>
    </xf>
    <xf numFmtId="40" fontId="1" fillId="0" borderId="13" xfId="7" applyFont="1" applyFill="1" applyBorder="1" applyAlignment="1" applyProtection="1"/>
    <xf numFmtId="0" fontId="1" fillId="0" borderId="14" xfId="0" applyFont="1" applyBorder="1" applyAlignment="1">
      <alignment horizontal="center" vertical="center" wrapText="1"/>
    </xf>
    <xf numFmtId="0" fontId="18" fillId="0" borderId="20" xfId="0" applyFont="1" applyBorder="1" applyAlignment="1"/>
    <xf numFmtId="0" fontId="18" fillId="0" borderId="13" xfId="0" applyFont="1" applyBorder="1" applyAlignment="1"/>
    <xf numFmtId="49" fontId="1" fillId="0" borderId="14" xfId="5" applyNumberFormat="1" applyFont="1" applyBorder="1" applyAlignment="1">
      <alignment horizontal="center" vertical="center"/>
    </xf>
    <xf numFmtId="49" fontId="1" fillId="0" borderId="20" xfId="5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/>
    </xf>
    <xf numFmtId="2" fontId="16" fillId="0" borderId="14" xfId="0" applyNumberFormat="1" applyFont="1" applyBorder="1" applyAlignment="1">
      <alignment horizontal="center" vertical="center" wrapText="1"/>
    </xf>
    <xf numFmtId="0" fontId="0" fillId="0" borderId="20" xfId="0" applyBorder="1" applyAlignment="1"/>
    <xf numFmtId="0" fontId="0" fillId="0" borderId="13" xfId="0" applyBorder="1" applyAlignment="1"/>
    <xf numFmtId="4" fontId="1" fillId="0" borderId="13" xfId="5" applyNumberFormat="1" applyFont="1" applyBorder="1" applyAlignment="1">
      <alignment horizontal="right"/>
    </xf>
    <xf numFmtId="40" fontId="8" fillId="0" borderId="22" xfId="5" applyNumberFormat="1" applyFont="1" applyBorder="1" applyAlignment="1">
      <alignment horizontal="center" vertical="center"/>
    </xf>
    <xf numFmtId="40" fontId="8" fillId="0" borderId="5" xfId="7" applyFont="1" applyFill="1" applyBorder="1" applyAlignment="1" applyProtection="1">
      <alignment horizontal="right" vertical="center"/>
    </xf>
    <xf numFmtId="0" fontId="2" fillId="0" borderId="7" xfId="5" applyNumberFormat="1" applyFont="1" applyBorder="1" applyAlignment="1">
      <alignment horizontal="right" vertical="center"/>
    </xf>
    <xf numFmtId="0" fontId="2" fillId="0" borderId="16" xfId="5" applyNumberFormat="1" applyFont="1" applyBorder="1" applyAlignment="1">
      <alignment horizontal="right" vertical="center"/>
    </xf>
    <xf numFmtId="40" fontId="2" fillId="0" borderId="8" xfId="7" applyFont="1" applyFill="1" applyBorder="1" applyAlignment="1" applyProtection="1">
      <alignment vertical="center"/>
    </xf>
    <xf numFmtId="0" fontId="7" fillId="0" borderId="6" xfId="5" applyFont="1" applyBorder="1" applyAlignment="1">
      <alignment horizontal="left" vertical="top"/>
    </xf>
    <xf numFmtId="0" fontId="7" fillId="0" borderId="0" xfId="5" applyFont="1" applyBorder="1" applyAlignment="1">
      <alignment horizontal="left" vertical="top"/>
    </xf>
    <xf numFmtId="0" fontId="7" fillId="0" borderId="10" xfId="5" applyFont="1" applyBorder="1" applyAlignment="1">
      <alignment horizontal="left" vertical="top"/>
    </xf>
    <xf numFmtId="0" fontId="7" fillId="0" borderId="22" xfId="5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vertical="top"/>
    </xf>
    <xf numFmtId="40" fontId="7" fillId="0" borderId="4" xfId="7" applyFont="1" applyFill="1" applyBorder="1" applyAlignment="1" applyProtection="1">
      <alignment vertical="top"/>
    </xf>
    <xf numFmtId="0" fontId="1" fillId="0" borderId="8" xfId="5" applyFont="1" applyBorder="1" applyAlignment="1">
      <alignment vertical="center"/>
    </xf>
    <xf numFmtId="40" fontId="2" fillId="0" borderId="14" xfId="7" applyFont="1" applyFill="1" applyBorder="1" applyAlignment="1" applyProtection="1">
      <alignment horizontal="center" vertical="top"/>
    </xf>
    <xf numFmtId="4" fontId="1" fillId="0" borderId="14" xfId="5" applyNumberFormat="1" applyFont="1" applyBorder="1" applyAlignment="1">
      <alignment horizontal="right" vertical="top"/>
    </xf>
    <xf numFmtId="4" fontId="1" fillId="0" borderId="14" xfId="5" applyNumberFormat="1" applyFont="1" applyBorder="1" applyAlignment="1">
      <alignment vertical="center"/>
    </xf>
    <xf numFmtId="0" fontId="20" fillId="0" borderId="15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vertical="top" wrapText="1"/>
    </xf>
    <xf numFmtId="40" fontId="8" fillId="0" borderId="19" xfId="5" applyNumberFormat="1" applyFont="1" applyBorder="1" applyAlignment="1">
      <alignment horizontal="center" vertical="center"/>
    </xf>
    <xf numFmtId="4" fontId="8" fillId="0" borderId="18" xfId="5" applyNumberFormat="1" applyFont="1" applyBorder="1" applyAlignment="1">
      <alignment horizontal="right" vertical="center"/>
    </xf>
    <xf numFmtId="0" fontId="1" fillId="0" borderId="2" xfId="5" applyFont="1" applyBorder="1" applyAlignment="1">
      <alignment vertical="center"/>
    </xf>
    <xf numFmtId="0" fontId="1" fillId="0" borderId="3" xfId="5" applyFont="1" applyBorder="1" applyAlignment="1">
      <alignment vertical="center"/>
    </xf>
    <xf numFmtId="0" fontId="1" fillId="0" borderId="4" xfId="5" applyFont="1" applyBorder="1" applyAlignment="1">
      <alignment vertical="center"/>
    </xf>
    <xf numFmtId="0" fontId="1" fillId="0" borderId="9" xfId="5" applyFont="1" applyBorder="1" applyAlignment="1">
      <alignment vertical="center"/>
    </xf>
    <xf numFmtId="0" fontId="8" fillId="0" borderId="13" xfId="5" applyFont="1" applyBorder="1" applyAlignment="1">
      <alignment horizontal="right" vertical="center"/>
    </xf>
    <xf numFmtId="0" fontId="18" fillId="0" borderId="1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10" fontId="18" fillId="0" borderId="14" xfId="7" applyNumberFormat="1" applyFont="1" applyFill="1" applyBorder="1" applyAlignment="1" applyProtection="1">
      <alignment horizontal="center"/>
    </xf>
    <xf numFmtId="4" fontId="1" fillId="0" borderId="4" xfId="0" applyNumberFormat="1" applyFont="1" applyBorder="1" applyAlignment="1">
      <alignment horizontal="right"/>
    </xf>
    <xf numFmtId="10" fontId="18" fillId="0" borderId="5" xfId="0" applyNumberFormat="1" applyFont="1" applyBorder="1" applyAlignment="1">
      <alignment horizontal="center"/>
    </xf>
    <xf numFmtId="10" fontId="8" fillId="0" borderId="18" xfId="0" applyNumberFormat="1" applyFont="1" applyBorder="1" applyAlignment="1">
      <alignment horizontal="center"/>
    </xf>
    <xf numFmtId="4" fontId="8" fillId="0" borderId="18" xfId="0" applyNumberFormat="1" applyFont="1" applyBorder="1" applyAlignment="1">
      <alignment horizontal="right"/>
    </xf>
    <xf numFmtId="0" fontId="4" fillId="3" borderId="27" xfId="0" applyFont="1" applyFill="1" applyBorder="1" applyAlignment="1">
      <alignment horizontal="center"/>
    </xf>
    <xf numFmtId="0" fontId="1" fillId="0" borderId="20" xfId="5" applyFont="1" applyBorder="1" applyAlignment="1">
      <alignment horizontal="left" vertical="center"/>
    </xf>
    <xf numFmtId="10" fontId="18" fillId="0" borderId="5" xfId="7" applyNumberFormat="1" applyFont="1" applyFill="1" applyBorder="1" applyAlignment="1" applyProtection="1">
      <alignment horizontal="center"/>
    </xf>
    <xf numFmtId="0" fontId="2" fillId="3" borderId="28" xfId="5" applyFont="1" applyFill="1" applyBorder="1" applyAlignment="1">
      <alignment horizontal="right" vertical="center"/>
    </xf>
    <xf numFmtId="0" fontId="4" fillId="3" borderId="28" xfId="5" applyFont="1" applyFill="1" applyBorder="1" applyAlignment="1">
      <alignment horizontal="right" vertical="center"/>
    </xf>
    <xf numFmtId="0" fontId="4" fillId="3" borderId="29" xfId="5" applyFont="1" applyFill="1" applyBorder="1" applyAlignment="1">
      <alignment horizontal="right" vertical="center"/>
    </xf>
    <xf numFmtId="10" fontId="4" fillId="3" borderId="29" xfId="0" applyNumberFormat="1" applyFont="1" applyFill="1" applyBorder="1" applyAlignment="1">
      <alignment horizontal="center"/>
    </xf>
    <xf numFmtId="4" fontId="4" fillId="3" borderId="27" xfId="0" applyNumberFormat="1" applyFont="1" applyFill="1" applyBorder="1" applyAlignment="1">
      <alignment horizontal="center"/>
    </xf>
    <xf numFmtId="10" fontId="8" fillId="0" borderId="9" xfId="7" applyNumberFormat="1" applyFont="1" applyFill="1" applyBorder="1" applyAlignment="1" applyProtection="1">
      <alignment horizontal="center" vertical="center"/>
    </xf>
    <xf numFmtId="4" fontId="8" fillId="0" borderId="9" xfId="5" applyNumberFormat="1" applyFont="1" applyBorder="1" applyAlignment="1">
      <alignment horizontal="right" vertical="center"/>
    </xf>
    <xf numFmtId="0" fontId="1" fillId="0" borderId="10" xfId="5" applyFont="1" applyBorder="1" applyAlignment="1">
      <alignment vertical="center"/>
    </xf>
    <xf numFmtId="0" fontId="14" fillId="4" borderId="14" xfId="0" applyFont="1" applyFill="1" applyBorder="1" applyAlignment="1">
      <alignment horizontal="center"/>
    </xf>
    <xf numFmtId="3" fontId="1" fillId="0" borderId="14" xfId="0" applyNumberFormat="1" applyFont="1" applyBorder="1" applyAlignment="1" applyProtection="1">
      <alignment horizontal="center" vertical="center"/>
      <protection locked="0"/>
    </xf>
    <xf numFmtId="39" fontId="1" fillId="0" borderId="14" xfId="0" applyNumberFormat="1" applyFont="1" applyBorder="1" applyAlignment="1" applyProtection="1">
      <alignment horizontal="center" vertical="center"/>
      <protection locked="0"/>
    </xf>
    <xf numFmtId="4" fontId="1" fillId="0" borderId="15" xfId="4" applyNumberFormat="1" applyFont="1" applyBorder="1" applyAlignment="1">
      <alignment horizontal="right" vertical="center"/>
    </xf>
    <xf numFmtId="4" fontId="1" fillId="0" borderId="13" xfId="4" applyNumberFormat="1" applyFont="1" applyBorder="1" applyAlignment="1">
      <alignment horizontal="right" vertical="center"/>
    </xf>
    <xf numFmtId="0" fontId="1" fillId="0" borderId="23" xfId="4" applyFont="1" applyBorder="1" applyAlignment="1">
      <alignment horizontal="center" vertical="center"/>
    </xf>
    <xf numFmtId="4" fontId="1" fillId="0" borderId="30" xfId="4" applyNumberFormat="1" applyFont="1" applyBorder="1" applyAlignment="1">
      <alignment vertical="center"/>
    </xf>
    <xf numFmtId="0" fontId="24" fillId="0" borderId="15" xfId="0" applyFont="1" applyBorder="1" applyAlignment="1">
      <alignment horizontal="left" vertical="center"/>
    </xf>
    <xf numFmtId="0" fontId="24" fillId="0" borderId="20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4" fontId="24" fillId="0" borderId="14" xfId="5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4" fontId="24" fillId="0" borderId="14" xfId="0" applyNumberFormat="1" applyFont="1" applyBorder="1" applyAlignment="1">
      <alignment horizontal="right" vertical="center"/>
    </xf>
    <xf numFmtId="49" fontId="24" fillId="0" borderId="20" xfId="4" applyNumberFormat="1" applyFont="1" applyBorder="1" applyAlignment="1">
      <alignment horizontal="left" vertical="center"/>
    </xf>
    <xf numFmtId="40" fontId="21" fillId="0" borderId="0" xfId="7" applyAlignment="1">
      <alignment vertical="center"/>
    </xf>
    <xf numFmtId="40" fontId="21" fillId="0" borderId="0" xfId="7" applyBorder="1" applyAlignment="1">
      <alignment vertical="center"/>
    </xf>
    <xf numFmtId="4" fontId="7" fillId="0" borderId="4" xfId="5" applyNumberFormat="1" applyFont="1" applyFill="1" applyBorder="1" applyAlignment="1">
      <alignment horizontal="right"/>
    </xf>
    <xf numFmtId="0" fontId="21" fillId="0" borderId="0" xfId="0" applyFont="1"/>
    <xf numFmtId="40" fontId="21" fillId="0" borderId="0" xfId="7"/>
    <xf numFmtId="0" fontId="1" fillId="5" borderId="12" xfId="4" applyFont="1" applyFill="1" applyBorder="1" applyAlignment="1">
      <alignment horizontal="center" vertical="center" wrapText="1"/>
    </xf>
    <xf numFmtId="4" fontId="1" fillId="6" borderId="14" xfId="4" applyNumberFormat="1" applyFont="1" applyFill="1" applyBorder="1" applyAlignment="1">
      <alignment horizontal="right" vertical="center"/>
    </xf>
    <xf numFmtId="0" fontId="24" fillId="0" borderId="0" xfId="4" applyFont="1" applyAlignment="1">
      <alignment vertical="center"/>
    </xf>
    <xf numFmtId="0" fontId="24" fillId="0" borderId="0" xfId="4" applyFont="1" applyBorder="1" applyAlignment="1">
      <alignment vertical="center"/>
    </xf>
    <xf numFmtId="39" fontId="1" fillId="0" borderId="5" xfId="0" applyNumberFormat="1" applyFont="1" applyBorder="1" applyAlignment="1" applyProtection="1">
      <alignment horizontal="center" vertical="center"/>
      <protection locked="0"/>
    </xf>
    <xf numFmtId="39" fontId="16" fillId="0" borderId="31" xfId="0" applyNumberFormat="1" applyFont="1" applyBorder="1" applyAlignment="1" applyProtection="1">
      <alignment horizontal="center" vertical="center"/>
      <protection locked="0"/>
    </xf>
    <xf numFmtId="4" fontId="1" fillId="0" borderId="31" xfId="4" applyNumberFormat="1" applyFont="1" applyBorder="1" applyAlignment="1">
      <alignment horizontal="right" vertical="center"/>
    </xf>
    <xf numFmtId="4" fontId="1" fillId="0" borderId="32" xfId="4" applyNumberFormat="1" applyFont="1" applyBorder="1" applyAlignment="1">
      <alignment horizontal="right" vertical="center"/>
    </xf>
    <xf numFmtId="4" fontId="8" fillId="0" borderId="33" xfId="4" applyNumberFormat="1" applyFont="1" applyBorder="1" applyAlignment="1">
      <alignment horizontal="right" vertical="center"/>
    </xf>
    <xf numFmtId="0" fontId="7" fillId="0" borderId="34" xfId="4" applyFont="1" applyBorder="1" applyAlignment="1">
      <alignment horizontal="left" vertical="top"/>
    </xf>
    <xf numFmtId="0" fontId="7" fillId="0" borderId="35" xfId="4" applyFont="1" applyBorder="1" applyAlignment="1">
      <alignment horizontal="left" vertical="top"/>
    </xf>
    <xf numFmtId="0" fontId="7" fillId="0" borderId="36" xfId="4" applyFont="1" applyBorder="1" applyAlignment="1">
      <alignment horizontal="left" vertical="top"/>
    </xf>
    <xf numFmtId="0" fontId="1" fillId="0" borderId="37" xfId="4" applyFont="1" applyBorder="1" applyAlignment="1">
      <alignment vertical="center"/>
    </xf>
    <xf numFmtId="0" fontId="1" fillId="0" borderId="39" xfId="4" applyFont="1" applyBorder="1" applyAlignment="1">
      <alignment vertical="top"/>
    </xf>
    <xf numFmtId="0" fontId="1" fillId="0" borderId="40" xfId="4" applyFont="1" applyBorder="1" applyAlignment="1">
      <alignment vertical="top"/>
    </xf>
    <xf numFmtId="0" fontId="1" fillId="0" borderId="41" xfId="4" applyFont="1" applyBorder="1" applyAlignment="1">
      <alignment vertical="top"/>
    </xf>
    <xf numFmtId="4" fontId="11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5" applyNumberFormat="1" applyFont="1" applyFill="1" applyBorder="1" applyAlignment="1">
      <alignment horizontal="right" vertical="center"/>
    </xf>
    <xf numFmtId="168" fontId="1" fillId="0" borderId="0" xfId="5" applyNumberFormat="1" applyFont="1" applyAlignment="1">
      <alignment vertical="center"/>
    </xf>
    <xf numFmtId="169" fontId="1" fillId="0" borderId="0" xfId="5" applyNumberFormat="1" applyFont="1" applyAlignment="1">
      <alignment vertical="center"/>
    </xf>
    <xf numFmtId="164" fontId="1" fillId="0" borderId="0" xfId="5" applyNumberFormat="1" applyFont="1" applyAlignment="1">
      <alignment vertical="center"/>
    </xf>
    <xf numFmtId="168" fontId="1" fillId="0" borderId="0" xfId="5" applyNumberFormat="1" applyFont="1" applyBorder="1" applyAlignment="1">
      <alignment vertical="center"/>
    </xf>
    <xf numFmtId="10" fontId="0" fillId="0" borderId="0" xfId="8" applyNumberFormat="1" applyFont="1"/>
    <xf numFmtId="0" fontId="0" fillId="0" borderId="5" xfId="0" applyFill="1" applyBorder="1" applyAlignment="1">
      <alignment vertical="center"/>
    </xf>
    <xf numFmtId="4" fontId="7" fillId="0" borderId="11" xfId="5" applyNumberFormat="1" applyFont="1" applyFill="1" applyBorder="1" applyAlignment="1">
      <alignment horizontal="center" vertical="center"/>
    </xf>
    <xf numFmtId="2" fontId="13" fillId="0" borderId="14" xfId="1" applyNumberFormat="1" applyFont="1" applyFill="1" applyBorder="1" applyAlignment="1" applyProtection="1">
      <alignment horizontal="center"/>
    </xf>
    <xf numFmtId="1" fontId="7" fillId="0" borderId="4" xfId="5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vertical="center"/>
    </xf>
    <xf numFmtId="1" fontId="7" fillId="0" borderId="4" xfId="5" applyNumberFormat="1" applyFont="1" applyFill="1" applyBorder="1" applyAlignment="1">
      <alignment horizontal="center" vertical="center"/>
    </xf>
    <xf numFmtId="3" fontId="23" fillId="0" borderId="14" xfId="5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/>
    <xf numFmtId="0" fontId="14" fillId="0" borderId="13" xfId="0" applyFont="1" applyFill="1" applyBorder="1" applyAlignment="1">
      <alignment horizontal="center"/>
    </xf>
    <xf numFmtId="1" fontId="1" fillId="0" borderId="13" xfId="0" applyNumberFormat="1" applyFont="1" applyFill="1" applyBorder="1" applyAlignment="1">
      <alignment horizontal="center" vertical="center"/>
    </xf>
    <xf numFmtId="1" fontId="1" fillId="0" borderId="14" xfId="4" applyNumberFormat="1" applyFont="1" applyFill="1" applyBorder="1" applyAlignment="1">
      <alignment horizontal="center" vertical="center"/>
    </xf>
    <xf numFmtId="1" fontId="1" fillId="0" borderId="5" xfId="4" applyNumberFormat="1" applyFont="1" applyFill="1" applyBorder="1" applyAlignment="1">
      <alignment horizontal="center" vertical="center"/>
    </xf>
    <xf numFmtId="1" fontId="1" fillId="0" borderId="31" xfId="4" applyNumberFormat="1" applyFont="1" applyFill="1" applyBorder="1" applyAlignment="1">
      <alignment horizontal="center" vertical="center"/>
    </xf>
    <xf numFmtId="0" fontId="1" fillId="4" borderId="0" xfId="3" applyFont="1" applyFill="1" applyBorder="1" applyAlignment="1">
      <alignment horizontal="left" vertical="top"/>
    </xf>
    <xf numFmtId="0" fontId="1" fillId="4" borderId="0" xfId="4" applyFont="1" applyFill="1" applyBorder="1" applyAlignment="1">
      <alignment horizontal="left" vertical="top"/>
    </xf>
    <xf numFmtId="0" fontId="1" fillId="0" borderId="64" xfId="3" applyFont="1" applyBorder="1" applyAlignment="1">
      <alignment horizontal="left" vertical="top"/>
    </xf>
    <xf numFmtId="0" fontId="1" fillId="0" borderId="65" xfId="4" applyFont="1" applyBorder="1" applyAlignment="1">
      <alignment horizontal="left" vertical="top"/>
    </xf>
    <xf numFmtId="0" fontId="1" fillId="0" borderId="64" xfId="4" applyFont="1" applyBorder="1" applyAlignment="1">
      <alignment horizontal="left" vertical="top"/>
    </xf>
    <xf numFmtId="0" fontId="1" fillId="4" borderId="64" xfId="3" applyFont="1" applyFill="1" applyBorder="1" applyAlignment="1">
      <alignment horizontal="left" vertical="top"/>
    </xf>
    <xf numFmtId="0" fontId="1" fillId="4" borderId="39" xfId="3" applyFont="1" applyFill="1" applyBorder="1" applyAlignment="1">
      <alignment horizontal="left" vertical="top"/>
    </xf>
    <xf numFmtId="0" fontId="0" fillId="0" borderId="40" xfId="0" applyBorder="1"/>
    <xf numFmtId="0" fontId="0" fillId="0" borderId="41" xfId="0" applyBorder="1"/>
    <xf numFmtId="1" fontId="1" fillId="0" borderId="12" xfId="4" applyNumberFormat="1" applyFont="1" applyFill="1" applyBorder="1" applyAlignment="1">
      <alignment horizontal="center" vertical="center" wrapText="1"/>
    </xf>
    <xf numFmtId="0" fontId="1" fillId="0" borderId="30" xfId="4" applyFont="1" applyFill="1" applyBorder="1" applyAlignment="1">
      <alignment horizontal="center" vertical="center" wrapText="1"/>
    </xf>
    <xf numFmtId="0" fontId="7" fillId="0" borderId="6" xfId="5" applyFont="1" applyBorder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0" fontId="27" fillId="0" borderId="0" xfId="7" applyFont="1" applyAlignment="1">
      <alignment vertical="center"/>
    </xf>
    <xf numFmtId="4" fontId="26" fillId="0" borderId="0" xfId="0" applyNumberFormat="1" applyFont="1" applyAlignment="1">
      <alignment vertical="center"/>
    </xf>
    <xf numFmtId="167" fontId="27" fillId="0" borderId="0" xfId="7" applyNumberFormat="1" applyFont="1" applyAlignment="1">
      <alignment vertical="center"/>
    </xf>
    <xf numFmtId="170" fontId="26" fillId="0" borderId="0" xfId="8" applyNumberFormat="1" applyFont="1" applyAlignment="1">
      <alignment vertical="center"/>
    </xf>
    <xf numFmtId="0" fontId="26" fillId="0" borderId="0" xfId="0" applyFont="1" applyBorder="1" applyAlignment="1">
      <alignment vertical="center"/>
    </xf>
    <xf numFmtId="40" fontId="27" fillId="0" borderId="0" xfId="7" applyFont="1" applyBorder="1" applyAlignment="1">
      <alignment vertical="center"/>
    </xf>
    <xf numFmtId="0" fontId="0" fillId="0" borderId="0" xfId="0" applyBorder="1"/>
    <xf numFmtId="0" fontId="21" fillId="0" borderId="0" xfId="0" applyFont="1" applyBorder="1"/>
    <xf numFmtId="0" fontId="0" fillId="0" borderId="0" xfId="0" applyBorder="1" applyAlignment="1">
      <alignment horizontal="center"/>
    </xf>
    <xf numFmtId="1" fontId="7" fillId="0" borderId="0" xfId="5" applyNumberFormat="1" applyFont="1" applyFill="1" applyBorder="1" applyAlignment="1">
      <alignment horizontal="center"/>
    </xf>
    <xf numFmtId="0" fontId="7" fillId="0" borderId="65" xfId="5" applyFont="1" applyBorder="1" applyAlignment="1">
      <alignment horizontal="left" vertical="center"/>
    </xf>
    <xf numFmtId="0" fontId="7" fillId="0" borderId="64" xfId="5" applyFont="1" applyBorder="1" applyAlignment="1">
      <alignment horizontal="left" vertical="center"/>
    </xf>
    <xf numFmtId="0" fontId="7" fillId="0" borderId="65" xfId="5" applyFont="1" applyBorder="1" applyAlignment="1">
      <alignment horizontal="left" vertical="top"/>
    </xf>
    <xf numFmtId="0" fontId="7" fillId="0" borderId="64" xfId="5" applyFont="1" applyBorder="1" applyAlignment="1">
      <alignment horizontal="left" vertical="top"/>
    </xf>
    <xf numFmtId="0" fontId="9" fillId="0" borderId="65" xfId="5" applyFont="1" applyBorder="1" applyAlignment="1">
      <alignment horizontal="left" vertical="center"/>
    </xf>
    <xf numFmtId="0" fontId="9" fillId="0" borderId="64" xfId="5" applyFont="1" applyBorder="1" applyAlignment="1">
      <alignment horizontal="left" vertical="center"/>
    </xf>
    <xf numFmtId="0" fontId="9" fillId="0" borderId="64" xfId="5" applyFont="1" applyBorder="1" applyAlignment="1">
      <alignment horizontal="left" vertical="top"/>
    </xf>
    <xf numFmtId="0" fontId="9" fillId="0" borderId="65" xfId="5" applyFont="1" applyBorder="1" applyAlignment="1">
      <alignment horizontal="left" vertical="top"/>
    </xf>
    <xf numFmtId="0" fontId="7" fillId="0" borderId="64" xfId="5" applyFont="1" applyBorder="1" applyAlignment="1">
      <alignment vertical="center"/>
    </xf>
    <xf numFmtId="0" fontId="7" fillId="0" borderId="39" xfId="5" applyFont="1" applyBorder="1" applyAlignment="1">
      <alignment vertical="center"/>
    </xf>
    <xf numFmtId="0" fontId="7" fillId="0" borderId="40" xfId="5" applyFont="1" applyBorder="1" applyAlignment="1">
      <alignment vertical="center"/>
    </xf>
    <xf numFmtId="0" fontId="7" fillId="0" borderId="41" xfId="5" applyFont="1" applyBorder="1" applyAlignment="1">
      <alignment vertical="center"/>
    </xf>
    <xf numFmtId="0" fontId="28" fillId="0" borderId="0" xfId="0" applyFont="1"/>
    <xf numFmtId="0" fontId="8" fillId="0" borderId="3" xfId="5" applyFont="1" applyBorder="1" applyAlignment="1">
      <alignment horizontal="left" vertical="center"/>
    </xf>
    <xf numFmtId="0" fontId="8" fillId="0" borderId="11" xfId="5" applyFont="1" applyBorder="1" applyAlignment="1">
      <alignment horizontal="center" vertical="center"/>
    </xf>
    <xf numFmtId="0" fontId="1" fillId="0" borderId="15" xfId="5" applyFont="1" applyBorder="1" applyAlignment="1">
      <alignment horizontal="center" vertical="center"/>
    </xf>
    <xf numFmtId="0" fontId="18" fillId="0" borderId="30" xfId="0" applyFont="1" applyBorder="1"/>
    <xf numFmtId="10" fontId="8" fillId="0" borderId="9" xfId="0" applyNumberFormat="1" applyFont="1" applyBorder="1" applyAlignment="1">
      <alignment horizontal="center"/>
    </xf>
    <xf numFmtId="10" fontId="18" fillId="0" borderId="30" xfId="7" applyNumberFormat="1" applyFont="1" applyFill="1" applyBorder="1" applyAlignment="1" applyProtection="1">
      <alignment horizontal="center"/>
    </xf>
    <xf numFmtId="1" fontId="1" fillId="0" borderId="0" xfId="4" applyNumberFormat="1" applyFont="1" applyFill="1" applyBorder="1" applyAlignment="1">
      <alignment horizontal="center" vertical="center"/>
    </xf>
    <xf numFmtId="2" fontId="0" fillId="0" borderId="0" xfId="0" applyNumberFormat="1"/>
    <xf numFmtId="0" fontId="5" fillId="0" borderId="30" xfId="0" applyFont="1" applyBorder="1" applyAlignment="1">
      <alignment horizontal="center"/>
    </xf>
    <xf numFmtId="4" fontId="4" fillId="0" borderId="3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/>
    </xf>
    <xf numFmtId="4" fontId="4" fillId="0" borderId="14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0" fontId="1" fillId="0" borderId="12" xfId="5" applyFont="1" applyBorder="1" applyAlignment="1">
      <alignment horizontal="left" vertical="center"/>
    </xf>
    <xf numFmtId="0" fontId="1" fillId="0" borderId="5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1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5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top"/>
    </xf>
    <xf numFmtId="0" fontId="1" fillId="0" borderId="14" xfId="0" applyFont="1" applyBorder="1" applyAlignment="1">
      <alignment horizontal="left"/>
    </xf>
    <xf numFmtId="4" fontId="1" fillId="0" borderId="14" xfId="0" applyNumberFormat="1" applyFont="1" applyBorder="1" applyAlignment="1">
      <alignment horizontal="right"/>
    </xf>
    <xf numFmtId="10" fontId="1" fillId="0" borderId="14" xfId="0" applyNumberFormat="1" applyFont="1" applyBorder="1" applyAlignment="1">
      <alignment horizontal="left"/>
    </xf>
    <xf numFmtId="0" fontId="5" fillId="0" borderId="14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24" fillId="0" borderId="14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4" fontId="8" fillId="0" borderId="14" xfId="0" applyNumberFormat="1" applyFont="1" applyBorder="1" applyAlignment="1">
      <alignment horizontal="right"/>
    </xf>
    <xf numFmtId="4" fontId="8" fillId="0" borderId="14" xfId="7" applyNumberFormat="1" applyFont="1" applyFill="1" applyBorder="1" applyAlignment="1" applyProtection="1">
      <alignment horizontal="right"/>
    </xf>
    <xf numFmtId="4" fontId="1" fillId="0" borderId="14" xfId="7" applyNumberFormat="1" applyFont="1" applyFill="1" applyBorder="1" applyAlignment="1" applyProtection="1">
      <alignment horizontal="right"/>
    </xf>
    <xf numFmtId="0" fontId="1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center"/>
    </xf>
    <xf numFmtId="0" fontId="7" fillId="0" borderId="5" xfId="5" applyFont="1" applyBorder="1" applyAlignment="1">
      <alignment horizontal="left" vertical="top"/>
    </xf>
    <xf numFmtId="0" fontId="7" fillId="0" borderId="12" xfId="5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" fillId="0" borderId="12" xfId="0" applyFont="1" applyBorder="1" applyAlignment="1">
      <alignment horizontal="left"/>
    </xf>
    <xf numFmtId="0" fontId="7" fillId="0" borderId="12" xfId="0" applyFont="1" applyBorder="1" applyAlignment="1">
      <alignment horizontal="center" vertical="top"/>
    </xf>
    <xf numFmtId="0" fontId="7" fillId="0" borderId="14" xfId="0" applyFont="1" applyBorder="1" applyAlignment="1">
      <alignment wrapText="1"/>
    </xf>
    <xf numFmtId="49" fontId="23" fillId="0" borderId="15" xfId="5" applyNumberFormat="1" applyFont="1" applyBorder="1" applyAlignment="1">
      <alignment horizontal="right" vertical="center"/>
    </xf>
    <xf numFmtId="0" fontId="9" fillId="0" borderId="14" xfId="0" applyFont="1" applyBorder="1" applyAlignment="1">
      <alignment vertical="center"/>
    </xf>
    <xf numFmtId="0" fontId="7" fillId="0" borderId="4" xfId="5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left" vertical="top"/>
    </xf>
    <xf numFmtId="0" fontId="7" fillId="0" borderId="4" xfId="5" applyFont="1" applyBorder="1" applyAlignment="1">
      <alignment horizontal="left" vertical="top"/>
    </xf>
    <xf numFmtId="0" fontId="7" fillId="0" borderId="12" xfId="5" applyFont="1" applyBorder="1" applyAlignment="1">
      <alignment horizontal="center" vertical="top"/>
    </xf>
    <xf numFmtId="0" fontId="7" fillId="0" borderId="11" xfId="5" applyFont="1" applyBorder="1" applyAlignment="1">
      <alignment horizontal="left" vertical="top"/>
    </xf>
    <xf numFmtId="0" fontId="7" fillId="0" borderId="11" xfId="2" applyFont="1" applyBorder="1" applyAlignment="1">
      <alignment horizontal="left" vertical="top"/>
    </xf>
    <xf numFmtId="0" fontId="7" fillId="0" borderId="11" xfId="5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46" xfId="5" applyFont="1" applyBorder="1" applyAlignment="1">
      <alignment horizontal="left" vertical="top"/>
    </xf>
    <xf numFmtId="0" fontId="7" fillId="0" borderId="26" xfId="5" applyFont="1" applyBorder="1" applyAlignment="1">
      <alignment horizontal="left" vertical="top"/>
    </xf>
    <xf numFmtId="0" fontId="7" fillId="0" borderId="5" xfId="2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horizontal="left" vertical="top"/>
    </xf>
    <xf numFmtId="4" fontId="22" fillId="0" borderId="14" xfId="5" applyNumberFormat="1" applyFont="1" applyBorder="1" applyAlignment="1">
      <alignment horizontal="left"/>
    </xf>
    <xf numFmtId="49" fontId="9" fillId="0" borderId="9" xfId="5" applyNumberFormat="1" applyFont="1" applyBorder="1" applyAlignment="1">
      <alignment horizontal="center" vertical="center"/>
    </xf>
    <xf numFmtId="0" fontId="9" fillId="0" borderId="5" xfId="2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7" fillId="0" borderId="14" xfId="0" applyFont="1" applyBorder="1" applyAlignment="1">
      <alignment horizontal="left" wrapText="1"/>
    </xf>
    <xf numFmtId="4" fontId="7" fillId="0" borderId="14" xfId="5" applyNumberFormat="1" applyFont="1" applyBorder="1" applyAlignment="1"/>
    <xf numFmtId="4" fontId="7" fillId="0" borderId="11" xfId="5" applyNumberFormat="1" applyFont="1" applyBorder="1" applyAlignment="1">
      <alignment horizontal="center" vertical="center"/>
    </xf>
    <xf numFmtId="4" fontId="7" fillId="0" borderId="12" xfId="5" applyNumberFormat="1" applyFont="1" applyBorder="1" applyAlignment="1">
      <alignment horizontal="center" vertical="center"/>
    </xf>
    <xf numFmtId="4" fontId="7" fillId="0" borderId="5" xfId="5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9" fillId="0" borderId="14" xfId="0" applyFont="1" applyBorder="1" applyAlignment="1">
      <alignment horizontal="left" vertical="center"/>
    </xf>
    <xf numFmtId="0" fontId="6" fillId="2" borderId="18" xfId="5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top"/>
    </xf>
    <xf numFmtId="0" fontId="6" fillId="2" borderId="8" xfId="2" applyFont="1" applyFill="1" applyBorder="1" applyAlignment="1">
      <alignment horizontal="center" vertical="center"/>
    </xf>
    <xf numFmtId="0" fontId="9" fillId="0" borderId="47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7" fillId="0" borderId="9" xfId="5" applyFont="1" applyBorder="1" applyAlignment="1">
      <alignment horizontal="left" vertical="top"/>
    </xf>
    <xf numFmtId="0" fontId="1" fillId="0" borderId="9" xfId="0" applyFont="1" applyBorder="1" applyAlignment="1">
      <alignment horizontal="left"/>
    </xf>
    <xf numFmtId="0" fontId="7" fillId="0" borderId="43" xfId="5" applyFont="1" applyBorder="1" applyAlignment="1">
      <alignment horizontal="left" vertical="top"/>
    </xf>
    <xf numFmtId="0" fontId="7" fillId="0" borderId="44" xfId="5" applyFont="1" applyBorder="1" applyAlignment="1">
      <alignment horizontal="left" vertical="top"/>
    </xf>
    <xf numFmtId="0" fontId="7" fillId="0" borderId="45" xfId="5" applyFont="1" applyBorder="1" applyAlignment="1">
      <alignment horizontal="left" vertical="top"/>
    </xf>
    <xf numFmtId="0" fontId="1" fillId="0" borderId="64" xfId="4" applyFont="1" applyBorder="1" applyAlignment="1">
      <alignment horizontal="left" vertical="top"/>
    </xf>
    <xf numFmtId="0" fontId="1" fillId="0" borderId="0" xfId="4" applyFont="1" applyBorder="1" applyAlignment="1">
      <alignment horizontal="left" vertical="top"/>
    </xf>
    <xf numFmtId="0" fontId="1" fillId="0" borderId="65" xfId="4" applyFont="1" applyBorder="1" applyAlignment="1">
      <alignment horizontal="left" vertical="top"/>
    </xf>
    <xf numFmtId="14" fontId="7" fillId="0" borderId="11" xfId="5" applyNumberFormat="1" applyFont="1" applyBorder="1" applyAlignment="1">
      <alignment horizontal="left" vertical="top"/>
    </xf>
    <xf numFmtId="0" fontId="1" fillId="0" borderId="61" xfId="4" applyFont="1" applyBorder="1" applyAlignment="1">
      <alignment horizontal="left" vertical="top"/>
    </xf>
    <xf numFmtId="0" fontId="1" fillId="0" borderId="62" xfId="4" applyFont="1" applyBorder="1" applyAlignment="1">
      <alignment horizontal="left" vertical="top"/>
    </xf>
    <xf numFmtId="0" fontId="1" fillId="0" borderId="63" xfId="4" applyFont="1" applyBorder="1" applyAlignment="1">
      <alignment horizontal="left" vertical="top"/>
    </xf>
    <xf numFmtId="0" fontId="1" fillId="0" borderId="64" xfId="3" applyFont="1" applyBorder="1" applyAlignment="1">
      <alignment horizontal="left" vertical="top"/>
    </xf>
    <xf numFmtId="0" fontId="1" fillId="0" borderId="0" xfId="3" applyFont="1" applyBorder="1" applyAlignment="1">
      <alignment horizontal="left" vertical="top"/>
    </xf>
    <xf numFmtId="0" fontId="1" fillId="0" borderId="65" xfId="3" applyFont="1" applyBorder="1" applyAlignment="1">
      <alignment horizontal="left" vertical="top"/>
    </xf>
    <xf numFmtId="0" fontId="14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8" fillId="0" borderId="47" xfId="5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4" fontId="14" fillId="0" borderId="5" xfId="0" applyNumberFormat="1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4" fontId="1" fillId="0" borderId="5" xfId="5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9" fontId="8" fillId="0" borderId="14" xfId="5" applyNumberFormat="1" applyFont="1" applyBorder="1" applyAlignment="1">
      <alignment horizontal="right" vertical="center"/>
    </xf>
    <xf numFmtId="0" fontId="14" fillId="0" borderId="15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14" xfId="5" applyFont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/>
    </xf>
    <xf numFmtId="0" fontId="8" fillId="0" borderId="13" xfId="5" applyFont="1" applyBorder="1" applyAlignment="1">
      <alignment horizontal="center" vertical="center" wrapText="1"/>
    </xf>
    <xf numFmtId="0" fontId="8" fillId="0" borderId="48" xfId="5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8" fillId="0" borderId="47" xfId="5" applyFont="1" applyBorder="1" applyAlignment="1">
      <alignment horizontal="center" vertical="center" wrapText="1"/>
    </xf>
    <xf numFmtId="0" fontId="8" fillId="4" borderId="14" xfId="5" applyFont="1" applyFill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1" fillId="0" borderId="0" xfId="4" applyFont="1" applyAlignment="1">
      <alignment horizontal="center" vertical="center"/>
    </xf>
    <xf numFmtId="0" fontId="1" fillId="0" borderId="3" xfId="4" applyFont="1" applyBorder="1" applyAlignment="1">
      <alignment horizontal="center" vertical="center"/>
    </xf>
    <xf numFmtId="49" fontId="1" fillId="0" borderId="21" xfId="4" applyNumberFormat="1" applyFont="1" applyBorder="1" applyAlignment="1">
      <alignment horizontal="left" vertical="center"/>
    </xf>
    <xf numFmtId="49" fontId="1" fillId="0" borderId="22" xfId="4" applyNumberFormat="1" applyFont="1" applyBorder="1" applyAlignment="1">
      <alignment horizontal="left" vertical="center"/>
    </xf>
    <xf numFmtId="49" fontId="1" fillId="0" borderId="23" xfId="4" applyNumberFormat="1" applyFont="1" applyBorder="1" applyAlignment="1">
      <alignment horizontal="left" vertical="center"/>
    </xf>
    <xf numFmtId="49" fontId="1" fillId="0" borderId="49" xfId="4" applyNumberFormat="1" applyFont="1" applyBorder="1" applyAlignment="1">
      <alignment horizontal="left" vertical="center" wrapText="1"/>
    </xf>
    <xf numFmtId="49" fontId="1" fillId="0" borderId="50" xfId="4" applyNumberFormat="1" applyFont="1" applyBorder="1" applyAlignment="1">
      <alignment horizontal="left" vertical="center" wrapText="1"/>
    </xf>
    <xf numFmtId="49" fontId="1" fillId="0" borderId="51" xfId="4" applyNumberFormat="1" applyFont="1" applyBorder="1" applyAlignment="1">
      <alignment horizontal="left" vertical="center" wrapText="1"/>
    </xf>
    <xf numFmtId="0" fontId="1" fillId="0" borderId="52" xfId="4" applyFont="1" applyBorder="1" applyAlignment="1">
      <alignment horizontal="left" vertical="top"/>
    </xf>
    <xf numFmtId="0" fontId="1" fillId="0" borderId="11" xfId="4" applyFont="1" applyBorder="1" applyAlignment="1">
      <alignment horizontal="left" vertical="top"/>
    </xf>
    <xf numFmtId="0" fontId="1" fillId="0" borderId="42" xfId="4" applyFont="1" applyBorder="1" applyAlignment="1">
      <alignment horizontal="left" vertical="top"/>
    </xf>
    <xf numFmtId="49" fontId="1" fillId="0" borderId="47" xfId="4" applyNumberFormat="1" applyFont="1" applyBorder="1" applyAlignment="1">
      <alignment horizontal="left" vertical="center"/>
    </xf>
    <xf numFmtId="0" fontId="8" fillId="0" borderId="53" xfId="4" applyFont="1" applyBorder="1" applyAlignment="1">
      <alignment horizontal="right" vertical="center"/>
    </xf>
    <xf numFmtId="0" fontId="1" fillId="0" borderId="14" xfId="4" applyFont="1" applyBorder="1" applyAlignment="1">
      <alignment horizontal="left" vertical="center"/>
    </xf>
    <xf numFmtId="0" fontId="8" fillId="0" borderId="58" xfId="4" applyFont="1" applyBorder="1" applyAlignment="1">
      <alignment horizontal="right" vertical="center"/>
    </xf>
    <xf numFmtId="49" fontId="1" fillId="0" borderId="15" xfId="4" applyNumberFormat="1" applyFont="1" applyBorder="1" applyAlignment="1">
      <alignment horizontal="left" vertical="center" wrapText="1"/>
    </xf>
    <xf numFmtId="49" fontId="1" fillId="0" borderId="20" xfId="4" applyNumberFormat="1" applyFont="1" applyBorder="1" applyAlignment="1">
      <alignment horizontal="left" vertical="center" wrapText="1"/>
    </xf>
    <xf numFmtId="49" fontId="1" fillId="0" borderId="13" xfId="4" applyNumberFormat="1" applyFont="1" applyBorder="1" applyAlignment="1">
      <alignment horizontal="left" vertical="center" wrapText="1"/>
    </xf>
    <xf numFmtId="166" fontId="24" fillId="0" borderId="47" xfId="0" applyNumberFormat="1" applyFont="1" applyBorder="1" applyAlignment="1" applyProtection="1">
      <alignment horizontal="left" vertical="center"/>
      <protection locked="0"/>
    </xf>
    <xf numFmtId="49" fontId="24" fillId="0" borderId="54" xfId="4" applyNumberFormat="1" applyFont="1" applyBorder="1" applyAlignment="1">
      <alignment horizontal="left" vertical="center"/>
    </xf>
    <xf numFmtId="49" fontId="24" fillId="0" borderId="47" xfId="4" applyNumberFormat="1" applyFont="1" applyBorder="1" applyAlignment="1">
      <alignment horizontal="left" vertical="center"/>
    </xf>
    <xf numFmtId="49" fontId="24" fillId="0" borderId="55" xfId="4" applyNumberFormat="1" applyFont="1" applyBorder="1" applyAlignment="1">
      <alignment horizontal="left" vertical="center"/>
    </xf>
    <xf numFmtId="0" fontId="7" fillId="0" borderId="56" xfId="4" applyFont="1" applyBorder="1" applyAlignment="1">
      <alignment horizontal="left" vertical="top"/>
    </xf>
    <xf numFmtId="0" fontId="7" fillId="0" borderId="5" xfId="4" applyFont="1" applyBorder="1" applyAlignment="1">
      <alignment horizontal="left" vertical="top"/>
    </xf>
    <xf numFmtId="0" fontId="1" fillId="0" borderId="56" xfId="4" applyFont="1" applyBorder="1" applyAlignment="1">
      <alignment horizontal="left" vertical="top"/>
    </xf>
    <xf numFmtId="0" fontId="1" fillId="0" borderId="5" xfId="4" applyFont="1" applyBorder="1" applyAlignment="1">
      <alignment horizontal="left" vertical="top"/>
    </xf>
    <xf numFmtId="0" fontId="1" fillId="0" borderId="57" xfId="4" applyFont="1" applyBorder="1" applyAlignment="1">
      <alignment horizontal="left" vertical="top"/>
    </xf>
    <xf numFmtId="0" fontId="1" fillId="0" borderId="37" xfId="4" applyFont="1" applyBorder="1" applyAlignment="1">
      <alignment horizontal="center" vertical="center"/>
    </xf>
    <xf numFmtId="0" fontId="1" fillId="0" borderId="4" xfId="4" applyFont="1" applyBorder="1" applyAlignment="1">
      <alignment horizontal="center" vertical="center"/>
    </xf>
    <xf numFmtId="0" fontId="1" fillId="0" borderId="2" xfId="4" applyFont="1" applyBorder="1" applyAlignment="1">
      <alignment horizontal="center" vertical="center"/>
    </xf>
    <xf numFmtId="0" fontId="1" fillId="0" borderId="38" xfId="4" applyFont="1" applyBorder="1" applyAlignment="1">
      <alignment horizontal="center" vertical="center"/>
    </xf>
    <xf numFmtId="14" fontId="7" fillId="0" borderId="2" xfId="5" applyNumberFormat="1" applyFont="1" applyBorder="1" applyAlignment="1">
      <alignment horizontal="center" vertical="top"/>
    </xf>
    <xf numFmtId="14" fontId="7" fillId="0" borderId="3" xfId="5" applyNumberFormat="1" applyFont="1" applyBorder="1" applyAlignment="1">
      <alignment horizontal="center" vertical="top"/>
    </xf>
    <xf numFmtId="14" fontId="7" fillId="0" borderId="38" xfId="5" applyNumberFormat="1" applyFont="1" applyBorder="1" applyAlignment="1">
      <alignment horizontal="center" vertical="top"/>
    </xf>
    <xf numFmtId="0" fontId="7" fillId="0" borderId="8" xfId="5" applyFont="1" applyBorder="1" applyAlignment="1">
      <alignment horizontal="left" vertical="top"/>
    </xf>
    <xf numFmtId="0" fontId="8" fillId="0" borderId="12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 wrapText="1"/>
    </xf>
    <xf numFmtId="0" fontId="9" fillId="0" borderId="47" xfId="4" applyFont="1" applyBorder="1" applyAlignment="1">
      <alignment horizontal="center" vertical="center" wrapText="1"/>
    </xf>
    <xf numFmtId="0" fontId="7" fillId="0" borderId="23" xfId="4" applyFont="1" applyBorder="1" applyAlignment="1">
      <alignment horizontal="left" vertical="top"/>
    </xf>
    <xf numFmtId="0" fontId="7" fillId="0" borderId="46" xfId="4" applyFont="1" applyBorder="1" applyAlignment="1">
      <alignment horizontal="left" vertical="top"/>
    </xf>
    <xf numFmtId="0" fontId="1" fillId="0" borderId="12" xfId="4" applyFont="1" applyBorder="1" applyAlignment="1">
      <alignment horizontal="left" vertical="top"/>
    </xf>
    <xf numFmtId="14" fontId="7" fillId="0" borderId="12" xfId="5" applyNumberFormat="1" applyFont="1" applyBorder="1" applyAlignment="1">
      <alignment horizontal="center" vertical="top"/>
    </xf>
    <xf numFmtId="0" fontId="8" fillId="0" borderId="20" xfId="5" applyFont="1" applyBorder="1" applyAlignment="1">
      <alignment horizontal="center" vertical="center" wrapText="1"/>
    </xf>
    <xf numFmtId="0" fontId="1" fillId="0" borderId="0" xfId="5" applyFont="1" applyAlignment="1">
      <alignment horizontal="center" vertical="center"/>
    </xf>
    <xf numFmtId="0" fontId="1" fillId="0" borderId="3" xfId="5" applyFont="1" applyBorder="1" applyAlignment="1">
      <alignment horizontal="center" vertical="center"/>
    </xf>
    <xf numFmtId="49" fontId="1" fillId="0" borderId="14" xfId="5" applyNumberFormat="1" applyFont="1" applyBorder="1" applyAlignment="1">
      <alignment horizontal="left" vertical="center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2" fontId="16" fillId="0" borderId="14" xfId="0" applyNumberFormat="1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8" fillId="0" borderId="23" xfId="5" applyNumberFormat="1" applyFont="1" applyBorder="1" applyAlignment="1">
      <alignment horizontal="right" vertical="center"/>
    </xf>
    <xf numFmtId="0" fontId="7" fillId="0" borderId="60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 wrapText="1"/>
    </xf>
    <xf numFmtId="0" fontId="7" fillId="0" borderId="48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/>
    </xf>
    <xf numFmtId="0" fontId="7" fillId="0" borderId="48" xfId="5" applyFont="1" applyBorder="1" applyAlignment="1">
      <alignment horizontal="left" vertical="top"/>
    </xf>
    <xf numFmtId="0" fontId="7" fillId="0" borderId="15" xfId="5" applyFont="1" applyBorder="1" applyAlignment="1">
      <alignment horizontal="left" vertical="top" wrapText="1"/>
    </xf>
    <xf numFmtId="0" fontId="7" fillId="0" borderId="13" xfId="5" applyFont="1" applyBorder="1" applyAlignment="1">
      <alignment horizontal="left" vertical="top" wrapText="1"/>
    </xf>
    <xf numFmtId="49" fontId="1" fillId="0" borderId="15" xfId="5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center" vertical="center" wrapText="1"/>
    </xf>
    <xf numFmtId="0" fontId="7" fillId="0" borderId="66" xfId="5" applyFont="1" applyBorder="1" applyAlignment="1">
      <alignment horizontal="left" vertical="center"/>
    </xf>
    <xf numFmtId="0" fontId="7" fillId="0" borderId="67" xfId="5" applyFont="1" applyBorder="1" applyAlignment="1">
      <alignment horizontal="left" vertical="center"/>
    </xf>
    <xf numFmtId="0" fontId="7" fillId="0" borderId="68" xfId="5" applyFont="1" applyBorder="1" applyAlignment="1">
      <alignment horizontal="left" vertical="center"/>
    </xf>
    <xf numFmtId="0" fontId="8" fillId="0" borderId="18" xfId="5" applyNumberFormat="1" applyFont="1" applyBorder="1" applyAlignment="1">
      <alignment horizontal="right" vertical="center"/>
    </xf>
    <xf numFmtId="14" fontId="1" fillId="0" borderId="11" xfId="5" applyNumberFormat="1" applyFont="1" applyBorder="1" applyAlignment="1">
      <alignment horizontal="center" vertical="center"/>
    </xf>
    <xf numFmtId="0" fontId="1" fillId="0" borderId="11" xfId="5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49" fontId="1" fillId="0" borderId="14" xfId="5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left" vertical="center" wrapText="1"/>
    </xf>
    <xf numFmtId="0" fontId="8" fillId="0" borderId="28" xfId="5" applyNumberFormat="1" applyFont="1" applyBorder="1" applyAlignment="1">
      <alignment horizontal="right" vertical="center"/>
    </xf>
    <xf numFmtId="0" fontId="8" fillId="0" borderId="12" xfId="5" applyFont="1" applyBorder="1" applyAlignment="1">
      <alignment horizontal="left" vertical="center"/>
    </xf>
    <xf numFmtId="0" fontId="18" fillId="0" borderId="14" xfId="0" applyFont="1" applyBorder="1" applyAlignment="1">
      <alignment horizontal="left"/>
    </xf>
    <xf numFmtId="0" fontId="1" fillId="0" borderId="14" xfId="5" applyFont="1" applyBorder="1" applyAlignment="1">
      <alignment horizontal="left" vertical="center"/>
    </xf>
    <xf numFmtId="0" fontId="8" fillId="0" borderId="21" xfId="5" applyFont="1" applyBorder="1" applyAlignment="1">
      <alignment horizontal="right" vertical="center"/>
    </xf>
    <xf numFmtId="0" fontId="2" fillId="3" borderId="59" xfId="5" applyFont="1" applyFill="1" applyBorder="1" applyAlignment="1">
      <alignment horizontal="center" vertical="center"/>
    </xf>
    <xf numFmtId="0" fontId="7" fillId="0" borderId="6" xfId="5" applyFont="1" applyBorder="1" applyAlignment="1">
      <alignment horizontal="left" vertical="center" wrapText="1"/>
    </xf>
    <xf numFmtId="0" fontId="7" fillId="0" borderId="0" xfId="5" applyFont="1" applyBorder="1" applyAlignment="1">
      <alignment horizontal="left" vertical="center" wrapText="1"/>
    </xf>
    <xf numFmtId="0" fontId="7" fillId="0" borderId="10" xfId="5" applyFont="1" applyBorder="1" applyAlignment="1">
      <alignment horizontal="left" vertical="center" wrapText="1"/>
    </xf>
    <xf numFmtId="0" fontId="8" fillId="0" borderId="14" xfId="5" applyFont="1" applyBorder="1" applyAlignment="1">
      <alignment horizontal="left" vertical="center"/>
    </xf>
    <xf numFmtId="0" fontId="1" fillId="0" borderId="12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top"/>
    </xf>
    <xf numFmtId="0" fontId="7" fillId="0" borderId="3" xfId="5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center" vertical="top"/>
    </xf>
    <xf numFmtId="0" fontId="2" fillId="3" borderId="28" xfId="5" applyFont="1" applyFill="1" applyBorder="1" applyAlignment="1">
      <alignment horizontal="center" vertical="center"/>
    </xf>
    <xf numFmtId="0" fontId="8" fillId="0" borderId="11" xfId="5" applyFont="1" applyBorder="1" applyAlignment="1">
      <alignment horizontal="left" vertical="center"/>
    </xf>
    <xf numFmtId="0" fontId="18" fillId="0" borderId="39" xfId="0" applyFont="1" applyBorder="1" applyAlignment="1"/>
    <xf numFmtId="0" fontId="18" fillId="0" borderId="40" xfId="0" applyFont="1" applyBorder="1" applyAlignment="1"/>
    <xf numFmtId="0" fontId="18" fillId="0" borderId="43" xfId="0" applyFont="1" applyBorder="1" applyAlignment="1"/>
    <xf numFmtId="0" fontId="18" fillId="0" borderId="44" xfId="0" applyFont="1" applyBorder="1" applyAlignment="1"/>
    <xf numFmtId="0" fontId="18" fillId="0" borderId="1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0" fontId="8" fillId="0" borderId="6" xfId="5" applyFont="1" applyBorder="1" applyAlignment="1">
      <alignment horizontal="right" vertical="center"/>
    </xf>
    <xf numFmtId="0" fontId="2" fillId="3" borderId="27" xfId="5" applyFont="1" applyFill="1" applyBorder="1" applyAlignment="1">
      <alignment horizontal="center" vertical="center"/>
    </xf>
  </cellXfs>
  <cellStyles count="9">
    <cellStyle name="Normal" xfId="0" builtinId="0"/>
    <cellStyle name="Normal_PP-2A" xfId="1" xr:uid="{00000000-0005-0000-0000-000001000000}"/>
    <cellStyle name="Normal_PP-II" xfId="2" xr:uid="{00000000-0005-0000-0000-000002000000}"/>
    <cellStyle name="Normal_PP-III" xfId="3" xr:uid="{00000000-0005-0000-0000-000003000000}"/>
    <cellStyle name="Normal_PP-V" xfId="4" xr:uid="{00000000-0005-0000-0000-000004000000}"/>
    <cellStyle name="Normal_PP-VI" xfId="5" xr:uid="{00000000-0005-0000-0000-000005000000}"/>
    <cellStyle name="Porcentagem" xfId="8" builtinId="5"/>
    <cellStyle name="Título 1 1" xfId="6" xr:uid="{00000000-0005-0000-0000-000007000000}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28575</xdr:rowOff>
    </xdr:from>
    <xdr:to>
      <xdr:col>7</xdr:col>
      <xdr:colOff>0</xdr:colOff>
      <xdr:row>9</xdr:row>
      <xdr:rowOff>161925</xdr:rowOff>
    </xdr:to>
    <xdr:sp macro="" textlink="" fLocksText="0">
      <xdr:nvSpPr>
        <xdr:cNvPr id="8193" name="Texto 44">
          <a:extLst>
            <a:ext uri="{FF2B5EF4-FFF2-40B4-BE49-F238E27FC236}">
              <a16:creationId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5010150" y="1019175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9\AR.GMA\Documents%20and%20Settings\kessis.dalapicola\Meus%20documentos\01%20-%20CODEVASF\01-An&#225;lise%20na%20AD-GCT\Baixio%20de%20Irec&#234;-BA\Montagem%20ELETROMEC&#194;NICA%20-%20Etapa%20Ib\An&#225;lise%20de%202011\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"/>
  <sheetViews>
    <sheetView showGridLines="0" tabSelected="1" view="pageBreakPreview" zoomScale="95" zoomScaleSheetLayoutView="95" workbookViewId="0">
      <pane ySplit="1" activePane="bottomLeft"/>
      <selection activeCell="L25" sqref="L25"/>
      <selection pane="bottomLeft" activeCell="L26" sqref="L26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384" width="11.42578125" style="1"/>
  </cols>
  <sheetData>
    <row r="1" spans="1:15" ht="24.95" customHeight="1" x14ac:dyDescent="0.2">
      <c r="A1" s="295" t="s">
        <v>0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6">
        <f>FSUP!N32</f>
        <v>16003984.4</v>
      </c>
      <c r="O1" s="296"/>
    </row>
    <row r="2" spans="1:15" ht="24.95" customHeight="1" x14ac:dyDescent="0.2">
      <c r="A2" s="297" t="s">
        <v>1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8">
        <f>FSUP!N36</f>
        <v>6174777.5099999998</v>
      </c>
      <c r="O2" s="298"/>
    </row>
    <row r="3" spans="1:15" ht="24.75" customHeight="1" x14ac:dyDescent="0.25">
      <c r="A3" s="293" t="s">
        <v>2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4">
        <f>FSUP!N37</f>
        <v>22178761.91</v>
      </c>
      <c r="O3" s="294"/>
    </row>
    <row r="4" spans="1:15" ht="12" hidden="1" customHeight="1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</sheetData>
  <sheetProtection selectLockedCells="1" selectUnlockedCells="1"/>
  <mergeCells count="6">
    <mergeCell ref="A3:M3"/>
    <mergeCell ref="N3:O3"/>
    <mergeCell ref="A1:M1"/>
    <mergeCell ref="N1:O1"/>
    <mergeCell ref="A2:M2"/>
    <mergeCell ref="N2:O2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48"/>
  <sheetViews>
    <sheetView view="pageBreakPreview" zoomScale="120" zoomScaleNormal="100" zoomScaleSheetLayoutView="120" workbookViewId="0">
      <selection activeCell="S1" sqref="S1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" width="11.42578125" style="1"/>
    <col min="17" max="17" width="13.7109375" style="1" customWidth="1"/>
    <col min="18" max="16384" width="11.42578125" style="1"/>
  </cols>
  <sheetData>
    <row r="2" spans="1:15" ht="28.5" customHeight="1" x14ac:dyDescent="0.2"/>
    <row r="3" spans="1:15" ht="15" customHeight="1" x14ac:dyDescent="0.2">
      <c r="A3" s="320" t="s">
        <v>3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1" t="s">
        <v>4</v>
      </c>
      <c r="O3" s="321"/>
    </row>
    <row r="4" spans="1:15" ht="15" customHeight="1" x14ac:dyDescent="0.25">
      <c r="A4" s="320"/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2" t="s">
        <v>5</v>
      </c>
      <c r="O4" s="322"/>
    </row>
    <row r="5" spans="1:15" ht="15" customHeight="1" x14ac:dyDescent="0.2">
      <c r="A5" s="323" t="s">
        <v>6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</row>
    <row r="6" spans="1:15" ht="15" customHeight="1" x14ac:dyDescent="0.2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</row>
    <row r="7" spans="1:15" ht="12.6" customHeight="1" x14ac:dyDescent="0.2">
      <c r="A7" s="325" t="s">
        <v>7</v>
      </c>
      <c r="B7" s="325"/>
      <c r="C7" s="325"/>
      <c r="D7" s="325"/>
      <c r="E7" s="325" t="s">
        <v>8</v>
      </c>
      <c r="F7" s="325"/>
      <c r="G7" s="325"/>
      <c r="H7" s="325"/>
      <c r="I7" s="325"/>
      <c r="J7" s="325"/>
      <c r="K7" s="325"/>
      <c r="L7" s="325"/>
      <c r="M7" s="325"/>
      <c r="N7" s="325" t="s">
        <v>9</v>
      </c>
      <c r="O7" s="325"/>
    </row>
    <row r="8" spans="1:15" ht="12.6" customHeight="1" x14ac:dyDescent="0.2">
      <c r="A8" s="326" t="s">
        <v>202</v>
      </c>
      <c r="B8" s="326"/>
      <c r="C8" s="326"/>
      <c r="D8" s="326"/>
      <c r="E8" s="326" t="s">
        <v>203</v>
      </c>
      <c r="F8" s="326"/>
      <c r="G8" s="326"/>
      <c r="H8" s="326"/>
      <c r="I8" s="326"/>
      <c r="J8" s="326"/>
      <c r="K8" s="326"/>
      <c r="L8" s="326"/>
      <c r="M8" s="326"/>
      <c r="N8" s="327"/>
      <c r="O8" s="327"/>
    </row>
    <row r="9" spans="1:15" s="7" customFormat="1" ht="15" customHeight="1" x14ac:dyDescent="0.25">
      <c r="A9" s="319" t="s">
        <v>10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</row>
    <row r="10" spans="1:15" ht="15" customHeight="1" x14ac:dyDescent="0.2">
      <c r="A10" s="318" t="s">
        <v>11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</row>
    <row r="11" spans="1:15" ht="15" customHeight="1" x14ac:dyDescent="0.2">
      <c r="A11" s="307" t="s">
        <v>12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  <c r="N11" s="316">
        <f>'FSUP-IV Mobiliz Desmob'!H41</f>
        <v>1709.94</v>
      </c>
      <c r="O11" s="316"/>
    </row>
    <row r="12" spans="1:15" ht="15" customHeight="1" x14ac:dyDescent="0.2">
      <c r="A12" s="307" t="s">
        <v>13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8">
        <f>'FSUP-IV Mobiliz Desmob'!L41</f>
        <v>1371.94</v>
      </c>
      <c r="O12" s="308"/>
    </row>
    <row r="13" spans="1:15" ht="15" customHeight="1" x14ac:dyDescent="0.2">
      <c r="A13" s="313" t="s">
        <v>14</v>
      </c>
      <c r="B13" s="313"/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4">
        <f>N11+N12</f>
        <v>3081.88</v>
      </c>
      <c r="O13" s="314"/>
    </row>
    <row r="14" spans="1:15" ht="15" customHeight="1" x14ac:dyDescent="0.2">
      <c r="A14" s="318" t="s">
        <v>15</v>
      </c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</row>
    <row r="15" spans="1:15" ht="15" customHeight="1" x14ac:dyDescent="0.2">
      <c r="A15" s="307" t="s">
        <v>16</v>
      </c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16">
        <f>'FSUP-I EQUIPE TÉCNICA'!L42</f>
        <v>7771737.5999999996</v>
      </c>
      <c r="O15" s="316"/>
    </row>
    <row r="16" spans="1:15" ht="15" customHeight="1" x14ac:dyDescent="0.2">
      <c r="A16" s="307" t="s">
        <v>17</v>
      </c>
      <c r="B16" s="307"/>
      <c r="C16" s="307"/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16">
        <f>'FSUP-I EQUIPE TÉCNICA'!M14</f>
        <v>795484.79999999993</v>
      </c>
      <c r="O16" s="316"/>
    </row>
    <row r="17" spans="1:16" ht="15" customHeight="1" x14ac:dyDescent="0.2">
      <c r="A17" s="313" t="s">
        <v>18</v>
      </c>
      <c r="B17" s="313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5">
        <f>SUM(N15:O16)</f>
        <v>8567222.4000000004</v>
      </c>
      <c r="O17" s="315"/>
    </row>
    <row r="18" spans="1:16" ht="15" customHeight="1" x14ac:dyDescent="0.2">
      <c r="A18" s="307" t="str">
        <f>CONCATENATE("C1 - ENCARGOS SOCIAiS DE B1 = ", 100*'FSUP-VII Det. Enc. Sociais'!F49,"%DO B1")</f>
        <v>C1 - ENCARGOS SOCIAiS DE B1 = 72,72%DO B1</v>
      </c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16">
        <f>ROUND(N15*'FSUP-VII Det. Enc. Sociais'!$F$49,2)</f>
        <v>5651607.5800000001</v>
      </c>
      <c r="O18" s="316"/>
      <c r="P18" s="8"/>
    </row>
    <row r="19" spans="1:16" ht="15" customHeight="1" x14ac:dyDescent="0.2">
      <c r="A19" s="307" t="s">
        <v>19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16">
        <f>ROUND(N16*0.2,2)</f>
        <v>159096.95999999999</v>
      </c>
      <c r="O19" s="316"/>
    </row>
    <row r="20" spans="1:16" ht="15" customHeight="1" x14ac:dyDescent="0.2">
      <c r="A20" s="313" t="s">
        <v>20</v>
      </c>
      <c r="B20" s="313"/>
      <c r="C20" s="313"/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15">
        <f>SUM(N18:O19)</f>
        <v>5810704.54</v>
      </c>
      <c r="O20" s="315"/>
    </row>
    <row r="21" spans="1:16" ht="15" customHeight="1" x14ac:dyDescent="0.2">
      <c r="A21" s="307" t="s">
        <v>21</v>
      </c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16">
        <f>'FSUP-II VIAGENS'!H32</f>
        <v>505047.60000000003</v>
      </c>
      <c r="O21" s="316"/>
    </row>
    <row r="22" spans="1:16" ht="15" customHeight="1" x14ac:dyDescent="0.2">
      <c r="A22" s="307" t="s">
        <v>22</v>
      </c>
      <c r="B22" s="307"/>
      <c r="C22" s="307"/>
      <c r="D22" s="307"/>
      <c r="E22" s="307"/>
      <c r="F22" s="307"/>
      <c r="G22" s="307"/>
      <c r="H22" s="307"/>
      <c r="I22" s="307"/>
      <c r="J22" s="307"/>
      <c r="K22" s="307"/>
      <c r="L22" s="307"/>
      <c r="M22" s="307"/>
      <c r="N22" s="316">
        <f>'FSUP-II VIAGENS'!M32</f>
        <v>365040</v>
      </c>
      <c r="O22" s="316"/>
    </row>
    <row r="23" spans="1:16" ht="15" customHeight="1" x14ac:dyDescent="0.2">
      <c r="A23" s="313" t="s">
        <v>23</v>
      </c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5">
        <f>SUM(N21:O22)</f>
        <v>870087.60000000009</v>
      </c>
      <c r="O23" s="315"/>
    </row>
    <row r="24" spans="1:16" ht="15" customHeight="1" x14ac:dyDescent="0.2">
      <c r="A24" s="317"/>
      <c r="B24" s="317"/>
      <c r="C24" s="317"/>
      <c r="D24" s="317"/>
      <c r="E24" s="317"/>
      <c r="F24" s="317"/>
      <c r="G24" s="317"/>
      <c r="H24" s="317"/>
      <c r="I24" s="317"/>
      <c r="J24" s="317"/>
      <c r="K24" s="317"/>
      <c r="L24" s="317"/>
      <c r="M24" s="317"/>
      <c r="N24" s="317"/>
      <c r="O24" s="317"/>
    </row>
    <row r="25" spans="1:16" ht="15" customHeight="1" x14ac:dyDescent="0.2">
      <c r="A25" s="318" t="s">
        <v>24</v>
      </c>
      <c r="B25" s="318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</row>
    <row r="26" spans="1:16" ht="15" customHeight="1" x14ac:dyDescent="0.2">
      <c r="A26" s="307" t="s">
        <v>25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  <c r="L26" s="307"/>
      <c r="M26" s="307"/>
      <c r="N26" s="316">
        <f>'FSUP-III Manutenção Operac'!I14</f>
        <v>383340.77999999997</v>
      </c>
      <c r="O26" s="316"/>
    </row>
    <row r="27" spans="1:16" ht="15" customHeight="1" x14ac:dyDescent="0.2">
      <c r="A27" s="307" t="s">
        <v>213</v>
      </c>
      <c r="B27" s="307"/>
      <c r="C27" s="307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8">
        <f>'FSUP-III Manutenção Operac'!I25</f>
        <v>116786.52</v>
      </c>
      <c r="O27" s="308"/>
    </row>
    <row r="28" spans="1:16" ht="15" customHeight="1" x14ac:dyDescent="0.2">
      <c r="A28" s="307" t="s">
        <v>212</v>
      </c>
      <c r="B28" s="307"/>
      <c r="C28" s="307"/>
      <c r="D28" s="307"/>
      <c r="E28" s="307"/>
      <c r="F28" s="307"/>
      <c r="G28" s="307"/>
      <c r="H28" s="307"/>
      <c r="I28" s="307"/>
      <c r="J28" s="307"/>
      <c r="K28" s="307"/>
      <c r="L28" s="307"/>
      <c r="M28" s="307"/>
      <c r="N28" s="308">
        <f>'FSUP-III Manutenção Operac'!I33</f>
        <v>108319.67999999999</v>
      </c>
      <c r="O28" s="308"/>
    </row>
    <row r="29" spans="1:16" ht="15" customHeight="1" x14ac:dyDescent="0.2">
      <c r="A29" s="307" t="s">
        <v>214</v>
      </c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8">
        <f>'FSUP-III Manutenção Operac'!I40</f>
        <v>144441</v>
      </c>
      <c r="O29" s="308"/>
    </row>
    <row r="30" spans="1:16" ht="15" customHeight="1" x14ac:dyDescent="0.2">
      <c r="A30" s="312"/>
      <c r="B30" s="312"/>
      <c r="C30" s="312"/>
      <c r="D30" s="312"/>
      <c r="E30" s="312"/>
      <c r="F30" s="312"/>
      <c r="G30" s="312"/>
      <c r="H30" s="312"/>
      <c r="I30" s="312"/>
      <c r="J30" s="312"/>
      <c r="K30" s="312"/>
      <c r="L30" s="312"/>
      <c r="M30" s="312"/>
      <c r="N30" s="308"/>
      <c r="O30" s="308"/>
    </row>
    <row r="31" spans="1:16" ht="15" customHeight="1" x14ac:dyDescent="0.2">
      <c r="A31" s="313" t="s">
        <v>26</v>
      </c>
      <c r="B31" s="313"/>
      <c r="C31" s="313"/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4">
        <f>SUM(N26:O30)</f>
        <v>752887.98</v>
      </c>
      <c r="O31" s="314"/>
    </row>
    <row r="32" spans="1:16" ht="15" customHeight="1" x14ac:dyDescent="0.2">
      <c r="A32" s="311" t="s">
        <v>0</v>
      </c>
      <c r="B32" s="311"/>
      <c r="C32" s="311"/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296">
        <f>SUM(N13+N17+N20+N23+N31)</f>
        <v>16003984.4</v>
      </c>
      <c r="O32" s="296"/>
    </row>
    <row r="33" spans="1:21" ht="15" customHeight="1" x14ac:dyDescent="0.2">
      <c r="A33" s="307" t="str">
        <f>CONCATENATE("F - CUSTOS DE ADMINISTRAÇÃO = ",'FSUP-V Det. custos Adm.'!F38,"% DO B")</f>
        <v>F - CUSTOS DE ADMINISTRAÇÃO = 15% DO B</v>
      </c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8">
        <f>ROUND(N17*'FSUP-V Det. custos Adm.'!$F$38/100,2)</f>
        <v>1285083.3600000001</v>
      </c>
      <c r="O33" s="308"/>
      <c r="Q33" s="201"/>
    </row>
    <row r="34" spans="1:21" ht="15" customHeight="1" x14ac:dyDescent="0.2">
      <c r="A34" s="307" t="s">
        <v>27</v>
      </c>
      <c r="B34" s="307"/>
      <c r="C34" s="307"/>
      <c r="D34" s="307"/>
      <c r="E34" s="307"/>
      <c r="F34" s="307"/>
      <c r="G34" s="307"/>
      <c r="H34" s="307"/>
      <c r="I34" s="307"/>
      <c r="J34" s="307"/>
      <c r="K34" s="307"/>
      <c r="L34" s="307"/>
      <c r="M34" s="307"/>
      <c r="N34" s="308">
        <f>ROUND(0.1*(N13+N17+N20+N23+N31+N33),2)</f>
        <v>1728906.78</v>
      </c>
      <c r="O34" s="308"/>
      <c r="P34" s="261"/>
      <c r="Q34" s="262"/>
      <c r="R34" s="261"/>
      <c r="S34" s="261"/>
      <c r="T34" s="261"/>
    </row>
    <row r="35" spans="1:21" ht="15" customHeight="1" x14ac:dyDescent="0.2">
      <c r="A35" s="309" t="str">
        <f>CONCATENATE("H - DESPESAS FISCAIS = (",'FSUP-VI Det. Desp Fiscais'!G29,"% DE (A + B + C + D + E + F + G)")</f>
        <v>H - DESPESAS FISCAIS = (16,62% DE (A + B + C + D + E + F + G)</v>
      </c>
      <c r="B35" s="309"/>
      <c r="C35" s="309"/>
      <c r="D35" s="309"/>
      <c r="E35" s="309"/>
      <c r="F35" s="309"/>
      <c r="G35" s="309"/>
      <c r="H35" s="309"/>
      <c r="I35" s="309"/>
      <c r="J35" s="309"/>
      <c r="K35" s="309"/>
      <c r="L35" s="309"/>
      <c r="M35" s="309"/>
      <c r="N35" s="308">
        <f>ROUND('FSUP-VI Det. Desp Fiscais'!$G$29/100*(N13+N17+N20+N23+N31+N33+N34),2)</f>
        <v>3160787.37</v>
      </c>
      <c r="O35" s="308"/>
      <c r="P35" s="261"/>
      <c r="Q35" s="262"/>
      <c r="R35" s="261"/>
      <c r="S35" s="261"/>
      <c r="T35" s="261"/>
    </row>
    <row r="36" spans="1:21" ht="15" customHeight="1" x14ac:dyDescent="0.2">
      <c r="A36" s="311" t="s">
        <v>1</v>
      </c>
      <c r="B36" s="311"/>
      <c r="C36" s="311"/>
      <c r="D36" s="311"/>
      <c r="E36" s="311"/>
      <c r="F36" s="311"/>
      <c r="G36" s="311"/>
      <c r="H36" s="311"/>
      <c r="I36" s="311"/>
      <c r="J36" s="311"/>
      <c r="K36" s="311"/>
      <c r="L36" s="311"/>
      <c r="M36" s="311"/>
      <c r="N36" s="296">
        <f>SUM(N33:O35)</f>
        <v>6174777.5099999998</v>
      </c>
      <c r="O36" s="296"/>
      <c r="P36" s="261"/>
      <c r="Q36" s="262"/>
      <c r="R36" s="261"/>
      <c r="S36" s="261"/>
      <c r="T36" s="261"/>
      <c r="U36" s="260"/>
    </row>
    <row r="37" spans="1:21" ht="15" customHeight="1" x14ac:dyDescent="0.25">
      <c r="A37" s="310" t="s">
        <v>2</v>
      </c>
      <c r="B37" s="310"/>
      <c r="C37" s="310"/>
      <c r="D37" s="310"/>
      <c r="E37" s="310"/>
      <c r="F37" s="310"/>
      <c r="G37" s="310"/>
      <c r="H37" s="310"/>
      <c r="I37" s="310"/>
      <c r="J37" s="310"/>
      <c r="K37" s="310"/>
      <c r="L37" s="310"/>
      <c r="M37" s="310"/>
      <c r="N37" s="296">
        <f>N32+N36</f>
        <v>22178761.91</v>
      </c>
      <c r="O37" s="296"/>
      <c r="P37" s="263"/>
      <c r="Q37" s="264"/>
      <c r="R37" s="265"/>
      <c r="S37" s="261"/>
      <c r="T37" s="261"/>
      <c r="U37" s="260"/>
    </row>
    <row r="38" spans="1:21" ht="12.6" customHeight="1" x14ac:dyDescent="0.2">
      <c r="A38" s="300" t="s">
        <v>28</v>
      </c>
      <c r="B38" s="300"/>
      <c r="C38" s="300"/>
      <c r="D38" s="300"/>
      <c r="E38" s="300"/>
      <c r="F38" s="300"/>
      <c r="G38" s="300"/>
      <c r="H38" s="300"/>
      <c r="I38" s="300"/>
      <c r="J38" s="300" t="s">
        <v>29</v>
      </c>
      <c r="K38" s="300"/>
      <c r="L38" s="300"/>
      <c r="M38" s="300"/>
      <c r="N38" s="300"/>
      <c r="O38" s="300"/>
      <c r="P38" s="263"/>
      <c r="Q38" s="264"/>
      <c r="R38" s="265"/>
      <c r="S38" s="261"/>
      <c r="T38" s="261"/>
      <c r="U38" s="260"/>
    </row>
    <row r="39" spans="1:21" ht="12.6" customHeight="1" x14ac:dyDescent="0.2">
      <c r="A39" s="306"/>
      <c r="B39" s="306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261"/>
      <c r="Q39" s="262"/>
      <c r="R39" s="261"/>
      <c r="S39" s="261"/>
      <c r="T39" s="261"/>
      <c r="U39" s="260"/>
    </row>
    <row r="40" spans="1:21" ht="12.6" customHeight="1" x14ac:dyDescent="0.2">
      <c r="A40" s="300" t="s">
        <v>30</v>
      </c>
      <c r="B40" s="300"/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00"/>
      <c r="N40" s="300" t="s">
        <v>31</v>
      </c>
      <c r="O40" s="300"/>
      <c r="P40" s="261"/>
      <c r="Q40" s="262"/>
      <c r="R40" s="261"/>
      <c r="S40" s="261"/>
      <c r="T40" s="261"/>
      <c r="U40" s="260"/>
    </row>
    <row r="41" spans="1:21" ht="12.6" customHeight="1" x14ac:dyDescent="0.2">
      <c r="A41" s="301"/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  <c r="M41" s="301"/>
      <c r="N41" s="302"/>
      <c r="O41" s="303"/>
      <c r="P41" s="261"/>
      <c r="Q41" s="262"/>
      <c r="R41" s="261"/>
      <c r="S41" s="261"/>
      <c r="T41" s="261"/>
      <c r="U41" s="260"/>
    </row>
    <row r="42" spans="1:21" ht="12" customHeight="1" x14ac:dyDescent="0.2">
      <c r="A42" s="300" t="s">
        <v>32</v>
      </c>
      <c r="B42" s="300"/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261"/>
      <c r="Q42" s="262"/>
      <c r="R42" s="261"/>
      <c r="S42" s="261"/>
      <c r="T42" s="261"/>
    </row>
    <row r="43" spans="1:21" s="10" customFormat="1" ht="12" customHeight="1" x14ac:dyDescent="0.2">
      <c r="A43" s="9"/>
      <c r="B43" s="304"/>
      <c r="C43" s="304"/>
      <c r="D43" s="304"/>
      <c r="E43" s="304"/>
      <c r="F43" s="304"/>
      <c r="G43" s="304"/>
      <c r="H43" s="304"/>
      <c r="I43" s="304"/>
      <c r="J43" s="304"/>
      <c r="K43" s="304"/>
      <c r="L43" s="304"/>
      <c r="M43" s="304"/>
      <c r="N43" s="304"/>
      <c r="O43" s="304"/>
      <c r="P43" s="266"/>
      <c r="Q43" s="267"/>
      <c r="R43" s="266"/>
      <c r="S43" s="266"/>
      <c r="T43" s="266"/>
    </row>
    <row r="44" spans="1:21" s="10" customFormat="1" ht="12" customHeight="1" x14ac:dyDescent="0.2">
      <c r="A44" s="305"/>
      <c r="B44" s="305"/>
      <c r="C44" s="305"/>
      <c r="D44" s="305"/>
      <c r="E44" s="305"/>
      <c r="F44" s="305"/>
      <c r="G44" s="305"/>
      <c r="H44" s="305"/>
      <c r="I44" s="305"/>
      <c r="J44" s="305"/>
      <c r="K44" s="305"/>
      <c r="L44" s="305"/>
      <c r="M44" s="305"/>
      <c r="N44" s="305"/>
      <c r="O44" s="305"/>
      <c r="Q44" s="202"/>
    </row>
    <row r="45" spans="1:21" ht="12" customHeight="1" x14ac:dyDescent="0.2">
      <c r="A45" s="305"/>
      <c r="B45" s="305"/>
      <c r="C45" s="305"/>
      <c r="D45" s="305"/>
      <c r="E45" s="305"/>
      <c r="F45" s="305"/>
      <c r="G45" s="305"/>
      <c r="H45" s="305"/>
      <c r="I45" s="305"/>
      <c r="J45" s="305"/>
      <c r="K45" s="305"/>
      <c r="L45" s="305"/>
      <c r="M45" s="305"/>
      <c r="N45" s="305"/>
      <c r="O45" s="305"/>
      <c r="Q45" s="201"/>
    </row>
    <row r="46" spans="1:21" ht="12" customHeight="1" x14ac:dyDescent="0.2">
      <c r="A46" s="299"/>
      <c r="B46" s="299"/>
      <c r="C46" s="299"/>
      <c r="D46" s="299"/>
      <c r="E46" s="299"/>
      <c r="F46" s="299"/>
      <c r="G46" s="299"/>
      <c r="H46" s="299"/>
      <c r="I46" s="299"/>
      <c r="J46" s="299"/>
      <c r="K46" s="299"/>
      <c r="L46" s="299"/>
      <c r="M46" s="299"/>
      <c r="N46" s="299"/>
      <c r="O46" s="299"/>
      <c r="Q46" s="201"/>
    </row>
    <row r="47" spans="1:21" ht="12" hidden="1" customHeight="1" x14ac:dyDescent="0.2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4"/>
      <c r="Q47" s="201"/>
    </row>
    <row r="48" spans="1:21" ht="12.75" x14ac:dyDescent="0.2">
      <c r="Q48" s="201"/>
    </row>
  </sheetData>
  <sheetProtection selectLockedCells="1" selectUnlockedCells="1"/>
  <mergeCells count="77">
    <mergeCell ref="A11:M11"/>
    <mergeCell ref="N11:O11"/>
    <mergeCell ref="A12:M12"/>
    <mergeCell ref="N12:O12"/>
    <mergeCell ref="A10:O10"/>
    <mergeCell ref="A9:O9"/>
    <mergeCell ref="A3:M4"/>
    <mergeCell ref="N3:O3"/>
    <mergeCell ref="N4:O4"/>
    <mergeCell ref="A5:O5"/>
    <mergeCell ref="A6:O6"/>
    <mergeCell ref="A7:D7"/>
    <mergeCell ref="E7:M7"/>
    <mergeCell ref="N7:O7"/>
    <mergeCell ref="A8:D8"/>
    <mergeCell ref="E8:M8"/>
    <mergeCell ref="N8:O8"/>
    <mergeCell ref="A13:M13"/>
    <mergeCell ref="N13:O13"/>
    <mergeCell ref="A21:M21"/>
    <mergeCell ref="N21:O21"/>
    <mergeCell ref="A16:M16"/>
    <mergeCell ref="N16:O16"/>
    <mergeCell ref="A17:M17"/>
    <mergeCell ref="N17:O17"/>
    <mergeCell ref="A18:M18"/>
    <mergeCell ref="N18:O18"/>
    <mergeCell ref="A15:M15"/>
    <mergeCell ref="N15:O15"/>
    <mergeCell ref="A14:O14"/>
    <mergeCell ref="A19:M19"/>
    <mergeCell ref="N19:O19"/>
    <mergeCell ref="A20:M20"/>
    <mergeCell ref="N20:O20"/>
    <mergeCell ref="A28:M28"/>
    <mergeCell ref="N28:O28"/>
    <mergeCell ref="A22:M22"/>
    <mergeCell ref="N22:O22"/>
    <mergeCell ref="A23:M23"/>
    <mergeCell ref="N23:O23"/>
    <mergeCell ref="A24:O24"/>
    <mergeCell ref="A25:O25"/>
    <mergeCell ref="A26:M26"/>
    <mergeCell ref="N26:O26"/>
    <mergeCell ref="A27:M27"/>
    <mergeCell ref="N27:O27"/>
    <mergeCell ref="A29:M29"/>
    <mergeCell ref="N29:O29"/>
    <mergeCell ref="A38:I38"/>
    <mergeCell ref="J38:O38"/>
    <mergeCell ref="A30:M30"/>
    <mergeCell ref="N30:O30"/>
    <mergeCell ref="A32:M32"/>
    <mergeCell ref="N32:O32"/>
    <mergeCell ref="A33:M33"/>
    <mergeCell ref="N33:O33"/>
    <mergeCell ref="A31:M31"/>
    <mergeCell ref="N31:O31"/>
    <mergeCell ref="A39:I39"/>
    <mergeCell ref="J39:O39"/>
    <mergeCell ref="A34:M34"/>
    <mergeCell ref="N34:O34"/>
    <mergeCell ref="A35:M35"/>
    <mergeCell ref="N35:O35"/>
    <mergeCell ref="A37:M37"/>
    <mergeCell ref="N37:O37"/>
    <mergeCell ref="A36:M36"/>
    <mergeCell ref="N36:O36"/>
    <mergeCell ref="A46:O46"/>
    <mergeCell ref="A40:M40"/>
    <mergeCell ref="N40:O40"/>
    <mergeCell ref="A41:M41"/>
    <mergeCell ref="N41:O41"/>
    <mergeCell ref="A42:O42"/>
    <mergeCell ref="B43:O43"/>
    <mergeCell ref="A44:O44"/>
    <mergeCell ref="A45:O45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Q60"/>
  <sheetViews>
    <sheetView view="pageBreakPreview" topLeftCell="A13" zoomScale="140" zoomScaleNormal="100" zoomScaleSheetLayoutView="140" workbookViewId="0">
      <selection activeCell="D38" sqref="D38"/>
    </sheetView>
  </sheetViews>
  <sheetFormatPr defaultRowHeight="12.75" x14ac:dyDescent="0.2"/>
  <cols>
    <col min="2" max="2" width="19.7109375" customWidth="1"/>
    <col min="3" max="3" width="3" customWidth="1"/>
    <col min="4" max="4" width="4.7109375" style="239" customWidth="1"/>
    <col min="5" max="6" width="6.85546875" customWidth="1"/>
    <col min="7" max="8" width="6.28515625" customWidth="1"/>
    <col min="9" max="11" width="6.85546875" customWidth="1"/>
    <col min="12" max="12" width="10.28515625" customWidth="1"/>
    <col min="13" max="13" width="10.140625" customWidth="1"/>
    <col min="14" max="14" width="0.140625" customWidth="1"/>
    <col min="15" max="15" width="11.85546875" hidden="1" customWidth="1"/>
    <col min="17" max="17" width="28.7109375" customWidth="1"/>
  </cols>
  <sheetData>
    <row r="1" spans="1:17" x14ac:dyDescent="0.2">
      <c r="A1" s="338"/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</row>
    <row r="2" spans="1:17" x14ac:dyDescent="0.2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</row>
    <row r="3" spans="1:17" x14ac:dyDescent="0.2">
      <c r="A3" s="359" t="s">
        <v>33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60" t="s">
        <v>4</v>
      </c>
      <c r="M3" s="360"/>
    </row>
    <row r="4" spans="1:17" ht="18" x14ac:dyDescent="0.2">
      <c r="A4" s="359"/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61" t="s">
        <v>34</v>
      </c>
      <c r="M4" s="361"/>
    </row>
    <row r="5" spans="1:17" x14ac:dyDescent="0.2">
      <c r="A5" s="341" t="s">
        <v>6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</row>
    <row r="6" spans="1:17" x14ac:dyDescent="0.2">
      <c r="A6" s="366"/>
      <c r="B6" s="367"/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8"/>
      <c r="Q6" s="268"/>
    </row>
    <row r="7" spans="1:17" x14ac:dyDescent="0.2">
      <c r="A7" s="335" t="s">
        <v>7</v>
      </c>
      <c r="B7" s="335"/>
      <c r="C7" s="335" t="s">
        <v>8</v>
      </c>
      <c r="D7" s="335"/>
      <c r="E7" s="335"/>
      <c r="F7" s="335"/>
      <c r="G7" s="335"/>
      <c r="H7" s="335"/>
      <c r="I7" s="335"/>
      <c r="J7" s="335"/>
      <c r="K7" s="335"/>
      <c r="L7" s="335" t="s">
        <v>9</v>
      </c>
      <c r="M7" s="335"/>
      <c r="Q7" s="268"/>
    </row>
    <row r="8" spans="1:17" s="204" customFormat="1" x14ac:dyDescent="0.2">
      <c r="A8" s="11" t="s">
        <v>202</v>
      </c>
      <c r="B8" s="12"/>
      <c r="C8" s="365" t="s">
        <v>203</v>
      </c>
      <c r="D8" s="365"/>
      <c r="E8" s="365"/>
      <c r="F8" s="365"/>
      <c r="G8" s="365"/>
      <c r="H8" s="365"/>
      <c r="I8" s="365"/>
      <c r="J8" s="365"/>
      <c r="K8" s="365"/>
      <c r="L8" s="364"/>
      <c r="M8" s="364"/>
      <c r="Q8" s="269"/>
    </row>
    <row r="9" spans="1:17" x14ac:dyDescent="0.2">
      <c r="A9" s="362" t="s">
        <v>35</v>
      </c>
      <c r="B9" s="362"/>
      <c r="C9" s="362"/>
      <c r="D9" s="362"/>
      <c r="E9" s="363" t="s">
        <v>36</v>
      </c>
      <c r="F9" s="363"/>
      <c r="G9" s="363"/>
      <c r="H9" s="363"/>
      <c r="I9" s="363"/>
      <c r="J9" s="363"/>
      <c r="K9" s="363"/>
      <c r="L9" s="362" t="s">
        <v>37</v>
      </c>
      <c r="M9" s="362"/>
      <c r="Q9" s="268"/>
    </row>
    <row r="10" spans="1:17" ht="12" customHeight="1" x14ac:dyDescent="0.2">
      <c r="A10" s="355"/>
      <c r="B10" s="355"/>
      <c r="C10" s="14"/>
      <c r="D10" s="230"/>
      <c r="E10" s="15" t="s">
        <v>38</v>
      </c>
      <c r="F10" s="15" t="s">
        <v>39</v>
      </c>
      <c r="G10" s="15" t="s">
        <v>40</v>
      </c>
      <c r="H10" s="16" t="s">
        <v>41</v>
      </c>
      <c r="I10" s="17" t="s">
        <v>42</v>
      </c>
      <c r="J10" s="17" t="s">
        <v>38</v>
      </c>
      <c r="K10" s="17" t="s">
        <v>43</v>
      </c>
      <c r="L10" s="18" t="s">
        <v>38</v>
      </c>
      <c r="M10" s="18" t="s">
        <v>38</v>
      </c>
      <c r="Q10" s="268"/>
    </row>
    <row r="11" spans="1:17" ht="12" customHeight="1" x14ac:dyDescent="0.2">
      <c r="A11" s="353" t="s">
        <v>44</v>
      </c>
      <c r="B11" s="353"/>
      <c r="C11" s="19" t="s">
        <v>45</v>
      </c>
      <c r="D11" s="231" t="s">
        <v>46</v>
      </c>
      <c r="E11" s="15" t="s">
        <v>47</v>
      </c>
      <c r="F11" s="15" t="s">
        <v>48</v>
      </c>
      <c r="G11" s="15" t="s">
        <v>49</v>
      </c>
      <c r="H11" s="16" t="s">
        <v>50</v>
      </c>
      <c r="I11" s="17" t="s">
        <v>51</v>
      </c>
      <c r="J11" s="17" t="s">
        <v>52</v>
      </c>
      <c r="K11" s="17" t="s">
        <v>53</v>
      </c>
      <c r="L11" s="20" t="s">
        <v>54</v>
      </c>
      <c r="M11" s="20" t="s">
        <v>55</v>
      </c>
      <c r="Q11" s="268"/>
    </row>
    <row r="12" spans="1:17" ht="12" customHeight="1" x14ac:dyDescent="0.2">
      <c r="A12" s="354"/>
      <c r="B12" s="354"/>
      <c r="C12" s="21"/>
      <c r="D12" s="21"/>
      <c r="E12" s="21"/>
      <c r="F12" s="21"/>
      <c r="G12" s="21"/>
      <c r="H12" s="22"/>
      <c r="I12" s="22"/>
      <c r="J12" s="22"/>
      <c r="K12" s="22"/>
      <c r="L12" s="22"/>
      <c r="M12" s="22"/>
      <c r="Q12" s="268"/>
    </row>
    <row r="13" spans="1:17" x14ac:dyDescent="0.2">
      <c r="A13" s="358" t="s">
        <v>56</v>
      </c>
      <c r="B13" s="358"/>
      <c r="C13" s="23"/>
      <c r="D13" s="232"/>
      <c r="E13" s="222"/>
      <c r="F13" s="24"/>
      <c r="G13" s="24"/>
      <c r="H13" s="24"/>
      <c r="I13" s="24"/>
      <c r="J13" s="24"/>
      <c r="K13" s="24"/>
      <c r="L13" s="24"/>
      <c r="M13" s="24"/>
      <c r="Q13" s="270"/>
    </row>
    <row r="14" spans="1:17" ht="12.75" customHeight="1" x14ac:dyDescent="0.2">
      <c r="A14" s="351" t="s">
        <v>193</v>
      </c>
      <c r="B14" s="351"/>
      <c r="C14" s="25" t="s">
        <v>57</v>
      </c>
      <c r="D14" s="233">
        <v>36</v>
      </c>
      <c r="E14" s="223">
        <v>22096.799999999999</v>
      </c>
      <c r="F14" s="27">
        <f>ROUND(E14*0.2,2)</f>
        <v>4419.3599999999997</v>
      </c>
      <c r="G14" s="27">
        <f>ROUND(E14*0.2,2)</f>
        <v>4419.3599999999997</v>
      </c>
      <c r="H14" s="27">
        <f>ROUND(0.1*(E14+F14+G14),2)</f>
        <v>3093.55</v>
      </c>
      <c r="I14" s="27">
        <f>ROUND('FSUP-VI Det. Desp Fiscais'!$G$29/100*(E14+F14+G14+H14),2)</f>
        <v>5655.63</v>
      </c>
      <c r="J14" s="27">
        <f>SUM(E14:I14)</f>
        <v>39684.699999999997</v>
      </c>
      <c r="K14" s="27">
        <f>ROUND(J14/176,2)</f>
        <v>225.48</v>
      </c>
      <c r="L14" s="27"/>
      <c r="M14" s="203">
        <f>E14*D14</f>
        <v>795484.79999999993</v>
      </c>
      <c r="O14" s="205"/>
      <c r="Q14" s="271"/>
    </row>
    <row r="15" spans="1:17" ht="12.75" customHeight="1" x14ac:dyDescent="0.2">
      <c r="A15" s="351" t="s">
        <v>198</v>
      </c>
      <c r="B15" s="351"/>
      <c r="C15" s="28" t="s">
        <v>195</v>
      </c>
      <c r="D15" s="233">
        <v>36</v>
      </c>
      <c r="E15" s="223">
        <v>18224.8</v>
      </c>
      <c r="F15" s="27">
        <f>ROUND(E15*'FSUP-VII Det. Enc. Sociais'!$F$49,2)</f>
        <v>13253.07</v>
      </c>
      <c r="G15" s="27">
        <f>ROUND(E15*0.2,2)</f>
        <v>3644.96</v>
      </c>
      <c r="H15" s="27">
        <f>ROUND(0.1*(E15+F15+G15),2)</f>
        <v>3512.28</v>
      </c>
      <c r="I15" s="27">
        <f>ROUND('FSUP-VI Det. Desp Fiscais'!$G$29/100*(E15+F15+G15+H15),2)</f>
        <v>6421.16</v>
      </c>
      <c r="J15" s="27">
        <f>SUM(E15:I15)</f>
        <v>45056.270000000004</v>
      </c>
      <c r="K15" s="27">
        <f>ROUND(J15/176,2)</f>
        <v>256</v>
      </c>
      <c r="L15" s="27">
        <f>ROUND(D15*E15,2)</f>
        <v>656092.80000000005</v>
      </c>
      <c r="M15" s="27"/>
      <c r="O15" s="205"/>
      <c r="Q15" s="271"/>
    </row>
    <row r="16" spans="1:17" ht="12.75" customHeight="1" x14ac:dyDescent="0.2">
      <c r="A16" s="356" t="s">
        <v>194</v>
      </c>
      <c r="B16" s="357"/>
      <c r="C16" s="25" t="s">
        <v>58</v>
      </c>
      <c r="D16" s="233">
        <v>72</v>
      </c>
      <c r="E16" s="223">
        <v>14041.28</v>
      </c>
      <c r="F16" s="27">
        <f>ROUND(E16*'FSUP-VII Det. Enc. Sociais'!$F$49,2)</f>
        <v>10210.82</v>
      </c>
      <c r="G16" s="27">
        <f>ROUND(E16*0.2,2)</f>
        <v>2808.26</v>
      </c>
      <c r="H16" s="27">
        <f>ROUND(0.1*(E16+F16+G16),2)</f>
        <v>2706.04</v>
      </c>
      <c r="I16" s="27">
        <f>ROUND('FSUP-VI Det. Desp Fiscais'!$G$29/100*(E16+F16+G16+H16),2)</f>
        <v>4947.18</v>
      </c>
      <c r="J16" s="27">
        <f>SUM(E16:I16)</f>
        <v>34713.58</v>
      </c>
      <c r="K16" s="27">
        <f>ROUND(J16/176,2)</f>
        <v>197.24</v>
      </c>
      <c r="L16" s="27">
        <f>ROUND(D16*E16,2)</f>
        <v>1010972.16</v>
      </c>
      <c r="M16" s="27"/>
      <c r="O16" s="205"/>
      <c r="Q16" s="271"/>
    </row>
    <row r="17" spans="1:17" ht="12.75" customHeight="1" x14ac:dyDescent="0.2">
      <c r="A17" s="356" t="s">
        <v>196</v>
      </c>
      <c r="B17" s="357"/>
      <c r="C17" s="25" t="s">
        <v>59</v>
      </c>
      <c r="D17" s="233">
        <v>468</v>
      </c>
      <c r="E17" s="223">
        <v>10714.88</v>
      </c>
      <c r="F17" s="27">
        <f>ROUND(E17*'FSUP-VII Det. Enc. Sociais'!$F$49,2)</f>
        <v>7791.86</v>
      </c>
      <c r="G17" s="27">
        <f>ROUND(E17*0.2,2)</f>
        <v>2142.98</v>
      </c>
      <c r="H17" s="27">
        <f>ROUND(0.1*(E17+F17+G17),2)</f>
        <v>2064.9699999999998</v>
      </c>
      <c r="I17" s="27">
        <f>ROUND('FSUP-VI Det. Desp Fiscais'!$G$29/100*(E17+F17+G17+H17),2)</f>
        <v>3775.18</v>
      </c>
      <c r="J17" s="27">
        <f>SUM(E17:I17)</f>
        <v>26489.87</v>
      </c>
      <c r="K17" s="27">
        <f>ROUND(J17/176,2)</f>
        <v>150.51</v>
      </c>
      <c r="L17" s="27">
        <f>ROUND(D17*E17,2)</f>
        <v>5014563.84</v>
      </c>
      <c r="M17" s="27"/>
      <c r="O17" s="205"/>
      <c r="P17">
        <f>288/36</f>
        <v>8</v>
      </c>
      <c r="Q17" s="271"/>
    </row>
    <row r="18" spans="1:17" ht="12.75" customHeight="1" x14ac:dyDescent="0.2">
      <c r="A18" s="351"/>
      <c r="B18" s="351"/>
      <c r="C18" s="25"/>
      <c r="D18" s="233"/>
      <c r="E18" s="223"/>
      <c r="F18" s="27"/>
      <c r="G18" s="27"/>
      <c r="H18" s="27"/>
      <c r="I18" s="27"/>
      <c r="J18" s="27"/>
      <c r="K18" s="27"/>
      <c r="L18" s="27"/>
      <c r="M18" s="27"/>
      <c r="O18" s="205"/>
      <c r="Q18" s="270"/>
    </row>
    <row r="19" spans="1:17" ht="12.75" customHeight="1" x14ac:dyDescent="0.2">
      <c r="A19" s="351"/>
      <c r="B19" s="351"/>
      <c r="C19" s="25"/>
      <c r="D19" s="233"/>
      <c r="E19" s="223"/>
      <c r="F19" s="27"/>
      <c r="G19" s="27"/>
      <c r="H19" s="27"/>
      <c r="I19" s="27"/>
      <c r="J19" s="27"/>
      <c r="K19" s="27"/>
      <c r="L19" s="27"/>
      <c r="M19" s="27"/>
      <c r="O19" s="205"/>
      <c r="Q19" s="270"/>
    </row>
    <row r="20" spans="1:17" ht="12.75" customHeight="1" x14ac:dyDescent="0.2">
      <c r="A20" s="351"/>
      <c r="B20" s="351"/>
      <c r="C20" s="25"/>
      <c r="D20" s="233"/>
      <c r="E20" s="223"/>
      <c r="F20" s="27"/>
      <c r="G20" s="27"/>
      <c r="H20" s="27"/>
      <c r="I20" s="27"/>
      <c r="J20" s="27"/>
      <c r="K20" s="27"/>
      <c r="L20" s="27"/>
      <c r="M20" s="27"/>
      <c r="O20" s="205"/>
      <c r="Q20" s="270"/>
    </row>
    <row r="21" spans="1:17" x14ac:dyDescent="0.2">
      <c r="A21" s="29" t="s">
        <v>60</v>
      </c>
      <c r="B21" s="30"/>
      <c r="C21" s="31"/>
      <c r="D21" s="234"/>
      <c r="E21" s="224"/>
      <c r="F21" s="27"/>
      <c r="G21" s="27"/>
      <c r="H21" s="27"/>
      <c r="I21" s="27"/>
      <c r="J21" s="27"/>
      <c r="K21" s="27"/>
      <c r="L21" s="27"/>
      <c r="M21" s="24"/>
      <c r="O21" s="205"/>
      <c r="Q21" s="270"/>
    </row>
    <row r="22" spans="1:17" x14ac:dyDescent="0.2">
      <c r="A22" s="352" t="s">
        <v>197</v>
      </c>
      <c r="B22" s="352"/>
      <c r="C22" s="26" t="s">
        <v>61</v>
      </c>
      <c r="D22" s="233">
        <v>144</v>
      </c>
      <c r="E22" s="223">
        <v>4646.3999999999996</v>
      </c>
      <c r="F22" s="27">
        <f>ROUND(E22*'FSUP-VII Det. Enc. Sociais'!$F$49,2)</f>
        <v>3378.86</v>
      </c>
      <c r="G22" s="27">
        <f>ROUND(E22*0.2,2)</f>
        <v>929.28</v>
      </c>
      <c r="H22" s="27">
        <f>ROUND(0.1*(E22+F22+G22),2)</f>
        <v>895.45</v>
      </c>
      <c r="I22" s="27">
        <f>ROUND('FSUP-VI Det. Desp Fiscais'!$G$29/100*(E22+F22+G22+H22),2)</f>
        <v>1637.07</v>
      </c>
      <c r="J22" s="27">
        <f>SUM(E22:I22)</f>
        <v>11487.060000000001</v>
      </c>
      <c r="K22" s="27">
        <f>ROUND(J22/176,2)</f>
        <v>65.27</v>
      </c>
      <c r="L22" s="27">
        <f>ROUND(D22*E22,2)</f>
        <v>669081.59999999998</v>
      </c>
      <c r="M22" s="27"/>
      <c r="O22" s="205"/>
      <c r="P22">
        <f>108/36</f>
        <v>3</v>
      </c>
      <c r="Q22" s="270"/>
    </row>
    <row r="23" spans="1:17" ht="12.75" customHeight="1" x14ac:dyDescent="0.2">
      <c r="A23" s="328"/>
      <c r="B23" s="328"/>
      <c r="C23" s="26"/>
      <c r="D23" s="233"/>
      <c r="E23" s="223"/>
      <c r="F23" s="27"/>
      <c r="G23" s="27"/>
      <c r="H23" s="27"/>
      <c r="I23" s="27"/>
      <c r="J23" s="27"/>
      <c r="K23" s="27"/>
      <c r="L23" s="27"/>
      <c r="M23" s="27"/>
      <c r="O23" s="205"/>
      <c r="Q23" s="270"/>
    </row>
    <row r="24" spans="1:17" ht="12.75" customHeight="1" x14ac:dyDescent="0.2">
      <c r="A24" s="328"/>
      <c r="B24" s="328"/>
      <c r="C24" s="26"/>
      <c r="D24" s="233"/>
      <c r="E24" s="223"/>
      <c r="F24" s="27"/>
      <c r="G24" s="27"/>
      <c r="H24" s="27"/>
      <c r="I24" s="27"/>
      <c r="J24" s="27"/>
      <c r="K24" s="27"/>
      <c r="L24" s="27"/>
      <c r="M24" s="27"/>
      <c r="O24" s="205"/>
      <c r="Q24" s="270"/>
    </row>
    <row r="25" spans="1:17" ht="12.75" customHeight="1" x14ac:dyDescent="0.2">
      <c r="A25" s="328"/>
      <c r="B25" s="328"/>
      <c r="C25" s="26"/>
      <c r="D25" s="233"/>
      <c r="E25" s="223"/>
      <c r="F25" s="27"/>
      <c r="G25" s="27"/>
      <c r="H25" s="27"/>
      <c r="I25" s="27"/>
      <c r="J25" s="27"/>
      <c r="K25" s="27"/>
      <c r="L25" s="27"/>
      <c r="M25" s="27"/>
      <c r="O25" s="205"/>
      <c r="Q25" s="270"/>
    </row>
    <row r="26" spans="1:17" ht="12.75" customHeight="1" x14ac:dyDescent="0.2">
      <c r="A26" s="328"/>
      <c r="B26" s="328"/>
      <c r="C26" s="26"/>
      <c r="D26" s="233"/>
      <c r="E26" s="223"/>
      <c r="F26" s="27"/>
      <c r="G26" s="27"/>
      <c r="H26" s="27"/>
      <c r="I26" s="27"/>
      <c r="J26" s="27"/>
      <c r="K26" s="27"/>
      <c r="L26" s="27"/>
      <c r="M26" s="27"/>
      <c r="O26" s="205"/>
      <c r="Q26" s="270"/>
    </row>
    <row r="27" spans="1:17" ht="12.75" customHeight="1" x14ac:dyDescent="0.2">
      <c r="A27" s="352"/>
      <c r="B27" s="352"/>
      <c r="C27" s="26"/>
      <c r="D27" s="233"/>
      <c r="E27" s="223"/>
      <c r="F27" s="27"/>
      <c r="G27" s="27"/>
      <c r="H27" s="27"/>
      <c r="I27" s="27"/>
      <c r="J27" s="27"/>
      <c r="K27" s="27"/>
      <c r="L27" s="27"/>
      <c r="M27" s="27"/>
      <c r="O27" s="205"/>
      <c r="Q27" s="270"/>
    </row>
    <row r="28" spans="1:17" ht="12.75" customHeight="1" x14ac:dyDescent="0.2">
      <c r="A28" s="328"/>
      <c r="B28" s="328"/>
      <c r="C28" s="26"/>
      <c r="D28" s="233"/>
      <c r="E28" s="223"/>
      <c r="F28" s="27"/>
      <c r="G28" s="27"/>
      <c r="H28" s="27"/>
      <c r="I28" s="27"/>
      <c r="J28" s="27"/>
      <c r="K28" s="27"/>
      <c r="L28" s="27"/>
      <c r="M28" s="27"/>
      <c r="O28" s="205"/>
      <c r="Q28" s="270"/>
    </row>
    <row r="29" spans="1:17" ht="12.75" customHeight="1" x14ac:dyDescent="0.2">
      <c r="A29" s="328"/>
      <c r="B29" s="328"/>
      <c r="C29" s="26"/>
      <c r="D29" s="233"/>
      <c r="E29" s="223"/>
      <c r="F29" s="27"/>
      <c r="G29" s="27"/>
      <c r="H29" s="27"/>
      <c r="I29" s="27"/>
      <c r="J29" s="27"/>
      <c r="K29" s="27"/>
      <c r="L29" s="27"/>
      <c r="M29" s="27"/>
      <c r="O29" s="205"/>
      <c r="Q29" s="270"/>
    </row>
    <row r="30" spans="1:17" ht="12.75" customHeight="1" x14ac:dyDescent="0.2">
      <c r="A30" s="328"/>
      <c r="B30" s="328"/>
      <c r="C30" s="26"/>
      <c r="D30" s="233"/>
      <c r="E30" s="223"/>
      <c r="F30" s="27"/>
      <c r="G30" s="27"/>
      <c r="H30" s="27"/>
      <c r="I30" s="27"/>
      <c r="J30" s="27"/>
      <c r="K30" s="27"/>
      <c r="L30" s="27"/>
      <c r="M30" s="27"/>
      <c r="O30" s="205"/>
      <c r="Q30" s="270"/>
    </row>
    <row r="31" spans="1:17" ht="12.75" customHeight="1" x14ac:dyDescent="0.2">
      <c r="A31" s="328"/>
      <c r="B31" s="328"/>
      <c r="C31" s="26"/>
      <c r="D31" s="233"/>
      <c r="E31" s="223"/>
      <c r="F31" s="27"/>
      <c r="G31" s="27"/>
      <c r="H31" s="27"/>
      <c r="I31" s="27"/>
      <c r="J31" s="27"/>
      <c r="K31" s="27"/>
      <c r="L31" s="27"/>
      <c r="M31" s="27"/>
      <c r="O31" s="205"/>
      <c r="Q31" s="270"/>
    </row>
    <row r="32" spans="1:17" ht="12.75" customHeight="1" x14ac:dyDescent="0.2">
      <c r="A32" s="328"/>
      <c r="B32" s="328"/>
      <c r="C32" s="26"/>
      <c r="D32" s="233"/>
      <c r="E32" s="223"/>
      <c r="F32" s="27"/>
      <c r="G32" s="27"/>
      <c r="H32" s="27"/>
      <c r="I32" s="27"/>
      <c r="J32" s="27"/>
      <c r="K32" s="27"/>
      <c r="L32" s="27"/>
      <c r="M32" s="27"/>
      <c r="O32" s="205"/>
      <c r="Q32" s="270"/>
    </row>
    <row r="33" spans="1:17" ht="12.75" customHeight="1" x14ac:dyDescent="0.2">
      <c r="A33" s="328"/>
      <c r="B33" s="328"/>
      <c r="C33" s="26"/>
      <c r="D33" s="233"/>
      <c r="E33" s="223"/>
      <c r="F33" s="27"/>
      <c r="G33" s="27"/>
      <c r="H33" s="27"/>
      <c r="I33" s="27"/>
      <c r="J33" s="27"/>
      <c r="K33" s="27"/>
      <c r="L33" s="27"/>
      <c r="M33" s="27"/>
      <c r="O33" s="205"/>
      <c r="Q33" s="270"/>
    </row>
    <row r="34" spans="1:17" ht="12.75" customHeight="1" x14ac:dyDescent="0.2">
      <c r="A34" s="328"/>
      <c r="B34" s="328"/>
      <c r="C34" s="26"/>
      <c r="D34" s="233"/>
      <c r="E34" s="223"/>
      <c r="F34" s="27"/>
      <c r="G34" s="27"/>
      <c r="H34" s="27"/>
      <c r="I34" s="27"/>
      <c r="J34" s="27"/>
      <c r="K34" s="27"/>
      <c r="L34" s="27"/>
      <c r="M34" s="27"/>
      <c r="O34" s="205"/>
      <c r="Q34" s="270"/>
    </row>
    <row r="35" spans="1:17" x14ac:dyDescent="0.2">
      <c r="A35" s="330" t="s">
        <v>62</v>
      </c>
      <c r="B35" s="330"/>
      <c r="C35" s="32"/>
      <c r="D35" s="235"/>
      <c r="E35" s="223"/>
      <c r="F35" s="27"/>
      <c r="G35" s="27"/>
      <c r="H35" s="27"/>
      <c r="I35" s="27"/>
      <c r="J35" s="27"/>
      <c r="K35" s="27"/>
      <c r="L35" s="27"/>
      <c r="M35" s="24"/>
      <c r="O35" s="205"/>
      <c r="Q35" s="270"/>
    </row>
    <row r="36" spans="1:17" ht="12.75" customHeight="1" x14ac:dyDescent="0.2">
      <c r="A36" s="328"/>
      <c r="B36" s="328"/>
      <c r="C36" s="26"/>
      <c r="D36" s="233"/>
      <c r="E36" s="203"/>
      <c r="F36" s="27"/>
      <c r="G36" s="27"/>
      <c r="H36" s="27"/>
      <c r="I36" s="27"/>
      <c r="J36" s="27"/>
      <c r="K36" s="27"/>
      <c r="L36" s="27"/>
      <c r="M36" s="27"/>
      <c r="O36" s="205"/>
      <c r="Q36" s="270"/>
    </row>
    <row r="37" spans="1:17" ht="12.75" customHeight="1" x14ac:dyDescent="0.2">
      <c r="A37" s="328" t="s">
        <v>192</v>
      </c>
      <c r="B37" s="328"/>
      <c r="C37" s="26" t="s">
        <v>63</v>
      </c>
      <c r="D37" s="233">
        <v>108</v>
      </c>
      <c r="E37" s="203">
        <v>3898.4</v>
      </c>
      <c r="F37" s="27">
        <f>ROUND(E37*'FSUP-VII Det. Enc. Sociais'!$F$49,2)</f>
        <v>2834.92</v>
      </c>
      <c r="G37" s="27">
        <f>ROUND(E37*0.2,2)</f>
        <v>779.68</v>
      </c>
      <c r="H37" s="27">
        <f>ROUND(0.1*(E37+F37+G37),2)</f>
        <v>751.3</v>
      </c>
      <c r="I37" s="27">
        <f>ROUND('FSUP-VI Det. Desp Fiscais'!$G$29/100*(E37+F37+G37+H37),2)</f>
        <v>1373.53</v>
      </c>
      <c r="J37" s="27">
        <f>SUM(E37:I37)</f>
        <v>9637.83</v>
      </c>
      <c r="K37" s="27">
        <f>ROUND(J37/176,2)</f>
        <v>54.76</v>
      </c>
      <c r="L37" s="27">
        <f>ROUND(D37*E37,2)</f>
        <v>421027.2</v>
      </c>
      <c r="M37" s="27"/>
      <c r="O37" s="205"/>
      <c r="P37">
        <f>72/36</f>
        <v>2</v>
      </c>
      <c r="Q37" s="270"/>
    </row>
    <row r="38" spans="1:17" ht="12.75" customHeight="1" x14ac:dyDescent="0.2">
      <c r="A38" s="328"/>
      <c r="B38" s="328"/>
      <c r="C38" s="26"/>
      <c r="D38" s="233"/>
      <c r="E38" s="203"/>
      <c r="F38" s="27"/>
      <c r="G38" s="27"/>
      <c r="H38" s="27"/>
      <c r="I38" s="27"/>
      <c r="J38" s="27"/>
      <c r="K38" s="27"/>
      <c r="L38" s="27"/>
      <c r="M38" s="27"/>
      <c r="Q38" s="268"/>
    </row>
    <row r="39" spans="1:17" x14ac:dyDescent="0.2">
      <c r="A39" s="330" t="s">
        <v>65</v>
      </c>
      <c r="B39" s="330"/>
      <c r="C39" s="32"/>
      <c r="D39" s="234"/>
      <c r="E39" s="24"/>
      <c r="F39" s="27"/>
      <c r="G39" s="27"/>
      <c r="H39" s="27"/>
      <c r="I39" s="27"/>
      <c r="J39" s="27"/>
      <c r="K39" s="27"/>
      <c r="L39" s="27"/>
      <c r="M39" s="24"/>
    </row>
    <row r="40" spans="1:17" ht="12.75" customHeight="1" x14ac:dyDescent="0.2">
      <c r="A40" s="328"/>
      <c r="B40" s="328"/>
      <c r="C40" s="26"/>
      <c r="D40" s="233"/>
      <c r="E40" s="27"/>
      <c r="F40" s="27"/>
      <c r="G40" s="27"/>
      <c r="H40" s="27"/>
      <c r="I40" s="27"/>
      <c r="J40" s="27"/>
      <c r="K40" s="27"/>
      <c r="L40" s="27"/>
      <c r="M40" s="27"/>
    </row>
    <row r="41" spans="1:17" x14ac:dyDescent="0.2">
      <c r="A41" s="329"/>
      <c r="B41" s="329"/>
      <c r="C41" s="329"/>
      <c r="D41" s="236"/>
      <c r="E41" s="345"/>
      <c r="F41" s="345"/>
      <c r="G41" s="345"/>
      <c r="H41" s="345"/>
      <c r="I41" s="345"/>
      <c r="J41" s="345"/>
      <c r="K41" s="345"/>
      <c r="L41" s="27"/>
      <c r="M41" s="27"/>
    </row>
    <row r="42" spans="1:17" x14ac:dyDescent="0.2">
      <c r="A42" s="346" t="s">
        <v>66</v>
      </c>
      <c r="B42" s="346"/>
      <c r="C42" s="346"/>
      <c r="D42" s="346"/>
      <c r="E42" s="346"/>
      <c r="F42" s="346"/>
      <c r="G42" s="346"/>
      <c r="H42" s="346"/>
      <c r="I42" s="346"/>
      <c r="J42" s="346"/>
      <c r="K42" s="346"/>
      <c r="L42" s="33">
        <f>ROUND(SUM(L13:L41),2)</f>
        <v>7771737.5999999996</v>
      </c>
      <c r="M42" s="33">
        <f>SUM(M13:M41)</f>
        <v>795484.79999999993</v>
      </c>
    </row>
    <row r="43" spans="1:17" x14ac:dyDescent="0.2">
      <c r="A43" s="341" t="s">
        <v>28</v>
      </c>
      <c r="B43" s="341"/>
      <c r="C43" s="341"/>
      <c r="D43" s="341"/>
      <c r="E43" s="341"/>
      <c r="F43" s="341"/>
      <c r="G43" s="341"/>
      <c r="H43" s="342" t="s">
        <v>29</v>
      </c>
      <c r="I43" s="342"/>
      <c r="J43" s="342"/>
      <c r="K43" s="342"/>
      <c r="L43" s="342"/>
      <c r="M43" s="342"/>
    </row>
    <row r="44" spans="1:17" x14ac:dyDescent="0.2">
      <c r="A44" s="334"/>
      <c r="B44" s="334"/>
      <c r="C44" s="334"/>
      <c r="D44" s="334"/>
      <c r="E44" s="334"/>
      <c r="F44" s="334"/>
      <c r="G44" s="334"/>
      <c r="H44" s="331"/>
      <c r="I44" s="331"/>
      <c r="J44" s="331"/>
      <c r="K44" s="331"/>
      <c r="L44" s="331"/>
      <c r="M44" s="331"/>
    </row>
    <row r="45" spans="1:17" x14ac:dyDescent="0.2">
      <c r="A45" s="343" t="s">
        <v>30</v>
      </c>
      <c r="B45" s="343"/>
      <c r="C45" s="343"/>
      <c r="D45" s="343"/>
      <c r="E45" s="343"/>
      <c r="F45" s="343"/>
      <c r="G45" s="343"/>
      <c r="H45" s="343"/>
      <c r="I45" s="343"/>
      <c r="J45" s="343"/>
      <c r="K45" s="343"/>
      <c r="L45" s="344" t="s">
        <v>31</v>
      </c>
      <c r="M45" s="344"/>
    </row>
    <row r="46" spans="1:17" x14ac:dyDescent="0.2">
      <c r="A46" s="324"/>
      <c r="B46" s="324"/>
      <c r="C46" s="324"/>
      <c r="D46" s="324"/>
      <c r="E46" s="324"/>
      <c r="F46" s="324"/>
      <c r="G46" s="324"/>
      <c r="H46" s="324"/>
      <c r="I46" s="324"/>
      <c r="J46" s="324"/>
      <c r="K46" s="324"/>
      <c r="L46" s="332"/>
      <c r="M46" s="333"/>
    </row>
    <row r="47" spans="1:17" x14ac:dyDescent="0.2">
      <c r="A47" s="347" t="s">
        <v>32</v>
      </c>
      <c r="B47" s="347"/>
      <c r="C47" s="347"/>
      <c r="D47" s="347"/>
      <c r="E47" s="347"/>
      <c r="F47" s="347"/>
      <c r="G47" s="347"/>
      <c r="H47" s="347"/>
      <c r="I47" s="347"/>
      <c r="J47" s="347"/>
      <c r="K47" s="347"/>
      <c r="L47" s="347"/>
      <c r="M47" s="347"/>
    </row>
    <row r="48" spans="1:17" x14ac:dyDescent="0.2">
      <c r="A48" s="340" t="s">
        <v>67</v>
      </c>
      <c r="B48" s="340"/>
      <c r="C48" s="340"/>
      <c r="D48" s="340"/>
      <c r="E48" s="340"/>
      <c r="F48" s="340"/>
      <c r="G48" s="340"/>
      <c r="H48" s="340"/>
      <c r="I48" s="340"/>
      <c r="J48" s="340"/>
      <c r="K48" s="340"/>
      <c r="L48" s="340"/>
      <c r="M48" s="340"/>
    </row>
    <row r="49" spans="1:13" x14ac:dyDescent="0.2">
      <c r="A49" s="340" t="s">
        <v>68</v>
      </c>
      <c r="B49" s="340"/>
      <c r="C49" s="340"/>
      <c r="D49" s="340"/>
      <c r="E49" s="340"/>
      <c r="F49" s="340"/>
      <c r="G49" s="340"/>
      <c r="H49" s="340"/>
      <c r="I49" s="340"/>
      <c r="J49" s="340"/>
      <c r="K49" s="340"/>
      <c r="L49" s="340"/>
      <c r="M49" s="340"/>
    </row>
    <row r="50" spans="1:13" x14ac:dyDescent="0.2">
      <c r="A50" s="35" t="s">
        <v>69</v>
      </c>
      <c r="B50" s="36"/>
      <c r="C50" s="36"/>
      <c r="D50" s="237"/>
      <c r="E50" s="36"/>
      <c r="F50" s="36"/>
      <c r="G50" s="36"/>
      <c r="H50" s="36"/>
      <c r="I50" s="36"/>
      <c r="J50" s="36"/>
      <c r="K50" s="36"/>
      <c r="L50" s="36"/>
      <c r="M50" s="37"/>
    </row>
    <row r="51" spans="1:13" x14ac:dyDescent="0.2">
      <c r="A51" s="336" t="s">
        <v>70</v>
      </c>
      <c r="B51" s="336"/>
      <c r="C51" s="336"/>
      <c r="D51" s="336"/>
      <c r="E51" s="336"/>
      <c r="F51" s="336"/>
      <c r="G51" s="336"/>
      <c r="H51" s="336"/>
      <c r="I51" s="336"/>
      <c r="J51" s="336"/>
      <c r="K51" s="336"/>
      <c r="L51" s="336"/>
      <c r="M51" s="336"/>
    </row>
    <row r="52" spans="1:13" x14ac:dyDescent="0.2">
      <c r="A52" s="335" t="str">
        <f>CONCATENATE("5 - ENC. SOCIAIS, APLICAR NO MÁXIMO 20%  PARA AUTÔNOMOS E ",100*'FSUP-VII Det. Enc. Sociais'!F49,"% PARA EMPREG. COM VÍNCULO DETALHAR NO FSUP-VII")</f>
        <v>5 - ENC. SOCIAIS, APLICAR NO MÁXIMO 20%  PARA AUTÔNOMOS E 72,72% PARA EMPREG. COM VÍNCULO DETALHAR NO FSUP-VII</v>
      </c>
      <c r="B52" s="335"/>
      <c r="C52" s="335"/>
      <c r="D52" s="335"/>
      <c r="E52" s="335"/>
      <c r="F52" s="335"/>
      <c r="G52" s="335"/>
      <c r="H52" s="335"/>
      <c r="I52" s="335"/>
      <c r="J52" s="335"/>
      <c r="K52" s="335"/>
      <c r="L52" s="335"/>
      <c r="M52" s="335"/>
    </row>
    <row r="53" spans="1:13" x14ac:dyDescent="0.2">
      <c r="A53" s="348" t="s">
        <v>71</v>
      </c>
      <c r="B53" s="348"/>
      <c r="C53" s="348"/>
      <c r="D53" s="348"/>
      <c r="E53" s="348"/>
      <c r="F53" s="348"/>
      <c r="G53" s="348"/>
      <c r="H53" s="348"/>
      <c r="I53" s="348"/>
      <c r="J53" s="348"/>
      <c r="K53" s="348"/>
      <c r="L53" s="348"/>
      <c r="M53" s="348"/>
    </row>
    <row r="54" spans="1:13" x14ac:dyDescent="0.2">
      <c r="A54" s="350" t="s">
        <v>72</v>
      </c>
      <c r="B54" s="350"/>
      <c r="C54" s="350"/>
      <c r="D54" s="350"/>
      <c r="E54" s="350"/>
      <c r="F54" s="350"/>
      <c r="G54" s="350"/>
      <c r="H54" s="350"/>
      <c r="I54" s="350"/>
      <c r="J54" s="350"/>
      <c r="K54" s="350"/>
      <c r="L54" s="350"/>
      <c r="M54" s="350"/>
    </row>
    <row r="55" spans="1:13" x14ac:dyDescent="0.2">
      <c r="A55" s="350" t="s">
        <v>73</v>
      </c>
      <c r="B55" s="350"/>
      <c r="C55" s="350"/>
      <c r="D55" s="350"/>
      <c r="E55" s="350"/>
      <c r="F55" s="350"/>
      <c r="G55" s="350"/>
      <c r="H55" s="350"/>
      <c r="I55" s="350"/>
      <c r="J55" s="350"/>
      <c r="K55" s="350"/>
      <c r="L55" s="350"/>
      <c r="M55" s="350"/>
    </row>
    <row r="56" spans="1:13" x14ac:dyDescent="0.2">
      <c r="A56" s="350" t="s">
        <v>74</v>
      </c>
      <c r="B56" s="350"/>
      <c r="C56" s="350"/>
      <c r="D56" s="350"/>
      <c r="E56" s="350"/>
      <c r="F56" s="350"/>
      <c r="G56" s="350"/>
      <c r="H56" s="350"/>
      <c r="I56" s="350"/>
      <c r="J56" s="350"/>
      <c r="K56" s="350"/>
      <c r="L56" s="350"/>
      <c r="M56" s="350"/>
    </row>
    <row r="57" spans="1:13" x14ac:dyDescent="0.2">
      <c r="A57" s="38" t="s">
        <v>75</v>
      </c>
      <c r="B57" s="39"/>
      <c r="C57" s="39"/>
      <c r="D57" s="238"/>
      <c r="E57" s="39"/>
      <c r="F57" s="39"/>
      <c r="G57" s="39"/>
      <c r="H57" s="39"/>
      <c r="I57" s="39"/>
      <c r="J57" s="39"/>
      <c r="K57" s="39"/>
      <c r="L57" s="39"/>
      <c r="M57" s="40"/>
    </row>
    <row r="58" spans="1:13" x14ac:dyDescent="0.2">
      <c r="A58" s="337" t="s">
        <v>76</v>
      </c>
      <c r="B58" s="337"/>
      <c r="C58" s="337"/>
      <c r="D58" s="337"/>
      <c r="E58" s="337"/>
      <c r="F58" s="337"/>
      <c r="G58" s="337"/>
      <c r="H58" s="337"/>
      <c r="I58" s="337"/>
      <c r="J58" s="337"/>
      <c r="K58" s="337"/>
      <c r="L58" s="337"/>
      <c r="M58" s="337"/>
    </row>
    <row r="59" spans="1:13" x14ac:dyDescent="0.2">
      <c r="A59" s="337" t="s">
        <v>77</v>
      </c>
      <c r="B59" s="337"/>
      <c r="C59" s="337"/>
      <c r="D59" s="337"/>
      <c r="E59" s="337"/>
      <c r="F59" s="337"/>
      <c r="G59" s="337"/>
      <c r="H59" s="337"/>
      <c r="I59" s="337"/>
      <c r="J59" s="337"/>
      <c r="K59" s="337"/>
      <c r="L59" s="337"/>
      <c r="M59" s="337"/>
    </row>
    <row r="60" spans="1:13" x14ac:dyDescent="0.2">
      <c r="A60" s="349"/>
      <c r="B60" s="349"/>
      <c r="C60" s="349"/>
      <c r="D60" s="349"/>
      <c r="E60" s="349"/>
      <c r="F60" s="349"/>
      <c r="G60" s="349"/>
      <c r="H60" s="349"/>
      <c r="I60" s="349"/>
      <c r="J60" s="349"/>
      <c r="K60" s="349"/>
      <c r="L60" s="349"/>
      <c r="M60" s="349"/>
    </row>
  </sheetData>
  <sheetProtection selectLockedCells="1" selectUnlockedCells="1"/>
  <mergeCells count="67">
    <mergeCell ref="A3:K4"/>
    <mergeCell ref="L3:M3"/>
    <mergeCell ref="L4:M4"/>
    <mergeCell ref="A5:M5"/>
    <mergeCell ref="A9:D9"/>
    <mergeCell ref="E9:K9"/>
    <mergeCell ref="L9:M9"/>
    <mergeCell ref="C7:K7"/>
    <mergeCell ref="L8:M8"/>
    <mergeCell ref="C8:K8"/>
    <mergeCell ref="L7:M7"/>
    <mergeCell ref="A6:O6"/>
    <mergeCell ref="A7:B7"/>
    <mergeCell ref="A11:B11"/>
    <mergeCell ref="A12:B12"/>
    <mergeCell ref="A10:B10"/>
    <mergeCell ref="A14:B14"/>
    <mergeCell ref="A17:B17"/>
    <mergeCell ref="A16:B16"/>
    <mergeCell ref="A15:B15"/>
    <mergeCell ref="A13:B13"/>
    <mergeCell ref="A18:B18"/>
    <mergeCell ref="A19:B19"/>
    <mergeCell ref="A20:B20"/>
    <mergeCell ref="A34:B34"/>
    <mergeCell ref="A33:B33"/>
    <mergeCell ref="A30:B30"/>
    <mergeCell ref="A31:B31"/>
    <mergeCell ref="A32:B32"/>
    <mergeCell ref="A28:B28"/>
    <mergeCell ref="A29:B29"/>
    <mergeCell ref="A24:B24"/>
    <mergeCell ref="A25:B25"/>
    <mergeCell ref="A26:B26"/>
    <mergeCell ref="A27:B27"/>
    <mergeCell ref="A22:B22"/>
    <mergeCell ref="A23:B23"/>
    <mergeCell ref="A60:M60"/>
    <mergeCell ref="A54:M54"/>
    <mergeCell ref="A55:M55"/>
    <mergeCell ref="A56:M56"/>
    <mergeCell ref="A58:M58"/>
    <mergeCell ref="A52:M52"/>
    <mergeCell ref="A51:M51"/>
    <mergeCell ref="A59:M59"/>
    <mergeCell ref="A1:M2"/>
    <mergeCell ref="A48:M48"/>
    <mergeCell ref="A43:G43"/>
    <mergeCell ref="H43:M43"/>
    <mergeCell ref="A45:K45"/>
    <mergeCell ref="L45:M45"/>
    <mergeCell ref="A39:B39"/>
    <mergeCell ref="A36:B36"/>
    <mergeCell ref="E41:K41"/>
    <mergeCell ref="A42:K42"/>
    <mergeCell ref="A47:M47"/>
    <mergeCell ref="A49:M49"/>
    <mergeCell ref="A53:M53"/>
    <mergeCell ref="A40:B40"/>
    <mergeCell ref="A41:C41"/>
    <mergeCell ref="A35:B35"/>
    <mergeCell ref="H44:M44"/>
    <mergeCell ref="A46:K46"/>
    <mergeCell ref="L46:M46"/>
    <mergeCell ref="A44:G44"/>
    <mergeCell ref="A38:B38"/>
    <mergeCell ref="A37:B37"/>
  </mergeCells>
  <phoneticPr fontId="18" type="noConversion"/>
  <printOptions horizontalCentered="1"/>
  <pageMargins left="0.59055118110236227" right="0.31496062992125984" top="1.1811023622047245" bottom="0.59055118110236227" header="0.51181102362204722" footer="0.51181102362204722"/>
  <pageSetup paperSize="9" scale="85" firstPageNumber="0" orientation="portrait" horizontalDpi="4294967294" verticalDpi="429496729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47"/>
  <sheetViews>
    <sheetView view="pageBreakPreview" zoomScaleSheetLayoutView="100" workbookViewId="0">
      <selection activeCell="F14" sqref="F14"/>
    </sheetView>
  </sheetViews>
  <sheetFormatPr defaultRowHeight="12.75" x14ac:dyDescent="0.2"/>
  <cols>
    <col min="1" max="1" width="12.5703125" customWidth="1"/>
    <col min="4" max="4" width="13" customWidth="1"/>
    <col min="10" max="10" width="10" bestFit="1" customWidth="1"/>
    <col min="23" max="23" width="10.42578125" style="292" bestFit="1" customWidth="1"/>
  </cols>
  <sheetData>
    <row r="1" spans="1:15" x14ac:dyDescent="0.2">
      <c r="A1" s="338"/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</row>
    <row r="2" spans="1:15" x14ac:dyDescent="0.2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</row>
    <row r="3" spans="1:15" x14ac:dyDescent="0.2">
      <c r="A3" s="359" t="s">
        <v>78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21" t="s">
        <v>4</v>
      </c>
      <c r="O3" s="321"/>
    </row>
    <row r="4" spans="1:15" ht="18" x14ac:dyDescent="0.2">
      <c r="A4" s="359"/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93" t="s">
        <v>191</v>
      </c>
      <c r="O4" s="393"/>
    </row>
    <row r="5" spans="1:15" x14ac:dyDescent="0.2">
      <c r="A5" s="341" t="s">
        <v>6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</row>
    <row r="6" spans="1:15" x14ac:dyDescent="0.2">
      <c r="A6" s="42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34"/>
    </row>
    <row r="7" spans="1:15" x14ac:dyDescent="0.2">
      <c r="A7" s="323" t="s">
        <v>7</v>
      </c>
      <c r="B7" s="323"/>
      <c r="C7" s="323" t="s">
        <v>8</v>
      </c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</row>
    <row r="8" spans="1:15" x14ac:dyDescent="0.2">
      <c r="A8" s="11" t="s">
        <v>202</v>
      </c>
      <c r="B8" s="44"/>
      <c r="C8" s="365" t="s">
        <v>203</v>
      </c>
      <c r="D8" s="365"/>
      <c r="E8" s="365"/>
      <c r="F8" s="365"/>
      <c r="G8" s="365"/>
      <c r="H8" s="365"/>
      <c r="I8" s="396"/>
      <c r="J8" s="45"/>
      <c r="K8" s="45"/>
      <c r="L8" s="45"/>
      <c r="M8" s="45"/>
      <c r="N8" s="45"/>
      <c r="O8" s="12"/>
    </row>
    <row r="9" spans="1:15" ht="13.5" customHeight="1" x14ac:dyDescent="0.2">
      <c r="A9" s="381" t="s">
        <v>79</v>
      </c>
      <c r="B9" s="381" t="s">
        <v>80</v>
      </c>
      <c r="C9" s="381"/>
      <c r="D9" s="381"/>
      <c r="E9" s="397" t="s">
        <v>81</v>
      </c>
      <c r="F9" s="397"/>
      <c r="G9" s="397"/>
      <c r="H9" s="397"/>
      <c r="I9" s="397"/>
      <c r="J9" s="397"/>
      <c r="K9" s="46"/>
      <c r="L9" s="395" t="s">
        <v>82</v>
      </c>
      <c r="M9" s="395"/>
      <c r="N9" s="395"/>
      <c r="O9" s="395"/>
    </row>
    <row r="10" spans="1:15" ht="12.75" customHeight="1" x14ac:dyDescent="0.2">
      <c r="A10" s="381"/>
      <c r="B10" s="381"/>
      <c r="C10" s="381"/>
      <c r="D10" s="381"/>
      <c r="E10" s="398" t="s">
        <v>83</v>
      </c>
      <c r="F10" s="392" t="s">
        <v>46</v>
      </c>
      <c r="G10" s="399" t="s">
        <v>84</v>
      </c>
      <c r="H10" s="399"/>
      <c r="I10" s="392" t="s">
        <v>85</v>
      </c>
      <c r="J10" s="392"/>
      <c r="K10" s="392" t="s">
        <v>46</v>
      </c>
      <c r="L10" s="392" t="s">
        <v>84</v>
      </c>
      <c r="M10" s="392"/>
      <c r="N10" s="394" t="s">
        <v>85</v>
      </c>
      <c r="O10" s="394"/>
    </row>
    <row r="11" spans="1:15" x14ac:dyDescent="0.2">
      <c r="A11" s="381"/>
      <c r="B11" s="381"/>
      <c r="C11" s="381"/>
      <c r="D11" s="381"/>
      <c r="E11" s="398"/>
      <c r="F11" s="392"/>
      <c r="G11" s="47" t="s">
        <v>86</v>
      </c>
      <c r="H11" s="48" t="s">
        <v>87</v>
      </c>
      <c r="I11" s="47" t="s">
        <v>86</v>
      </c>
      <c r="J11" s="48" t="s">
        <v>87</v>
      </c>
      <c r="K11" s="392"/>
      <c r="L11" s="47" t="s">
        <v>86</v>
      </c>
      <c r="M11" s="48" t="s">
        <v>87</v>
      </c>
      <c r="N11" s="47" t="s">
        <v>86</v>
      </c>
      <c r="O11" s="48" t="s">
        <v>87</v>
      </c>
    </row>
    <row r="12" spans="1:15" x14ac:dyDescent="0.2">
      <c r="A12" s="56"/>
      <c r="B12" s="379"/>
      <c r="C12" s="379"/>
      <c r="D12" s="379"/>
      <c r="E12" s="186"/>
      <c r="F12" s="51"/>
      <c r="G12" s="52"/>
      <c r="H12" s="55"/>
      <c r="I12" s="53"/>
      <c r="J12" s="55"/>
      <c r="K12" s="50"/>
      <c r="L12" s="54"/>
      <c r="M12" s="55"/>
      <c r="N12" s="53"/>
      <c r="O12" s="55"/>
    </row>
    <row r="13" spans="1:15" x14ac:dyDescent="0.2">
      <c r="A13" s="56" t="s">
        <v>224</v>
      </c>
      <c r="B13" s="379" t="s">
        <v>199</v>
      </c>
      <c r="C13" s="379"/>
      <c r="D13" s="379"/>
      <c r="E13" s="186" t="s">
        <v>88</v>
      </c>
      <c r="F13" s="51">
        <v>360</v>
      </c>
      <c r="G13" s="52">
        <v>1371.94</v>
      </c>
      <c r="H13" s="55">
        <f>ROUND(G13*F13,2)</f>
        <v>493898.4</v>
      </c>
      <c r="I13" s="53">
        <f>ROUND((1+0.1)*(1+'FSUP-VI Det. Desp Fiscais'!$G$29/100)*G13,2)</f>
        <v>1759.95</v>
      </c>
      <c r="J13" s="55">
        <f>ROUND(F13*I13,2)</f>
        <v>633582</v>
      </c>
      <c r="K13" s="382">
        <v>1080</v>
      </c>
      <c r="L13" s="384">
        <v>338</v>
      </c>
      <c r="M13" s="386">
        <f>ROUND(L13*K13,2)</f>
        <v>365040</v>
      </c>
      <c r="N13" s="387">
        <f>ROUND((1+0.1)*(1+'FSUP-VI Det. Desp Fiscais'!$G$29/100)*L13,2)</f>
        <v>433.59</v>
      </c>
      <c r="O13" s="386">
        <f>ROUND(K13*N13,2)</f>
        <v>468277.2</v>
      </c>
    </row>
    <row r="14" spans="1:15" x14ac:dyDescent="0.2">
      <c r="A14" s="56" t="s">
        <v>225</v>
      </c>
      <c r="B14" s="379" t="s">
        <v>199</v>
      </c>
      <c r="C14" s="379"/>
      <c r="D14" s="379"/>
      <c r="E14" s="186" t="s">
        <v>89</v>
      </c>
      <c r="F14" s="240">
        <v>72</v>
      </c>
      <c r="G14" s="52">
        <v>154.85</v>
      </c>
      <c r="H14" s="55">
        <f>ROUND(G14*F14,2)</f>
        <v>11149.2</v>
      </c>
      <c r="I14" s="53">
        <f>ROUND((1+0.1)*(1+'FSUP-VI Det. Desp Fiscais'!$G$29/100)*G14,2)</f>
        <v>198.64</v>
      </c>
      <c r="J14" s="55">
        <f>ROUND(F14*I14,2)</f>
        <v>14302.08</v>
      </c>
      <c r="K14" s="383"/>
      <c r="L14" s="385"/>
      <c r="M14" s="385"/>
      <c r="N14" s="385"/>
      <c r="O14" s="385"/>
    </row>
    <row r="15" spans="1:15" x14ac:dyDescent="0.2">
      <c r="A15" s="56"/>
      <c r="B15" s="379"/>
      <c r="C15" s="379"/>
      <c r="D15" s="379"/>
      <c r="E15" s="186"/>
      <c r="F15" s="51"/>
      <c r="G15" s="52"/>
      <c r="H15" s="55"/>
      <c r="I15" s="53"/>
      <c r="J15" s="55"/>
      <c r="K15" s="50"/>
      <c r="L15" s="54"/>
      <c r="M15" s="55"/>
      <c r="N15" s="53"/>
      <c r="O15" s="55"/>
    </row>
    <row r="16" spans="1:15" x14ac:dyDescent="0.2">
      <c r="A16" s="49"/>
      <c r="B16" s="389"/>
      <c r="C16" s="390"/>
      <c r="D16" s="391"/>
      <c r="E16" s="186"/>
      <c r="F16" s="51"/>
      <c r="G16" s="52"/>
      <c r="H16" s="53"/>
      <c r="I16" s="53"/>
      <c r="J16" s="53"/>
      <c r="K16" s="50"/>
      <c r="L16" s="54"/>
      <c r="M16" s="55"/>
      <c r="N16" s="53"/>
      <c r="O16" s="55"/>
    </row>
    <row r="17" spans="1:18" x14ac:dyDescent="0.2">
      <c r="A17" s="50"/>
      <c r="B17" s="379"/>
      <c r="C17" s="379"/>
      <c r="D17" s="379"/>
      <c r="E17" s="50"/>
      <c r="F17" s="51"/>
      <c r="G17" s="52"/>
      <c r="H17" s="53"/>
      <c r="I17" s="53"/>
      <c r="J17" s="53"/>
      <c r="K17" s="50"/>
      <c r="L17" s="54"/>
      <c r="M17" s="55"/>
      <c r="N17" s="53"/>
      <c r="O17" s="55"/>
      <c r="R17" s="229"/>
    </row>
    <row r="18" spans="1:18" x14ac:dyDescent="0.2">
      <c r="A18" s="56"/>
      <c r="B18" s="379"/>
      <c r="C18" s="379"/>
      <c r="D18" s="379"/>
      <c r="E18" s="50"/>
      <c r="F18" s="57"/>
      <c r="G18" s="52"/>
      <c r="H18" s="53"/>
      <c r="I18" s="53"/>
      <c r="J18" s="53"/>
      <c r="K18" s="50"/>
      <c r="L18" s="58"/>
      <c r="M18" s="55"/>
      <c r="N18" s="53"/>
      <c r="O18" s="55"/>
    </row>
    <row r="19" spans="1:18" x14ac:dyDescent="0.2">
      <c r="A19" s="56"/>
      <c r="B19" s="379"/>
      <c r="C19" s="379"/>
      <c r="D19" s="379"/>
      <c r="E19" s="50"/>
      <c r="F19" s="57"/>
      <c r="G19" s="52"/>
      <c r="H19" s="53"/>
      <c r="I19" s="53"/>
      <c r="J19" s="53"/>
      <c r="K19" s="53"/>
      <c r="L19" s="58"/>
      <c r="M19" s="55"/>
      <c r="N19" s="53"/>
      <c r="O19" s="55"/>
    </row>
    <row r="20" spans="1:18" x14ac:dyDescent="0.2">
      <c r="A20" s="59"/>
      <c r="B20" s="379"/>
      <c r="C20" s="379"/>
      <c r="D20" s="379"/>
      <c r="E20" s="56"/>
      <c r="F20" s="57"/>
      <c r="G20" s="60"/>
      <c r="H20" s="53"/>
      <c r="I20" s="53"/>
      <c r="J20" s="53"/>
      <c r="K20" s="53"/>
      <c r="L20" s="58"/>
      <c r="M20" s="55"/>
      <c r="N20" s="53"/>
      <c r="O20" s="55"/>
    </row>
    <row r="21" spans="1:18" x14ac:dyDescent="0.2">
      <c r="A21" s="59"/>
      <c r="B21" s="379"/>
      <c r="C21" s="379"/>
      <c r="D21" s="379"/>
      <c r="E21" s="56"/>
      <c r="F21" s="57"/>
      <c r="G21" s="60"/>
      <c r="H21" s="53"/>
      <c r="I21" s="53"/>
      <c r="J21" s="53"/>
      <c r="K21" s="53"/>
      <c r="L21" s="58"/>
      <c r="M21" s="55"/>
      <c r="N21" s="53"/>
      <c r="O21" s="55"/>
    </row>
    <row r="22" spans="1:18" x14ac:dyDescent="0.2">
      <c r="A22" s="59"/>
      <c r="B22" s="379"/>
      <c r="C22" s="379"/>
      <c r="D22" s="379"/>
      <c r="E22" s="56"/>
      <c r="F22" s="57"/>
      <c r="G22" s="60"/>
      <c r="H22" s="53"/>
      <c r="I22" s="53"/>
      <c r="J22" s="53"/>
      <c r="K22" s="53"/>
      <c r="L22" s="58"/>
      <c r="M22" s="55"/>
      <c r="N22" s="53"/>
      <c r="O22" s="55"/>
    </row>
    <row r="23" spans="1:18" x14ac:dyDescent="0.2">
      <c r="A23" s="59"/>
      <c r="B23" s="379"/>
      <c r="C23" s="379"/>
      <c r="D23" s="379"/>
      <c r="E23" s="56"/>
      <c r="F23" s="57"/>
      <c r="G23" s="60"/>
      <c r="H23" s="53"/>
      <c r="I23" s="53"/>
      <c r="J23" s="53"/>
      <c r="K23" s="53"/>
      <c r="L23" s="58"/>
      <c r="M23" s="55"/>
      <c r="N23" s="53"/>
      <c r="O23" s="55"/>
    </row>
    <row r="24" spans="1:18" x14ac:dyDescent="0.2">
      <c r="A24" s="59"/>
      <c r="B24" s="379"/>
      <c r="C24" s="379"/>
      <c r="D24" s="379"/>
      <c r="E24" s="56"/>
      <c r="F24" s="57"/>
      <c r="G24" s="60"/>
      <c r="H24" s="53"/>
      <c r="I24" s="53"/>
      <c r="J24" s="53"/>
      <c r="K24" s="53"/>
      <c r="L24" s="58"/>
      <c r="M24" s="55"/>
      <c r="N24" s="53"/>
      <c r="O24" s="55"/>
    </row>
    <row r="25" spans="1:18" x14ac:dyDescent="0.2">
      <c r="A25" s="59"/>
      <c r="B25" s="379"/>
      <c r="C25" s="379"/>
      <c r="D25" s="379"/>
      <c r="E25" s="56"/>
      <c r="F25" s="57"/>
      <c r="G25" s="60"/>
      <c r="H25" s="53"/>
      <c r="I25" s="53"/>
      <c r="J25" s="53"/>
      <c r="K25" s="53"/>
      <c r="L25" s="58"/>
      <c r="M25" s="55"/>
      <c r="N25" s="53"/>
      <c r="O25" s="55"/>
    </row>
    <row r="26" spans="1:18" x14ac:dyDescent="0.2">
      <c r="A26" s="59"/>
      <c r="B26" s="380"/>
      <c r="C26" s="380"/>
      <c r="D26" s="380"/>
      <c r="E26" s="56"/>
      <c r="F26" s="57"/>
      <c r="G26" s="60"/>
      <c r="H26" s="53"/>
      <c r="I26" s="53"/>
      <c r="J26" s="53"/>
      <c r="K26" s="53"/>
      <c r="L26" s="58"/>
      <c r="M26" s="55"/>
      <c r="N26" s="53"/>
      <c r="O26" s="55"/>
    </row>
    <row r="27" spans="1:18" x14ac:dyDescent="0.2">
      <c r="A27" s="59"/>
      <c r="B27" s="380"/>
      <c r="C27" s="380"/>
      <c r="D27" s="380"/>
      <c r="E27" s="56"/>
      <c r="F27" s="57"/>
      <c r="G27" s="53"/>
      <c r="H27" s="53"/>
      <c r="I27" s="53"/>
      <c r="J27" s="53"/>
      <c r="K27" s="53"/>
      <c r="L27" s="55"/>
      <c r="M27" s="55"/>
      <c r="N27" s="53"/>
      <c r="O27" s="55"/>
    </row>
    <row r="28" spans="1:18" x14ac:dyDescent="0.2">
      <c r="A28" s="59"/>
      <c r="B28" s="380"/>
      <c r="C28" s="380"/>
      <c r="D28" s="380"/>
      <c r="E28" s="56"/>
      <c r="F28" s="57"/>
      <c r="G28" s="53"/>
      <c r="H28" s="53"/>
      <c r="I28" s="53"/>
      <c r="J28" s="53"/>
      <c r="K28" s="53"/>
      <c r="L28" s="55"/>
      <c r="M28" s="55"/>
      <c r="N28" s="53"/>
      <c r="O28" s="55"/>
    </row>
    <row r="29" spans="1:18" x14ac:dyDescent="0.2">
      <c r="A29" s="59"/>
      <c r="B29" s="380"/>
      <c r="C29" s="380"/>
      <c r="D29" s="380"/>
      <c r="E29" s="56"/>
      <c r="F29" s="57"/>
      <c r="G29" s="53"/>
      <c r="H29" s="53"/>
      <c r="I29" s="53"/>
      <c r="J29" s="53"/>
      <c r="K29" s="53"/>
      <c r="L29" s="55"/>
      <c r="M29" s="55"/>
      <c r="N29" s="53"/>
      <c r="O29" s="55"/>
    </row>
    <row r="30" spans="1:18" x14ac:dyDescent="0.2">
      <c r="A30" s="59"/>
      <c r="B30" s="380"/>
      <c r="C30" s="380"/>
      <c r="D30" s="380"/>
      <c r="E30" s="56"/>
      <c r="F30" s="61"/>
      <c r="G30" s="62"/>
      <c r="H30" s="53"/>
      <c r="I30" s="53"/>
      <c r="J30" s="53"/>
      <c r="K30" s="53"/>
      <c r="L30" s="61"/>
      <c r="M30" s="55"/>
      <c r="N30" s="53"/>
      <c r="O30" s="55"/>
    </row>
    <row r="31" spans="1:18" x14ac:dyDescent="0.2">
      <c r="A31" s="59"/>
      <c r="B31" s="380"/>
      <c r="C31" s="380"/>
      <c r="D31" s="380"/>
      <c r="E31" s="56"/>
      <c r="F31" s="56"/>
      <c r="G31" s="53"/>
      <c r="H31" s="53"/>
      <c r="I31" s="53"/>
      <c r="J31" s="53"/>
      <c r="K31" s="53"/>
      <c r="L31" s="53"/>
      <c r="M31" s="55"/>
      <c r="N31" s="53"/>
      <c r="O31" s="55"/>
    </row>
    <row r="32" spans="1:18" x14ac:dyDescent="0.2">
      <c r="A32" s="388" t="s">
        <v>90</v>
      </c>
      <c r="B32" s="388"/>
      <c r="C32" s="388"/>
      <c r="D32" s="388"/>
      <c r="E32" s="388"/>
      <c r="F32" s="388"/>
      <c r="G32" s="63"/>
      <c r="H32" s="64">
        <f>SUM(H12:H31)</f>
        <v>505047.60000000003</v>
      </c>
      <c r="I32" s="63"/>
      <c r="J32" s="64">
        <f>SUM(J12:J31)</f>
        <v>647884.07999999996</v>
      </c>
      <c r="K32" s="64"/>
      <c r="L32" s="63"/>
      <c r="M32" s="64">
        <f>SUM(M12:M31)</f>
        <v>365040</v>
      </c>
      <c r="N32" s="63"/>
      <c r="O32" s="65">
        <f>SUM(O12:O31)</f>
        <v>468277.2</v>
      </c>
      <c r="Q32" s="66"/>
    </row>
    <row r="33" spans="1:16" x14ac:dyDescent="0.2">
      <c r="A33" s="341" t="s">
        <v>28</v>
      </c>
      <c r="B33" s="341"/>
      <c r="C33" s="341"/>
      <c r="D33" s="341"/>
      <c r="E33" s="341"/>
      <c r="F33" s="341"/>
      <c r="G33" s="342" t="s">
        <v>29</v>
      </c>
      <c r="H33" s="342"/>
      <c r="I33" s="342"/>
      <c r="J33" s="342"/>
      <c r="K33" s="342"/>
      <c r="L33" s="342"/>
      <c r="M33" s="342"/>
      <c r="N33" s="342"/>
      <c r="O33" s="342"/>
      <c r="P33" s="66"/>
    </row>
    <row r="34" spans="1:16" x14ac:dyDescent="0.2">
      <c r="A34" s="334"/>
      <c r="B34" s="334"/>
      <c r="C34" s="334"/>
      <c r="D34" s="334"/>
      <c r="E34" s="334"/>
      <c r="F34" s="334"/>
      <c r="G34" s="334"/>
      <c r="H34" s="334"/>
      <c r="I34" s="334"/>
      <c r="J34" s="334"/>
      <c r="K34" s="334"/>
      <c r="L34" s="334"/>
      <c r="M34" s="334"/>
      <c r="N34" s="334"/>
      <c r="O34" s="334"/>
    </row>
    <row r="35" spans="1:16" x14ac:dyDescent="0.2">
      <c r="A35" s="335" t="s">
        <v>30</v>
      </c>
      <c r="B35" s="335"/>
      <c r="C35" s="335"/>
      <c r="D35" s="335"/>
      <c r="E35" s="335"/>
      <c r="F35" s="335"/>
      <c r="G35" s="335"/>
      <c r="H35" s="335"/>
      <c r="I35" s="335"/>
      <c r="J35" s="335"/>
      <c r="K35" s="335"/>
      <c r="L35" s="335"/>
      <c r="M35" s="323" t="s">
        <v>31</v>
      </c>
      <c r="N35" s="323"/>
      <c r="O35" s="323"/>
    </row>
    <row r="36" spans="1:16" x14ac:dyDescent="0.2">
      <c r="A36" s="335"/>
      <c r="B36" s="335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72"/>
      <c r="N36" s="335"/>
      <c r="O36" s="335"/>
    </row>
    <row r="37" spans="1:16" x14ac:dyDescent="0.2">
      <c r="A37" s="373" t="s">
        <v>91</v>
      </c>
      <c r="B37" s="374"/>
      <c r="C37" s="374"/>
      <c r="D37" s="374"/>
      <c r="E37" s="374"/>
      <c r="F37" s="374"/>
      <c r="G37" s="374"/>
      <c r="H37" s="374"/>
      <c r="I37" s="374"/>
      <c r="J37" s="374"/>
      <c r="K37" s="374"/>
      <c r="L37" s="374"/>
      <c r="M37" s="374"/>
      <c r="N37" s="374"/>
      <c r="O37" s="375"/>
    </row>
    <row r="38" spans="1:16" x14ac:dyDescent="0.2">
      <c r="A38" s="247" t="s">
        <v>92</v>
      </c>
      <c r="B38" s="67"/>
      <c r="C38" s="67"/>
      <c r="D38" s="67"/>
      <c r="E38" s="67"/>
      <c r="F38" s="67"/>
      <c r="G38" s="67"/>
      <c r="H38" s="67"/>
      <c r="I38" s="67"/>
      <c r="J38" s="68"/>
      <c r="K38" s="68"/>
      <c r="L38" s="68"/>
      <c r="M38" s="68"/>
      <c r="N38" s="68"/>
      <c r="O38" s="248"/>
    </row>
    <row r="39" spans="1:16" x14ac:dyDescent="0.2">
      <c r="A39" s="376" t="s">
        <v>93</v>
      </c>
      <c r="B39" s="377"/>
      <c r="C39" s="377"/>
      <c r="D39" s="377"/>
      <c r="E39" s="377"/>
      <c r="F39" s="377"/>
      <c r="G39" s="377"/>
      <c r="H39" s="377"/>
      <c r="I39" s="377"/>
      <c r="J39" s="377"/>
      <c r="K39" s="377"/>
      <c r="L39" s="377"/>
      <c r="M39" s="377"/>
      <c r="N39" s="377"/>
      <c r="O39" s="378"/>
    </row>
    <row r="40" spans="1:16" x14ac:dyDescent="0.2">
      <c r="A40" s="376" t="s">
        <v>94</v>
      </c>
      <c r="B40" s="377"/>
      <c r="C40" s="377"/>
      <c r="D40" s="377"/>
      <c r="E40" s="377"/>
      <c r="F40" s="377"/>
      <c r="G40" s="377"/>
      <c r="H40" s="377"/>
      <c r="I40" s="377"/>
      <c r="J40" s="377"/>
      <c r="K40" s="377"/>
      <c r="L40" s="377"/>
      <c r="M40" s="377"/>
      <c r="N40" s="377"/>
      <c r="O40" s="378"/>
    </row>
    <row r="41" spans="1:16" x14ac:dyDescent="0.2">
      <c r="A41" s="376" t="s">
        <v>95</v>
      </c>
      <c r="B41" s="377"/>
      <c r="C41" s="377"/>
      <c r="D41" s="377"/>
      <c r="E41" s="377"/>
      <c r="F41" s="377"/>
      <c r="G41" s="377"/>
      <c r="H41" s="377"/>
      <c r="I41" s="377"/>
      <c r="J41" s="377"/>
      <c r="K41" s="377"/>
      <c r="L41" s="377"/>
      <c r="M41" s="377"/>
      <c r="N41" s="377"/>
      <c r="O41" s="378"/>
    </row>
    <row r="42" spans="1:16" x14ac:dyDescent="0.2">
      <c r="A42" s="369" t="s">
        <v>96</v>
      </c>
      <c r="B42" s="370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  <c r="O42" s="371"/>
    </row>
    <row r="43" spans="1:16" x14ac:dyDescent="0.2">
      <c r="A43" s="249" t="s">
        <v>97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248"/>
    </row>
    <row r="44" spans="1:16" x14ac:dyDescent="0.2">
      <c r="A44" s="369" t="str">
        <f>CONCATENATE(";6 - PREÇO = CUSTO + LUCRO+ DESPESAS FISCAIS E SERÁ CALCULADO COM A SEGUINTE FORMULA:CUSTO*(1+0,1)*(1+",'FSUP-VI Det. Desp Fiscais'!G29,"%)")</f>
        <v>;6 - PREÇO = CUSTO + LUCRO+ DESPESAS FISCAIS E SERÁ CALCULADO COM A SEGUINTE FORMULA:CUSTO*(1+0,1)*(1+16,62%)</v>
      </c>
      <c r="B44" s="370"/>
      <c r="C44" s="370"/>
      <c r="D44" s="370"/>
      <c r="E44" s="370"/>
      <c r="F44" s="370"/>
      <c r="G44" s="370"/>
      <c r="H44" s="370"/>
      <c r="I44" s="370"/>
      <c r="J44" s="370"/>
      <c r="K44" s="370"/>
      <c r="L44" s="370"/>
      <c r="M44" s="370"/>
      <c r="N44" s="370"/>
      <c r="O44" s="371"/>
    </row>
    <row r="45" spans="1:16" x14ac:dyDescent="0.2">
      <c r="A45" s="247" t="s">
        <v>98</v>
      </c>
      <c r="B45" s="67"/>
      <c r="C45" s="67"/>
      <c r="D45" s="67"/>
      <c r="E45" s="67"/>
      <c r="F45" s="67"/>
      <c r="G45" s="67"/>
      <c r="H45" s="68"/>
      <c r="I45" s="68"/>
      <c r="J45" s="68"/>
      <c r="K45" s="68"/>
      <c r="L45" s="68"/>
      <c r="M45" s="68"/>
      <c r="N45" s="68"/>
      <c r="O45" s="248"/>
    </row>
    <row r="46" spans="1:16" x14ac:dyDescent="0.2">
      <c r="A46" s="250" t="s">
        <v>229</v>
      </c>
      <c r="B46" s="245"/>
      <c r="C46" s="245"/>
      <c r="D46" s="245"/>
      <c r="E46" s="245"/>
      <c r="F46" s="245"/>
      <c r="G46" s="245"/>
      <c r="H46" s="246"/>
      <c r="I46" s="246"/>
      <c r="J46" s="246"/>
      <c r="K46" s="246"/>
      <c r="L46" s="68"/>
      <c r="M46" s="68"/>
      <c r="N46" s="68"/>
      <c r="O46" s="248"/>
    </row>
    <row r="47" spans="1:16" x14ac:dyDescent="0.2">
      <c r="A47" s="251" t="s">
        <v>230</v>
      </c>
      <c r="B47" s="252"/>
      <c r="C47" s="252"/>
      <c r="D47" s="252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3"/>
    </row>
  </sheetData>
  <sheetProtection selectLockedCells="1" selectUnlockedCells="1"/>
  <mergeCells count="59">
    <mergeCell ref="A3:M4"/>
    <mergeCell ref="N3:O3"/>
    <mergeCell ref="N4:O4"/>
    <mergeCell ref="A5:O5"/>
    <mergeCell ref="N10:O10"/>
    <mergeCell ref="L9:O9"/>
    <mergeCell ref="A9:A11"/>
    <mergeCell ref="C8:I8"/>
    <mergeCell ref="L10:M10"/>
    <mergeCell ref="E9:J9"/>
    <mergeCell ref="E10:E11"/>
    <mergeCell ref="F10:F11"/>
    <mergeCell ref="G10:H10"/>
    <mergeCell ref="B16:D16"/>
    <mergeCell ref="B17:D17"/>
    <mergeCell ref="K10:K11"/>
    <mergeCell ref="A7:B7"/>
    <mergeCell ref="C7:O7"/>
    <mergeCell ref="I10:J10"/>
    <mergeCell ref="A34:F34"/>
    <mergeCell ref="G34:O34"/>
    <mergeCell ref="A35:L35"/>
    <mergeCell ref="M35:O35"/>
    <mergeCell ref="O13:O14"/>
    <mergeCell ref="B21:D21"/>
    <mergeCell ref="G33:O33"/>
    <mergeCell ref="B29:D29"/>
    <mergeCell ref="B30:D30"/>
    <mergeCell ref="B31:D31"/>
    <mergeCell ref="A32:F32"/>
    <mergeCell ref="A33:F33"/>
    <mergeCell ref="B13:D13"/>
    <mergeCell ref="B18:D18"/>
    <mergeCell ref="B19:D19"/>
    <mergeCell ref="B20:D20"/>
    <mergeCell ref="A1:O2"/>
    <mergeCell ref="B22:D22"/>
    <mergeCell ref="B23:D23"/>
    <mergeCell ref="B24:D24"/>
    <mergeCell ref="B28:D28"/>
    <mergeCell ref="B27:D27"/>
    <mergeCell ref="B26:D26"/>
    <mergeCell ref="B25:D25"/>
    <mergeCell ref="B12:D12"/>
    <mergeCell ref="B14:D14"/>
    <mergeCell ref="B15:D15"/>
    <mergeCell ref="B9:D11"/>
    <mergeCell ref="K13:K14"/>
    <mergeCell ref="L13:L14"/>
    <mergeCell ref="M13:M14"/>
    <mergeCell ref="N13:N14"/>
    <mergeCell ref="A44:O44"/>
    <mergeCell ref="M36:O36"/>
    <mergeCell ref="A37:O37"/>
    <mergeCell ref="A39:O39"/>
    <mergeCell ref="A36:L36"/>
    <mergeCell ref="A40:O40"/>
    <mergeCell ref="A41:O41"/>
    <mergeCell ref="A42:O42"/>
  </mergeCells>
  <phoneticPr fontId="18" type="noConversion"/>
  <pageMargins left="0.87" right="0.78749999999999998" top="1.5201388888888889" bottom="0.52986111111111112" header="0.51180555555555551" footer="0.51180555555555551"/>
  <pageSetup paperSize="9" scale="76" firstPageNumber="0" orientation="landscape" horizontalDpi="4294967294" vertic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showGridLines="0" view="pageBreakPreview" topLeftCell="A25" zoomScale="120" zoomScaleNormal="100" zoomScaleSheetLayoutView="120" workbookViewId="0">
      <selection activeCell="N16" sqref="N16"/>
    </sheetView>
  </sheetViews>
  <sheetFormatPr defaultColWidth="10.7109375" defaultRowHeight="15" customHeight="1" x14ac:dyDescent="0.2"/>
  <cols>
    <col min="1" max="1" width="7.140625" style="71" customWidth="1"/>
    <col min="2" max="2" width="6.28515625" style="71" customWidth="1"/>
    <col min="3" max="3" width="11.5703125" style="71" customWidth="1"/>
    <col min="4" max="4" width="15.85546875" style="71" customWidth="1"/>
    <col min="5" max="5" width="20.28515625" style="71" customWidth="1"/>
    <col min="6" max="6" width="4.42578125" style="71" customWidth="1"/>
    <col min="7" max="7" width="11.140625" style="71" customWidth="1"/>
    <col min="8" max="8" width="7.5703125" style="71" customWidth="1"/>
    <col min="9" max="9" width="11.28515625" style="71" customWidth="1"/>
    <col min="10" max="10" width="7.5703125" style="71" customWidth="1"/>
    <col min="11" max="11" width="10.5703125" style="71" bestFit="1" customWidth="1"/>
    <col min="12" max="16384" width="10.7109375" style="71"/>
  </cols>
  <sheetData>
    <row r="1" spans="1:13" ht="15" customHeight="1" x14ac:dyDescent="0.2">
      <c r="A1" s="400"/>
      <c r="B1" s="400"/>
      <c r="C1" s="400"/>
      <c r="D1" s="400"/>
      <c r="E1" s="400"/>
      <c r="F1" s="400"/>
      <c r="G1" s="400"/>
      <c r="H1" s="400"/>
      <c r="I1" s="400"/>
      <c r="J1" s="400"/>
      <c r="K1" s="400"/>
    </row>
    <row r="2" spans="1:13" ht="15" customHeight="1" x14ac:dyDescent="0.2">
      <c r="A2" s="401"/>
      <c r="B2" s="401"/>
      <c r="C2" s="401"/>
      <c r="D2" s="401"/>
      <c r="E2" s="401"/>
      <c r="F2" s="401"/>
      <c r="G2" s="401"/>
      <c r="H2" s="401"/>
      <c r="I2" s="401"/>
      <c r="J2" s="401"/>
      <c r="K2" s="401"/>
    </row>
    <row r="3" spans="1:13" ht="15" customHeight="1" thickBot="1" x14ac:dyDescent="0.25">
      <c r="A3" s="359" t="s">
        <v>99</v>
      </c>
      <c r="B3" s="359"/>
      <c r="C3" s="359"/>
      <c r="D3" s="359"/>
      <c r="E3" s="359"/>
      <c r="F3" s="359"/>
      <c r="G3" s="359"/>
      <c r="H3" s="359"/>
      <c r="I3" s="359"/>
      <c r="J3" s="321" t="s">
        <v>4</v>
      </c>
      <c r="K3" s="321"/>
    </row>
    <row r="4" spans="1:13" ht="15" customHeight="1" x14ac:dyDescent="0.2">
      <c r="A4" s="359"/>
      <c r="B4" s="359"/>
      <c r="C4" s="359"/>
      <c r="D4" s="359"/>
      <c r="E4" s="359"/>
      <c r="F4" s="359"/>
      <c r="G4" s="359"/>
      <c r="H4" s="359"/>
      <c r="I4" s="359"/>
      <c r="J4" s="393" t="s">
        <v>100</v>
      </c>
      <c r="K4" s="393"/>
    </row>
    <row r="5" spans="1:13" ht="12.6" customHeight="1" x14ac:dyDescent="0.2">
      <c r="A5" s="439" t="s">
        <v>6</v>
      </c>
      <c r="B5" s="439"/>
      <c r="C5" s="439"/>
      <c r="D5" s="439"/>
      <c r="E5" s="439"/>
      <c r="F5" s="439"/>
      <c r="G5" s="439"/>
      <c r="H5" s="439"/>
      <c r="I5" s="439"/>
      <c r="J5" s="439"/>
      <c r="K5" s="439"/>
    </row>
    <row r="6" spans="1:13" ht="12.6" customHeight="1" x14ac:dyDescent="0.2">
      <c r="A6" s="72"/>
      <c r="B6" s="69"/>
      <c r="C6" s="69"/>
      <c r="D6" s="69"/>
      <c r="E6" s="69"/>
      <c r="F6" s="69"/>
      <c r="G6" s="69"/>
      <c r="H6" s="69"/>
      <c r="I6" s="69"/>
      <c r="J6" s="69"/>
      <c r="K6" s="70"/>
    </row>
    <row r="7" spans="1:13" ht="12.6" customHeight="1" x14ac:dyDescent="0.2">
      <c r="A7" s="423" t="s">
        <v>7</v>
      </c>
      <c r="B7" s="423"/>
      <c r="C7" s="423" t="s">
        <v>8</v>
      </c>
      <c r="D7" s="423"/>
      <c r="E7" s="423"/>
      <c r="F7" s="423"/>
      <c r="G7" s="423"/>
      <c r="H7" s="423"/>
      <c r="I7" s="423"/>
      <c r="J7" s="438" t="s">
        <v>9</v>
      </c>
      <c r="K7" s="438"/>
    </row>
    <row r="8" spans="1:13" ht="12.6" customHeight="1" x14ac:dyDescent="0.2">
      <c r="A8" s="365" t="s">
        <v>204</v>
      </c>
      <c r="B8" s="365"/>
      <c r="C8" s="365" t="s">
        <v>203</v>
      </c>
      <c r="D8" s="365"/>
      <c r="E8" s="365"/>
      <c r="F8" s="365"/>
      <c r="G8" s="365"/>
      <c r="H8" s="365"/>
      <c r="I8" s="365"/>
      <c r="J8" s="434"/>
      <c r="K8" s="434"/>
    </row>
    <row r="9" spans="1:13" ht="11.65" customHeight="1" x14ac:dyDescent="0.2">
      <c r="A9" s="435" t="s">
        <v>101</v>
      </c>
      <c r="B9" s="435"/>
      <c r="C9" s="435"/>
      <c r="D9" s="435"/>
      <c r="E9" s="435"/>
      <c r="F9" s="436" t="s">
        <v>102</v>
      </c>
      <c r="G9" s="436" t="s">
        <v>46</v>
      </c>
      <c r="H9" s="437" t="s">
        <v>103</v>
      </c>
      <c r="I9" s="437"/>
      <c r="J9" s="437" t="s">
        <v>104</v>
      </c>
      <c r="K9" s="437"/>
    </row>
    <row r="10" spans="1:13" ht="11.65" customHeight="1" x14ac:dyDescent="0.2">
      <c r="A10" s="435"/>
      <c r="B10" s="435"/>
      <c r="C10" s="435"/>
      <c r="D10" s="435"/>
      <c r="E10" s="435"/>
      <c r="F10" s="436"/>
      <c r="G10" s="436"/>
      <c r="H10" s="74" t="s">
        <v>105</v>
      </c>
      <c r="I10" s="75" t="s">
        <v>87</v>
      </c>
      <c r="J10" s="76" t="s">
        <v>105</v>
      </c>
      <c r="K10" s="76" t="s">
        <v>87</v>
      </c>
    </row>
    <row r="11" spans="1:13" ht="15" customHeight="1" x14ac:dyDescent="0.2">
      <c r="A11" s="413" t="s">
        <v>106</v>
      </c>
      <c r="B11" s="413"/>
      <c r="C11" s="413"/>
      <c r="D11" s="413"/>
      <c r="E11" s="413"/>
      <c r="F11" s="77"/>
      <c r="G11" s="206"/>
      <c r="H11" s="78"/>
      <c r="I11" s="79"/>
      <c r="J11" s="191"/>
      <c r="K11" s="79"/>
    </row>
    <row r="12" spans="1:13" ht="15" customHeight="1" x14ac:dyDescent="0.2">
      <c r="A12" s="413" t="s">
        <v>231</v>
      </c>
      <c r="B12" s="413"/>
      <c r="C12" s="413"/>
      <c r="D12" s="413"/>
      <c r="E12" s="413"/>
      <c r="F12" s="77" t="s">
        <v>107</v>
      </c>
      <c r="G12" s="254">
        <v>54</v>
      </c>
      <c r="H12" s="96">
        <v>5659.43</v>
      </c>
      <c r="I12" s="189">
        <f>ROUND(G12*H12,2)</f>
        <v>305609.21999999997</v>
      </c>
      <c r="J12" s="192">
        <f>ROUND((1+0.1)*(1+'FSUP-VI Det. Desp Fiscais'!$G$29/100)*H12,2)</f>
        <v>7260.03</v>
      </c>
      <c r="K12" s="190">
        <f>ROUND(G12*J12,2)</f>
        <v>392041.62</v>
      </c>
      <c r="M12" s="255">
        <v>60</v>
      </c>
    </row>
    <row r="13" spans="1:13" ht="15" customHeight="1" x14ac:dyDescent="0.2">
      <c r="A13" s="413" t="s">
        <v>108</v>
      </c>
      <c r="B13" s="413"/>
      <c r="C13" s="413"/>
      <c r="D13" s="413"/>
      <c r="E13" s="413"/>
      <c r="F13" s="77" t="s">
        <v>107</v>
      </c>
      <c r="G13" s="254">
        <v>36</v>
      </c>
      <c r="H13" s="96">
        <v>2159.21</v>
      </c>
      <c r="I13" s="80">
        <f>ROUND(G13*H13,2)</f>
        <v>77731.56</v>
      </c>
      <c r="J13" s="192">
        <f>ROUND((1+0.1)*(1+'FSUP-VI Det. Desp Fiscais'!$G$29/100)*H13,2)</f>
        <v>2769.88</v>
      </c>
      <c r="K13" s="80">
        <f>ROUND(G13*J13,2)</f>
        <v>99715.68</v>
      </c>
      <c r="M13" s="255">
        <v>48</v>
      </c>
    </row>
    <row r="14" spans="1:13" ht="15" customHeight="1" thickBot="1" x14ac:dyDescent="0.25">
      <c r="A14" s="412" t="s">
        <v>109</v>
      </c>
      <c r="B14" s="412"/>
      <c r="C14" s="412"/>
      <c r="D14" s="412"/>
      <c r="E14" s="412"/>
      <c r="F14" s="412"/>
      <c r="G14" s="412"/>
      <c r="H14" s="82"/>
      <c r="I14" s="83">
        <f>SUM(I12:I13)</f>
        <v>383340.77999999997</v>
      </c>
      <c r="J14" s="84"/>
      <c r="K14" s="85">
        <f>SUM(K12:K13)</f>
        <v>491757.3</v>
      </c>
    </row>
    <row r="15" spans="1:13" ht="15" customHeight="1" x14ac:dyDescent="0.2">
      <c r="A15" s="418"/>
      <c r="B15" s="418"/>
      <c r="C15" s="418"/>
      <c r="D15" s="418"/>
      <c r="E15" s="418"/>
      <c r="F15" s="418"/>
      <c r="G15" s="418"/>
      <c r="H15" s="418"/>
      <c r="I15" s="418"/>
      <c r="J15" s="418"/>
      <c r="K15" s="418"/>
    </row>
    <row r="16" spans="1:13" s="87" customFormat="1" ht="15" customHeight="1" x14ac:dyDescent="0.2">
      <c r="A16" s="411" t="s">
        <v>206</v>
      </c>
      <c r="B16" s="411"/>
      <c r="C16" s="411"/>
      <c r="D16" s="411"/>
      <c r="E16" s="411"/>
      <c r="F16" s="411"/>
      <c r="G16" s="411"/>
      <c r="H16" s="411"/>
      <c r="I16" s="411"/>
      <c r="J16" s="411"/>
      <c r="K16" s="411"/>
    </row>
    <row r="17" spans="1:14" ht="15" customHeight="1" x14ac:dyDescent="0.2">
      <c r="A17" s="88" t="s">
        <v>264</v>
      </c>
      <c r="B17" s="89"/>
      <c r="C17" s="89"/>
      <c r="D17" s="200"/>
      <c r="E17" s="90"/>
      <c r="F17" s="187" t="s">
        <v>107</v>
      </c>
      <c r="G17" s="241">
        <v>36</v>
      </c>
      <c r="H17" s="207">
        <f>1750.92+753.04</f>
        <v>2503.96</v>
      </c>
      <c r="I17" s="80">
        <f t="shared" ref="I17:I23" si="0">ROUND(G17*H17,2)</f>
        <v>90142.56</v>
      </c>
      <c r="J17" s="192">
        <f>ROUND((1+0.1)*(1+'FSUP-VI Det. Desp Fiscais'!$G$29/100)*H17,2)</f>
        <v>3212.13</v>
      </c>
      <c r="K17" s="80">
        <f t="shared" ref="K17:K23" si="1">ROUND(G17*J17,2)</f>
        <v>115636.68</v>
      </c>
      <c r="L17" s="208"/>
    </row>
    <row r="18" spans="1:14" ht="15" customHeight="1" x14ac:dyDescent="0.2">
      <c r="A18" s="88" t="s">
        <v>259</v>
      </c>
      <c r="B18" s="89"/>
      <c r="C18" s="89"/>
      <c r="D18" s="89"/>
      <c r="E18" s="90"/>
      <c r="F18" s="187" t="s">
        <v>107</v>
      </c>
      <c r="G18" s="241">
        <v>36</v>
      </c>
      <c r="H18" s="80">
        <v>280</v>
      </c>
      <c r="I18" s="80">
        <f t="shared" si="0"/>
        <v>10080</v>
      </c>
      <c r="J18" s="192">
        <f>ROUND((1+0.1)*(1+'FSUP-VI Det. Desp Fiscais'!$G$29/100)*H18,2)</f>
        <v>359.19</v>
      </c>
      <c r="K18" s="80">
        <f t="shared" si="1"/>
        <v>12930.84</v>
      </c>
    </row>
    <row r="19" spans="1:14" ht="15" customHeight="1" x14ac:dyDescent="0.2">
      <c r="A19" s="88" t="s">
        <v>207</v>
      </c>
      <c r="B19" s="89"/>
      <c r="C19" s="89" t="s">
        <v>256</v>
      </c>
      <c r="D19" s="89"/>
      <c r="E19" s="90"/>
      <c r="F19" s="187" t="s">
        <v>107</v>
      </c>
      <c r="G19" s="241">
        <v>36</v>
      </c>
      <c r="H19" s="96">
        <v>180</v>
      </c>
      <c r="I19" s="80">
        <f t="shared" si="0"/>
        <v>6480</v>
      </c>
      <c r="J19" s="192">
        <f>ROUND((1+0.1)*(1+'FSUP-VI Det. Desp Fiscais'!$G$29/100)*H19,2)</f>
        <v>230.91</v>
      </c>
      <c r="K19" s="80">
        <f t="shared" si="1"/>
        <v>8312.76</v>
      </c>
    </row>
    <row r="20" spans="1:14" ht="15" customHeight="1" x14ac:dyDescent="0.2">
      <c r="A20" s="88" t="s">
        <v>265</v>
      </c>
      <c r="B20" s="89"/>
      <c r="C20" s="89"/>
      <c r="D20" s="89"/>
      <c r="E20" s="90"/>
      <c r="F20" s="187" t="s">
        <v>107</v>
      </c>
      <c r="G20" s="241">
        <v>36</v>
      </c>
      <c r="H20" s="80">
        <v>85.8</v>
      </c>
      <c r="I20" s="80">
        <f t="shared" si="0"/>
        <v>3088.8</v>
      </c>
      <c r="J20" s="192">
        <f>ROUND((1+0.1)*(1+'FSUP-VI Det. Desp Fiscais'!$G$29/100)*H20,2)</f>
        <v>110.07</v>
      </c>
      <c r="K20" s="80">
        <f t="shared" si="1"/>
        <v>3962.52</v>
      </c>
    </row>
    <row r="21" spans="1:14" ht="15" customHeight="1" x14ac:dyDescent="0.15">
      <c r="A21" s="91" t="s">
        <v>257</v>
      </c>
      <c r="B21" s="92"/>
      <c r="C21" s="92"/>
      <c r="D21" s="92"/>
      <c r="E21" s="93"/>
      <c r="F21" s="187" t="s">
        <v>107</v>
      </c>
      <c r="G21" s="241">
        <v>36</v>
      </c>
      <c r="H21" s="284">
        <v>75.31</v>
      </c>
      <c r="I21" s="80">
        <f t="shared" si="0"/>
        <v>2711.16</v>
      </c>
      <c r="J21" s="192">
        <f>ROUND((1+0.1)*(1+'FSUP-VI Det. Desp Fiscais'!$G$29/100)*H21,2)</f>
        <v>96.61</v>
      </c>
      <c r="K21" s="80">
        <f t="shared" si="1"/>
        <v>3477.96</v>
      </c>
    </row>
    <row r="22" spans="1:14" ht="15" customHeight="1" x14ac:dyDescent="0.2">
      <c r="A22" s="91" t="s">
        <v>258</v>
      </c>
      <c r="B22" s="92"/>
      <c r="C22" s="92"/>
      <c r="D22" s="92"/>
      <c r="E22" s="93"/>
      <c r="F22" s="187" t="s">
        <v>107</v>
      </c>
      <c r="G22" s="241">
        <v>36</v>
      </c>
      <c r="H22" s="94">
        <v>89</v>
      </c>
      <c r="I22" s="80">
        <f t="shared" si="0"/>
        <v>3204</v>
      </c>
      <c r="J22" s="192">
        <f>ROUND((1+0.1)*(1+'FSUP-VI Det. Desp Fiscais'!$G$29/100)*H22,2)</f>
        <v>114.17</v>
      </c>
      <c r="K22" s="80">
        <f t="shared" si="1"/>
        <v>4110.12</v>
      </c>
    </row>
    <row r="23" spans="1:14" ht="15" customHeight="1" x14ac:dyDescent="0.2">
      <c r="A23" s="91" t="s">
        <v>260</v>
      </c>
      <c r="B23" s="92"/>
      <c r="C23" s="92"/>
      <c r="D23" s="92"/>
      <c r="E23" s="93"/>
      <c r="F23" s="187" t="s">
        <v>107</v>
      </c>
      <c r="G23" s="241">
        <v>36</v>
      </c>
      <c r="H23" s="94">
        <v>30</v>
      </c>
      <c r="I23" s="80">
        <f t="shared" si="0"/>
        <v>1080</v>
      </c>
      <c r="J23" s="192">
        <f>ROUND((1+0.1)*(1+'FSUP-VI Det. Desp Fiscais'!$G$29/100)*H23,2)</f>
        <v>38.479999999999997</v>
      </c>
      <c r="K23" s="80">
        <f t="shared" si="1"/>
        <v>1385.28</v>
      </c>
    </row>
    <row r="24" spans="1:14" ht="15" customHeight="1" x14ac:dyDescent="0.2">
      <c r="A24" s="88"/>
      <c r="B24" s="89"/>
      <c r="C24" s="89"/>
      <c r="D24" s="89"/>
      <c r="E24" s="90"/>
      <c r="F24" s="86"/>
      <c r="G24" s="95"/>
      <c r="H24" s="80"/>
      <c r="I24" s="80"/>
      <c r="J24" s="81"/>
      <c r="K24" s="80"/>
    </row>
    <row r="25" spans="1:14" ht="15" customHeight="1" x14ac:dyDescent="0.2">
      <c r="A25" s="412" t="s">
        <v>205</v>
      </c>
      <c r="B25" s="412"/>
      <c r="C25" s="412"/>
      <c r="D25" s="412"/>
      <c r="E25" s="412"/>
      <c r="F25" s="412"/>
      <c r="G25" s="412"/>
      <c r="H25" s="82"/>
      <c r="I25" s="83">
        <f>SUM(I17:I24)</f>
        <v>116786.52</v>
      </c>
      <c r="J25" s="82"/>
      <c r="K25" s="85">
        <f>SUM(K17:K24)</f>
        <v>149816.15999999997</v>
      </c>
    </row>
    <row r="26" spans="1:14" ht="15" customHeight="1" thickTop="1" x14ac:dyDescent="0.2">
      <c r="A26" s="411" t="s">
        <v>208</v>
      </c>
      <c r="B26" s="411"/>
      <c r="C26" s="411"/>
      <c r="D26" s="411"/>
      <c r="E26" s="411"/>
      <c r="F26" s="411"/>
      <c r="G26" s="411"/>
      <c r="H26" s="411"/>
      <c r="I26" s="411"/>
      <c r="J26" s="411"/>
      <c r="K26" s="411"/>
    </row>
    <row r="27" spans="1:14" ht="15" customHeight="1" x14ac:dyDescent="0.2">
      <c r="A27" s="88" t="s">
        <v>266</v>
      </c>
      <c r="B27" s="89"/>
      <c r="C27" s="89"/>
      <c r="D27" s="89"/>
      <c r="E27" s="90"/>
      <c r="F27" s="86" t="s">
        <v>107</v>
      </c>
      <c r="G27" s="242">
        <v>864</v>
      </c>
      <c r="H27" s="96">
        <v>91.13</v>
      </c>
      <c r="I27" s="80">
        <f>ROUND(G27*H27,2)</f>
        <v>78736.320000000007</v>
      </c>
      <c r="J27" s="192">
        <f>ROUND((1+0.1)*(1+'FSUP-VI Det. Desp Fiscais'!$G$29/100)*H27,2)</f>
        <v>116.9</v>
      </c>
      <c r="K27" s="80">
        <f>ROUND(G27*J27,2)</f>
        <v>101001.60000000001</v>
      </c>
      <c r="M27" s="291">
        <f>G27/36</f>
        <v>24</v>
      </c>
      <c r="N27" s="71" t="s">
        <v>261</v>
      </c>
    </row>
    <row r="28" spans="1:14" ht="15" customHeight="1" x14ac:dyDescent="0.2">
      <c r="A28" s="88" t="s">
        <v>267</v>
      </c>
      <c r="B28" s="89"/>
      <c r="C28" s="89"/>
      <c r="D28" s="89"/>
      <c r="E28" s="90"/>
      <c r="F28" s="86" t="s">
        <v>107</v>
      </c>
      <c r="G28" s="242">
        <v>108</v>
      </c>
      <c r="H28" s="96">
        <v>28.14</v>
      </c>
      <c r="I28" s="80">
        <f>ROUND(G28*H28,2)</f>
        <v>3039.12</v>
      </c>
      <c r="J28" s="192">
        <f>ROUND((1+0.1)*(1+'FSUP-VI Det. Desp Fiscais'!$G$29/100)*H28,2)</f>
        <v>36.1</v>
      </c>
      <c r="K28" s="80">
        <f>ROUND(G28*J28,2)</f>
        <v>3898.8</v>
      </c>
      <c r="M28" s="291">
        <f>G28/36</f>
        <v>3</v>
      </c>
      <c r="N28" s="71" t="s">
        <v>261</v>
      </c>
    </row>
    <row r="29" spans="1:14" ht="15" customHeight="1" x14ac:dyDescent="0.2">
      <c r="A29" s="88" t="s">
        <v>268</v>
      </c>
      <c r="B29" s="89"/>
      <c r="C29" s="89"/>
      <c r="D29" s="89"/>
      <c r="E29" s="90"/>
      <c r="F29" s="86" t="s">
        <v>107</v>
      </c>
      <c r="G29" s="242">
        <v>360</v>
      </c>
      <c r="H29" s="96">
        <v>48.82</v>
      </c>
      <c r="I29" s="80">
        <f>ROUND(G29*H29,2)</f>
        <v>17575.2</v>
      </c>
      <c r="J29" s="192">
        <f>ROUND((1+0.1)*(1+'FSUP-VI Det. Desp Fiscais'!$G$29/100)*H29,2)</f>
        <v>62.63</v>
      </c>
      <c r="K29" s="80">
        <f>ROUND(G29*J29,2)</f>
        <v>22546.799999999999</v>
      </c>
      <c r="M29" s="291">
        <f>G29/36</f>
        <v>10</v>
      </c>
      <c r="N29" s="71" t="s">
        <v>261</v>
      </c>
    </row>
    <row r="30" spans="1:14" ht="15" customHeight="1" x14ac:dyDescent="0.2">
      <c r="A30" s="88" t="s">
        <v>269</v>
      </c>
      <c r="B30" s="89"/>
      <c r="C30" s="89"/>
      <c r="D30" s="89"/>
      <c r="E30" s="90"/>
      <c r="F30" s="188" t="s">
        <v>107</v>
      </c>
      <c r="G30" s="242">
        <v>360</v>
      </c>
      <c r="H30" s="96">
        <v>20.05</v>
      </c>
      <c r="I30" s="80">
        <f>ROUND(G30*H30,2)</f>
        <v>7218</v>
      </c>
      <c r="J30" s="192">
        <f>ROUND((1+0.1)*(1+'FSUP-VI Det. Desp Fiscais'!$G$29/100)*H30,2)</f>
        <v>25.72</v>
      </c>
      <c r="K30" s="80">
        <f>ROUND(G30*J30,2)</f>
        <v>9259.2000000000007</v>
      </c>
      <c r="M30" s="291">
        <f>G30/36</f>
        <v>10</v>
      </c>
      <c r="N30" s="71" t="s">
        <v>261</v>
      </c>
    </row>
    <row r="31" spans="1:14" ht="15" customHeight="1" x14ac:dyDescent="0.2">
      <c r="A31" s="88" t="s">
        <v>270</v>
      </c>
      <c r="B31" s="89"/>
      <c r="C31" s="89"/>
      <c r="D31" s="89"/>
      <c r="E31" s="90"/>
      <c r="F31" s="188" t="s">
        <v>107</v>
      </c>
      <c r="G31" s="242">
        <v>144</v>
      </c>
      <c r="H31" s="96">
        <v>12.16</v>
      </c>
      <c r="I31" s="80">
        <f>ROUND(G31*H31,2)</f>
        <v>1751.04</v>
      </c>
      <c r="J31" s="192">
        <f>ROUND((1+0.1)*(1+'FSUP-VI Det. Desp Fiscais'!$G$29/100)*H31,2)</f>
        <v>15.6</v>
      </c>
      <c r="K31" s="80">
        <f>ROUND(G31*J31,2)</f>
        <v>2246.4</v>
      </c>
      <c r="L31" s="208"/>
      <c r="M31" s="291">
        <f>G31/36</f>
        <v>4</v>
      </c>
      <c r="N31" s="71" t="s">
        <v>261</v>
      </c>
    </row>
    <row r="32" spans="1:14" ht="15" customHeight="1" x14ac:dyDescent="0.2">
      <c r="A32" s="88"/>
      <c r="B32" s="89"/>
      <c r="C32" s="89"/>
      <c r="D32" s="89"/>
      <c r="E32" s="90"/>
      <c r="F32" s="86"/>
      <c r="G32" s="95"/>
      <c r="H32" s="80"/>
      <c r="I32" s="80"/>
      <c r="J32" s="81"/>
      <c r="K32" s="80"/>
    </row>
    <row r="33" spans="1:13" ht="15" customHeight="1" x14ac:dyDescent="0.2">
      <c r="A33" s="412" t="s">
        <v>211</v>
      </c>
      <c r="B33" s="412"/>
      <c r="C33" s="412"/>
      <c r="D33" s="412"/>
      <c r="E33" s="412"/>
      <c r="F33" s="412"/>
      <c r="G33" s="412"/>
      <c r="H33" s="82"/>
      <c r="I33" s="83">
        <f>SUM(I27:I32)</f>
        <v>108319.67999999999</v>
      </c>
      <c r="J33" s="82"/>
      <c r="K33" s="85">
        <f>SUM(K27:K32)</f>
        <v>138952.80000000002</v>
      </c>
    </row>
    <row r="34" spans="1:13" s="87" customFormat="1" ht="15" customHeight="1" x14ac:dyDescent="0.2">
      <c r="A34" s="411" t="s">
        <v>215</v>
      </c>
      <c r="B34" s="411"/>
      <c r="C34" s="411"/>
      <c r="D34" s="411"/>
      <c r="E34" s="411"/>
      <c r="F34" s="411"/>
      <c r="G34" s="411"/>
      <c r="H34" s="411"/>
      <c r="I34" s="411"/>
      <c r="J34" s="411"/>
      <c r="K34" s="411"/>
    </row>
    <row r="35" spans="1:13" ht="15" customHeight="1" x14ac:dyDescent="0.2">
      <c r="A35" s="88" t="s">
        <v>262</v>
      </c>
      <c r="B35" s="89"/>
      <c r="C35" s="89"/>
      <c r="D35" s="89"/>
      <c r="E35" s="90"/>
      <c r="F35" s="188" t="s">
        <v>122</v>
      </c>
      <c r="G35" s="242">
        <v>36</v>
      </c>
      <c r="H35" s="80">
        <v>41.25</v>
      </c>
      <c r="I35" s="80">
        <f>ROUND(G35*H35,2)</f>
        <v>1485</v>
      </c>
      <c r="J35" s="192">
        <f>ROUND((1+0.1)*(1+'FSUP-VI Det. Desp Fiscais'!$G$29/100)*H35,2)</f>
        <v>52.92</v>
      </c>
      <c r="K35" s="80">
        <f>ROUND(G35*J35,2)</f>
        <v>1905.12</v>
      </c>
    </row>
    <row r="36" spans="1:13" ht="15" customHeight="1" x14ac:dyDescent="0.2">
      <c r="A36" s="88" t="s">
        <v>209</v>
      </c>
      <c r="B36" s="89"/>
      <c r="C36" s="89"/>
      <c r="D36" s="89"/>
      <c r="E36" s="90"/>
      <c r="F36" s="188" t="s">
        <v>122</v>
      </c>
      <c r="G36" s="242">
        <v>540</v>
      </c>
      <c r="H36" s="80">
        <v>22</v>
      </c>
      <c r="I36" s="80">
        <f>ROUND(G36*H36,2)</f>
        <v>11880</v>
      </c>
      <c r="J36" s="192">
        <f>ROUND((1+0.1)*(1+'FSUP-VI Det. Desp Fiscais'!$G$29/100)*H36,2)</f>
        <v>28.22</v>
      </c>
      <c r="K36" s="80">
        <f>ROUND(G36*J36,2)</f>
        <v>15238.8</v>
      </c>
    </row>
    <row r="37" spans="1:13" ht="20.25" customHeight="1" x14ac:dyDescent="0.2">
      <c r="A37" s="415" t="s">
        <v>216</v>
      </c>
      <c r="B37" s="416"/>
      <c r="C37" s="416"/>
      <c r="D37" s="416"/>
      <c r="E37" s="417"/>
      <c r="F37" s="188" t="s">
        <v>122</v>
      </c>
      <c r="G37" s="242">
        <v>18000</v>
      </c>
      <c r="H37" s="80">
        <v>2.4700000000000002</v>
      </c>
      <c r="I37" s="80">
        <f>ROUND(G37*H37,2)</f>
        <v>44460</v>
      </c>
      <c r="J37" s="192">
        <f>ROUND((1+0.1)*(1+'FSUP-VI Det. Desp Fiscais'!$G$29/100)*H37,2)</f>
        <v>3.17</v>
      </c>
      <c r="K37" s="80">
        <f>ROUND(G37*J37,2)</f>
        <v>57060</v>
      </c>
      <c r="L37" s="208"/>
    </row>
    <row r="38" spans="1:13" ht="15" customHeight="1" x14ac:dyDescent="0.2">
      <c r="A38" s="402" t="s">
        <v>210</v>
      </c>
      <c r="B38" s="403"/>
      <c r="C38" s="403"/>
      <c r="D38" s="403"/>
      <c r="E38" s="404"/>
      <c r="F38" s="210" t="s">
        <v>122</v>
      </c>
      <c r="G38" s="243">
        <v>72</v>
      </c>
      <c r="H38" s="94">
        <v>103</v>
      </c>
      <c r="I38" s="94">
        <f>ROUND(G38*H38,2)</f>
        <v>7416</v>
      </c>
      <c r="J38" s="192">
        <f>ROUND((1+0.1)*(1+'FSUP-VI Det. Desp Fiscais'!$G$29/100)*H38,2)</f>
        <v>132.13</v>
      </c>
      <c r="K38" s="94">
        <f>ROUND(G38*J38,2)</f>
        <v>9513.36</v>
      </c>
      <c r="L38" s="208"/>
    </row>
    <row r="39" spans="1:13" ht="21.75" customHeight="1" x14ac:dyDescent="0.2">
      <c r="A39" s="405" t="s">
        <v>217</v>
      </c>
      <c r="B39" s="406"/>
      <c r="C39" s="406"/>
      <c r="D39" s="406"/>
      <c r="E39" s="407"/>
      <c r="F39" s="211" t="s">
        <v>122</v>
      </c>
      <c r="G39" s="244">
        <v>3600</v>
      </c>
      <c r="H39" s="212">
        <v>22</v>
      </c>
      <c r="I39" s="212">
        <f>ROUND(G39*H39,2)</f>
        <v>79200</v>
      </c>
      <c r="J39" s="192">
        <f>ROUND((1+0.1)*(1+'FSUP-VI Det. Desp Fiscais'!$G$29/100)*H39,2)</f>
        <v>28.22</v>
      </c>
      <c r="K39" s="213">
        <f>ROUND(G39*J39,2)</f>
        <v>101592</v>
      </c>
    </row>
    <row r="40" spans="1:13" ht="15" customHeight="1" thickBot="1" x14ac:dyDescent="0.25">
      <c r="A40" s="414" t="s">
        <v>110</v>
      </c>
      <c r="B40" s="412"/>
      <c r="C40" s="412"/>
      <c r="D40" s="412"/>
      <c r="E40" s="412"/>
      <c r="F40" s="412"/>
      <c r="G40" s="412"/>
      <c r="H40" s="82"/>
      <c r="I40" s="83">
        <f>SUM(I35:I39)</f>
        <v>144441</v>
      </c>
      <c r="J40" s="82"/>
      <c r="K40" s="214">
        <f>SUM(K35:K39)</f>
        <v>185309.28</v>
      </c>
      <c r="M40" s="97"/>
    </row>
    <row r="41" spans="1:13" s="87" customFormat="1" ht="15" customHeight="1" thickTop="1" thickBot="1" x14ac:dyDescent="0.25">
      <c r="A41" s="419"/>
      <c r="B41" s="420"/>
      <c r="C41" s="420"/>
      <c r="D41" s="420"/>
      <c r="E41" s="420"/>
      <c r="F41" s="420"/>
      <c r="G41" s="420"/>
      <c r="H41" s="420"/>
      <c r="I41" s="420"/>
      <c r="J41" s="420"/>
      <c r="K41" s="421"/>
      <c r="L41" s="209"/>
    </row>
    <row r="42" spans="1:13" ht="12.6" customHeight="1" thickTop="1" x14ac:dyDescent="0.2">
      <c r="A42" s="215" t="s">
        <v>28</v>
      </c>
      <c r="B42" s="99"/>
      <c r="C42" s="99"/>
      <c r="D42" s="99"/>
      <c r="E42" s="99"/>
      <c r="F42" s="100"/>
      <c r="G42" s="98" t="s">
        <v>29</v>
      </c>
      <c r="H42" s="99"/>
      <c r="I42" s="99"/>
      <c r="J42" s="99"/>
      <c r="K42" s="216"/>
    </row>
    <row r="43" spans="1:13" ht="12.6" customHeight="1" x14ac:dyDescent="0.2">
      <c r="A43" s="427"/>
      <c r="B43" s="401"/>
      <c r="C43" s="401"/>
      <c r="D43" s="401"/>
      <c r="E43" s="401"/>
      <c r="F43" s="428"/>
      <c r="G43" s="429"/>
      <c r="H43" s="401"/>
      <c r="I43" s="401"/>
      <c r="J43" s="401"/>
      <c r="K43" s="430"/>
    </row>
    <row r="44" spans="1:13" ht="12.6" customHeight="1" x14ac:dyDescent="0.2">
      <c r="A44" s="422" t="s">
        <v>30</v>
      </c>
      <c r="B44" s="423"/>
      <c r="C44" s="423"/>
      <c r="D44" s="423"/>
      <c r="E44" s="423"/>
      <c r="F44" s="423"/>
      <c r="G44" s="423"/>
      <c r="H44" s="102" t="s">
        <v>31</v>
      </c>
      <c r="I44" s="103"/>
      <c r="J44" s="103"/>
      <c r="K44" s="217"/>
    </row>
    <row r="45" spans="1:13" ht="12.6" customHeight="1" x14ac:dyDescent="0.2">
      <c r="A45" s="218"/>
      <c r="B45" s="104"/>
      <c r="C45" s="104"/>
      <c r="D45" s="104"/>
      <c r="E45" s="104"/>
      <c r="F45" s="104"/>
      <c r="G45" s="101"/>
      <c r="H45" s="431"/>
      <c r="I45" s="432"/>
      <c r="J45" s="432"/>
      <c r="K45" s="433"/>
    </row>
    <row r="46" spans="1:13" ht="11.1" customHeight="1" x14ac:dyDescent="0.2">
      <c r="A46" s="424" t="s">
        <v>32</v>
      </c>
      <c r="B46" s="425"/>
      <c r="C46" s="425"/>
      <c r="D46" s="425"/>
      <c r="E46" s="425"/>
      <c r="F46" s="425"/>
      <c r="G46" s="425"/>
      <c r="H46" s="425"/>
      <c r="I46" s="425"/>
      <c r="J46" s="425"/>
      <c r="K46" s="426"/>
    </row>
    <row r="47" spans="1:13" ht="11.1" customHeight="1" x14ac:dyDescent="0.2">
      <c r="A47" s="408" t="s">
        <v>233</v>
      </c>
      <c r="B47" s="409"/>
      <c r="C47" s="409"/>
      <c r="D47" s="409"/>
      <c r="E47" s="409"/>
      <c r="F47" s="409"/>
      <c r="G47" s="409"/>
      <c r="H47" s="409"/>
      <c r="I47" s="409"/>
      <c r="J47" s="409"/>
      <c r="K47" s="410"/>
    </row>
    <row r="48" spans="1:13" ht="11.1" customHeight="1" x14ac:dyDescent="0.2">
      <c r="A48" s="408" t="s">
        <v>111</v>
      </c>
      <c r="B48" s="409"/>
      <c r="C48" s="409"/>
      <c r="D48" s="409"/>
      <c r="E48" s="409"/>
      <c r="F48" s="409"/>
      <c r="G48" s="409"/>
      <c r="H48" s="409"/>
      <c r="I48" s="409"/>
      <c r="J48" s="409"/>
      <c r="K48" s="410"/>
    </row>
    <row r="49" spans="1:11" s="87" customFormat="1" ht="11.1" customHeight="1" x14ac:dyDescent="0.2">
      <c r="A49" s="408" t="str">
        <f>CONCATENATE("3. Preço = custo + lucro + despesas fiscais. Para calcular o preço aplica-se a seguinte fórmula: custo*(1+0,1)*(1+",'FSUP-VI Det. Desp Fiscais'!G29,"%)")</f>
        <v>3. Preço = custo + lucro + despesas fiscais. Para calcular o preço aplica-se a seguinte fórmula: custo*(1+0,1)*(1+16,62%)</v>
      </c>
      <c r="B49" s="409"/>
      <c r="C49" s="409"/>
      <c r="D49" s="409"/>
      <c r="E49" s="409"/>
      <c r="F49" s="409"/>
      <c r="G49" s="409"/>
      <c r="H49" s="409"/>
      <c r="I49" s="409"/>
      <c r="J49" s="409"/>
      <c r="K49" s="410"/>
    </row>
    <row r="50" spans="1:11" ht="11.1" customHeight="1" x14ac:dyDescent="0.2">
      <c r="A50" s="219" t="s">
        <v>112</v>
      </c>
      <c r="B50" s="220"/>
      <c r="C50" s="220"/>
      <c r="D50" s="220"/>
      <c r="E50" s="220"/>
      <c r="F50" s="220"/>
      <c r="G50" s="220"/>
      <c r="H50" s="220"/>
      <c r="I50" s="220"/>
      <c r="J50" s="220"/>
      <c r="K50" s="221"/>
    </row>
  </sheetData>
  <sheetProtection selectLockedCells="1" selectUnlockedCells="1"/>
  <mergeCells count="39">
    <mergeCell ref="A7:B7"/>
    <mergeCell ref="C7:I7"/>
    <mergeCell ref="J7:K7"/>
    <mergeCell ref="A3:I4"/>
    <mergeCell ref="J3:K3"/>
    <mergeCell ref="J4:K4"/>
    <mergeCell ref="A5:K5"/>
    <mergeCell ref="A8:B8"/>
    <mergeCell ref="C8:I8"/>
    <mergeCell ref="J8:K8"/>
    <mergeCell ref="A9:E10"/>
    <mergeCell ref="F9:F10"/>
    <mergeCell ref="G9:G10"/>
    <mergeCell ref="H9:I9"/>
    <mergeCell ref="J9:K9"/>
    <mergeCell ref="A49:K49"/>
    <mergeCell ref="A41:K41"/>
    <mergeCell ref="A44:G44"/>
    <mergeCell ref="A46:K46"/>
    <mergeCell ref="A47:K47"/>
    <mergeCell ref="A43:F43"/>
    <mergeCell ref="G43:K43"/>
    <mergeCell ref="H45:K45"/>
    <mergeCell ref="A1:K2"/>
    <mergeCell ref="A38:E38"/>
    <mergeCell ref="A39:E39"/>
    <mergeCell ref="A48:K48"/>
    <mergeCell ref="A16:K16"/>
    <mergeCell ref="A25:G25"/>
    <mergeCell ref="A11:E11"/>
    <mergeCell ref="A12:E12"/>
    <mergeCell ref="A13:E13"/>
    <mergeCell ref="A14:G14"/>
    <mergeCell ref="A34:K34"/>
    <mergeCell ref="A40:G40"/>
    <mergeCell ref="A37:E37"/>
    <mergeCell ref="A15:K15"/>
    <mergeCell ref="A26:K26"/>
    <mergeCell ref="A33:G33"/>
  </mergeCells>
  <phoneticPr fontId="18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81" firstPageNumber="0" orientation="portrait" horizontalDpi="4294967294" vertic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8"/>
  <sheetViews>
    <sheetView showGridLines="0" view="pageBreakPreview" zoomScale="120" zoomScaleSheetLayoutView="120" workbookViewId="0">
      <pane ySplit="1" activePane="bottomLeft"/>
      <selection activeCell="L25" sqref="L25"/>
      <selection pane="bottomLeft" activeCell="F25" sqref="F25"/>
    </sheetView>
  </sheetViews>
  <sheetFormatPr defaultColWidth="11.42578125" defaultRowHeight="15" customHeight="1" x14ac:dyDescent="0.2"/>
  <cols>
    <col min="1" max="1" width="8.85546875" style="105" customWidth="1"/>
    <col min="2" max="2" width="19.7109375" style="105" customWidth="1"/>
    <col min="3" max="3" width="14.28515625" style="105" customWidth="1"/>
    <col min="4" max="6" width="4.7109375" style="105" customWidth="1"/>
    <col min="7" max="14" width="10" style="105" customWidth="1"/>
    <col min="15" max="15" width="10.140625" style="105" customWidth="1"/>
    <col min="16" max="16384" width="11.42578125" style="105"/>
  </cols>
  <sheetData>
    <row r="1" spans="1:18" ht="15" customHeight="1" x14ac:dyDescent="0.2">
      <c r="A1" s="443"/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</row>
    <row r="2" spans="1:18" ht="15" customHeight="1" x14ac:dyDescent="0.2">
      <c r="A2" s="444"/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</row>
    <row r="3" spans="1:18" ht="12.95" customHeight="1" x14ac:dyDescent="0.2">
      <c r="A3" s="359" t="s">
        <v>113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21" t="s">
        <v>4</v>
      </c>
      <c r="N3" s="321"/>
    </row>
    <row r="4" spans="1:18" ht="12.95" customHeight="1" x14ac:dyDescent="0.2">
      <c r="A4" s="359"/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93" t="s">
        <v>114</v>
      </c>
      <c r="N4" s="393"/>
    </row>
    <row r="5" spans="1:18" ht="12" customHeight="1" x14ac:dyDescent="0.2">
      <c r="A5" s="341" t="s">
        <v>6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</row>
    <row r="6" spans="1:18" ht="12" customHeight="1" x14ac:dyDescent="0.2">
      <c r="A6" s="42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34"/>
    </row>
    <row r="7" spans="1:18" ht="12" customHeight="1" x14ac:dyDescent="0.2">
      <c r="A7" s="323" t="s">
        <v>7</v>
      </c>
      <c r="B7" s="323"/>
      <c r="C7" s="323" t="s">
        <v>8</v>
      </c>
      <c r="D7" s="323"/>
      <c r="E7" s="323"/>
      <c r="F7" s="323"/>
      <c r="G7" s="323"/>
      <c r="H7" s="323"/>
      <c r="I7" s="323"/>
      <c r="J7" s="323"/>
      <c r="K7" s="323"/>
      <c r="L7" s="323"/>
      <c r="M7" s="323" t="s">
        <v>9</v>
      </c>
      <c r="N7" s="323"/>
    </row>
    <row r="8" spans="1:18" ht="12" customHeight="1" x14ac:dyDescent="0.2">
      <c r="A8" s="11" t="s">
        <v>202</v>
      </c>
      <c r="B8" s="44"/>
      <c r="C8" s="11" t="s">
        <v>203</v>
      </c>
      <c r="D8" s="106"/>
      <c r="E8" s="106"/>
      <c r="F8" s="106"/>
      <c r="G8" s="106"/>
      <c r="H8" s="106"/>
      <c r="I8" s="106"/>
      <c r="J8" s="106"/>
      <c r="K8" s="106"/>
      <c r="L8" s="73"/>
      <c r="M8" s="364"/>
      <c r="N8" s="364"/>
    </row>
    <row r="9" spans="1:18" ht="9.9499999999999993" customHeight="1" x14ac:dyDescent="0.2">
      <c r="A9" s="381" t="s">
        <v>101</v>
      </c>
      <c r="B9" s="381"/>
      <c r="C9" s="381"/>
      <c r="D9" s="381" t="s">
        <v>115</v>
      </c>
      <c r="E9" s="399" t="s">
        <v>116</v>
      </c>
      <c r="F9" s="399" t="s">
        <v>117</v>
      </c>
      <c r="G9" s="397" t="s">
        <v>118</v>
      </c>
      <c r="H9" s="397"/>
      <c r="I9" s="397"/>
      <c r="J9" s="397"/>
      <c r="K9" s="395" t="s">
        <v>119</v>
      </c>
      <c r="L9" s="395"/>
      <c r="M9" s="395"/>
      <c r="N9" s="395"/>
    </row>
    <row r="10" spans="1:18" ht="9.9499999999999993" customHeight="1" x14ac:dyDescent="0.2">
      <c r="A10" s="381"/>
      <c r="B10" s="381"/>
      <c r="C10" s="381"/>
      <c r="D10" s="381"/>
      <c r="E10" s="399"/>
      <c r="F10" s="399"/>
      <c r="G10" s="392" t="s">
        <v>84</v>
      </c>
      <c r="H10" s="392"/>
      <c r="I10" s="442" t="s">
        <v>85</v>
      </c>
      <c r="J10" s="442"/>
      <c r="K10" s="392" t="s">
        <v>84</v>
      </c>
      <c r="L10" s="392"/>
      <c r="M10" s="394" t="s">
        <v>85</v>
      </c>
      <c r="N10" s="394"/>
    </row>
    <row r="11" spans="1:18" ht="9.9499999999999993" customHeight="1" x14ac:dyDescent="0.2">
      <c r="A11" s="381"/>
      <c r="B11" s="381"/>
      <c r="C11" s="381"/>
      <c r="D11" s="381"/>
      <c r="E11" s="399"/>
      <c r="F11" s="399"/>
      <c r="G11" s="47" t="s">
        <v>86</v>
      </c>
      <c r="H11" s="48" t="s">
        <v>87</v>
      </c>
      <c r="I11" s="47" t="s">
        <v>86</v>
      </c>
      <c r="J11" s="48" t="s">
        <v>87</v>
      </c>
      <c r="K11" s="47" t="s">
        <v>86</v>
      </c>
      <c r="L11" s="48" t="s">
        <v>87</v>
      </c>
      <c r="M11" s="47" t="s">
        <v>86</v>
      </c>
      <c r="N11" s="48" t="s">
        <v>87</v>
      </c>
    </row>
    <row r="12" spans="1:18" s="112" customFormat="1" ht="12" customHeight="1" x14ac:dyDescent="0.2">
      <c r="A12" s="107" t="s">
        <v>120</v>
      </c>
      <c r="B12" s="108"/>
      <c r="C12" s="109"/>
      <c r="D12" s="49"/>
      <c r="E12" s="110"/>
      <c r="F12" s="111"/>
      <c r="G12" s="55"/>
      <c r="H12" s="55"/>
      <c r="I12" s="55"/>
      <c r="J12" s="55"/>
      <c r="K12" s="55"/>
      <c r="L12" s="55"/>
      <c r="M12" s="55"/>
      <c r="N12" s="55"/>
      <c r="P12" s="113"/>
      <c r="Q12" s="113"/>
      <c r="R12" s="113"/>
    </row>
    <row r="13" spans="1:18" s="112" customFormat="1" ht="12" customHeight="1" x14ac:dyDescent="0.2">
      <c r="A13" s="107" t="s">
        <v>121</v>
      </c>
      <c r="B13" s="108"/>
      <c r="C13" s="109"/>
      <c r="D13" s="49"/>
      <c r="E13" s="56"/>
      <c r="F13" s="56"/>
      <c r="G13" s="53"/>
      <c r="H13" s="53"/>
      <c r="I13" s="53"/>
      <c r="J13" s="53"/>
      <c r="K13" s="55"/>
      <c r="L13" s="55"/>
      <c r="M13" s="53"/>
      <c r="N13" s="55"/>
    </row>
    <row r="14" spans="1:18" s="112" customFormat="1" ht="12" customHeight="1" x14ac:dyDescent="0.2">
      <c r="A14" s="107" t="s">
        <v>200</v>
      </c>
      <c r="B14" s="108"/>
      <c r="C14" s="109"/>
      <c r="D14" s="49" t="s">
        <v>195</v>
      </c>
      <c r="E14" s="56" t="s">
        <v>122</v>
      </c>
      <c r="F14" s="56">
        <v>1</v>
      </c>
      <c r="G14" s="53">
        <f>'FSUP-II VIAGENS'!G13</f>
        <v>1371.94</v>
      </c>
      <c r="H14" s="53">
        <f>ROUND(F14*G14,2)</f>
        <v>1371.94</v>
      </c>
      <c r="I14" s="53">
        <f>ROUND((1+0.1)*(1+'FSUP-VI Det. Desp Fiscais'!$G$29/100)*G14,2)</f>
        <v>1759.95</v>
      </c>
      <c r="J14" s="53">
        <f>ROUND(F14*I14,2)</f>
        <v>1759.95</v>
      </c>
      <c r="K14" s="55">
        <f>G14</f>
        <v>1371.94</v>
      </c>
      <c r="L14" s="55">
        <f>ROUND(K14*F14,2)</f>
        <v>1371.94</v>
      </c>
      <c r="M14" s="53">
        <f>ROUND((1+0.1)*(1+'FSUP-VI Det. Desp Fiscais'!$G$29/100)*K14,2)</f>
        <v>1759.95</v>
      </c>
      <c r="N14" s="55">
        <f>ROUND(F14*M14,2)</f>
        <v>1759.95</v>
      </c>
    </row>
    <row r="15" spans="1:18" s="112" customFormat="1" ht="12" customHeight="1" x14ac:dyDescent="0.2">
      <c r="A15" s="107"/>
      <c r="B15" s="108"/>
      <c r="C15" s="109"/>
      <c r="D15" s="49"/>
      <c r="E15" s="56"/>
      <c r="F15" s="56"/>
      <c r="G15" s="53"/>
      <c r="H15" s="53"/>
      <c r="I15" s="53"/>
      <c r="J15" s="53"/>
      <c r="K15" s="55"/>
      <c r="L15" s="55"/>
      <c r="M15" s="53"/>
      <c r="N15" s="55"/>
    </row>
    <row r="16" spans="1:18" s="112" customFormat="1" ht="12" customHeight="1" x14ac:dyDescent="0.2">
      <c r="A16" s="107"/>
      <c r="B16" s="108"/>
      <c r="C16" s="109"/>
      <c r="D16" s="49"/>
      <c r="E16" s="56"/>
      <c r="F16" s="56"/>
      <c r="G16" s="53"/>
      <c r="H16" s="53"/>
      <c r="I16" s="53"/>
      <c r="J16" s="53"/>
      <c r="K16" s="55"/>
      <c r="L16" s="55"/>
      <c r="M16" s="53"/>
      <c r="N16" s="55"/>
    </row>
    <row r="17" spans="1:14" s="112" customFormat="1" ht="12" customHeight="1" x14ac:dyDescent="0.2">
      <c r="A17" s="107"/>
      <c r="B17" s="108"/>
      <c r="C17" s="109"/>
      <c r="D17" s="49"/>
      <c r="E17" s="56"/>
      <c r="F17" s="56"/>
      <c r="G17" s="53"/>
      <c r="H17" s="53"/>
      <c r="I17" s="53"/>
      <c r="J17" s="53"/>
      <c r="K17" s="55"/>
      <c r="L17" s="55"/>
      <c r="M17" s="53"/>
      <c r="N17" s="55"/>
    </row>
    <row r="18" spans="1:14" s="112" customFormat="1" ht="12" customHeight="1" x14ac:dyDescent="0.2">
      <c r="A18" s="107"/>
      <c r="B18" s="108"/>
      <c r="C18" s="109"/>
      <c r="D18" s="49"/>
      <c r="E18" s="56"/>
      <c r="F18" s="56"/>
      <c r="G18" s="53"/>
      <c r="H18" s="53"/>
      <c r="I18" s="53"/>
      <c r="J18" s="53"/>
      <c r="K18" s="55"/>
      <c r="L18" s="55"/>
      <c r="M18" s="53"/>
      <c r="N18" s="55"/>
    </row>
    <row r="19" spans="1:14" s="112" customFormat="1" ht="12" customHeight="1" x14ac:dyDescent="0.2">
      <c r="A19" s="107"/>
      <c r="B19" s="108"/>
      <c r="C19" s="109"/>
      <c r="D19" s="49"/>
      <c r="E19" s="56"/>
      <c r="F19" s="56"/>
      <c r="G19" s="53"/>
      <c r="H19" s="53"/>
      <c r="I19" s="53"/>
      <c r="J19" s="53"/>
      <c r="K19" s="55"/>
      <c r="L19" s="55"/>
      <c r="M19" s="53"/>
      <c r="N19" s="55"/>
    </row>
    <row r="20" spans="1:14" s="112" customFormat="1" ht="12" customHeight="1" x14ac:dyDescent="0.2">
      <c r="A20" s="107"/>
      <c r="B20" s="108"/>
      <c r="C20" s="109"/>
      <c r="D20" s="49"/>
      <c r="E20" s="56"/>
      <c r="F20" s="56"/>
      <c r="G20" s="53"/>
      <c r="H20" s="53"/>
      <c r="I20" s="53"/>
      <c r="J20" s="53"/>
      <c r="K20" s="55"/>
      <c r="L20" s="55"/>
      <c r="M20" s="53"/>
      <c r="N20" s="55"/>
    </row>
    <row r="21" spans="1:14" s="112" customFormat="1" ht="12" customHeight="1" x14ac:dyDescent="0.2">
      <c r="A21" s="107"/>
      <c r="B21" s="108"/>
      <c r="C21" s="109"/>
      <c r="D21" s="49"/>
      <c r="E21" s="56"/>
      <c r="F21" s="56"/>
      <c r="G21" s="53"/>
      <c r="H21" s="53"/>
      <c r="I21" s="53"/>
      <c r="J21" s="53"/>
      <c r="K21" s="55"/>
      <c r="L21" s="55"/>
      <c r="M21" s="53"/>
      <c r="N21" s="55"/>
    </row>
    <row r="22" spans="1:14" s="112" customFormat="1" ht="12" customHeight="1" x14ac:dyDescent="0.2">
      <c r="A22" s="107"/>
      <c r="B22" s="108"/>
      <c r="C22" s="109"/>
      <c r="D22" s="49"/>
      <c r="E22" s="56"/>
      <c r="F22" s="56"/>
      <c r="G22" s="53"/>
      <c r="H22" s="53"/>
      <c r="I22" s="53"/>
      <c r="J22" s="53"/>
      <c r="K22" s="55"/>
      <c r="L22" s="55"/>
      <c r="M22" s="53"/>
      <c r="N22" s="55"/>
    </row>
    <row r="23" spans="1:14" s="112" customFormat="1" ht="12" customHeight="1" x14ac:dyDescent="0.2">
      <c r="A23" s="107"/>
      <c r="B23" s="108"/>
      <c r="C23" s="109"/>
      <c r="D23" s="49"/>
      <c r="E23" s="56"/>
      <c r="F23" s="56"/>
      <c r="G23" s="53"/>
      <c r="H23" s="53"/>
      <c r="I23" s="53"/>
      <c r="J23" s="53"/>
      <c r="K23" s="55"/>
      <c r="L23" s="55"/>
      <c r="M23" s="53"/>
      <c r="N23" s="55"/>
    </row>
    <row r="24" spans="1:14" s="112" customFormat="1" ht="12" customHeight="1" x14ac:dyDescent="0.2">
      <c r="A24" s="107" t="s">
        <v>123</v>
      </c>
      <c r="B24" s="108"/>
      <c r="C24" s="109"/>
      <c r="D24" s="49"/>
      <c r="E24" s="56"/>
      <c r="F24" s="56"/>
      <c r="G24" s="53"/>
      <c r="H24" s="53"/>
      <c r="I24" s="53"/>
      <c r="J24" s="53"/>
      <c r="K24" s="55"/>
      <c r="L24" s="55"/>
      <c r="M24" s="53"/>
      <c r="N24" s="55"/>
    </row>
    <row r="25" spans="1:14" s="112" customFormat="1" ht="12" customHeight="1" x14ac:dyDescent="0.2">
      <c r="A25" s="107" t="s">
        <v>201</v>
      </c>
      <c r="B25" s="108"/>
      <c r="C25" s="109"/>
      <c r="D25" s="49" t="s">
        <v>195</v>
      </c>
      <c r="E25" s="56" t="s">
        <v>122</v>
      </c>
      <c r="F25" s="56">
        <v>1</v>
      </c>
      <c r="G25" s="53">
        <v>338</v>
      </c>
      <c r="H25" s="53">
        <f>ROUND(F25*G25,2)</f>
        <v>338</v>
      </c>
      <c r="I25" s="53">
        <f>ROUND((1+0.1)*(1+'FSUP-VI Det. Desp Fiscais'!$G$29/100)*G25,2)</f>
        <v>433.59</v>
      </c>
      <c r="J25" s="53">
        <f>ROUND(F25*I25,2)</f>
        <v>433.59</v>
      </c>
      <c r="K25" s="55"/>
      <c r="L25" s="55"/>
      <c r="M25" s="53"/>
      <c r="N25" s="55"/>
    </row>
    <row r="26" spans="1:14" s="112" customFormat="1" ht="12" customHeight="1" x14ac:dyDescent="0.2">
      <c r="A26" s="107"/>
      <c r="B26" s="108"/>
      <c r="C26" s="109"/>
      <c r="D26" s="49"/>
      <c r="E26" s="56"/>
      <c r="F26" s="56"/>
      <c r="G26" s="53"/>
      <c r="H26" s="53"/>
      <c r="I26" s="53"/>
      <c r="J26" s="53"/>
      <c r="K26" s="55"/>
      <c r="L26" s="55"/>
      <c r="M26" s="53"/>
      <c r="N26" s="55"/>
    </row>
    <row r="27" spans="1:14" s="112" customFormat="1" ht="12" customHeight="1" x14ac:dyDescent="0.2">
      <c r="A27" s="107"/>
      <c r="B27" s="108"/>
      <c r="C27" s="109"/>
      <c r="D27" s="49"/>
      <c r="E27" s="56"/>
      <c r="F27" s="56"/>
      <c r="G27" s="53"/>
      <c r="H27" s="53"/>
      <c r="I27" s="53"/>
      <c r="J27" s="53"/>
      <c r="K27" s="55"/>
      <c r="L27" s="55"/>
      <c r="M27" s="53"/>
      <c r="N27" s="55"/>
    </row>
    <row r="28" spans="1:14" s="112" customFormat="1" ht="12" customHeight="1" x14ac:dyDescent="0.2">
      <c r="A28" s="193"/>
      <c r="B28" s="194"/>
      <c r="C28" s="195"/>
      <c r="D28" s="196"/>
      <c r="E28" s="198"/>
      <c r="F28" s="198"/>
      <c r="G28" s="199"/>
      <c r="H28" s="199"/>
      <c r="I28" s="199"/>
      <c r="J28" s="199"/>
      <c r="K28" s="197"/>
      <c r="L28" s="197"/>
      <c r="M28" s="199"/>
      <c r="N28" s="197"/>
    </row>
    <row r="29" spans="1:14" s="112" customFormat="1" ht="12" customHeight="1" x14ac:dyDescent="0.2">
      <c r="A29" s="193"/>
      <c r="B29" s="194"/>
      <c r="C29" s="195"/>
      <c r="D29" s="196"/>
      <c r="E29" s="198"/>
      <c r="F29" s="198"/>
      <c r="G29" s="199"/>
      <c r="H29" s="199"/>
      <c r="I29" s="199"/>
      <c r="J29" s="199"/>
      <c r="K29" s="197"/>
      <c r="L29" s="197"/>
      <c r="M29" s="199"/>
      <c r="N29" s="197"/>
    </row>
    <row r="30" spans="1:14" s="112" customFormat="1" ht="12" customHeight="1" x14ac:dyDescent="0.2">
      <c r="A30" s="193"/>
      <c r="B30" s="194"/>
      <c r="C30" s="195"/>
      <c r="D30" s="196"/>
      <c r="E30" s="198"/>
      <c r="F30" s="198"/>
      <c r="G30" s="199"/>
      <c r="H30" s="199"/>
      <c r="I30" s="199"/>
      <c r="J30" s="199"/>
      <c r="K30" s="197"/>
      <c r="L30" s="197"/>
      <c r="M30" s="199"/>
      <c r="N30" s="197"/>
    </row>
    <row r="31" spans="1:14" s="112" customFormat="1" ht="12" customHeight="1" x14ac:dyDescent="0.2">
      <c r="A31" s="193"/>
      <c r="B31" s="194"/>
      <c r="C31" s="195"/>
      <c r="D31" s="196"/>
      <c r="E31" s="198"/>
      <c r="F31" s="198"/>
      <c r="G31" s="199"/>
      <c r="H31" s="199"/>
      <c r="I31" s="199"/>
      <c r="J31" s="199"/>
      <c r="K31" s="197"/>
      <c r="L31" s="197"/>
      <c r="M31" s="199"/>
      <c r="N31" s="197"/>
    </row>
    <row r="32" spans="1:14" s="112" customFormat="1" ht="12" customHeight="1" x14ac:dyDescent="0.2">
      <c r="A32" s="107"/>
      <c r="B32" s="108"/>
      <c r="C32" s="109"/>
      <c r="D32" s="49"/>
      <c r="E32" s="56"/>
      <c r="F32" s="56"/>
      <c r="G32" s="53"/>
      <c r="H32" s="53"/>
      <c r="I32" s="53"/>
      <c r="J32" s="53"/>
      <c r="K32" s="55"/>
      <c r="L32" s="55"/>
      <c r="M32" s="53"/>
      <c r="N32" s="55"/>
    </row>
    <row r="33" spans="1:15" s="112" customFormat="1" ht="12" customHeight="1" x14ac:dyDescent="0.2">
      <c r="A33" s="107"/>
      <c r="B33" s="108"/>
      <c r="C33" s="109"/>
      <c r="D33" s="49"/>
      <c r="E33" s="56"/>
      <c r="F33" s="56"/>
      <c r="G33" s="53"/>
      <c r="H33" s="53"/>
      <c r="I33" s="53"/>
      <c r="J33" s="53"/>
      <c r="K33" s="55"/>
      <c r="L33" s="55"/>
      <c r="M33" s="53"/>
      <c r="N33" s="55"/>
    </row>
    <row r="34" spans="1:15" s="112" customFormat="1" ht="12" customHeight="1" x14ac:dyDescent="0.2">
      <c r="A34" s="107"/>
      <c r="B34" s="108"/>
      <c r="C34" s="109"/>
      <c r="D34" s="49"/>
      <c r="E34" s="56"/>
      <c r="F34" s="56"/>
      <c r="G34" s="53"/>
      <c r="H34" s="53"/>
      <c r="I34" s="53"/>
      <c r="J34" s="53"/>
      <c r="K34" s="55"/>
      <c r="L34" s="55"/>
      <c r="M34" s="53"/>
      <c r="N34" s="55"/>
    </row>
    <row r="35" spans="1:15" s="112" customFormat="1" ht="12" customHeight="1" x14ac:dyDescent="0.2">
      <c r="A35" s="107"/>
      <c r="B35" s="108"/>
      <c r="C35" s="109"/>
      <c r="D35" s="49"/>
      <c r="E35" s="56"/>
      <c r="F35" s="56"/>
      <c r="G35" s="53"/>
      <c r="H35" s="53"/>
      <c r="I35" s="53"/>
      <c r="J35" s="53"/>
      <c r="K35" s="55"/>
      <c r="L35" s="55"/>
      <c r="M35" s="53"/>
      <c r="N35" s="55"/>
    </row>
    <row r="36" spans="1:15" s="112" customFormat="1" ht="12" customHeight="1" x14ac:dyDescent="0.2">
      <c r="A36" s="107"/>
      <c r="B36" s="108"/>
      <c r="C36" s="109"/>
      <c r="D36" s="49"/>
      <c r="E36" s="56"/>
      <c r="F36" s="61"/>
      <c r="G36" s="62"/>
      <c r="H36" s="62"/>
      <c r="I36" s="53"/>
      <c r="J36" s="53"/>
      <c r="K36" s="61"/>
      <c r="L36" s="55"/>
      <c r="M36" s="53"/>
      <c r="N36" s="55"/>
    </row>
    <row r="37" spans="1:15" s="112" customFormat="1" ht="12" customHeight="1" x14ac:dyDescent="0.2">
      <c r="A37" s="107"/>
      <c r="B37" s="108"/>
      <c r="C37" s="109"/>
      <c r="D37" s="49"/>
      <c r="E37" s="56"/>
      <c r="F37" s="56"/>
      <c r="G37" s="53"/>
      <c r="H37" s="53"/>
      <c r="I37" s="53"/>
      <c r="J37" s="53"/>
      <c r="K37" s="53"/>
      <c r="L37" s="55"/>
      <c r="M37" s="53"/>
      <c r="N37" s="55"/>
    </row>
    <row r="38" spans="1:15" s="112" customFormat="1" ht="12" customHeight="1" x14ac:dyDescent="0.2">
      <c r="A38" s="445"/>
      <c r="B38" s="445"/>
      <c r="C38" s="445"/>
      <c r="D38" s="114"/>
      <c r="E38" s="110"/>
      <c r="F38" s="111"/>
      <c r="G38" s="55"/>
      <c r="H38" s="53"/>
      <c r="I38" s="53"/>
      <c r="J38" s="53"/>
      <c r="K38" s="55"/>
      <c r="L38" s="55"/>
      <c r="M38" s="53"/>
      <c r="N38" s="55"/>
    </row>
    <row r="39" spans="1:15" s="112" customFormat="1" ht="12" customHeight="1" x14ac:dyDescent="0.2">
      <c r="A39" s="115"/>
      <c r="B39" s="116"/>
      <c r="C39" s="117"/>
      <c r="D39" s="117"/>
      <c r="E39" s="56"/>
      <c r="F39" s="111"/>
      <c r="G39" s="55"/>
      <c r="H39" s="53"/>
      <c r="I39" s="53"/>
      <c r="J39" s="53"/>
      <c r="K39" s="55"/>
      <c r="L39" s="55"/>
      <c r="M39" s="53"/>
      <c r="N39" s="55"/>
    </row>
    <row r="40" spans="1:15" s="112" customFormat="1" ht="12" customHeight="1" x14ac:dyDescent="0.2">
      <c r="A40" s="115"/>
      <c r="B40" s="116"/>
      <c r="C40" s="117"/>
      <c r="D40" s="117"/>
      <c r="E40" s="56"/>
      <c r="F40" s="111"/>
      <c r="G40" s="55"/>
      <c r="H40" s="53"/>
      <c r="I40" s="53"/>
      <c r="J40" s="53"/>
      <c r="K40" s="55"/>
      <c r="L40" s="55"/>
      <c r="M40" s="53"/>
      <c r="N40" s="55"/>
    </row>
    <row r="41" spans="1:15" s="112" customFormat="1" ht="12" customHeight="1" x14ac:dyDescent="0.2">
      <c r="A41" s="388" t="s">
        <v>124</v>
      </c>
      <c r="B41" s="388"/>
      <c r="C41" s="388"/>
      <c r="D41" s="388"/>
      <c r="E41" s="388"/>
      <c r="F41" s="388"/>
      <c r="G41" s="63"/>
      <c r="H41" s="64">
        <f>SUM(H12:H40)</f>
        <v>1709.94</v>
      </c>
      <c r="I41" s="63"/>
      <c r="J41" s="64">
        <f>SUM(J12:J40)</f>
        <v>2193.54</v>
      </c>
      <c r="K41" s="63"/>
      <c r="L41" s="64">
        <f>SUM(L12:L40)</f>
        <v>1371.94</v>
      </c>
      <c r="M41" s="63"/>
      <c r="N41" s="65">
        <f>SUM(N12:N40)</f>
        <v>1759.95</v>
      </c>
      <c r="O41" s="118"/>
    </row>
    <row r="42" spans="1:15" ht="11.45" customHeight="1" x14ac:dyDescent="0.2">
      <c r="A42" s="341" t="s">
        <v>28</v>
      </c>
      <c r="B42" s="341"/>
      <c r="C42" s="341"/>
      <c r="D42" s="341"/>
      <c r="E42" s="341"/>
      <c r="F42" s="341"/>
      <c r="G42" s="342" t="s">
        <v>29</v>
      </c>
      <c r="H42" s="342"/>
      <c r="I42" s="342"/>
      <c r="J42" s="342"/>
      <c r="K42" s="342"/>
      <c r="L42" s="342"/>
      <c r="M42" s="342"/>
      <c r="N42" s="342"/>
    </row>
    <row r="43" spans="1:15" ht="11.45" customHeight="1" x14ac:dyDescent="0.2">
      <c r="A43" s="334"/>
      <c r="B43" s="334"/>
      <c r="C43" s="334"/>
      <c r="D43" s="334"/>
      <c r="E43" s="334"/>
      <c r="F43" s="334"/>
      <c r="G43" s="334"/>
      <c r="H43" s="334"/>
      <c r="I43" s="334"/>
      <c r="J43" s="334"/>
      <c r="K43" s="334"/>
      <c r="L43" s="334"/>
      <c r="M43" s="334"/>
      <c r="N43" s="334"/>
    </row>
    <row r="44" spans="1:15" ht="11.45" customHeight="1" x14ac:dyDescent="0.2">
      <c r="A44" s="335" t="s">
        <v>30</v>
      </c>
      <c r="B44" s="335"/>
      <c r="C44" s="335"/>
      <c r="D44" s="335"/>
      <c r="E44" s="335"/>
      <c r="F44" s="335"/>
      <c r="G44" s="335"/>
      <c r="H44" s="335"/>
      <c r="I44" s="335"/>
      <c r="J44" s="335"/>
      <c r="K44" s="335"/>
      <c r="L44" s="323" t="s">
        <v>31</v>
      </c>
      <c r="M44" s="323"/>
      <c r="N44" s="323"/>
    </row>
    <row r="45" spans="1:15" ht="17.25" customHeight="1" x14ac:dyDescent="0.2">
      <c r="A45" s="324"/>
      <c r="B45" s="324"/>
      <c r="C45" s="324"/>
      <c r="D45" s="324"/>
      <c r="E45" s="324"/>
      <c r="F45" s="324"/>
      <c r="G45" s="324"/>
      <c r="H45" s="324"/>
      <c r="I45" s="324"/>
      <c r="J45" s="324"/>
      <c r="K45" s="324"/>
      <c r="L45" s="441"/>
      <c r="M45" s="334"/>
      <c r="N45" s="334"/>
    </row>
    <row r="46" spans="1:15" ht="10.5" customHeight="1" x14ac:dyDescent="0.2">
      <c r="A46" s="409" t="s">
        <v>125</v>
      </c>
      <c r="B46" s="409"/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  <c r="N46" s="409"/>
    </row>
    <row r="47" spans="1:15" ht="11.1" customHeight="1" x14ac:dyDescent="0.2">
      <c r="A47" s="440" t="s">
        <v>222</v>
      </c>
      <c r="B47" s="440"/>
      <c r="C47" s="440"/>
      <c r="D47" s="440"/>
      <c r="E47" s="440"/>
      <c r="F47" s="440"/>
      <c r="G47" s="440"/>
      <c r="H47" s="440"/>
      <c r="I47" s="440"/>
      <c r="J47" s="440"/>
      <c r="K47" s="440"/>
      <c r="L47" s="440"/>
      <c r="M47" s="440"/>
      <c r="N47" s="440"/>
    </row>
    <row r="48" spans="1:15" ht="12" customHeight="1" x14ac:dyDescent="0.2">
      <c r="A48" s="119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12"/>
    </row>
  </sheetData>
  <sheetProtection selectLockedCells="1" selectUnlockedCells="1"/>
  <mergeCells count="31">
    <mergeCell ref="A43:F43"/>
    <mergeCell ref="A38:C38"/>
    <mergeCell ref="A41:F41"/>
    <mergeCell ref="D9:D11"/>
    <mergeCell ref="A42:F42"/>
    <mergeCell ref="A1:N2"/>
    <mergeCell ref="K9:N9"/>
    <mergeCell ref="A3:L4"/>
    <mergeCell ref="M3:N3"/>
    <mergeCell ref="M4:N4"/>
    <mergeCell ref="A7:B7"/>
    <mergeCell ref="C7:L7"/>
    <mergeCell ref="G9:J9"/>
    <mergeCell ref="A9:C11"/>
    <mergeCell ref="F9:F11"/>
    <mergeCell ref="G42:N42"/>
    <mergeCell ref="E9:E11"/>
    <mergeCell ref="A46:N46"/>
    <mergeCell ref="A5:N5"/>
    <mergeCell ref="A47:N47"/>
    <mergeCell ref="M7:N7"/>
    <mergeCell ref="G43:N43"/>
    <mergeCell ref="A44:K44"/>
    <mergeCell ref="L44:N44"/>
    <mergeCell ref="M8:N8"/>
    <mergeCell ref="A45:K45"/>
    <mergeCell ref="G10:H10"/>
    <mergeCell ref="L45:N45"/>
    <mergeCell ref="I10:J10"/>
    <mergeCell ref="K10:L10"/>
    <mergeCell ref="M10:N10"/>
  </mergeCells>
  <phoneticPr fontId="18" type="noConversion"/>
  <printOptions horizontalCentered="1"/>
  <pageMargins left="0.78740157480314965" right="1.1811023622047245" top="0.74803149606299213" bottom="0.27559055118110237" header="0.51181102362204722" footer="0.51181102362204722"/>
  <pageSetup paperSize="9" scale="91" firstPageNumber="0" orientation="landscape" horizontalDpi="4294967294" vertic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5"/>
  <sheetViews>
    <sheetView showGridLines="0" view="pageBreakPreview" topLeftCell="A7" zoomScaleSheetLayoutView="100" workbookViewId="0">
      <pane ySplit="1" activePane="bottomLeft"/>
      <selection activeCell="L25" sqref="L25"/>
      <selection pane="bottomLeft" activeCell="F12" sqref="F12"/>
    </sheetView>
  </sheetViews>
  <sheetFormatPr defaultColWidth="11.42578125" defaultRowHeight="15" customHeight="1" x14ac:dyDescent="0.2"/>
  <cols>
    <col min="1" max="1" width="5.42578125" style="105" customWidth="1"/>
    <col min="2" max="2" width="18.42578125" style="105" customWidth="1"/>
    <col min="3" max="3" width="23.140625" style="105" customWidth="1"/>
    <col min="4" max="4" width="6.140625" style="105" customWidth="1"/>
    <col min="5" max="5" width="8.140625" style="105" customWidth="1"/>
    <col min="6" max="6" width="13.85546875" style="105" customWidth="1"/>
    <col min="7" max="7" width="13.85546875" style="121" customWidth="1"/>
    <col min="8" max="16384" width="11.42578125" style="105"/>
  </cols>
  <sheetData>
    <row r="1" spans="1:7" ht="15" customHeight="1" x14ac:dyDescent="0.2">
      <c r="A1" s="443"/>
      <c r="B1" s="443"/>
      <c r="C1" s="443"/>
      <c r="D1" s="443"/>
      <c r="E1" s="443"/>
      <c r="F1" s="443"/>
      <c r="G1" s="443"/>
    </row>
    <row r="2" spans="1:7" ht="15" customHeight="1" x14ac:dyDescent="0.2">
      <c r="A2" s="444"/>
      <c r="B2" s="444"/>
      <c r="C2" s="444"/>
      <c r="D2" s="444"/>
      <c r="E2" s="444"/>
      <c r="F2" s="444"/>
      <c r="G2" s="444"/>
    </row>
    <row r="3" spans="1:7" ht="15" customHeight="1" x14ac:dyDescent="0.2">
      <c r="A3" s="359" t="s">
        <v>126</v>
      </c>
      <c r="B3" s="359"/>
      <c r="C3" s="359"/>
      <c r="D3" s="359"/>
      <c r="E3" s="359"/>
      <c r="F3" s="359"/>
      <c r="G3" s="5" t="s">
        <v>4</v>
      </c>
    </row>
    <row r="4" spans="1:7" ht="15" customHeight="1" x14ac:dyDescent="0.2">
      <c r="A4" s="359"/>
      <c r="B4" s="359"/>
      <c r="C4" s="359"/>
      <c r="D4" s="359"/>
      <c r="E4" s="359"/>
      <c r="F4" s="359"/>
      <c r="G4" s="41" t="s">
        <v>127</v>
      </c>
    </row>
    <row r="5" spans="1:7" ht="12.6" customHeight="1" x14ac:dyDescent="0.2">
      <c r="A5" s="341" t="s">
        <v>6</v>
      </c>
      <c r="B5" s="341"/>
      <c r="C5" s="341"/>
      <c r="D5" s="341"/>
      <c r="E5" s="341"/>
      <c r="F5" s="341"/>
      <c r="G5" s="341"/>
    </row>
    <row r="6" spans="1:7" ht="12.6" customHeight="1" x14ac:dyDescent="0.2">
      <c r="A6" s="122"/>
      <c r="B6" s="112"/>
      <c r="C6" s="112"/>
      <c r="D6" s="112"/>
      <c r="E6" s="112"/>
      <c r="F6" s="112"/>
      <c r="G6" s="123"/>
    </row>
    <row r="7" spans="1:7" ht="12.6" customHeight="1" x14ac:dyDescent="0.2">
      <c r="A7" s="124" t="s">
        <v>7</v>
      </c>
      <c r="B7" s="125"/>
      <c r="C7" s="323" t="s">
        <v>8</v>
      </c>
      <c r="D7" s="323"/>
      <c r="E7" s="323"/>
      <c r="F7" s="323"/>
      <c r="G7" s="126" t="s">
        <v>9</v>
      </c>
    </row>
    <row r="8" spans="1:7" ht="12.6" customHeight="1" x14ac:dyDescent="0.2">
      <c r="A8" s="11" t="s">
        <v>202</v>
      </c>
      <c r="B8" s="44"/>
      <c r="C8" s="11" t="s">
        <v>220</v>
      </c>
      <c r="D8" s="106"/>
      <c r="E8" s="106"/>
      <c r="F8" s="73"/>
      <c r="G8" s="13"/>
    </row>
    <row r="9" spans="1:7" ht="12.6" customHeight="1" x14ac:dyDescent="0.2">
      <c r="A9" s="446" t="s">
        <v>128</v>
      </c>
      <c r="B9" s="447" t="s">
        <v>101</v>
      </c>
      <c r="C9" s="447"/>
      <c r="D9" s="447"/>
      <c r="E9" s="447"/>
      <c r="F9" s="399" t="s">
        <v>129</v>
      </c>
      <c r="G9" s="399"/>
    </row>
    <row r="10" spans="1:7" ht="12.6" customHeight="1" x14ac:dyDescent="0.2">
      <c r="A10" s="446"/>
      <c r="B10" s="447"/>
      <c r="C10" s="447"/>
      <c r="D10" s="447"/>
      <c r="E10" s="447"/>
      <c r="F10" s="129" t="s">
        <v>130</v>
      </c>
      <c r="G10" s="130" t="s">
        <v>131</v>
      </c>
    </row>
    <row r="11" spans="1:7" s="112" customFormat="1" ht="36.75" customHeight="1" x14ac:dyDescent="0.2">
      <c r="A11" s="131">
        <v>1</v>
      </c>
      <c r="B11" s="448" t="s">
        <v>132</v>
      </c>
      <c r="C11" s="448"/>
      <c r="D11" s="448"/>
      <c r="E11" s="448"/>
      <c r="F11" s="132">
        <v>10</v>
      </c>
      <c r="G11" s="133">
        <f>ROUND(F11/$F$38*FSUP!N$33,2)</f>
        <v>856722.24</v>
      </c>
    </row>
    <row r="12" spans="1:7" s="112" customFormat="1" ht="24" customHeight="1" x14ac:dyDescent="0.2">
      <c r="A12" s="131">
        <v>2</v>
      </c>
      <c r="B12" s="449" t="s">
        <v>133</v>
      </c>
      <c r="C12" s="449"/>
      <c r="D12" s="449"/>
      <c r="E12" s="449"/>
      <c r="F12" s="132">
        <v>3</v>
      </c>
      <c r="G12" s="133">
        <f>ROUND(F12/$F$38*FSUP!N$33,2)</f>
        <v>257016.67</v>
      </c>
    </row>
    <row r="13" spans="1:7" s="112" customFormat="1" ht="24.75" customHeight="1" x14ac:dyDescent="0.2">
      <c r="A13" s="131">
        <v>3</v>
      </c>
      <c r="B13" s="449" t="s">
        <v>134</v>
      </c>
      <c r="C13" s="449"/>
      <c r="D13" s="449"/>
      <c r="E13" s="449"/>
      <c r="F13" s="132">
        <v>2</v>
      </c>
      <c r="G13" s="133">
        <f>ROUND(F13/$F$38*FSUP!N$33,2)</f>
        <v>171344.45</v>
      </c>
    </row>
    <row r="14" spans="1:7" s="112" customFormat="1" ht="15" customHeight="1" x14ac:dyDescent="0.2">
      <c r="A14" s="134"/>
      <c r="B14" s="135"/>
      <c r="C14" s="135"/>
      <c r="D14" s="135"/>
      <c r="E14" s="136"/>
      <c r="F14" s="132"/>
      <c r="G14" s="133"/>
    </row>
    <row r="15" spans="1:7" s="112" customFormat="1" ht="15" customHeight="1" x14ac:dyDescent="0.2">
      <c r="A15" s="137"/>
      <c r="B15" s="138"/>
      <c r="C15" s="138"/>
      <c r="D15" s="138"/>
      <c r="E15" s="114"/>
      <c r="F15" s="139"/>
      <c r="G15" s="133"/>
    </row>
    <row r="16" spans="1:7" s="112" customFormat="1" ht="15" customHeight="1" x14ac:dyDescent="0.2">
      <c r="A16" s="140"/>
      <c r="B16" s="141"/>
      <c r="C16" s="141"/>
      <c r="D16" s="141"/>
      <c r="E16" s="142"/>
      <c r="F16" s="139"/>
      <c r="G16" s="133"/>
    </row>
    <row r="17" spans="1:7" s="112" customFormat="1" ht="15" customHeight="1" x14ac:dyDescent="0.2">
      <c r="A17" s="140"/>
      <c r="B17" s="141"/>
      <c r="C17" s="141"/>
      <c r="D17" s="141"/>
      <c r="E17" s="142"/>
      <c r="F17" s="139"/>
      <c r="G17" s="133"/>
    </row>
    <row r="18" spans="1:7" s="112" customFormat="1" ht="15" customHeight="1" x14ac:dyDescent="0.2">
      <c r="A18" s="137"/>
      <c r="B18" s="141"/>
      <c r="C18" s="141"/>
      <c r="D18" s="141"/>
      <c r="E18" s="142"/>
      <c r="F18" s="143"/>
      <c r="G18" s="133"/>
    </row>
    <row r="19" spans="1:7" s="112" customFormat="1" ht="15" customHeight="1" x14ac:dyDescent="0.2">
      <c r="A19" s="137"/>
      <c r="B19" s="141"/>
      <c r="C19" s="141"/>
      <c r="D19" s="141"/>
      <c r="E19" s="142"/>
      <c r="F19" s="143"/>
      <c r="G19" s="133"/>
    </row>
    <row r="20" spans="1:7" s="112" customFormat="1" ht="15" customHeight="1" x14ac:dyDescent="0.2">
      <c r="A20" s="140"/>
      <c r="B20" s="141"/>
      <c r="C20" s="141"/>
      <c r="D20" s="141"/>
      <c r="E20" s="142"/>
      <c r="F20" s="143"/>
      <c r="G20" s="133"/>
    </row>
    <row r="21" spans="1:7" s="112" customFormat="1" ht="15" customHeight="1" x14ac:dyDescent="0.2">
      <c r="A21" s="140"/>
      <c r="B21" s="141"/>
      <c r="C21" s="141"/>
      <c r="D21" s="141"/>
      <c r="E21" s="142"/>
      <c r="F21" s="143"/>
      <c r="G21" s="133"/>
    </row>
    <row r="22" spans="1:7" s="112" customFormat="1" ht="15" customHeight="1" x14ac:dyDescent="0.2">
      <c r="A22" s="140"/>
      <c r="B22" s="141"/>
      <c r="C22" s="141"/>
      <c r="D22" s="141"/>
      <c r="E22" s="142"/>
      <c r="F22" s="143"/>
      <c r="G22" s="133"/>
    </row>
    <row r="23" spans="1:7" s="112" customFormat="1" ht="15" customHeight="1" x14ac:dyDescent="0.2">
      <c r="A23" s="140"/>
      <c r="B23" s="141"/>
      <c r="C23" s="141"/>
      <c r="D23" s="141"/>
      <c r="E23" s="142"/>
      <c r="F23" s="143"/>
      <c r="G23" s="133"/>
    </row>
    <row r="24" spans="1:7" s="112" customFormat="1" ht="15" customHeight="1" x14ac:dyDescent="0.2">
      <c r="A24" s="137"/>
      <c r="B24" s="141"/>
      <c r="C24" s="141"/>
      <c r="D24" s="141"/>
      <c r="E24" s="142"/>
      <c r="F24" s="143"/>
      <c r="G24" s="133"/>
    </row>
    <row r="25" spans="1:7" s="112" customFormat="1" ht="15" customHeight="1" x14ac:dyDescent="0.2">
      <c r="A25" s="140"/>
      <c r="B25" s="141"/>
      <c r="C25" s="141"/>
      <c r="D25" s="141"/>
      <c r="E25" s="142"/>
      <c r="F25" s="143"/>
      <c r="G25" s="133"/>
    </row>
    <row r="26" spans="1:7" s="112" customFormat="1" ht="15" customHeight="1" x14ac:dyDescent="0.2">
      <c r="A26" s="140"/>
      <c r="B26" s="141"/>
      <c r="C26" s="141"/>
      <c r="D26" s="141"/>
      <c r="E26" s="142"/>
      <c r="F26" s="143"/>
      <c r="G26" s="133"/>
    </row>
    <row r="27" spans="1:7" s="112" customFormat="1" ht="15" customHeight="1" x14ac:dyDescent="0.2">
      <c r="A27" s="137"/>
      <c r="B27" s="141"/>
      <c r="C27" s="141"/>
      <c r="D27" s="141"/>
      <c r="E27" s="142"/>
      <c r="F27" s="143"/>
      <c r="G27" s="133"/>
    </row>
    <row r="28" spans="1:7" s="112" customFormat="1" ht="15" customHeight="1" x14ac:dyDescent="0.2">
      <c r="A28" s="137"/>
      <c r="B28" s="141"/>
      <c r="C28" s="141"/>
      <c r="D28" s="141"/>
      <c r="E28" s="142"/>
      <c r="F28" s="143"/>
      <c r="G28" s="133"/>
    </row>
    <row r="29" spans="1:7" s="112" customFormat="1" ht="15" customHeight="1" x14ac:dyDescent="0.2">
      <c r="A29" s="140"/>
      <c r="B29" s="141"/>
      <c r="C29" s="141"/>
      <c r="D29" s="141"/>
      <c r="E29" s="142"/>
      <c r="F29" s="143"/>
      <c r="G29" s="133"/>
    </row>
    <row r="30" spans="1:7" s="112" customFormat="1" ht="15" customHeight="1" x14ac:dyDescent="0.2">
      <c r="A30" s="140"/>
      <c r="B30" s="141"/>
      <c r="C30" s="141"/>
      <c r="D30" s="141"/>
      <c r="E30" s="142"/>
      <c r="F30" s="143"/>
      <c r="G30" s="133"/>
    </row>
    <row r="31" spans="1:7" s="112" customFormat="1" ht="15" customHeight="1" x14ac:dyDescent="0.2">
      <c r="A31" s="140"/>
      <c r="B31" s="141"/>
      <c r="C31" s="141"/>
      <c r="D31" s="141"/>
      <c r="E31" s="142"/>
      <c r="F31" s="143"/>
      <c r="G31" s="133"/>
    </row>
    <row r="32" spans="1:7" s="112" customFormat="1" ht="15" customHeight="1" x14ac:dyDescent="0.2">
      <c r="A32" s="140"/>
      <c r="B32" s="141"/>
      <c r="C32" s="141"/>
      <c r="D32" s="141"/>
      <c r="E32" s="142"/>
      <c r="F32" s="143"/>
      <c r="G32" s="133"/>
    </row>
    <row r="33" spans="1:7" s="112" customFormat="1" ht="15" customHeight="1" x14ac:dyDescent="0.2">
      <c r="A33" s="137"/>
      <c r="B33" s="141"/>
      <c r="C33" s="141"/>
      <c r="D33" s="141"/>
      <c r="E33" s="142"/>
      <c r="F33" s="143"/>
      <c r="G33" s="133"/>
    </row>
    <row r="34" spans="1:7" s="112" customFormat="1" ht="15" customHeight="1" x14ac:dyDescent="0.2">
      <c r="A34" s="140"/>
      <c r="B34" s="141"/>
      <c r="C34" s="141"/>
      <c r="D34" s="141"/>
      <c r="E34" s="142"/>
      <c r="F34" s="143"/>
      <c r="G34" s="133"/>
    </row>
    <row r="35" spans="1:7" s="112" customFormat="1" ht="15" customHeight="1" x14ac:dyDescent="0.2">
      <c r="A35" s="140"/>
      <c r="B35" s="141"/>
      <c r="C35" s="141"/>
      <c r="D35" s="141"/>
      <c r="E35" s="142"/>
      <c r="F35" s="143"/>
      <c r="G35" s="133"/>
    </row>
    <row r="36" spans="1:7" s="112" customFormat="1" ht="15" customHeight="1" x14ac:dyDescent="0.2">
      <c r="A36" s="137"/>
      <c r="B36" s="141"/>
      <c r="C36" s="141"/>
      <c r="D36" s="141"/>
      <c r="E36" s="142"/>
      <c r="F36" s="143"/>
      <c r="G36" s="133"/>
    </row>
    <row r="37" spans="1:7" s="112" customFormat="1" ht="15" customHeight="1" x14ac:dyDescent="0.2">
      <c r="A37" s="137"/>
      <c r="B37" s="141"/>
      <c r="C37" s="141"/>
      <c r="D37" s="141"/>
      <c r="E37" s="142"/>
      <c r="F37" s="143"/>
      <c r="G37" s="133"/>
    </row>
    <row r="38" spans="1:7" ht="20.100000000000001" customHeight="1" x14ac:dyDescent="0.2">
      <c r="A38" s="122"/>
      <c r="B38" s="450" t="s">
        <v>135</v>
      </c>
      <c r="C38" s="450"/>
      <c r="D38" s="450"/>
      <c r="E38" s="450"/>
      <c r="F38" s="144">
        <f>SUM(F11:F22)</f>
        <v>15</v>
      </c>
      <c r="G38" s="145">
        <f>SUM(G11:G37)</f>
        <v>1285083.3599999999</v>
      </c>
    </row>
    <row r="39" spans="1:7" ht="1.5" customHeight="1" thickBot="1" x14ac:dyDescent="0.25">
      <c r="A39" s="146"/>
      <c r="B39" s="147"/>
      <c r="C39" s="147"/>
      <c r="D39" s="147"/>
      <c r="E39" s="147"/>
      <c r="F39" s="147"/>
      <c r="G39" s="148"/>
    </row>
    <row r="40" spans="1:7" ht="24.95" customHeight="1" thickTop="1" x14ac:dyDescent="0.2">
      <c r="A40" s="451" t="s">
        <v>226</v>
      </c>
      <c r="B40" s="452"/>
      <c r="C40" s="453"/>
      <c r="D40" s="451" t="s">
        <v>227</v>
      </c>
      <c r="E40" s="454"/>
      <c r="F40" s="454"/>
      <c r="G40" s="455"/>
    </row>
    <row r="41" spans="1:7" ht="24.95" customHeight="1" x14ac:dyDescent="0.2">
      <c r="A41" s="124" t="s">
        <v>30</v>
      </c>
      <c r="B41" s="152"/>
      <c r="C41" s="152"/>
      <c r="D41" s="152"/>
      <c r="E41" s="125"/>
      <c r="F41" s="456" t="s">
        <v>228</v>
      </c>
      <c r="G41" s="457"/>
    </row>
    <row r="42" spans="1:7" ht="15" customHeight="1" x14ac:dyDescent="0.2">
      <c r="A42" s="124" t="s">
        <v>136</v>
      </c>
      <c r="B42" s="152"/>
      <c r="C42" s="152"/>
      <c r="D42" s="152"/>
      <c r="E42" s="152"/>
      <c r="F42" s="152"/>
      <c r="G42" s="153"/>
    </row>
    <row r="43" spans="1:7" ht="15" customHeight="1" x14ac:dyDescent="0.2">
      <c r="A43" s="335" t="s">
        <v>137</v>
      </c>
      <c r="B43" s="335"/>
      <c r="C43" s="335"/>
      <c r="D43" s="335"/>
      <c r="E43" s="335"/>
      <c r="F43" s="335"/>
      <c r="G43" s="335"/>
    </row>
    <row r="44" spans="1:7" ht="15" customHeight="1" x14ac:dyDescent="0.2">
      <c r="A44" s="335" t="s">
        <v>138</v>
      </c>
      <c r="B44" s="335"/>
      <c r="C44" s="335"/>
      <c r="D44" s="335"/>
      <c r="E44" s="335"/>
      <c r="F44" s="335"/>
      <c r="G44" s="335"/>
    </row>
    <row r="45" spans="1:7" ht="15" customHeight="1" x14ac:dyDescent="0.2">
      <c r="A45" s="42"/>
      <c r="B45" s="43"/>
      <c r="C45" s="43"/>
      <c r="D45" s="43"/>
      <c r="E45" s="43"/>
      <c r="F45" s="43"/>
      <c r="G45" s="154"/>
    </row>
  </sheetData>
  <sheetProtection selectLockedCells="1" selectUnlockedCells="1"/>
  <mergeCells count="16">
    <mergeCell ref="A44:G44"/>
    <mergeCell ref="B11:E11"/>
    <mergeCell ref="B12:E12"/>
    <mergeCell ref="B13:E13"/>
    <mergeCell ref="B38:E38"/>
    <mergeCell ref="A43:G43"/>
    <mergeCell ref="A40:C40"/>
    <mergeCell ref="D40:G40"/>
    <mergeCell ref="F41:G41"/>
    <mergeCell ref="A1:G2"/>
    <mergeCell ref="A3:F4"/>
    <mergeCell ref="A5:G5"/>
    <mergeCell ref="C7:F7"/>
    <mergeCell ref="A9:A10"/>
    <mergeCell ref="B9:E10"/>
    <mergeCell ref="F9:G9"/>
  </mergeCells>
  <phoneticPr fontId="18" type="noConversion"/>
  <printOptions horizontalCentered="1"/>
  <pageMargins left="0.59055118110236227" right="0.39370078740157483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5"/>
  <sheetViews>
    <sheetView showGridLines="0" view="pageBreakPreview" zoomScale="130" zoomScaleSheetLayoutView="130" workbookViewId="0">
      <pane ySplit="1" activePane="bottomLeft"/>
      <selection activeCell="L25" sqref="L25"/>
      <selection pane="bottomLeft" activeCell="A37" sqref="A37"/>
    </sheetView>
  </sheetViews>
  <sheetFormatPr defaultColWidth="11.42578125" defaultRowHeight="15" customHeight="1" x14ac:dyDescent="0.2"/>
  <cols>
    <col min="1" max="1" width="3.85546875" style="105" customWidth="1"/>
    <col min="2" max="2" width="13.42578125" style="105" customWidth="1"/>
    <col min="3" max="3" width="11.42578125" style="105"/>
    <col min="4" max="4" width="9.85546875" style="105" customWidth="1"/>
    <col min="5" max="5" width="10.85546875" style="105" customWidth="1"/>
    <col min="6" max="6" width="12.42578125" style="105" customWidth="1"/>
    <col min="7" max="7" width="13.28515625" style="105" customWidth="1"/>
    <col min="8" max="8" width="13.140625" style="105" customWidth="1"/>
    <col min="9" max="9" width="11.42578125" style="105"/>
    <col min="10" max="10" width="13.85546875" style="105" bestFit="1" customWidth="1"/>
    <col min="11" max="16384" width="11.42578125" style="105"/>
  </cols>
  <sheetData>
    <row r="1" spans="1:8" ht="15" customHeight="1" x14ac:dyDescent="0.2">
      <c r="A1" s="443"/>
      <c r="B1" s="443"/>
      <c r="C1" s="443"/>
      <c r="D1" s="443"/>
      <c r="E1" s="443"/>
      <c r="F1" s="443"/>
      <c r="G1" s="443"/>
      <c r="H1" s="443"/>
    </row>
    <row r="2" spans="1:8" ht="15" customHeight="1" x14ac:dyDescent="0.2">
      <c r="A2" s="444"/>
      <c r="B2" s="444"/>
      <c r="C2" s="444"/>
      <c r="D2" s="444"/>
      <c r="E2" s="444"/>
      <c r="F2" s="444"/>
      <c r="G2" s="444"/>
      <c r="H2" s="444"/>
    </row>
    <row r="3" spans="1:8" ht="15" customHeight="1" x14ac:dyDescent="0.2">
      <c r="A3" s="359" t="s">
        <v>139</v>
      </c>
      <c r="B3" s="359"/>
      <c r="C3" s="359"/>
      <c r="D3" s="359"/>
      <c r="E3" s="359"/>
      <c r="F3" s="359"/>
      <c r="G3" s="359"/>
      <c r="H3" s="5" t="s">
        <v>4</v>
      </c>
    </row>
    <row r="4" spans="1:8" ht="15" customHeight="1" x14ac:dyDescent="0.2">
      <c r="A4" s="359"/>
      <c r="B4" s="359"/>
      <c r="C4" s="359"/>
      <c r="D4" s="359"/>
      <c r="E4" s="359"/>
      <c r="F4" s="359"/>
      <c r="G4" s="359"/>
      <c r="H4" s="41" t="s">
        <v>140</v>
      </c>
    </row>
    <row r="5" spans="1:8" ht="12.6" customHeight="1" x14ac:dyDescent="0.2">
      <c r="A5" s="341" t="s">
        <v>6</v>
      </c>
      <c r="B5" s="341"/>
      <c r="C5" s="341"/>
      <c r="D5" s="341"/>
      <c r="E5" s="341"/>
      <c r="F5" s="341"/>
      <c r="G5" s="341"/>
      <c r="H5" s="341"/>
    </row>
    <row r="6" spans="1:8" ht="12.6" customHeight="1" x14ac:dyDescent="0.2">
      <c r="A6" s="299"/>
      <c r="B6" s="299"/>
      <c r="C6" s="299"/>
      <c r="D6" s="299"/>
      <c r="E6" s="299"/>
      <c r="F6" s="299"/>
      <c r="G6" s="299"/>
      <c r="H6" s="299"/>
    </row>
    <row r="7" spans="1:8" ht="12.6" customHeight="1" x14ac:dyDescent="0.2">
      <c r="A7" s="124" t="s">
        <v>7</v>
      </c>
      <c r="B7" s="125"/>
      <c r="C7" s="323" t="s">
        <v>8</v>
      </c>
      <c r="D7" s="323"/>
      <c r="E7" s="323"/>
      <c r="F7" s="323"/>
      <c r="G7" s="323"/>
      <c r="H7" s="6" t="s">
        <v>9</v>
      </c>
    </row>
    <row r="8" spans="1:8" ht="12.6" customHeight="1" x14ac:dyDescent="0.2">
      <c r="A8" s="11" t="s">
        <v>202</v>
      </c>
      <c r="B8" s="44"/>
      <c r="C8" s="11" t="s">
        <v>220</v>
      </c>
      <c r="D8" s="106"/>
      <c r="E8" s="106"/>
      <c r="F8" s="106"/>
      <c r="G8" s="73"/>
      <c r="H8" s="155"/>
    </row>
    <row r="9" spans="1:8" ht="12.6" customHeight="1" x14ac:dyDescent="0.2">
      <c r="A9" s="446" t="s">
        <v>141</v>
      </c>
      <c r="B9" s="446"/>
      <c r="C9" s="446"/>
      <c r="D9" s="446"/>
      <c r="E9" s="446"/>
      <c r="F9" s="399" t="s">
        <v>129</v>
      </c>
      <c r="G9" s="399"/>
      <c r="H9" s="399"/>
    </row>
    <row r="10" spans="1:8" ht="12.6" customHeight="1" x14ac:dyDescent="0.2">
      <c r="A10" s="446"/>
      <c r="B10" s="446"/>
      <c r="C10" s="446"/>
      <c r="D10" s="446"/>
      <c r="E10" s="446"/>
      <c r="F10" s="129" t="s">
        <v>142</v>
      </c>
      <c r="G10" s="129" t="s">
        <v>143</v>
      </c>
      <c r="H10" s="129" t="s">
        <v>131</v>
      </c>
    </row>
    <row r="11" spans="1:8" s="112" customFormat="1" ht="15" customHeight="1" x14ac:dyDescent="0.2">
      <c r="A11" s="458"/>
      <c r="B11" s="458"/>
      <c r="C11" s="458"/>
      <c r="D11" s="458"/>
      <c r="E11" s="458"/>
      <c r="F11" s="55"/>
      <c r="G11" s="55"/>
      <c r="H11" s="55"/>
    </row>
    <row r="12" spans="1:8" s="112" customFormat="1" ht="15" customHeight="1" x14ac:dyDescent="0.2">
      <c r="A12" s="466" t="s">
        <v>221</v>
      </c>
      <c r="B12" s="466"/>
      <c r="C12" s="466"/>
      <c r="D12" s="466"/>
      <c r="E12" s="466"/>
      <c r="F12" s="156">
        <v>5</v>
      </c>
      <c r="G12" s="157">
        <f>(1/(1-$F$29/100))*F12</f>
        <v>5.8309037900874632</v>
      </c>
      <c r="H12" s="158">
        <f>ROUND(G12/G$29*FSUP!N$35,2)</f>
        <v>1108919.8</v>
      </c>
    </row>
    <row r="13" spans="1:8" s="112" customFormat="1" ht="15" customHeight="1" x14ac:dyDescent="0.2">
      <c r="A13" s="467" t="s">
        <v>144</v>
      </c>
      <c r="B13" s="467"/>
      <c r="C13" s="467"/>
      <c r="D13" s="467"/>
      <c r="E13" s="467"/>
      <c r="F13" s="156">
        <v>1.65</v>
      </c>
      <c r="G13" s="157">
        <f>(1/(1-$F$29/100))*F13</f>
        <v>1.9241982507288626</v>
      </c>
      <c r="H13" s="158">
        <f>ROUND(G13/G$29*FSUP!N$35,2)</f>
        <v>365943.53</v>
      </c>
    </row>
    <row r="14" spans="1:8" s="112" customFormat="1" ht="15" customHeight="1" x14ac:dyDescent="0.2">
      <c r="A14" s="467" t="s">
        <v>145</v>
      </c>
      <c r="B14" s="467"/>
      <c r="C14" s="467"/>
      <c r="D14" s="467"/>
      <c r="E14" s="467"/>
      <c r="F14" s="156">
        <v>7.6</v>
      </c>
      <c r="G14" s="157">
        <f>(1/(1-$F$29/100))*F14</f>
        <v>8.8629737609329435</v>
      </c>
      <c r="H14" s="158">
        <f>ROUND(G14/G$29*FSUP!N$35,2)</f>
        <v>1685558.09</v>
      </c>
    </row>
    <row r="15" spans="1:8" s="112" customFormat="1" ht="15" customHeight="1" x14ac:dyDescent="0.2">
      <c r="A15" s="467"/>
      <c r="B15" s="467"/>
      <c r="C15" s="467"/>
      <c r="D15" s="467"/>
      <c r="E15" s="467"/>
      <c r="F15" s="156"/>
      <c r="G15" s="55"/>
      <c r="H15" s="55"/>
    </row>
    <row r="16" spans="1:8" s="112" customFormat="1" ht="15" customHeight="1" x14ac:dyDescent="0.2">
      <c r="A16" s="159"/>
      <c r="B16" s="160"/>
      <c r="C16" s="160"/>
      <c r="D16" s="160"/>
      <c r="E16" s="160"/>
      <c r="F16" s="156"/>
      <c r="G16" s="55"/>
      <c r="H16" s="55"/>
    </row>
    <row r="17" spans="1:11" s="112" customFormat="1" ht="15" customHeight="1" x14ac:dyDescent="0.2">
      <c r="A17" s="159"/>
      <c r="B17" s="160"/>
      <c r="C17" s="160"/>
      <c r="D17" s="160"/>
      <c r="E17" s="160"/>
      <c r="F17" s="156"/>
      <c r="G17" s="55"/>
      <c r="H17" s="55"/>
    </row>
    <row r="18" spans="1:11" s="112" customFormat="1" ht="15" customHeight="1" x14ac:dyDescent="0.2">
      <c r="A18" s="159"/>
      <c r="B18" s="160"/>
      <c r="C18" s="160"/>
      <c r="D18" s="160"/>
      <c r="E18" s="160"/>
      <c r="F18" s="156"/>
      <c r="G18" s="55"/>
      <c r="H18" s="55"/>
    </row>
    <row r="19" spans="1:11" s="112" customFormat="1" ht="15" customHeight="1" x14ac:dyDescent="0.2">
      <c r="A19" s="159"/>
      <c r="B19" s="160"/>
      <c r="C19" s="160"/>
      <c r="D19" s="160"/>
      <c r="E19" s="160"/>
      <c r="F19" s="156"/>
      <c r="G19" s="55"/>
      <c r="H19" s="55"/>
    </row>
    <row r="20" spans="1:11" s="112" customFormat="1" ht="15" customHeight="1" x14ac:dyDescent="0.2">
      <c r="A20" s="159"/>
      <c r="B20" s="160"/>
      <c r="C20" s="160"/>
      <c r="D20" s="160"/>
      <c r="E20" s="160"/>
      <c r="F20" s="156"/>
      <c r="G20" s="55"/>
      <c r="H20" s="55"/>
    </row>
    <row r="21" spans="1:11" s="112" customFormat="1" ht="15" customHeight="1" x14ac:dyDescent="0.2">
      <c r="A21" s="468"/>
      <c r="B21" s="468"/>
      <c r="C21" s="468"/>
      <c r="D21" s="468"/>
      <c r="E21" s="468"/>
      <c r="F21" s="139"/>
      <c r="G21" s="55"/>
      <c r="H21" s="55"/>
    </row>
    <row r="22" spans="1:11" s="112" customFormat="1" ht="15" customHeight="1" x14ac:dyDescent="0.2">
      <c r="A22" s="459"/>
      <c r="B22" s="459"/>
      <c r="C22" s="459"/>
      <c r="D22" s="459"/>
      <c r="E22" s="459"/>
      <c r="F22" s="139"/>
      <c r="G22" s="55"/>
      <c r="H22" s="55"/>
    </row>
    <row r="23" spans="1:11" s="112" customFormat="1" ht="15" customHeight="1" x14ac:dyDescent="0.2">
      <c r="A23" s="469"/>
      <c r="B23" s="469"/>
      <c r="C23" s="469"/>
      <c r="D23" s="469"/>
      <c r="E23" s="469"/>
      <c r="F23" s="139"/>
      <c r="G23" s="55"/>
      <c r="H23" s="55"/>
    </row>
    <row r="24" spans="1:11" s="112" customFormat="1" ht="15" customHeight="1" x14ac:dyDescent="0.2">
      <c r="A24" s="458"/>
      <c r="B24" s="458"/>
      <c r="C24" s="458"/>
      <c r="D24" s="458"/>
      <c r="E24" s="458"/>
      <c r="F24" s="55"/>
      <c r="G24" s="55"/>
      <c r="H24" s="55"/>
    </row>
    <row r="25" spans="1:11" s="112" customFormat="1" ht="15" customHeight="1" x14ac:dyDescent="0.2">
      <c r="A25" s="459"/>
      <c r="B25" s="459"/>
      <c r="C25" s="459"/>
      <c r="D25" s="459"/>
      <c r="E25" s="459"/>
      <c r="F25" s="55"/>
      <c r="G25" s="55"/>
      <c r="H25" s="55"/>
    </row>
    <row r="26" spans="1:11" s="112" customFormat="1" ht="15" customHeight="1" x14ac:dyDescent="0.2">
      <c r="A26" s="459"/>
      <c r="B26" s="459"/>
      <c r="C26" s="459"/>
      <c r="D26" s="459"/>
      <c r="E26" s="459"/>
      <c r="F26" s="55"/>
      <c r="G26" s="55"/>
      <c r="H26" s="55"/>
    </row>
    <row r="27" spans="1:11" s="112" customFormat="1" ht="15" customHeight="1" x14ac:dyDescent="0.2">
      <c r="A27" s="458"/>
      <c r="B27" s="458"/>
      <c r="C27" s="458"/>
      <c r="D27" s="458"/>
      <c r="E27" s="458"/>
      <c r="F27" s="55"/>
      <c r="G27" s="55"/>
      <c r="H27" s="55"/>
    </row>
    <row r="28" spans="1:11" s="112" customFormat="1" ht="15" customHeight="1" x14ac:dyDescent="0.2">
      <c r="A28" s="458"/>
      <c r="B28" s="458"/>
      <c r="C28" s="458"/>
      <c r="D28" s="458"/>
      <c r="E28" s="458"/>
      <c r="F28" s="55"/>
      <c r="G28" s="55"/>
      <c r="H28" s="55"/>
      <c r="K28" s="228"/>
    </row>
    <row r="29" spans="1:11" ht="22.5" customHeight="1" x14ac:dyDescent="0.2">
      <c r="A29" s="463" t="s">
        <v>146</v>
      </c>
      <c r="B29" s="463"/>
      <c r="C29" s="463"/>
      <c r="D29" s="463"/>
      <c r="E29" s="463"/>
      <c r="F29" s="161">
        <f>SUM(F12:F28)</f>
        <v>14.25</v>
      </c>
      <c r="G29" s="161">
        <f>ROUND(SUM(G12:G14),2)</f>
        <v>16.62</v>
      </c>
      <c r="H29" s="162">
        <f>SUM(H12:H28)</f>
        <v>3160421.42</v>
      </c>
      <c r="I29" s="226"/>
      <c r="J29" s="225"/>
      <c r="K29" s="225"/>
    </row>
    <row r="30" spans="1:11" ht="12.6" customHeight="1" x14ac:dyDescent="0.2">
      <c r="A30" s="341" t="s">
        <v>28</v>
      </c>
      <c r="B30" s="341"/>
      <c r="C30" s="341"/>
      <c r="D30" s="341"/>
      <c r="E30" s="341"/>
      <c r="F30" s="341" t="s">
        <v>29</v>
      </c>
      <c r="G30" s="341"/>
      <c r="H30" s="341"/>
      <c r="J30" s="225"/>
    </row>
    <row r="31" spans="1:11" ht="12.6" customHeight="1" x14ac:dyDescent="0.2">
      <c r="A31" s="334"/>
      <c r="B31" s="334"/>
      <c r="C31" s="334"/>
      <c r="D31" s="334"/>
      <c r="E31" s="334"/>
      <c r="F31" s="334"/>
      <c r="G31" s="334"/>
      <c r="H31" s="334"/>
      <c r="J31" s="227"/>
    </row>
    <row r="32" spans="1:11" ht="12.6" customHeight="1" x14ac:dyDescent="0.2">
      <c r="A32" s="323" t="s">
        <v>30</v>
      </c>
      <c r="B32" s="323"/>
      <c r="C32" s="323"/>
      <c r="D32" s="323"/>
      <c r="E32" s="323"/>
      <c r="F32" s="323"/>
      <c r="G32" s="335" t="s">
        <v>31</v>
      </c>
      <c r="H32" s="335"/>
      <c r="J32" s="227"/>
    </row>
    <row r="33" spans="1:8" ht="12.6" customHeight="1" x14ac:dyDescent="0.2">
      <c r="A33" s="305"/>
      <c r="B33" s="305"/>
      <c r="C33" s="305"/>
      <c r="D33" s="305"/>
      <c r="E33" s="305"/>
      <c r="F33" s="305"/>
      <c r="G33" s="464"/>
      <c r="H33" s="465"/>
    </row>
    <row r="34" spans="1:8" ht="12" customHeight="1" x14ac:dyDescent="0.2">
      <c r="A34" s="460" t="s">
        <v>147</v>
      </c>
      <c r="B34" s="461"/>
      <c r="C34" s="461"/>
      <c r="D34" s="461"/>
      <c r="E34" s="461"/>
      <c r="F34" s="461"/>
      <c r="G34" s="461"/>
      <c r="H34" s="462"/>
    </row>
    <row r="35" spans="1:8" ht="12" customHeight="1" x14ac:dyDescent="0.2">
      <c r="A35" s="273" t="s">
        <v>148</v>
      </c>
      <c r="B35" s="257"/>
      <c r="C35" s="257"/>
      <c r="D35" s="257"/>
      <c r="E35" s="257"/>
      <c r="F35" s="257"/>
      <c r="G35" s="257"/>
      <c r="H35" s="274"/>
    </row>
    <row r="36" spans="1:8" ht="12" customHeight="1" x14ac:dyDescent="0.2">
      <c r="A36" s="273" t="str">
        <f>CONCATENATE("2 - DF = INDICAR OS % DE CADA TRIBUTO E A SOMA DOS MESMOS (ISS ",F12,"% + PIS 1,65% + COFINS 7,60% = ",F29,"%). ")</f>
        <v xml:space="preserve">2 - DF = INDICAR OS % DE CADA TRIBUTO E A SOMA DOS MESMOS (ISS 5% + PIS 1,65% + COFINS 7,60% = 14,25%). </v>
      </c>
      <c r="B36" s="257"/>
      <c r="C36" s="257"/>
      <c r="D36" s="257"/>
      <c r="E36" s="257"/>
      <c r="F36" s="257"/>
      <c r="G36" s="257"/>
      <c r="H36" s="272"/>
    </row>
    <row r="37" spans="1:8" ht="12" customHeight="1" x14ac:dyDescent="0.2">
      <c r="A37" s="273" t="s">
        <v>218</v>
      </c>
      <c r="B37" s="256"/>
      <c r="C37" s="256"/>
      <c r="D37" s="256"/>
      <c r="E37" s="256"/>
      <c r="F37" s="256"/>
      <c r="G37" s="257"/>
      <c r="H37" s="272"/>
    </row>
    <row r="38" spans="1:8" ht="12" customHeight="1" x14ac:dyDescent="0.2">
      <c r="A38" s="273" t="s">
        <v>219</v>
      </c>
      <c r="B38" s="257"/>
      <c r="C38" s="257"/>
      <c r="D38" s="257"/>
      <c r="E38" s="257"/>
      <c r="F38" s="257"/>
      <c r="G38" s="257"/>
      <c r="H38" s="272"/>
    </row>
    <row r="39" spans="1:8" ht="12" customHeight="1" x14ac:dyDescent="0.2">
      <c r="A39" s="275" t="s">
        <v>149</v>
      </c>
      <c r="B39" s="150"/>
      <c r="C39" s="150"/>
      <c r="D39" s="150"/>
      <c r="E39" s="150"/>
      <c r="F39" s="150"/>
      <c r="G39" s="150"/>
      <c r="H39" s="274"/>
    </row>
    <row r="40" spans="1:8" ht="12" customHeight="1" x14ac:dyDescent="0.2">
      <c r="A40" s="273" t="s">
        <v>232</v>
      </c>
      <c r="B40" s="257"/>
      <c r="C40" s="257"/>
      <c r="D40" s="257"/>
      <c r="E40" s="257"/>
      <c r="F40" s="257"/>
      <c r="G40" s="258"/>
      <c r="H40" s="276"/>
    </row>
    <row r="41" spans="1:8" ht="12" customHeight="1" x14ac:dyDescent="0.2">
      <c r="A41" s="277" t="s">
        <v>263</v>
      </c>
      <c r="B41" s="257"/>
      <c r="C41" s="257"/>
      <c r="D41" s="257"/>
      <c r="E41" s="257"/>
      <c r="F41" s="257"/>
      <c r="G41" s="257"/>
      <c r="H41" s="272"/>
    </row>
    <row r="42" spans="1:8" ht="12" customHeight="1" x14ac:dyDescent="0.2">
      <c r="A42" s="277" t="str">
        <f>CONCATENATE("DF' = { [ 1 / ( 1 - (",F29,"%) ] - 1 } x 100)")</f>
        <v>DF' = { [ 1 / ( 1 - (14,25%) ] - 1 } x 100)</v>
      </c>
      <c r="B42" s="257"/>
      <c r="C42" s="257"/>
      <c r="D42" s="257"/>
      <c r="E42" s="257"/>
      <c r="F42" s="257"/>
      <c r="G42" s="257"/>
      <c r="H42" s="272"/>
    </row>
    <row r="43" spans="1:8" ht="12" customHeight="1" x14ac:dyDescent="0.2">
      <c r="A43" s="278" t="str">
        <f>CONCATENATE("DF' = (",G29,"% . APLICAR O % ENCONTRADO NA LINHA H DO FSUP PARA CALCULAR AS DESPESAS FISCAIS)")</f>
        <v>DF' = (16,62% . APLICAR O % ENCONTRADO NA LINHA H DO FSUP PARA CALCULAR AS DESPESAS FISCAIS)</v>
      </c>
      <c r="B43" s="259"/>
      <c r="C43" s="259"/>
      <c r="D43" s="259"/>
      <c r="E43" s="259"/>
      <c r="F43" s="259"/>
      <c r="G43" s="259"/>
      <c r="H43" s="279"/>
    </row>
    <row r="44" spans="1:8" ht="12" customHeight="1" x14ac:dyDescent="0.2">
      <c r="A44" s="280" t="s">
        <v>223</v>
      </c>
      <c r="B44" s="259"/>
      <c r="C44" s="259"/>
      <c r="D44" s="259"/>
      <c r="E44" s="259"/>
      <c r="F44" s="259"/>
      <c r="G44" s="259"/>
      <c r="H44" s="279"/>
    </row>
    <row r="45" spans="1:8" s="112" customFormat="1" ht="12" customHeight="1" x14ac:dyDescent="0.2">
      <c r="A45" s="281" t="s">
        <v>223</v>
      </c>
      <c r="B45" s="282"/>
      <c r="C45" s="282"/>
      <c r="D45" s="282"/>
      <c r="E45" s="282"/>
      <c r="F45" s="282"/>
      <c r="G45" s="282"/>
      <c r="H45" s="283"/>
    </row>
  </sheetData>
  <sheetProtection selectLockedCells="1" selectUnlockedCells="1"/>
  <mergeCells count="30">
    <mergeCell ref="G32:H32"/>
    <mergeCell ref="A31:E31"/>
    <mergeCell ref="A21:E21"/>
    <mergeCell ref="A3:G4"/>
    <mergeCell ref="A5:H5"/>
    <mergeCell ref="A6:H6"/>
    <mergeCell ref="C7:G7"/>
    <mergeCell ref="A32:F32"/>
    <mergeCell ref="F9:H9"/>
    <mergeCell ref="A25:E25"/>
    <mergeCell ref="A15:E15"/>
    <mergeCell ref="A22:E22"/>
    <mergeCell ref="A23:E23"/>
    <mergeCell ref="A14:E14"/>
    <mergeCell ref="A1:H2"/>
    <mergeCell ref="A24:E24"/>
    <mergeCell ref="A26:E26"/>
    <mergeCell ref="A34:H34"/>
    <mergeCell ref="A28:E28"/>
    <mergeCell ref="A29:E29"/>
    <mergeCell ref="A30:E30"/>
    <mergeCell ref="F30:H30"/>
    <mergeCell ref="G33:H33"/>
    <mergeCell ref="A33:F33"/>
    <mergeCell ref="A9:E10"/>
    <mergeCell ref="A11:E11"/>
    <mergeCell ref="A12:E12"/>
    <mergeCell ref="A13:E13"/>
    <mergeCell ref="A27:E27"/>
    <mergeCell ref="F31:H31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orientation="portrait" horizontalDpi="4294967294" verticalDpi="4294967294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59"/>
  <sheetViews>
    <sheetView view="pageBreakPreview" topLeftCell="A25" zoomScale="140" zoomScaleSheetLayoutView="140" workbookViewId="0">
      <pane ySplit="1" activePane="bottomLeft"/>
      <selection activeCell="L25" sqref="L25"/>
      <selection pane="bottomLeft" activeCell="F55" sqref="F55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7" width="13.5703125" customWidth="1"/>
  </cols>
  <sheetData>
    <row r="1" spans="1:7" x14ac:dyDescent="0.2">
      <c r="A1" s="338"/>
      <c r="B1" s="338"/>
      <c r="C1" s="338"/>
      <c r="D1" s="338"/>
      <c r="E1" s="338"/>
      <c r="F1" s="338"/>
      <c r="G1" s="338"/>
    </row>
    <row r="2" spans="1:7" x14ac:dyDescent="0.2">
      <c r="A2" s="339"/>
      <c r="B2" s="339"/>
      <c r="C2" s="339"/>
      <c r="D2" s="339"/>
      <c r="E2" s="339"/>
      <c r="F2" s="339"/>
      <c r="G2" s="339"/>
    </row>
    <row r="3" spans="1:7" x14ac:dyDescent="0.2">
      <c r="A3" s="359" t="s">
        <v>150</v>
      </c>
      <c r="B3" s="359"/>
      <c r="C3" s="359"/>
      <c r="D3" s="359"/>
      <c r="E3" s="359"/>
      <c r="F3" s="359"/>
      <c r="G3" s="5" t="s">
        <v>4</v>
      </c>
    </row>
    <row r="4" spans="1:7" ht="18" x14ac:dyDescent="0.2">
      <c r="A4" s="359"/>
      <c r="B4" s="359"/>
      <c r="C4" s="359"/>
      <c r="D4" s="359"/>
      <c r="E4" s="359"/>
      <c r="F4" s="359"/>
      <c r="G4" s="41" t="s">
        <v>151</v>
      </c>
    </row>
    <row r="5" spans="1:7" x14ac:dyDescent="0.2">
      <c r="A5" s="341" t="s">
        <v>6</v>
      </c>
      <c r="B5" s="341"/>
      <c r="C5" s="341"/>
      <c r="D5" s="341"/>
      <c r="E5" s="341"/>
      <c r="F5" s="341"/>
      <c r="G5" s="341"/>
    </row>
    <row r="6" spans="1:7" x14ac:dyDescent="0.2">
      <c r="A6" s="480"/>
      <c r="B6" s="480"/>
      <c r="C6" s="480"/>
      <c r="D6" s="480"/>
      <c r="E6" s="480"/>
      <c r="F6" s="480"/>
      <c r="G6" s="480"/>
    </row>
    <row r="7" spans="1:7" x14ac:dyDescent="0.2">
      <c r="A7" s="323" t="s">
        <v>7</v>
      </c>
      <c r="B7" s="323"/>
      <c r="C7" s="323" t="s">
        <v>8</v>
      </c>
      <c r="D7" s="323"/>
      <c r="E7" s="323"/>
      <c r="F7" s="323"/>
      <c r="G7" s="6" t="s">
        <v>9</v>
      </c>
    </row>
    <row r="8" spans="1:7" x14ac:dyDescent="0.2">
      <c r="A8" s="11" t="s">
        <v>202</v>
      </c>
      <c r="B8" s="44"/>
      <c r="C8" s="11" t="s">
        <v>220</v>
      </c>
      <c r="D8" s="106"/>
      <c r="E8" s="106"/>
      <c r="F8" s="73"/>
      <c r="G8" s="166"/>
    </row>
    <row r="9" spans="1:7" ht="13.5" customHeight="1" x14ac:dyDescent="0.2">
      <c r="A9" s="446" t="s">
        <v>101</v>
      </c>
      <c r="B9" s="446"/>
      <c r="C9" s="446"/>
      <c r="D9" s="446"/>
      <c r="E9" s="446"/>
      <c r="F9" s="399" t="s">
        <v>129</v>
      </c>
      <c r="G9" s="399"/>
    </row>
    <row r="10" spans="1:7" x14ac:dyDescent="0.2">
      <c r="A10" s="446"/>
      <c r="B10" s="446"/>
      <c r="C10" s="446"/>
      <c r="D10" s="446"/>
      <c r="E10" s="446"/>
      <c r="F10" s="129" t="s">
        <v>130</v>
      </c>
      <c r="G10" s="129" t="s">
        <v>131</v>
      </c>
    </row>
    <row r="11" spans="1:7" x14ac:dyDescent="0.2">
      <c r="A11" s="47" t="s">
        <v>88</v>
      </c>
      <c r="B11" s="479" t="s">
        <v>152</v>
      </c>
      <c r="C11" s="479"/>
      <c r="D11" s="479"/>
      <c r="E11" s="479"/>
      <c r="F11" s="47"/>
      <c r="G11" s="167"/>
    </row>
    <row r="12" spans="1:7" x14ac:dyDescent="0.2">
      <c r="A12" s="131" t="s">
        <v>153</v>
      </c>
      <c r="B12" s="168" t="s">
        <v>154</v>
      </c>
      <c r="C12" s="169"/>
      <c r="D12" s="169"/>
      <c r="E12" s="169"/>
      <c r="F12" s="170">
        <v>0.01</v>
      </c>
      <c r="G12" s="171">
        <f>ROUND(F12*'FSUP-I EQUIPE TÉCNICA'!L$42,2)</f>
        <v>77717.38</v>
      </c>
    </row>
    <row r="13" spans="1:7" x14ac:dyDescent="0.2">
      <c r="A13" s="131" t="s">
        <v>63</v>
      </c>
      <c r="B13" s="168" t="s">
        <v>155</v>
      </c>
      <c r="C13" s="169"/>
      <c r="D13" s="169"/>
      <c r="E13" s="169"/>
      <c r="F13" s="170">
        <v>0.2</v>
      </c>
      <c r="G13" s="171">
        <f>ROUND(F13*'FSUP-I EQUIPE TÉCNICA'!L$42,2)</f>
        <v>1554347.52</v>
      </c>
    </row>
    <row r="14" spans="1:7" x14ac:dyDescent="0.2">
      <c r="A14" s="131" t="s">
        <v>64</v>
      </c>
      <c r="B14" s="168" t="s">
        <v>156</v>
      </c>
      <c r="C14" s="169"/>
      <c r="D14" s="169"/>
      <c r="E14" s="169"/>
      <c r="F14" s="170">
        <v>0.08</v>
      </c>
      <c r="G14" s="171">
        <f>ROUND(F14*'FSUP-I EQUIPE TÉCNICA'!L$42,2)</f>
        <v>621739.01</v>
      </c>
    </row>
    <row r="15" spans="1:7" x14ac:dyDescent="0.2">
      <c r="A15" s="131" t="s">
        <v>157</v>
      </c>
      <c r="B15" s="168" t="s">
        <v>158</v>
      </c>
      <c r="C15" s="169"/>
      <c r="D15" s="169"/>
      <c r="E15" s="169"/>
      <c r="F15" s="170">
        <v>2E-3</v>
      </c>
      <c r="G15" s="171">
        <f>ROUND(F15*'FSUP-I EQUIPE TÉCNICA'!L$42,2)</f>
        <v>15543.48</v>
      </c>
    </row>
    <row r="16" spans="1:7" x14ac:dyDescent="0.2">
      <c r="A16" s="131" t="s">
        <v>159</v>
      </c>
      <c r="B16" s="168" t="s">
        <v>160</v>
      </c>
      <c r="C16" s="169"/>
      <c r="D16" s="169"/>
      <c r="E16" s="169"/>
      <c r="F16" s="170">
        <v>2.5000000000000001E-2</v>
      </c>
      <c r="G16" s="171">
        <f>ROUND(F16*'FSUP-I EQUIPE TÉCNICA'!L$42,2)</f>
        <v>194293.44</v>
      </c>
    </row>
    <row r="17" spans="1:7" x14ac:dyDescent="0.2">
      <c r="A17" s="131" t="s">
        <v>161</v>
      </c>
      <c r="B17" s="168" t="s">
        <v>162</v>
      </c>
      <c r="C17" s="169"/>
      <c r="D17" s="169"/>
      <c r="E17" s="169"/>
      <c r="F17" s="170">
        <v>6.0000000000000001E-3</v>
      </c>
      <c r="G17" s="171">
        <f>ROUND(F17*'FSUP-I EQUIPE TÉCNICA'!L$42,2)</f>
        <v>46630.43</v>
      </c>
    </row>
    <row r="18" spans="1:7" x14ac:dyDescent="0.2">
      <c r="A18" s="131" t="s">
        <v>163</v>
      </c>
      <c r="B18" s="168" t="s">
        <v>164</v>
      </c>
      <c r="C18" s="169"/>
      <c r="D18" s="169"/>
      <c r="E18" s="169"/>
      <c r="F18" s="170">
        <v>0.03</v>
      </c>
      <c r="G18" s="171">
        <f>ROUND(F18*'FSUP-I EQUIPE TÉCNICA'!L$42,2)</f>
        <v>233152.13</v>
      </c>
    </row>
    <row r="19" spans="1:7" x14ac:dyDescent="0.2">
      <c r="A19" s="131" t="s">
        <v>165</v>
      </c>
      <c r="B19" s="168" t="s">
        <v>166</v>
      </c>
      <c r="C19" s="169"/>
      <c r="D19" s="169"/>
      <c r="E19" s="169"/>
      <c r="F19" s="170">
        <v>0.01</v>
      </c>
      <c r="G19" s="171">
        <f>ROUND(F19*'FSUP-I EQUIPE TÉCNICA'!L$42,2)</f>
        <v>77717.38</v>
      </c>
    </row>
    <row r="20" spans="1:7" x14ac:dyDescent="0.2">
      <c r="A20" s="131" t="s">
        <v>167</v>
      </c>
      <c r="B20" s="168" t="s">
        <v>168</v>
      </c>
      <c r="C20" s="169"/>
      <c r="D20" s="169"/>
      <c r="E20" s="169"/>
      <c r="F20" s="172">
        <v>1.4999999999999999E-2</v>
      </c>
      <c r="G20" s="171">
        <f>ROUND(F20*'FSUP-I EQUIPE TÉCNICA'!L$42,2)</f>
        <v>116576.06</v>
      </c>
    </row>
    <row r="21" spans="1:7" x14ac:dyDescent="0.2">
      <c r="A21" s="474" t="s">
        <v>169</v>
      </c>
      <c r="B21" s="474"/>
      <c r="C21" s="474"/>
      <c r="D21" s="474"/>
      <c r="E21" s="474"/>
      <c r="F21" s="173">
        <f>ROUND(SUM(F12:F20),4)</f>
        <v>0.378</v>
      </c>
      <c r="G21" s="174">
        <f>ROUND(SUM(G12:G20),2)</f>
        <v>2937716.83</v>
      </c>
    </row>
    <row r="22" spans="1:7" x14ac:dyDescent="0.2">
      <c r="A22" s="484"/>
      <c r="B22" s="484"/>
      <c r="C22" s="484"/>
      <c r="D22" s="484"/>
      <c r="E22" s="484"/>
      <c r="F22" s="484"/>
      <c r="G22" s="175"/>
    </row>
    <row r="23" spans="1:7" x14ac:dyDescent="0.2">
      <c r="A23" s="127" t="s">
        <v>170</v>
      </c>
      <c r="B23" s="485" t="s">
        <v>171</v>
      </c>
      <c r="C23" s="471"/>
      <c r="D23" s="471"/>
      <c r="E23" s="471"/>
      <c r="F23" s="286"/>
      <c r="G23" s="128"/>
    </row>
    <row r="24" spans="1:7" x14ac:dyDescent="0.2">
      <c r="A24" s="287" t="s">
        <v>54</v>
      </c>
      <c r="B24" s="288" t="s">
        <v>242</v>
      </c>
      <c r="C24" s="285"/>
      <c r="D24" s="285"/>
      <c r="E24" s="285"/>
      <c r="F24" s="290">
        <v>0</v>
      </c>
      <c r="G24" s="171">
        <f>ROUND(F24*'FSUP-I EQUIPE TÉCNICA'!L$42,2)</f>
        <v>0</v>
      </c>
    </row>
    <row r="25" spans="1:7" x14ac:dyDescent="0.2">
      <c r="A25" s="287" t="s">
        <v>55</v>
      </c>
      <c r="B25" s="486" t="s">
        <v>243</v>
      </c>
      <c r="C25" s="487"/>
      <c r="D25" s="285"/>
      <c r="E25" s="285"/>
      <c r="F25" s="290">
        <v>0</v>
      </c>
      <c r="G25" s="171">
        <f>ROUND(F25*'FSUP-I EQUIPE TÉCNICA'!L$42,2)</f>
        <v>0</v>
      </c>
    </row>
    <row r="26" spans="1:7" x14ac:dyDescent="0.2">
      <c r="A26" s="287" t="s">
        <v>234</v>
      </c>
      <c r="B26" s="488" t="s">
        <v>244</v>
      </c>
      <c r="C26" s="489"/>
      <c r="D26" s="285"/>
      <c r="E26" s="285"/>
      <c r="F26" s="290">
        <v>7.0000000000000001E-3</v>
      </c>
      <c r="G26" s="171">
        <f>ROUND(F26*'FSUP-I EQUIPE TÉCNICA'!L$42,2)</f>
        <v>54402.16</v>
      </c>
    </row>
    <row r="27" spans="1:7" x14ac:dyDescent="0.2">
      <c r="A27" s="287" t="s">
        <v>235</v>
      </c>
      <c r="B27" s="488" t="s">
        <v>172</v>
      </c>
      <c r="C27" s="489"/>
      <c r="D27" s="285"/>
      <c r="E27" s="285"/>
      <c r="F27" s="290">
        <v>8.3299999999999999E-2</v>
      </c>
      <c r="G27" s="171">
        <f>ROUND(F27*'FSUP-I EQUIPE TÉCNICA'!L$42,2)</f>
        <v>647385.74</v>
      </c>
    </row>
    <row r="28" spans="1:7" x14ac:dyDescent="0.2">
      <c r="A28" s="287" t="s">
        <v>236</v>
      </c>
      <c r="B28" s="488" t="s">
        <v>245</v>
      </c>
      <c r="C28" s="489"/>
      <c r="D28" s="285"/>
      <c r="E28" s="285"/>
      <c r="F28" s="290">
        <v>5.0000000000000001E-4</v>
      </c>
      <c r="G28" s="171">
        <f>ROUND(F28*'FSUP-I EQUIPE TÉCNICA'!L$42,2)</f>
        <v>3885.87</v>
      </c>
    </row>
    <row r="29" spans="1:7" x14ac:dyDescent="0.2">
      <c r="A29" s="287" t="s">
        <v>237</v>
      </c>
      <c r="B29" s="488" t="s">
        <v>246</v>
      </c>
      <c r="C29" s="489"/>
      <c r="D29" s="285"/>
      <c r="E29" s="285"/>
      <c r="F29" s="290">
        <v>5.5999999999999999E-3</v>
      </c>
      <c r="G29" s="171">
        <f>ROUND(F29*'FSUP-I EQUIPE TÉCNICA'!L$42,2)</f>
        <v>43521.73</v>
      </c>
    </row>
    <row r="30" spans="1:7" x14ac:dyDescent="0.2">
      <c r="A30" s="287" t="s">
        <v>238</v>
      </c>
      <c r="B30" s="488" t="s">
        <v>247</v>
      </c>
      <c r="C30" s="489"/>
      <c r="D30" s="285"/>
      <c r="E30" s="285"/>
      <c r="F30" s="290">
        <v>0</v>
      </c>
      <c r="G30" s="171">
        <f>ROUND(F30*'FSUP-I EQUIPE TÉCNICA'!L$42,2)</f>
        <v>0</v>
      </c>
    </row>
    <row r="31" spans="1:7" x14ac:dyDescent="0.2">
      <c r="A31" s="287" t="s">
        <v>239</v>
      </c>
      <c r="B31" s="488" t="s">
        <v>248</v>
      </c>
      <c r="C31" s="489"/>
      <c r="D31" s="285"/>
      <c r="E31" s="285"/>
      <c r="F31" s="290">
        <v>8.0000000000000004E-4</v>
      </c>
      <c r="G31" s="171">
        <f>ROUND(F31*'FSUP-I EQUIPE TÉCNICA'!L$42,2)</f>
        <v>6217.39</v>
      </c>
    </row>
    <row r="32" spans="1:7" x14ac:dyDescent="0.2">
      <c r="A32" s="287" t="s">
        <v>240</v>
      </c>
      <c r="B32" s="488" t="s">
        <v>249</v>
      </c>
      <c r="C32" s="489"/>
      <c r="D32" s="285"/>
      <c r="E32" s="285"/>
      <c r="F32" s="290">
        <v>6.3100000000000003E-2</v>
      </c>
      <c r="G32" s="171">
        <f>ROUND(F32*'FSUP-I EQUIPE TÉCNICA'!L$42,2)</f>
        <v>490396.64</v>
      </c>
    </row>
    <row r="33" spans="1:7" x14ac:dyDescent="0.2">
      <c r="A33" s="287" t="s">
        <v>241</v>
      </c>
      <c r="B33" s="488" t="s">
        <v>250</v>
      </c>
      <c r="C33" s="489"/>
      <c r="D33" s="176"/>
      <c r="E33" s="176"/>
      <c r="F33" s="290">
        <v>2.0000000000000001E-4</v>
      </c>
      <c r="G33" s="171">
        <f>ROUND(F33*'FSUP-I EQUIPE TÉCNICA'!L$42,2)</f>
        <v>1554.35</v>
      </c>
    </row>
    <row r="34" spans="1:7" x14ac:dyDescent="0.2">
      <c r="A34" s="474" t="s">
        <v>173</v>
      </c>
      <c r="B34" s="493"/>
      <c r="C34" s="493"/>
      <c r="D34" s="474"/>
      <c r="E34" s="474"/>
      <c r="F34" s="289">
        <f>ROUND(SUM(F24:F33),4)</f>
        <v>0.1605</v>
      </c>
      <c r="G34" s="174">
        <f>ROUND(SUM(G33),2)</f>
        <v>1554.35</v>
      </c>
    </row>
    <row r="35" spans="1:7" x14ac:dyDescent="0.2">
      <c r="A35" s="178"/>
      <c r="B35" s="494"/>
      <c r="C35" s="494"/>
      <c r="D35" s="494"/>
      <c r="E35" s="494"/>
      <c r="F35" s="494"/>
      <c r="G35" s="494"/>
    </row>
    <row r="36" spans="1:7" x14ac:dyDescent="0.2">
      <c r="A36" s="127" t="s">
        <v>57</v>
      </c>
      <c r="B36" s="471" t="s">
        <v>174</v>
      </c>
      <c r="C36" s="471"/>
      <c r="D36" s="471"/>
      <c r="E36" s="471"/>
      <c r="F36" s="127"/>
      <c r="G36" s="128"/>
    </row>
    <row r="37" spans="1:7" x14ac:dyDescent="0.2">
      <c r="A37" s="131" t="s">
        <v>175</v>
      </c>
      <c r="B37" s="472" t="s">
        <v>176</v>
      </c>
      <c r="C37" s="472"/>
      <c r="D37" s="472"/>
      <c r="E37" s="472"/>
      <c r="F37" s="170">
        <v>3.8800000000000001E-2</v>
      </c>
      <c r="G37" s="171">
        <f>ROUND(F37*'FSUP-I EQUIPE TÉCNICA'!L$42,2)</f>
        <v>301543.42</v>
      </c>
    </row>
    <row r="38" spans="1:7" x14ac:dyDescent="0.2">
      <c r="A38" s="131" t="s">
        <v>177</v>
      </c>
      <c r="B38" s="472" t="s">
        <v>178</v>
      </c>
      <c r="C38" s="472"/>
      <c r="D38" s="472"/>
      <c r="E38" s="472"/>
      <c r="F38" s="170">
        <v>4.0800000000000003E-2</v>
      </c>
      <c r="G38" s="171">
        <f>ROUND(F38*'FSUP-I EQUIPE TÉCNICA'!L$42,2)</f>
        <v>317086.89</v>
      </c>
    </row>
    <row r="39" spans="1:7" x14ac:dyDescent="0.2">
      <c r="A39" s="131" t="s">
        <v>179</v>
      </c>
      <c r="B39" s="490" t="s">
        <v>255</v>
      </c>
      <c r="C39" s="491"/>
      <c r="D39" s="491"/>
      <c r="E39" s="492"/>
      <c r="F39" s="177">
        <v>3.3999999999999998E-3</v>
      </c>
      <c r="G39" s="171">
        <f>ROUND(F39*'FSUP-I EQUIPE TÉCNICA'!L$42,2)</f>
        <v>26423.91</v>
      </c>
    </row>
    <row r="40" spans="1:7" x14ac:dyDescent="0.2">
      <c r="A40" s="131" t="s">
        <v>251</v>
      </c>
      <c r="B40" s="472" t="s">
        <v>254</v>
      </c>
      <c r="C40" s="472"/>
      <c r="D40" s="472"/>
      <c r="E40" s="472"/>
      <c r="F40" s="177">
        <v>1E-3</v>
      </c>
      <c r="G40" s="171">
        <f>ROUND(F40*'FSUP-I EQUIPE TÉCNICA'!L$42,2)</f>
        <v>7771.74</v>
      </c>
    </row>
    <row r="41" spans="1:7" x14ac:dyDescent="0.2">
      <c r="A41" s="131" t="s">
        <v>252</v>
      </c>
      <c r="B41" s="472" t="s">
        <v>253</v>
      </c>
      <c r="C41" s="472"/>
      <c r="D41" s="472"/>
      <c r="E41" s="472"/>
      <c r="F41" s="177">
        <v>4.0399999999999998E-2</v>
      </c>
      <c r="G41" s="171">
        <f>ROUND(F41*'FSUP-I EQUIPE TÉCNICA'!L$42,2)</f>
        <v>313978.2</v>
      </c>
    </row>
    <row r="42" spans="1:7" x14ac:dyDescent="0.2">
      <c r="A42" s="474" t="s">
        <v>180</v>
      </c>
      <c r="B42" s="474"/>
      <c r="C42" s="474"/>
      <c r="D42" s="474"/>
      <c r="E42" s="474"/>
      <c r="F42" s="173">
        <f>ROUND(SUM(F37:F41),4)</f>
        <v>0.1244</v>
      </c>
      <c r="G42" s="174">
        <f>ROUND(SUM(G37:G41),2)</f>
        <v>966804.16</v>
      </c>
    </row>
    <row r="43" spans="1:7" x14ac:dyDescent="0.2">
      <c r="A43" s="475"/>
      <c r="B43" s="475"/>
      <c r="C43" s="475"/>
      <c r="D43" s="475"/>
      <c r="E43" s="475"/>
      <c r="F43" s="475"/>
      <c r="G43" s="475"/>
    </row>
    <row r="44" spans="1:7" x14ac:dyDescent="0.2">
      <c r="A44" s="127" t="s">
        <v>181</v>
      </c>
      <c r="B44" s="471" t="s">
        <v>182</v>
      </c>
      <c r="C44" s="471"/>
      <c r="D44" s="471"/>
      <c r="E44" s="471"/>
      <c r="F44" s="127"/>
      <c r="G44" s="128"/>
    </row>
    <row r="45" spans="1:7" x14ac:dyDescent="0.2">
      <c r="A45" s="131" t="s">
        <v>183</v>
      </c>
      <c r="B45" s="473" t="s">
        <v>184</v>
      </c>
      <c r="C45" s="473"/>
      <c r="D45" s="473"/>
      <c r="E45" s="473"/>
      <c r="F45" s="170">
        <v>6.0699999999999997E-2</v>
      </c>
      <c r="G45" s="171">
        <f>ROUND(F45*'FSUP-I EQUIPE TÉCNICA'!L$42,2)</f>
        <v>471744.47</v>
      </c>
    </row>
    <row r="46" spans="1:7" x14ac:dyDescent="0.2">
      <c r="A46" s="131" t="s">
        <v>185</v>
      </c>
      <c r="B46" s="473" t="s">
        <v>186</v>
      </c>
      <c r="C46" s="473"/>
      <c r="D46" s="473"/>
      <c r="E46" s="473"/>
      <c r="F46" s="177">
        <v>3.5999999999999999E-3</v>
      </c>
      <c r="G46" s="171">
        <f>ROUND(F46*'FSUP-I EQUIPE TÉCNICA'!L$42,2)</f>
        <v>27978.26</v>
      </c>
    </row>
    <row r="47" spans="1:7" x14ac:dyDescent="0.2">
      <c r="A47" s="474" t="s">
        <v>187</v>
      </c>
      <c r="B47" s="474"/>
      <c r="C47" s="474"/>
      <c r="D47" s="474"/>
      <c r="E47" s="474"/>
      <c r="F47" s="173">
        <f>SUM(F45:F46)</f>
        <v>6.4299999999999996E-2</v>
      </c>
      <c r="G47" s="174">
        <f>ROUND(SUM(G45:G46),2)</f>
        <v>499722.73</v>
      </c>
    </row>
    <row r="48" spans="1:7" x14ac:dyDescent="0.2">
      <c r="A48" s="179"/>
      <c r="B48" s="180"/>
      <c r="C48" s="180"/>
      <c r="D48" s="180"/>
      <c r="E48" s="180"/>
      <c r="F48" s="181"/>
      <c r="G48" s="182"/>
    </row>
    <row r="49" spans="1:7" x14ac:dyDescent="0.2">
      <c r="A49" s="470" t="s">
        <v>188</v>
      </c>
      <c r="B49" s="470"/>
      <c r="C49" s="470"/>
      <c r="D49" s="470"/>
      <c r="E49" s="470"/>
      <c r="F49" s="183">
        <f>ROUND(F21+F34+F42+F47,4)</f>
        <v>0.72719999999999996</v>
      </c>
      <c r="G49" s="184">
        <f>ROUND(G21+G34+G42+G47,2)</f>
        <v>4405798.07</v>
      </c>
    </row>
    <row r="50" spans="1:7" x14ac:dyDescent="0.2">
      <c r="A50" s="149" t="s">
        <v>28</v>
      </c>
      <c r="B50" s="150"/>
      <c r="C50" s="151"/>
      <c r="D50" s="149" t="s">
        <v>29</v>
      </c>
      <c r="E50" s="150"/>
      <c r="F50" s="150"/>
      <c r="G50" s="151"/>
    </row>
    <row r="51" spans="1:7" x14ac:dyDescent="0.2">
      <c r="A51" s="481"/>
      <c r="B51" s="482"/>
      <c r="C51" s="331"/>
      <c r="D51" s="481"/>
      <c r="E51" s="482"/>
      <c r="F51" s="482"/>
      <c r="G51" s="331"/>
    </row>
    <row r="52" spans="1:7" x14ac:dyDescent="0.2">
      <c r="A52" s="124" t="s">
        <v>30</v>
      </c>
      <c r="B52" s="152"/>
      <c r="C52" s="152"/>
      <c r="D52" s="152"/>
      <c r="E52" s="125"/>
      <c r="F52" s="124" t="s">
        <v>31</v>
      </c>
      <c r="G52" s="125"/>
    </row>
    <row r="53" spans="1:7" x14ac:dyDescent="0.2">
      <c r="A53" s="42"/>
      <c r="B53" s="43"/>
      <c r="C53" s="43"/>
      <c r="D53" s="43"/>
      <c r="E53" s="34"/>
      <c r="F53" s="431"/>
      <c r="G53" s="483"/>
    </row>
    <row r="54" spans="1:7" x14ac:dyDescent="0.2">
      <c r="A54" s="122" t="s">
        <v>147</v>
      </c>
      <c r="B54" s="112"/>
      <c r="C54" s="112"/>
      <c r="D54" s="112"/>
      <c r="E54" s="112"/>
      <c r="F54" s="112"/>
      <c r="G54" s="185"/>
    </row>
    <row r="55" spans="1:7" x14ac:dyDescent="0.2">
      <c r="A55" s="149" t="s">
        <v>189</v>
      </c>
      <c r="B55" s="150"/>
      <c r="C55" s="150"/>
      <c r="D55" s="150"/>
      <c r="E55" s="150"/>
      <c r="F55" s="150"/>
      <c r="G55" s="151"/>
    </row>
    <row r="56" spans="1:7" x14ac:dyDescent="0.2">
      <c r="A56" s="476" t="s">
        <v>190</v>
      </c>
      <c r="B56" s="477"/>
      <c r="C56" s="477"/>
      <c r="D56" s="477"/>
      <c r="E56" s="477"/>
      <c r="F56" s="477"/>
      <c r="G56" s="478"/>
    </row>
    <row r="57" spans="1:7" x14ac:dyDescent="0.2">
      <c r="A57" s="476"/>
      <c r="B57" s="477"/>
      <c r="C57" s="477"/>
      <c r="D57" s="477"/>
      <c r="E57" s="477"/>
      <c r="F57" s="477"/>
      <c r="G57" s="478"/>
    </row>
    <row r="58" spans="1:7" x14ac:dyDescent="0.2">
      <c r="A58" s="122"/>
      <c r="B58" s="112"/>
      <c r="C58" s="112"/>
      <c r="D58" s="112"/>
      <c r="E58" s="112"/>
      <c r="F58" s="112"/>
      <c r="G58" s="185"/>
    </row>
    <row r="59" spans="1:7" x14ac:dyDescent="0.2">
      <c r="A59" s="163"/>
      <c r="B59" s="164"/>
      <c r="C59" s="164"/>
      <c r="D59" s="164"/>
      <c r="E59" s="164"/>
      <c r="F59" s="164"/>
      <c r="G59" s="165"/>
    </row>
  </sheetData>
  <sheetProtection selectLockedCells="1" selectUnlockedCells="1"/>
  <mergeCells count="40">
    <mergeCell ref="B30:C30"/>
    <mergeCell ref="B31:C31"/>
    <mergeCell ref="B32:C32"/>
    <mergeCell ref="B33:C33"/>
    <mergeCell ref="B39:E39"/>
    <mergeCell ref="A34:E34"/>
    <mergeCell ref="B35:G35"/>
    <mergeCell ref="B25:C25"/>
    <mergeCell ref="B26:C26"/>
    <mergeCell ref="B27:C27"/>
    <mergeCell ref="B28:C28"/>
    <mergeCell ref="B29:C29"/>
    <mergeCell ref="A56:G57"/>
    <mergeCell ref="A1:G2"/>
    <mergeCell ref="B11:E11"/>
    <mergeCell ref="A3:F4"/>
    <mergeCell ref="A5:G5"/>
    <mergeCell ref="A6:G6"/>
    <mergeCell ref="A7:B7"/>
    <mergeCell ref="C7:F7"/>
    <mergeCell ref="A9:E10"/>
    <mergeCell ref="F9:G9"/>
    <mergeCell ref="A51:C51"/>
    <mergeCell ref="D51:G51"/>
    <mergeCell ref="F53:G53"/>
    <mergeCell ref="A21:E21"/>
    <mergeCell ref="A22:F22"/>
    <mergeCell ref="B23:E23"/>
    <mergeCell ref="A49:E49"/>
    <mergeCell ref="B36:E36"/>
    <mergeCell ref="B37:E37"/>
    <mergeCell ref="B38:E38"/>
    <mergeCell ref="B41:E41"/>
    <mergeCell ref="B46:E46"/>
    <mergeCell ref="A47:E47"/>
    <mergeCell ref="A43:G43"/>
    <mergeCell ref="B44:E44"/>
    <mergeCell ref="B45:E45"/>
    <mergeCell ref="A42:E42"/>
    <mergeCell ref="B40:E40"/>
  </mergeCells>
  <phoneticPr fontId="18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e48662-16a4-40f2-b1e7-32676133bcd9">6TSJ6WNAJK4R-1990-75408</_dlc_DocId>
    <_dlc_DocIdUrl xmlns="a1e48662-16a4-40f2-b1e7-32676133bcd9">
      <Url>http://portal.arcadislogos.net/dma/codevasf/_layouts/DocIdRedir.aspx?ID=6TSJ6WNAJK4R-1990-75408</Url>
      <Description>6TSJ6WNAJK4R-1990-75408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05A823DF34875438B96C6F5E4CB8532" ma:contentTypeVersion="0" ma:contentTypeDescription="Crie um novo documento." ma:contentTypeScope="" ma:versionID="e5edac4ed35096c9a15c100284206758">
  <xsd:schema xmlns:xsd="http://www.w3.org/2001/XMLSchema" xmlns:xs="http://www.w3.org/2001/XMLSchema" xmlns:p="http://schemas.microsoft.com/office/2006/metadata/properties" xmlns:ns2="a1e48662-16a4-40f2-b1e7-32676133bcd9" targetNamespace="http://schemas.microsoft.com/office/2006/metadata/properties" ma:root="true" ma:fieldsID="e617bda26bef8090b709426b21fe54af" ns2:_="">
    <xsd:import namespace="a1e48662-16a4-40f2-b1e7-32676133bcd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e48662-16a4-40f2-b1e7-32676133bc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A8E0A9-D42B-4E03-8601-F1C86CA9A56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2C05E00-A230-47C5-9063-8B3A7858B9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5E78C8-A836-4024-84CE-96AC0341B6D4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a1e48662-16a4-40f2-b1e7-32676133bcd9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F78DF1A3-6E60-43CB-B8DA-15D99CCC4C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e48662-16a4-40f2-b1e7-32676133b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Resumo</vt:lpstr>
      <vt:lpstr>FSUP</vt:lpstr>
      <vt:lpstr>FSUP-I EQUIPE TÉCNICA</vt:lpstr>
      <vt:lpstr>FSUP-II VIAGENS</vt:lpstr>
      <vt:lpstr>FSUP-III Manutenção Operac</vt:lpstr>
      <vt:lpstr>FSUP-IV Mobiliz Desmob</vt:lpstr>
      <vt:lpstr>FSUP-V Det. custos Adm.</vt:lpstr>
      <vt:lpstr>FSUP-VI Det. Desp Fiscais</vt:lpstr>
      <vt:lpstr>FSUP-VII Det. Enc. Sociais</vt:lpstr>
      <vt:lpstr>FSUP!Area_de_impressao</vt:lpstr>
      <vt:lpstr>'FSUP-I EQUIPE TÉCNICA'!Area_de_impressao</vt:lpstr>
      <vt:lpstr>'FSUP-II VIAGENS'!Area_de_impressao</vt:lpstr>
      <vt:lpstr>'FSUP-III Manutenção Operac'!Area_de_impressao</vt:lpstr>
      <vt:lpstr>'FSUP-IV Mobiliz Desmob'!Area_de_impressao</vt:lpstr>
      <vt:lpstr>'FSUP-VI Det. Desp Fiscais'!Area_de_impressao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Bárbara Ferreira Mafra</dc:creator>
  <cp:lastModifiedBy>Alexandre Aparecido Ruggeri</cp:lastModifiedBy>
  <cp:lastPrinted>2018-09-11T19:55:58Z</cp:lastPrinted>
  <dcterms:created xsi:type="dcterms:W3CDTF">2013-04-19T14:21:46Z</dcterms:created>
  <dcterms:modified xsi:type="dcterms:W3CDTF">2018-09-11T20:00:44Z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25017198-8a3e-4f11-9633-1efd0d7c8af1</vt:lpwstr>
  </property>
  <property fmtid="{D5CDD505-2E9C-101B-9397-08002B2CF9AE}" pid="3" name="ContentTypeId">
    <vt:lpwstr>0x010100505A823DF34875438B96C6F5E4CB8532</vt:lpwstr>
  </property>
</Properties>
</file>