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20\LICITACAO\PASTA PUBLICA LICITAÇÃO\Editais Publicados 2014\EDITAL 44-14 - Recuperação de estradas vicinais Perimetro Formoso - 2a SR\Arquivos para Publicar\Anexo I - Planilha Orcamentarias\"/>
    </mc:Choice>
  </mc:AlternateContent>
  <bookViews>
    <workbookView xWindow="90" yWindow="150" windowWidth="9450" windowHeight="4170" tabRatio="876"/>
  </bookViews>
  <sheets>
    <sheet name="PLANILHA" sheetId="28" r:id="rId1"/>
    <sheet name="CRONOG" sheetId="30" r:id="rId2"/>
    <sheet name="Composição dos Custos" sheetId="63" r:id="rId3"/>
  </sheets>
  <definedNames>
    <definedName name="AccessDatabase" hidden="1">"D:\Arquivos do excel\Planilha modelo1.mdb"</definedName>
    <definedName name="af" localSheetId="1">#REF!</definedName>
    <definedName name="af" localSheetId="0">#REF!</definedName>
    <definedName name="af">#REF!</definedName>
    <definedName name="ag" localSheetId="1">#REF!</definedName>
    <definedName name="ag" localSheetId="0">#REF!</definedName>
    <definedName name="ag">#REF!</definedName>
    <definedName name="_xlnm.Print_Area" localSheetId="2">'Composição dos Custos'!$A$1:$H$318</definedName>
    <definedName name="_xlnm.Print_Area" localSheetId="0">PLANILHA!$A$1:$I$39</definedName>
    <definedName name="BALTO" localSheetId="1">#REF!</definedName>
    <definedName name="BALTO" localSheetId="0">#REF!</definedName>
    <definedName name="BALTO">#REF!</definedName>
    <definedName name="cho" localSheetId="1">#REF!</definedName>
    <definedName name="cho" localSheetId="0">#REF!</definedName>
    <definedName name="cho">#REF!</definedName>
    <definedName name="ci" localSheetId="1">#REF!</definedName>
    <definedName name="ci" localSheetId="0">#REF!</definedName>
    <definedName name="ci">#REF!</definedName>
    <definedName name="jazida5">#REF!</definedName>
    <definedName name="jazida6">#REF!</definedName>
    <definedName name="ls" localSheetId="1">#REF!</definedName>
    <definedName name="ls" localSheetId="0">#REF!</definedName>
    <definedName name="ls">#REF!</definedName>
    <definedName name="lub" localSheetId="1">#REF!</definedName>
    <definedName name="lub" localSheetId="0">#REF!</definedName>
    <definedName name="lub">#REF!</definedName>
    <definedName name="meio" localSheetId="1">#REF!</definedName>
    <definedName name="meio" localSheetId="0">#REF!</definedName>
    <definedName name="meio">#REF!</definedName>
    <definedName name="od" localSheetId="1">#REF!</definedName>
    <definedName name="od" localSheetId="0">#REF!</definedName>
    <definedName name="od">#REF!</definedName>
    <definedName name="of" localSheetId="1">#REF!</definedName>
    <definedName name="of" localSheetId="0">#REF!</definedName>
    <definedName name="of">#REF!</definedName>
    <definedName name="pdm" localSheetId="1">#REF!</definedName>
    <definedName name="pdm" localSheetId="0">#REF!</definedName>
    <definedName name="pdm">#REF!</definedName>
    <definedName name="pedra" localSheetId="1">#REF!</definedName>
    <definedName name="pedra" localSheetId="0">#REF!</definedName>
    <definedName name="pedra">#REF!</definedName>
    <definedName name="port" localSheetId="1">#REF!</definedName>
    <definedName name="port" localSheetId="0">#REF!</definedName>
    <definedName name="port">#REF!</definedName>
    <definedName name="PREF" localSheetId="1">#REF!</definedName>
    <definedName name="PREF" localSheetId="0">#REF!</definedName>
    <definedName name="PREF">#REF!</definedName>
    <definedName name="ruas" localSheetId="1">#REF!</definedName>
    <definedName name="ruas" localSheetId="0">#REF!</definedName>
    <definedName name="ruas">#REF!</definedName>
    <definedName name="s">#REF!</definedName>
    <definedName name="se" localSheetId="1">#REF!</definedName>
    <definedName name="se" localSheetId="0">#REF!</definedName>
    <definedName name="se">#REF!</definedName>
    <definedName name="sx" localSheetId="1">#REF!</definedName>
    <definedName name="sx" localSheetId="0">#REF!</definedName>
    <definedName name="sx">#REF!</definedName>
    <definedName name="tb100cm" localSheetId="1">#REF!</definedName>
    <definedName name="tb100cm" localSheetId="0">#REF!</definedName>
    <definedName name="tb100cm">#REF!</definedName>
    <definedName name="_xlnm.Print_Titles" localSheetId="0">PLANILHA!$6:$12</definedName>
    <definedName name="total" localSheetId="1">#REF!</definedName>
    <definedName name="total" localSheetId="0">#REF!</definedName>
    <definedName name="total">#REF!</definedName>
  </definedNames>
  <calcPr calcId="152511"/>
</workbook>
</file>

<file path=xl/calcChain.xml><?xml version="1.0" encoding="utf-8"?>
<calcChain xmlns="http://schemas.openxmlformats.org/spreadsheetml/2006/main">
  <c r="G286" i="63" l="1"/>
  <c r="D23" i="28"/>
  <c r="D26" i="28"/>
  <c r="D30" i="28" s="1"/>
  <c r="K212" i="63" l="1"/>
  <c r="K213" i="63" s="1"/>
  <c r="K214" i="63" s="1"/>
  <c r="D29" i="28" s="1"/>
  <c r="G278" i="63" l="1"/>
  <c r="B317" i="63"/>
  <c r="G313" i="63"/>
  <c r="G312" i="63"/>
  <c r="G309" i="63"/>
  <c r="G310" i="63" s="1"/>
  <c r="B303" i="63"/>
  <c r="G299" i="63"/>
  <c r="G298" i="63"/>
  <c r="G295" i="63"/>
  <c r="G296" i="63" s="1"/>
  <c r="B289" i="63"/>
  <c r="G283" i="63"/>
  <c r="G282" i="63"/>
  <c r="G279" i="63"/>
  <c r="B272" i="63"/>
  <c r="G268" i="63"/>
  <c r="G267" i="63"/>
  <c r="F264" i="63"/>
  <c r="G264" i="63" s="1"/>
  <c r="G265" i="63" s="1"/>
  <c r="B258" i="63"/>
  <c r="B244" i="63"/>
  <c r="B221" i="63"/>
  <c r="G280" i="63" l="1"/>
  <c r="G287" i="63"/>
  <c r="G288" i="63" s="1"/>
  <c r="F314" i="63"/>
  <c r="G314" i="63" s="1"/>
  <c r="G315" i="63" s="1"/>
  <c r="F300" i="63"/>
  <c r="G300" i="63" s="1"/>
  <c r="G301" i="63" s="1"/>
  <c r="G302" i="63" s="1"/>
  <c r="F284" i="63"/>
  <c r="G284" i="63" s="1"/>
  <c r="F269" i="63"/>
  <c r="G269" i="63" s="1"/>
  <c r="G270" i="63" s="1"/>
  <c r="G188" i="63"/>
  <c r="G187" i="63"/>
  <c r="B194" i="63"/>
  <c r="B171" i="63"/>
  <c r="G167" i="63"/>
  <c r="G166" i="63"/>
  <c r="G161" i="63"/>
  <c r="G160" i="63"/>
  <c r="B154" i="63"/>
  <c r="G150" i="63"/>
  <c r="G149" i="63"/>
  <c r="G148" i="63"/>
  <c r="G147" i="63"/>
  <c r="G146" i="63"/>
  <c r="G145" i="63"/>
  <c r="G144" i="63"/>
  <c r="G143" i="63"/>
  <c r="G140" i="63"/>
  <c r="G139" i="63"/>
  <c r="B133" i="63"/>
  <c r="G129" i="63"/>
  <c r="G128" i="63"/>
  <c r="G123" i="63"/>
  <c r="G122" i="63"/>
  <c r="B116" i="63"/>
  <c r="B95" i="63"/>
  <c r="B82" i="63"/>
  <c r="B61" i="63"/>
  <c r="B105" i="63"/>
  <c r="B91" i="63"/>
  <c r="B71" i="63"/>
  <c r="D25" i="63"/>
  <c r="B39" i="63"/>
  <c r="D19" i="63"/>
  <c r="G240" i="63"/>
  <c r="G239" i="63"/>
  <c r="G238" i="63"/>
  <c r="G237" i="63"/>
  <c r="G236" i="63"/>
  <c r="G235" i="63"/>
  <c r="G234" i="63"/>
  <c r="G233" i="63"/>
  <c r="G232" i="63"/>
  <c r="G231" i="63"/>
  <c r="G228" i="63"/>
  <c r="G227" i="63"/>
  <c r="G254" i="63"/>
  <c r="G253" i="63"/>
  <c r="G190" i="63"/>
  <c r="G189" i="63"/>
  <c r="G186" i="63"/>
  <c r="G185" i="63"/>
  <c r="G184" i="63"/>
  <c r="G183" i="63"/>
  <c r="G182" i="63"/>
  <c r="G181" i="63"/>
  <c r="G217" i="63"/>
  <c r="G216" i="63"/>
  <c r="G215" i="63"/>
  <c r="G214" i="63"/>
  <c r="G213" i="63"/>
  <c r="G212" i="63"/>
  <c r="G211" i="63"/>
  <c r="G210" i="63"/>
  <c r="G209" i="63"/>
  <c r="G208" i="63"/>
  <c r="G207" i="63"/>
  <c r="G206" i="63"/>
  <c r="G114" i="63"/>
  <c r="G113" i="63"/>
  <c r="G112" i="63"/>
  <c r="G111" i="63"/>
  <c r="G110" i="63"/>
  <c r="E103" i="63"/>
  <c r="G103" i="63" s="1"/>
  <c r="E102" i="63"/>
  <c r="G102" i="63" s="1"/>
  <c r="E101" i="63"/>
  <c r="G200" i="63" s="1"/>
  <c r="G93" i="63"/>
  <c r="E89" i="63"/>
  <c r="E88" i="63"/>
  <c r="G88" i="63" s="1"/>
  <c r="G80" i="63"/>
  <c r="G79" i="63"/>
  <c r="D77" i="63"/>
  <c r="D78" i="63" s="1"/>
  <c r="G78" i="63" s="1"/>
  <c r="G76" i="63"/>
  <c r="G69" i="63"/>
  <c r="G68" i="63"/>
  <c r="G67" i="63"/>
  <c r="G59" i="63"/>
  <c r="G58" i="63"/>
  <c r="G57" i="63"/>
  <c r="G56" i="63"/>
  <c r="G55" i="63"/>
  <c r="G54" i="63"/>
  <c r="G53" i="63"/>
  <c r="G52" i="63"/>
  <c r="G51" i="63"/>
  <c r="G50" i="63"/>
  <c r="G49" i="63"/>
  <c r="G48" i="63"/>
  <c r="G47" i="63"/>
  <c r="G46" i="63"/>
  <c r="G45" i="63"/>
  <c r="G44" i="63"/>
  <c r="G37" i="63"/>
  <c r="E35" i="63"/>
  <c r="G34" i="63"/>
  <c r="G33" i="63"/>
  <c r="D27" i="63"/>
  <c r="C27" i="63"/>
  <c r="B27" i="63"/>
  <c r="E25" i="63"/>
  <c r="B25" i="63"/>
  <c r="A25" i="63"/>
  <c r="E24" i="63"/>
  <c r="D24" i="63"/>
  <c r="A24" i="63"/>
  <c r="B19" i="63"/>
  <c r="F17" i="63"/>
  <c r="F16" i="63"/>
  <c r="G289" i="63" l="1"/>
  <c r="G290" i="63" s="1"/>
  <c r="E33" i="28" s="1"/>
  <c r="G316" i="63"/>
  <c r="G317" i="63" s="1"/>
  <c r="G318" i="63" s="1"/>
  <c r="E37" i="28" s="1"/>
  <c r="G303" i="63"/>
  <c r="G304" i="63" s="1"/>
  <c r="E34" i="28" s="1"/>
  <c r="G229" i="63"/>
  <c r="F241" i="63" s="1"/>
  <c r="G241" i="63" s="1"/>
  <c r="G242" i="63" s="1"/>
  <c r="G243" i="63" s="1"/>
  <c r="G271" i="63"/>
  <c r="G272" i="63" s="1"/>
  <c r="G273" i="63" s="1"/>
  <c r="E30" i="28" s="1"/>
  <c r="G141" i="63"/>
  <c r="F151" i="63" s="1"/>
  <c r="G151" i="63" s="1"/>
  <c r="G152" i="63" s="1"/>
  <c r="G124" i="63"/>
  <c r="F130" i="63" s="1"/>
  <c r="G130" i="63" s="1"/>
  <c r="G131" i="63" s="1"/>
  <c r="G162" i="63"/>
  <c r="F168" i="63" s="1"/>
  <c r="G168" i="63" s="1"/>
  <c r="G169" i="63" s="1"/>
  <c r="F18" i="63"/>
  <c r="F19" i="63" s="1"/>
  <c r="F20" i="63" s="1"/>
  <c r="E15" i="28" s="1"/>
  <c r="G101" i="63"/>
  <c r="G104" i="63" s="1"/>
  <c r="G105" i="63" s="1"/>
  <c r="G106" i="63" s="1"/>
  <c r="G115" i="63" s="1"/>
  <c r="G35" i="63"/>
  <c r="F24" i="63"/>
  <c r="F25" i="63"/>
  <c r="E36" i="63"/>
  <c r="G36" i="63" s="1"/>
  <c r="G70" i="63"/>
  <c r="G71" i="63" s="1"/>
  <c r="G72" i="63" s="1"/>
  <c r="G201" i="63"/>
  <c r="G202" i="63" s="1"/>
  <c r="G77" i="63"/>
  <c r="G89" i="63"/>
  <c r="G90" i="63" s="1"/>
  <c r="D27" i="28"/>
  <c r="D25" i="28"/>
  <c r="D24" i="28"/>
  <c r="D28" i="28" l="1"/>
  <c r="G244" i="63"/>
  <c r="G245" i="63" s="1"/>
  <c r="G170" i="63"/>
  <c r="G171" i="63" s="1"/>
  <c r="G172" i="63" s="1"/>
  <c r="E25" i="28" s="1"/>
  <c r="G153" i="63"/>
  <c r="G154" i="63" s="1"/>
  <c r="G155" i="63" s="1"/>
  <c r="E24" i="28" s="1"/>
  <c r="G132" i="63"/>
  <c r="G133" i="63" s="1"/>
  <c r="G134" i="63" s="1"/>
  <c r="E23" i="28" s="1"/>
  <c r="G116" i="63"/>
  <c r="G117" i="63" s="1"/>
  <c r="E20" i="28" s="1"/>
  <c r="G81" i="63"/>
  <c r="F26" i="63"/>
  <c r="F27" i="63" s="1"/>
  <c r="F28" i="63" s="1"/>
  <c r="E16" i="28" s="1"/>
  <c r="G38" i="63"/>
  <c r="G91" i="63"/>
  <c r="G92" i="63" s="1"/>
  <c r="G94" i="63" s="1"/>
  <c r="F218" i="63"/>
  <c r="G218" i="63" s="1"/>
  <c r="G219" i="63" s="1"/>
  <c r="G220" i="63" s="1"/>
  <c r="G178" i="63"/>
  <c r="F250" i="63"/>
  <c r="G250" i="63" s="1"/>
  <c r="G251" i="63" s="1"/>
  <c r="G177" i="63"/>
  <c r="F25" i="28"/>
  <c r="F24" i="28"/>
  <c r="F37" i="28"/>
  <c r="D33" i="28"/>
  <c r="D34" i="28" s="1"/>
  <c r="F30" i="28"/>
  <c r="D17" i="28"/>
  <c r="F36" i="28" l="1"/>
  <c r="C15" i="30" s="1"/>
  <c r="D15" i="30" s="1"/>
  <c r="E15" i="30" s="1"/>
  <c r="F15" i="30" s="1"/>
  <c r="G15" i="30" s="1"/>
  <c r="G179" i="63"/>
  <c r="F191" i="63" s="1"/>
  <c r="G191" i="63" s="1"/>
  <c r="G192" i="63" s="1"/>
  <c r="G193" i="63" s="1"/>
  <c r="E28" i="28"/>
  <c r="F28" i="28" s="1"/>
  <c r="G221" i="63"/>
  <c r="G222" i="63" s="1"/>
  <c r="E27" i="28" s="1"/>
  <c r="F27" i="28" s="1"/>
  <c r="G39" i="63"/>
  <c r="G40" i="63" s="1"/>
  <c r="G60" i="63" s="1"/>
  <c r="G82" i="63"/>
  <c r="G83" i="63" s="1"/>
  <c r="E18" i="28" s="1"/>
  <c r="F18" i="28" s="1"/>
  <c r="G95" i="63"/>
  <c r="G96" i="63" s="1"/>
  <c r="F255" i="63"/>
  <c r="G255" i="63" s="1"/>
  <c r="G256" i="63" s="1"/>
  <c r="F33" i="28"/>
  <c r="F20" i="28"/>
  <c r="F23" i="28"/>
  <c r="D15" i="28"/>
  <c r="D16" i="28"/>
  <c r="F22" i="28" l="1"/>
  <c r="E19" i="28"/>
  <c r="F19" i="28" s="1"/>
  <c r="G257" i="63"/>
  <c r="G258" i="63" s="1"/>
  <c r="G259" i="63" s="1"/>
  <c r="E29" i="28" s="1"/>
  <c r="F29" i="28" s="1"/>
  <c r="G194" i="63"/>
  <c r="G195" i="63" s="1"/>
  <c r="E26" i="28" s="1"/>
  <c r="F26" i="28" s="1"/>
  <c r="G61" i="63"/>
  <c r="G62" i="63" s="1"/>
  <c r="F34" i="28"/>
  <c r="F16" i="28"/>
  <c r="F15" i="28"/>
  <c r="F32" i="28" l="1"/>
  <c r="C14" i="30" s="1"/>
  <c r="G14" i="30" s="1"/>
  <c r="C13" i="30"/>
  <c r="E17" i="28"/>
  <c r="F17" i="28" s="1"/>
  <c r="F14" i="28" s="1"/>
  <c r="F39" i="28" s="1"/>
  <c r="D13" i="30" l="1"/>
  <c r="G13" i="30" s="1"/>
  <c r="G17" i="30" s="1"/>
  <c r="C12" i="30"/>
  <c r="C17" i="30" s="1"/>
  <c r="G19" i="30" l="1"/>
  <c r="D17" i="30"/>
  <c r="D19" i="30" s="1"/>
  <c r="D21" i="30" s="1"/>
  <c r="E13" i="30"/>
  <c r="D20" i="30" l="1"/>
  <c r="E17" i="30"/>
  <c r="E19" i="30" s="1"/>
  <c r="E21" i="30" s="1"/>
  <c r="F13" i="30"/>
  <c r="F17" i="30" s="1"/>
  <c r="F19" i="30" s="1"/>
  <c r="F21" i="30" l="1"/>
  <c r="G21" i="30" s="1"/>
  <c r="E20" i="30"/>
  <c r="F20" i="30" s="1"/>
  <c r="G20" i="30" s="1"/>
</calcChain>
</file>

<file path=xl/sharedStrings.xml><?xml version="1.0" encoding="utf-8"?>
<sst xmlns="http://schemas.openxmlformats.org/spreadsheetml/2006/main" count="629" uniqueCount="202">
  <si>
    <t>m³</t>
  </si>
  <si>
    <t>QUANT</t>
  </si>
  <si>
    <t>01.00</t>
  </si>
  <si>
    <t>01.01</t>
  </si>
  <si>
    <t>un</t>
  </si>
  <si>
    <t>01.02</t>
  </si>
  <si>
    <t>02.00</t>
  </si>
  <si>
    <t>02.01</t>
  </si>
  <si>
    <t>01.03</t>
  </si>
  <si>
    <t>PLANILHA ORÇAMENTÁRIA</t>
  </si>
  <si>
    <t>ÍTEM</t>
  </si>
  <si>
    <t>DISCRIMINAÇÃO DOS SERVIÇOS</t>
  </si>
  <si>
    <t>UND</t>
  </si>
  <si>
    <t>01.04</t>
  </si>
  <si>
    <t>SERVIÇOS PRELIMINARES</t>
  </si>
  <si>
    <t>Mobilização</t>
  </si>
  <si>
    <t>Desmobilização</t>
  </si>
  <si>
    <t>01.05</t>
  </si>
  <si>
    <t>OBRA:</t>
  </si>
  <si>
    <t>TOTAIS</t>
  </si>
  <si>
    <t>CRONOGRAMA FÍSICO/FINANCEIRO</t>
  </si>
  <si>
    <t xml:space="preserve">ITEM </t>
  </si>
  <si>
    <t>DISCRIMINAÇÃO</t>
  </si>
  <si>
    <t>VALOR</t>
  </si>
  <si>
    <t>1.0</t>
  </si>
  <si>
    <t>2.0</t>
  </si>
  <si>
    <t>6.0</t>
  </si>
  <si>
    <t>% DO ITEM</t>
  </si>
  <si>
    <t>TOTAL ACUMULADO</t>
  </si>
  <si>
    <t>% ACUMULADA</t>
  </si>
  <si>
    <t>h</t>
  </si>
  <si>
    <t>Total</t>
  </si>
  <si>
    <t>Transporte dos equipamentos</t>
  </si>
  <si>
    <t>und</t>
  </si>
  <si>
    <t>Custo</t>
  </si>
  <si>
    <t>Bota couro</t>
  </si>
  <si>
    <t>Capacete</t>
  </si>
  <si>
    <t>Luva</t>
  </si>
  <si>
    <t>Agua</t>
  </si>
  <si>
    <t>Energia eletrica</t>
  </si>
  <si>
    <t>Apontador</t>
  </si>
  <si>
    <t>Carpinteiro</t>
  </si>
  <si>
    <t>Servente</t>
  </si>
  <si>
    <t>m</t>
  </si>
  <si>
    <t>kg</t>
  </si>
  <si>
    <t>ITEM</t>
  </si>
  <si>
    <t>DESCRIÇÃO</t>
  </si>
  <si>
    <t>UNIDADE</t>
  </si>
  <si>
    <t>QUANTIDADE</t>
  </si>
  <si>
    <t>CUSTO UNITÁRIO</t>
  </si>
  <si>
    <t>CUSTO TOTAL</t>
  </si>
  <si>
    <t>m²</t>
  </si>
  <si>
    <t>mês</t>
  </si>
  <si>
    <t>1º  Mês</t>
  </si>
  <si>
    <t>2º Mês</t>
  </si>
  <si>
    <t>3º Mês</t>
  </si>
  <si>
    <t>Administração local e Manutenção do Canteiro</t>
  </si>
  <si>
    <t>Encarregado</t>
  </si>
  <si>
    <t>Pedreiro</t>
  </si>
  <si>
    <t>Eletricista</t>
  </si>
  <si>
    <t>Custo horário da mão de obra s/ls</t>
  </si>
  <si>
    <t>Custo horário da mão de obra c/ls</t>
  </si>
  <si>
    <t>Areia grossa</t>
  </si>
  <si>
    <t>Fio rígido, isolado em PVC 450/750V 1,5 mm²</t>
  </si>
  <si>
    <t>Chapa madeira compensada resinada 2,2x1,1m x 12mm p/ forma concreto</t>
  </si>
  <si>
    <t>Cimento portland CP-320</t>
  </si>
  <si>
    <t>Telha ondulada de fibrocimento 6mm c/ parafusos e borrachas de vedação</t>
  </si>
  <si>
    <t>Interruptor sobrepor 1 tecla simples</t>
  </si>
  <si>
    <t>Boca/soquete/receptaculo de porcelana</t>
  </si>
  <si>
    <t>Dobradiça aço zincado 3x3" sem anéis</t>
  </si>
  <si>
    <t>Fechadura embutir externa (c/ cilindro) completa linha popular</t>
  </si>
  <si>
    <t>cj</t>
  </si>
  <si>
    <t>Lâmpada incandescente 60W</t>
  </si>
  <si>
    <t>Seixo</t>
  </si>
  <si>
    <t>Prego de aço 17x27</t>
  </si>
  <si>
    <t>Porta cadeado zincado oxidado preto</t>
  </si>
  <si>
    <t>4.0</t>
  </si>
  <si>
    <t>5.0</t>
  </si>
  <si>
    <t>TOTAL GERAL (R$)</t>
  </si>
  <si>
    <t>Obra:</t>
  </si>
  <si>
    <t>Local:</t>
  </si>
  <si>
    <t>Peça de madeira de lei 1ª qualidade 6x12 cm não aparelhada</t>
  </si>
  <si>
    <t>Peça de madeira de lei 1ª qualidade 5x6 cm não aparelhada</t>
  </si>
  <si>
    <t>Peça de madeira de lei 3ª qualidade 2,5x10 cm não aparelhada</t>
  </si>
  <si>
    <t>Preposto -Engenheiro Junior</t>
  </si>
  <si>
    <t>MINISTÉRIO DA INTEGRAÇÃO NACIONAL</t>
  </si>
  <si>
    <t>COMPANHIA DE DESENVOLVIMENTO DOS VALES DO SÃO FRANCISCO E DO PARNAÍBA</t>
  </si>
  <si>
    <t>ÁREA DE REVITALIZAÇÃO DAS BACIAS HIDROGRÁFICAS</t>
  </si>
  <si>
    <t xml:space="preserve">ENCARGOS SOCIAIS: </t>
  </si>
  <si>
    <t xml:space="preserve">           ÁREA DE REVITALIZAÇÃO DAS BACIAS HIDROGRÁFICAS</t>
  </si>
  <si>
    <t>SERVIÇOS INICIAIS</t>
  </si>
  <si>
    <t>02.02</t>
  </si>
  <si>
    <t>02.03</t>
  </si>
  <si>
    <t>02.04</t>
  </si>
  <si>
    <t>02.06</t>
  </si>
  <si>
    <t>02.07</t>
  </si>
  <si>
    <t>02.08</t>
  </si>
  <si>
    <t>TOTAL (R$)</t>
  </si>
  <si>
    <t>UNITÁRIO (R$)</t>
  </si>
  <si>
    <t>3.0</t>
  </si>
  <si>
    <t>RECUPERAÇÃO DE ESTRADAS VICINAIS DO PERÍMETRO DE IRIGAÇÃO FORMOSO</t>
  </si>
  <si>
    <t>Instalação de Canteiro de obras</t>
  </si>
  <si>
    <t xml:space="preserve">Placa de identificação de obra </t>
  </si>
  <si>
    <t>Regularização do subleito</t>
  </si>
  <si>
    <t>Compactação de Aterro a 100% Proctor Normal</t>
  </si>
  <si>
    <t>Transporte Local de Água Caminhão Tanque Água p/revestimento primário</t>
  </si>
  <si>
    <t>PROTEÇÃO AMBIENTAL</t>
  </si>
  <si>
    <t>Conformação de Jazidas e Áreas Degradadas</t>
  </si>
  <si>
    <t>SERVIÇOS DIVERSOS</t>
  </si>
  <si>
    <t>02.05</t>
  </si>
  <si>
    <t>03.00</t>
  </si>
  <si>
    <t>03.01</t>
  </si>
  <si>
    <t>03.02</t>
  </si>
  <si>
    <t>04.00</t>
  </si>
  <si>
    <t>04.01</t>
  </si>
  <si>
    <t>há</t>
  </si>
  <si>
    <t>Expurgo de terra vegetal - Esc. carga tr. mat 1a c. DMT 800 a 1000m c/carreg</t>
  </si>
  <si>
    <t>Transporte Comercial - Caminhão Basculante Cascalho p/revestimento primário - Esc. carga tr. mat 2a c. DMT 3000 a 5000m c/carreg</t>
  </si>
  <si>
    <t>Transporte comercial c/ basc. 10m3 rod. não pav.</t>
  </si>
  <si>
    <t>tkm</t>
  </si>
  <si>
    <t>Reconformação da plataforma</t>
  </si>
  <si>
    <t>Extensão:</t>
  </si>
  <si>
    <t>Desm. dest. limpeza áreas c/arv. diam. até 0,15 m</t>
  </si>
  <si>
    <t>COMPOSIÇÃO DE CUSTOS UNITÁRIOS</t>
  </si>
  <si>
    <t xml:space="preserve">BDI: </t>
  </si>
  <si>
    <t>CPU - 01  MOBILIZAÇÃO DE PESSOAL E EQUIPAMENTOS                                                        Und</t>
  </si>
  <si>
    <t>ITEM/CÓDIGO</t>
  </si>
  <si>
    <t>cotação</t>
  </si>
  <si>
    <t xml:space="preserve">Passagens rodoviárias </t>
  </si>
  <si>
    <t>%</t>
  </si>
  <si>
    <t>Valor unitário do item</t>
  </si>
  <si>
    <t>CPU - 02  DESMOBILIZAÇÃO DE PESSOAL E EQUIPAMENTOS                                                 Und</t>
  </si>
  <si>
    <t>km</t>
  </si>
  <si>
    <t>CPU - 03 INSTALAÇÃO DE CANTEIRO DE OBRAS                                                                                                                   m²</t>
  </si>
  <si>
    <t>MÃO DE OBRA</t>
  </si>
  <si>
    <t>MATERIAL</t>
  </si>
  <si>
    <t>CPU - 04 ADMINISTRAÇÃO LOCAL E MANUTENÇÃO DE CANTEIRO DE OBRAS                                                               MÊS</t>
  </si>
  <si>
    <t>Vigilante</t>
  </si>
  <si>
    <t>par</t>
  </si>
  <si>
    <t>KW/H</t>
  </si>
  <si>
    <t>CPU - 05 CONTROLE TECNOLÓGICO/GEOMÉTRICO DA ESTRADA                                                                                   DIA</t>
  </si>
  <si>
    <t xml:space="preserve">Topografo </t>
  </si>
  <si>
    <t>Ajudante</t>
  </si>
  <si>
    <t>Equipamento</t>
  </si>
  <si>
    <t>CPU - 06 PLACA DE OBRAS EM CHAPA GALVANIZADA                                                                                                     M²</t>
  </si>
  <si>
    <t>Peça de madeira de lei 1ª qualidade 2,5 X 7,5cm (1 X 3") não aparelhada</t>
  </si>
  <si>
    <t>Peça de madeira 3ª/4ª qualidade 7,5 X 7,5cm (3X3)não aparelhada</t>
  </si>
  <si>
    <t>Placa de obra (adentificação) para construção civil em chapa galvanizada nº 22</t>
  </si>
  <si>
    <t>Prego de aço 18 X 30</t>
  </si>
  <si>
    <t xml:space="preserve">Concreto não estrutural, consumo mínimo 1500 KG/M3                                                                                                                                           </t>
  </si>
  <si>
    <t>EQUIPAMENTOS</t>
  </si>
  <si>
    <t>Motoniveladora - (103 kW)</t>
  </si>
  <si>
    <t>CHP</t>
  </si>
  <si>
    <t>CHI</t>
  </si>
  <si>
    <t>Trator Agrícola - (74 kW)</t>
  </si>
  <si>
    <t>Rolo Compactador - pé de carneiro autop. 11,25t vibrat. (82 kW)</t>
  </si>
  <si>
    <t>Grade de Discos - GA 24 x 24</t>
  </si>
  <si>
    <t>Grade de Discos - GA 24 x 25</t>
  </si>
  <si>
    <t>Rolo Compactador - de pneus autoprop. 25 t (98 kW)</t>
  </si>
  <si>
    <t>Caminhão Tanque - 10.000 l (210 kW)</t>
  </si>
  <si>
    <t>Ferramentas</t>
  </si>
  <si>
    <t>Custo Unitário de Execução</t>
  </si>
  <si>
    <t>Custo Horário de Execução</t>
  </si>
  <si>
    <t>PRODUTIVIDADE</t>
  </si>
  <si>
    <t>Encarregado de turma</t>
  </si>
  <si>
    <t>Trator de Esteiras - com lâmina (259 kW)</t>
  </si>
  <si>
    <t>Carregadeira de Pneus - 3,3 m3 (147 kW)</t>
  </si>
  <si>
    <t>Caminhão Basculante - 40 t (294 kW)</t>
  </si>
  <si>
    <t>Caminhão Basculante - 10 m3 - 15 t (210 kW)</t>
  </si>
  <si>
    <t>MUNICÍPIO DE BOM JESUS DA LAPA/BA</t>
  </si>
  <si>
    <t>SINAPI: MARÇO/2014</t>
  </si>
  <si>
    <t>TABELA: SICRO2 - JANEIRO/2014</t>
  </si>
  <si>
    <t>Controle tecnológico e geométrico da estrada</t>
  </si>
  <si>
    <t>01.06</t>
  </si>
  <si>
    <t>dia</t>
  </si>
  <si>
    <t>CPU - 08 Esc. carga tr. mat 1a c. DMT 800 a 1000m c/carreg  - 5 S 01 100 13   (DNIT)   Produção da Equipe : 194,00 m3             M³</t>
  </si>
  <si>
    <t>CPU - 09 Reconformação da plataforma 3 S 08 001 00  (DNIT)    Produção da Equipe : 1,00 ha                                                   HÁ</t>
  </si>
  <si>
    <t>CPU - 10 Esc. carga tr. mat 2ª c. DMT 3000 a 5000m c/carreg  - 5 S 01 101 20   (DNIT)   Produção da Equipe : 146,00 m3     M³</t>
  </si>
  <si>
    <t>Trator de Esteiras - com escarificador (259 kW)</t>
  </si>
  <si>
    <t>CPU - 11 Regularização do subleito 2 S 02 110 00  (DNIT)                  Produção da Equipe : 841,00 m2                                M²</t>
  </si>
  <si>
    <t>Encarregado de pavimentação</t>
  </si>
  <si>
    <t>CPU - 12 Compactação de aterros a 100% proctor normal - 5 S 01 511 00   (DNIT)    Produção da Equipe :152,00 m3                  M³</t>
  </si>
  <si>
    <t>CPU - 13 Transp. local água c/ cam. tanque rodov. não pav.  - 1 A 00 201 70   (DNIT)   Produção da Equipe : 146,00 m3         TxKM</t>
  </si>
  <si>
    <t>CPU - 14 Transporte comercial c/ basc. 10m3 rod. não pav.  - 2 S 09 001 91   (DNIT)   Produção da Equipe : 249,00 m3         TxKM</t>
  </si>
  <si>
    <t>Caminhão Tanque - 13.000 l (210 kW)</t>
  </si>
  <si>
    <t>CPU - 15 Espalhamento de Terra Vegetal       Produção da Equipe : 200,00 m²                                                                           M²</t>
  </si>
  <si>
    <t>agua</t>
  </si>
  <si>
    <t>CPU - 07 Desm. dest. limpeza áreas c/arv. diam. até 0,15 m 2 S 01 000   (DNIT)    Produção da Equipe : 1444,00 m2                 M²</t>
  </si>
  <si>
    <t>Veículo tipo caminhonete pick-up 4X4, com ar-condicionado para apoio a fiscalização, incluindo despesa com combustível , óleos, manutenção , licenciamento, seguros, impostos, etc.</t>
  </si>
  <si>
    <t>Veículo</t>
  </si>
  <si>
    <t>CPU - 17 Veículo de apoio a fiscalização                                                                                                                                   MÊS</t>
  </si>
  <si>
    <t>Combustível Diesel</t>
  </si>
  <si>
    <t>4º Mês</t>
  </si>
  <si>
    <t>7.0</t>
  </si>
  <si>
    <t>8.0</t>
  </si>
  <si>
    <t>OBRA: RECUPERAÇÃO DE ESTRADAS VICINAIS DO PERÍMETRO DE IRIGAÇÃO FORMOSO</t>
  </si>
  <si>
    <t>Terra vegetal</t>
  </si>
  <si>
    <t>Espalhamento de Terra Vegetal c/ fornecimento</t>
  </si>
  <si>
    <t>CPU - 16 Conformação de Jazidas e Áreas Degradadas   Produção da Equipe : 100,00 m²                                                          M²</t>
  </si>
  <si>
    <t>BDI UTILIZADO: 24,00 %                                                      BASE: DINIT - SICRO 2 JANEIRO.2014</t>
  </si>
  <si>
    <t xml:space="preserve">                                                                    MINISTÉRIO DA INTEGRAÇÃO NACIONAL</t>
  </si>
  <si>
    <t xml:space="preserve">                                                           COMPANHIA DE DESENVOLVIMENTO DOS VALES DO SÃO FRANCISCO E DO PARNAÍBA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</si>
</sst>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(* #,##0.00_);_(* \(#,##0.00\);_(* &quot;-&quot;??_);_(@_)"/>
    <numFmt numFmtId="165" formatCode="#,##0.0000"/>
    <numFmt numFmtId="166" formatCode="#,##0.0000000"/>
  </numFmts>
  <fonts count="25">
    <font>
      <sz val="10"/>
      <name val="Arial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0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b/>
      <sz val="10"/>
      <name val="Arial Narrow"/>
      <family val="2"/>
    </font>
    <font>
      <b/>
      <sz val="20"/>
      <name val="Arial"/>
      <family val="2"/>
    </font>
    <font>
      <sz val="10"/>
      <name val="MonoMM1_ZeroNormal"/>
      <family val="3"/>
    </font>
    <font>
      <b/>
      <sz val="10"/>
      <name val="MonoMM1_ZeroNormal"/>
    </font>
    <font>
      <sz val="8"/>
      <color indexed="30"/>
      <name val="Verdana"/>
      <family val="2"/>
    </font>
    <font>
      <b/>
      <sz val="11"/>
      <color indexed="8"/>
      <name val="Calibri"/>
      <family val="2"/>
    </font>
    <font>
      <b/>
      <sz val="10"/>
      <color indexed="8"/>
      <name val="Arial Narrow"/>
      <family val="2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sz val="12"/>
      <color indexed="8"/>
      <name val="Arial Narrow"/>
      <family val="2"/>
    </font>
    <font>
      <sz val="9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164" fontId="5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305">
    <xf numFmtId="0" fontId="0" fillId="0" borderId="0" xfId="0"/>
    <xf numFmtId="0" fontId="3" fillId="0" borderId="0" xfId="0" applyFont="1"/>
    <xf numFmtId="0" fontId="2" fillId="0" borderId="0" xfId="1" applyFont="1"/>
    <xf numFmtId="4" fontId="2" fillId="0" borderId="0" xfId="1" applyNumberFormat="1" applyFont="1"/>
    <xf numFmtId="4" fontId="2" fillId="0" borderId="0" xfId="1" applyNumberFormat="1" applyFont="1" applyAlignment="1">
      <alignment horizontal="right"/>
    </xf>
    <xf numFmtId="0" fontId="3" fillId="0" borderId="0" xfId="1" applyFont="1"/>
    <xf numFmtId="0" fontId="3" fillId="0" borderId="0" xfId="0" applyFont="1" applyAlignment="1">
      <alignment vertical="top"/>
    </xf>
    <xf numFmtId="0" fontId="2" fillId="0" borderId="0" xfId="0" applyFont="1"/>
    <xf numFmtId="0" fontId="2" fillId="0" borderId="0" xfId="0" applyFont="1" applyAlignment="1">
      <alignment horizontal="left" vertical="top" wrapText="1"/>
    </xf>
    <xf numFmtId="0" fontId="0" fillId="0" borderId="0" xfId="0" applyAlignment="1">
      <alignment vertical="center"/>
    </xf>
    <xf numFmtId="49" fontId="6" fillId="0" borderId="0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left" vertical="center"/>
    </xf>
    <xf numFmtId="49" fontId="7" fillId="0" borderId="0" xfId="0" applyNumberFormat="1" applyFont="1" applyBorder="1" applyAlignment="1">
      <alignment horizontal="center" vertical="center"/>
    </xf>
    <xf numFmtId="0" fontId="0" fillId="0" borderId="0" xfId="0" applyNumberFormat="1" applyAlignment="1">
      <alignment vertical="center"/>
    </xf>
    <xf numFmtId="0" fontId="0" fillId="0" borderId="0" xfId="0" applyNumberFormat="1" applyBorder="1" applyAlignment="1">
      <alignment vertical="center"/>
    </xf>
    <xf numFmtId="0" fontId="0" fillId="0" borderId="0" xfId="0" applyBorder="1"/>
    <xf numFmtId="0" fontId="3" fillId="0" borderId="0" xfId="0" applyFont="1" applyAlignment="1">
      <alignment horizontal="left" vertical="top" wrapText="1"/>
    </xf>
    <xf numFmtId="0" fontId="15" fillId="0" borderId="0" xfId="1" applyFont="1"/>
    <xf numFmtId="0" fontId="16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justify" vertical="center" wrapText="1"/>
    </xf>
    <xf numFmtId="0" fontId="2" fillId="0" borderId="1" xfId="1" applyFont="1" applyBorder="1" applyAlignment="1">
      <alignment horizontal="center" vertical="center"/>
    </xf>
    <xf numFmtId="4" fontId="2" fillId="0" borderId="1" xfId="1" applyNumberFormat="1" applyFont="1" applyBorder="1" applyAlignment="1">
      <alignment horizontal="right" vertical="center"/>
    </xf>
    <xf numFmtId="0" fontId="16" fillId="0" borderId="2" xfId="1" applyNumberFormat="1" applyFont="1" applyBorder="1" applyAlignment="1">
      <alignment horizontal="center" vertical="center"/>
    </xf>
    <xf numFmtId="0" fontId="2" fillId="0" borderId="2" xfId="1" applyNumberFormat="1" applyFont="1" applyBorder="1" applyAlignment="1">
      <alignment horizontal="justify" vertical="center"/>
    </xf>
    <xf numFmtId="4" fontId="2" fillId="0" borderId="2" xfId="1" applyNumberFormat="1" applyFont="1" applyBorder="1" applyAlignment="1">
      <alignment horizontal="center" vertical="center"/>
    </xf>
    <xf numFmtId="4" fontId="16" fillId="0" borderId="2" xfId="1" applyNumberFormat="1" applyFont="1" applyBorder="1" applyAlignment="1">
      <alignment horizontal="right" vertical="center"/>
    </xf>
    <xf numFmtId="0" fontId="2" fillId="2" borderId="2" xfId="1" applyFont="1" applyFill="1" applyBorder="1" applyAlignment="1">
      <alignment horizontal="justify" vertical="center"/>
    </xf>
    <xf numFmtId="0" fontId="2" fillId="2" borderId="2" xfId="1" applyFont="1" applyFill="1" applyBorder="1" applyAlignment="1">
      <alignment horizontal="center" vertical="center" wrapText="1"/>
    </xf>
    <xf numFmtId="4" fontId="16" fillId="2" borderId="2" xfId="4" applyNumberFormat="1" applyFont="1" applyFill="1" applyBorder="1" applyAlignment="1">
      <alignment horizontal="right" vertical="center" wrapText="1"/>
    </xf>
    <xf numFmtId="0" fontId="2" fillId="0" borderId="2" xfId="1" applyFont="1" applyBorder="1" applyAlignment="1">
      <alignment horizontal="justify" vertical="center" wrapText="1"/>
    </xf>
    <xf numFmtId="0" fontId="2" fillId="0" borderId="2" xfId="1" applyFont="1" applyBorder="1" applyAlignment="1">
      <alignment horizontal="center" vertical="center"/>
    </xf>
    <xf numFmtId="0" fontId="2" fillId="0" borderId="2" xfId="1" applyFont="1" applyBorder="1" applyAlignment="1">
      <alignment horizontal="justify" vertical="center"/>
    </xf>
    <xf numFmtId="0" fontId="2" fillId="0" borderId="2" xfId="1" applyFont="1" applyBorder="1" applyAlignment="1">
      <alignment vertical="center" wrapText="1"/>
    </xf>
    <xf numFmtId="0" fontId="16" fillId="0" borderId="3" xfId="1" applyNumberFormat="1" applyFont="1" applyBorder="1" applyAlignment="1">
      <alignment horizontal="center" vertical="center"/>
    </xf>
    <xf numFmtId="0" fontId="2" fillId="0" borderId="3" xfId="1" applyNumberFormat="1" applyFont="1" applyBorder="1" applyAlignment="1">
      <alignment horizontal="justify" vertical="center"/>
    </xf>
    <xf numFmtId="4" fontId="2" fillId="0" borderId="3" xfId="1" applyNumberFormat="1" applyFont="1" applyBorder="1" applyAlignment="1">
      <alignment horizontal="center" vertical="center"/>
    </xf>
    <xf numFmtId="4" fontId="16" fillId="0" borderId="3" xfId="1" applyNumberFormat="1" applyFont="1" applyBorder="1" applyAlignment="1">
      <alignment horizontal="right" vertical="center"/>
    </xf>
    <xf numFmtId="0" fontId="2" fillId="0" borderId="4" xfId="1" applyNumberFormat="1" applyFont="1" applyBorder="1" applyAlignment="1">
      <alignment horizontal="left" vertical="center"/>
    </xf>
    <xf numFmtId="0" fontId="3" fillId="2" borderId="4" xfId="1" applyFont="1" applyFill="1" applyBorder="1" applyAlignment="1">
      <alignment horizontal="center"/>
    </xf>
    <xf numFmtId="4" fontId="3" fillId="2" borderId="4" xfId="1" applyNumberFormat="1" applyFont="1" applyFill="1" applyBorder="1" applyAlignment="1">
      <alignment horizontal="center"/>
    </xf>
    <xf numFmtId="43" fontId="9" fillId="0" borderId="1" xfId="4" applyNumberFormat="1" applyFont="1" applyBorder="1" applyAlignment="1">
      <alignment vertical="center"/>
    </xf>
    <xf numFmtId="43" fontId="9" fillId="0" borderId="2" xfId="4" applyNumberFormat="1" applyFont="1" applyBorder="1" applyAlignment="1">
      <alignment vertical="center"/>
    </xf>
    <xf numFmtId="0" fontId="9" fillId="0" borderId="2" xfId="0" applyFont="1" applyBorder="1"/>
    <xf numFmtId="164" fontId="9" fillId="0" borderId="2" xfId="4" applyFont="1" applyBorder="1"/>
    <xf numFmtId="43" fontId="9" fillId="0" borderId="2" xfId="0" applyNumberFormat="1" applyFont="1" applyBorder="1"/>
    <xf numFmtId="164" fontId="9" fillId="0" borderId="2" xfId="0" applyNumberFormat="1" applyFont="1" applyBorder="1"/>
    <xf numFmtId="0" fontId="9" fillId="0" borderId="3" xfId="0" applyFont="1" applyBorder="1"/>
    <xf numFmtId="0" fontId="2" fillId="0" borderId="0" xfId="1"/>
    <xf numFmtId="0" fontId="2" fillId="2" borderId="5" xfId="1" applyFont="1" applyFill="1" applyBorder="1" applyAlignment="1">
      <alignment horizontal="justify" vertical="center"/>
    </xf>
    <xf numFmtId="0" fontId="2" fillId="0" borderId="0" xfId="1" applyAlignment="1">
      <alignment vertical="center"/>
    </xf>
    <xf numFmtId="0" fontId="3" fillId="0" borderId="0" xfId="1" applyFont="1" applyAlignment="1">
      <alignment vertical="top" wrapText="1"/>
    </xf>
    <xf numFmtId="0" fontId="11" fillId="0" borderId="6" xfId="1" applyFont="1" applyBorder="1" applyAlignment="1">
      <alignment horizontal="center"/>
    </xf>
    <xf numFmtId="4" fontId="14" fillId="0" borderId="7" xfId="1" applyNumberFormat="1" applyFont="1" applyBorder="1" applyAlignment="1">
      <alignment horizontal="left"/>
    </xf>
    <xf numFmtId="0" fontId="11" fillId="0" borderId="7" xfId="1" applyFont="1" applyBorder="1" applyAlignment="1">
      <alignment horizontal="center"/>
    </xf>
    <xf numFmtId="0" fontId="2" fillId="0" borderId="7" xfId="1" applyBorder="1" applyAlignment="1">
      <alignment horizontal="center"/>
    </xf>
    <xf numFmtId="4" fontId="14" fillId="0" borderId="8" xfId="1" applyNumberFormat="1" applyFont="1" applyBorder="1" applyAlignment="1">
      <alignment horizontal="center"/>
    </xf>
    <xf numFmtId="0" fontId="2" fillId="0" borderId="7" xfId="1" applyBorder="1"/>
    <xf numFmtId="4" fontId="9" fillId="0" borderId="1" xfId="0" applyNumberFormat="1" applyFont="1" applyBorder="1" applyAlignment="1"/>
    <xf numFmtId="4" fontId="9" fillId="0" borderId="2" xfId="0" applyNumberFormat="1" applyFont="1" applyBorder="1" applyAlignment="1"/>
    <xf numFmtId="0" fontId="11" fillId="0" borderId="0" xfId="1" applyFont="1" applyBorder="1" applyAlignment="1">
      <alignment horizontal="center"/>
    </xf>
    <xf numFmtId="4" fontId="14" fillId="0" borderId="0" xfId="1" applyNumberFormat="1" applyFont="1" applyBorder="1" applyAlignment="1">
      <alignment horizontal="left"/>
    </xf>
    <xf numFmtId="0" fontId="2" fillId="0" borderId="0" xfId="1" applyBorder="1" applyAlignment="1">
      <alignment horizontal="center"/>
    </xf>
    <xf numFmtId="4" fontId="14" fillId="0" borderId="0" xfId="1" applyNumberFormat="1" applyFont="1" applyBorder="1" applyAlignment="1">
      <alignment horizontal="center"/>
    </xf>
    <xf numFmtId="4" fontId="17" fillId="0" borderId="2" xfId="1" applyNumberFormat="1" applyFont="1" applyBorder="1" applyAlignment="1">
      <alignment horizontal="right" vertical="center"/>
    </xf>
    <xf numFmtId="4" fontId="17" fillId="2" borderId="4" xfId="1" quotePrefix="1" applyNumberFormat="1" applyFont="1" applyFill="1" applyBorder="1" applyAlignment="1">
      <alignment horizontal="right" vertical="center"/>
    </xf>
    <xf numFmtId="43" fontId="4" fillId="0" borderId="2" xfId="0" applyNumberFormat="1" applyFont="1" applyBorder="1" applyAlignment="1">
      <alignment horizontal="right"/>
    </xf>
    <xf numFmtId="43" fontId="4" fillId="0" borderId="2" xfId="0" applyNumberFormat="1" applyFont="1" applyBorder="1" applyAlignment="1">
      <alignment horizontal="right" vertical="center"/>
    </xf>
    <xf numFmtId="164" fontId="4" fillId="0" borderId="3" xfId="0" applyNumberFormat="1" applyFont="1" applyBorder="1"/>
    <xf numFmtId="0" fontId="3" fillId="0" borderId="0" xfId="1" applyFont="1" applyAlignment="1">
      <alignment vertical="center"/>
    </xf>
    <xf numFmtId="0" fontId="3" fillId="0" borderId="0" xfId="1" applyFont="1" applyAlignment="1">
      <alignment horizontal="left" vertical="top"/>
    </xf>
    <xf numFmtId="0" fontId="2" fillId="0" borderId="9" xfId="1" applyFont="1" applyBorder="1"/>
    <xf numFmtId="0" fontId="18" fillId="0" borderId="9" xfId="0" applyFont="1" applyBorder="1" applyAlignment="1">
      <alignment horizontal="center" vertical="top"/>
    </xf>
    <xf numFmtId="0" fontId="2" fillId="0" borderId="4" xfId="1" applyNumberFormat="1" applyFont="1" applyBorder="1" applyAlignment="1">
      <alignment horizontal="center" vertical="center"/>
    </xf>
    <xf numFmtId="49" fontId="20" fillId="0" borderId="0" xfId="0" applyNumberFormat="1" applyFont="1" applyBorder="1" applyAlignment="1">
      <alignment vertical="top" wrapText="1"/>
    </xf>
    <xf numFmtId="0" fontId="0" fillId="0" borderId="0" xfId="0" applyAlignment="1">
      <alignment vertical="top"/>
    </xf>
    <xf numFmtId="0" fontId="2" fillId="0" borderId="0" xfId="1" applyFont="1" applyBorder="1"/>
    <xf numFmtId="0" fontId="18" fillId="0" borderId="0" xfId="0" applyFont="1" applyBorder="1" applyAlignment="1">
      <alignment horizontal="center" vertical="top"/>
    </xf>
    <xf numFmtId="0" fontId="21" fillId="0" borderId="0" xfId="2" applyFont="1"/>
    <xf numFmtId="0" fontId="22" fillId="0" borderId="0" xfId="2" applyFont="1"/>
    <xf numFmtId="0" fontId="11" fillId="0" borderId="0" xfId="2" applyFont="1"/>
    <xf numFmtId="0" fontId="1" fillId="0" borderId="0" xfId="2"/>
    <xf numFmtId="0" fontId="11" fillId="0" borderId="0" xfId="2" applyFont="1" applyAlignment="1">
      <alignment horizontal="center"/>
    </xf>
    <xf numFmtId="0" fontId="14" fillId="0" borderId="0" xfId="2" applyFont="1" applyAlignment="1">
      <alignment horizontal="center"/>
    </xf>
    <xf numFmtId="0" fontId="19" fillId="0" borderId="0" xfId="2" applyFont="1" applyAlignment="1">
      <alignment horizontal="center"/>
    </xf>
    <xf numFmtId="0" fontId="13" fillId="0" borderId="0" xfId="2" applyFont="1" applyAlignment="1">
      <alignment horizontal="center"/>
    </xf>
    <xf numFmtId="0" fontId="13" fillId="0" borderId="0" xfId="2" applyFont="1"/>
    <xf numFmtId="4" fontId="13" fillId="0" borderId="20" xfId="2" applyNumberFormat="1" applyFont="1" applyBorder="1" applyAlignment="1">
      <alignment horizontal="left"/>
    </xf>
    <xf numFmtId="0" fontId="11" fillId="0" borderId="0" xfId="2" applyFont="1" applyBorder="1"/>
    <xf numFmtId="0" fontId="11" fillId="0" borderId="0" xfId="2" applyFont="1" applyBorder="1" applyAlignment="1">
      <alignment horizontal="center"/>
    </xf>
    <xf numFmtId="0" fontId="1" fillId="0" borderId="0" xfId="2" applyBorder="1"/>
    <xf numFmtId="0" fontId="13" fillId="0" borderId="0" xfId="2" applyFont="1" applyBorder="1"/>
    <xf numFmtId="0" fontId="13" fillId="0" borderId="4" xfId="1" applyFont="1" applyBorder="1" applyAlignment="1">
      <alignment horizontal="center"/>
    </xf>
    <xf numFmtId="0" fontId="11" fillId="0" borderId="23" xfId="1" applyFont="1" applyBorder="1" applyAlignment="1">
      <alignment horizontal="center"/>
    </xf>
    <xf numFmtId="0" fontId="11" fillId="0" borderId="11" xfId="1" applyFont="1" applyBorder="1" applyAlignment="1">
      <alignment horizontal="left" vertical="center" wrapText="1" readingOrder="1"/>
    </xf>
    <xf numFmtId="0" fontId="11" fillId="0" borderId="11" xfId="1" applyFont="1" applyBorder="1" applyAlignment="1">
      <alignment horizontal="center"/>
    </xf>
    <xf numFmtId="4" fontId="11" fillId="0" borderId="24" xfId="1" applyNumberFormat="1" applyFont="1" applyBorder="1" applyAlignment="1">
      <alignment horizontal="center"/>
    </xf>
    <xf numFmtId="0" fontId="11" fillId="0" borderId="13" xfId="1" applyFont="1" applyBorder="1" applyAlignment="1">
      <alignment horizontal="center"/>
    </xf>
    <xf numFmtId="0" fontId="11" fillId="0" borderId="14" xfId="1" applyFont="1" applyBorder="1" applyAlignment="1">
      <alignment horizontal="left" vertical="center" wrapText="1" readingOrder="1"/>
    </xf>
    <xf numFmtId="0" fontId="11" fillId="0" borderId="14" xfId="1" applyFont="1" applyBorder="1" applyAlignment="1">
      <alignment horizontal="center"/>
    </xf>
    <xf numFmtId="4" fontId="11" fillId="0" borderId="14" xfId="1" applyNumberFormat="1" applyFont="1" applyBorder="1" applyAlignment="1">
      <alignment horizontal="center"/>
    </xf>
    <xf numFmtId="4" fontId="11" fillId="0" borderId="16" xfId="1" applyNumberFormat="1" applyFont="1" applyBorder="1" applyAlignment="1">
      <alignment horizontal="center"/>
    </xf>
    <xf numFmtId="2" fontId="11" fillId="0" borderId="14" xfId="1" applyNumberFormat="1" applyFont="1" applyBorder="1" applyAlignment="1">
      <alignment horizontal="center"/>
    </xf>
    <xf numFmtId="0" fontId="11" fillId="0" borderId="19" xfId="1" applyFont="1" applyBorder="1" applyAlignment="1">
      <alignment horizontal="center"/>
    </xf>
    <xf numFmtId="0" fontId="14" fillId="0" borderId="20" xfId="1" applyFont="1" applyBorder="1" applyAlignment="1">
      <alignment horizontal="left" vertical="center" wrapText="1" readingOrder="1"/>
    </xf>
    <xf numFmtId="0" fontId="11" fillId="0" borderId="20" xfId="1" applyFont="1" applyBorder="1" applyAlignment="1">
      <alignment horizontal="center"/>
    </xf>
    <xf numFmtId="4" fontId="11" fillId="0" borderId="20" xfId="1" applyNumberFormat="1" applyFont="1" applyBorder="1" applyAlignment="1">
      <alignment horizontal="center"/>
    </xf>
    <xf numFmtId="4" fontId="14" fillId="0" borderId="21" xfId="1" applyNumberFormat="1" applyFont="1" applyBorder="1" applyAlignment="1">
      <alignment horizontal="center"/>
    </xf>
    <xf numFmtId="0" fontId="11" fillId="0" borderId="25" xfId="1" applyFont="1" applyBorder="1" applyAlignment="1">
      <alignment horizontal="center"/>
    </xf>
    <xf numFmtId="0" fontId="11" fillId="0" borderId="26" xfId="1" applyFont="1" applyBorder="1" applyAlignment="1">
      <alignment horizontal="left" vertical="center" wrapText="1" readingOrder="1"/>
    </xf>
    <xf numFmtId="0" fontId="11" fillId="0" borderId="26" xfId="1" applyFont="1" applyBorder="1" applyAlignment="1">
      <alignment horizontal="center"/>
    </xf>
    <xf numFmtId="4" fontId="11" fillId="0" borderId="27" xfId="1" applyNumberFormat="1" applyFont="1" applyBorder="1" applyAlignment="1">
      <alignment horizontal="center"/>
    </xf>
    <xf numFmtId="4" fontId="14" fillId="0" borderId="14" xfId="1" applyNumberFormat="1" applyFont="1" applyBorder="1" applyAlignment="1">
      <alignment horizontal="left"/>
    </xf>
    <xf numFmtId="0" fontId="2" fillId="0" borderId="14" xfId="1" applyBorder="1" applyAlignment="1">
      <alignment horizontal="center"/>
    </xf>
    <xf numFmtId="4" fontId="14" fillId="0" borderId="16" xfId="1" applyNumberFormat="1" applyFont="1" applyBorder="1" applyAlignment="1">
      <alignment horizontal="center"/>
    </xf>
    <xf numFmtId="4" fontId="13" fillId="0" borderId="0" xfId="2" applyNumberFormat="1" applyFont="1"/>
    <xf numFmtId="0" fontId="2" fillId="0" borderId="20" xfId="1" applyBorder="1" applyAlignment="1">
      <alignment horizontal="center"/>
    </xf>
    <xf numFmtId="4" fontId="11" fillId="0" borderId="21" xfId="1" applyNumberFormat="1" applyFont="1" applyBorder="1" applyAlignment="1">
      <alignment horizontal="center"/>
    </xf>
    <xf numFmtId="0" fontId="13" fillId="0" borderId="4" xfId="1" applyFont="1" applyBorder="1" applyAlignment="1">
      <alignment horizontal="left"/>
    </xf>
    <xf numFmtId="0" fontId="11" fillId="0" borderId="11" xfId="1" applyFont="1" applyBorder="1"/>
    <xf numFmtId="0" fontId="11" fillId="0" borderId="28" xfId="1" applyFont="1" applyBorder="1" applyAlignment="1">
      <alignment horizontal="center"/>
    </xf>
    <xf numFmtId="4" fontId="11" fillId="0" borderId="29" xfId="1" applyNumberFormat="1" applyFont="1" applyBorder="1" applyAlignment="1">
      <alignment horizontal="center"/>
    </xf>
    <xf numFmtId="0" fontId="11" fillId="0" borderId="14" xfId="1" applyFont="1" applyBorder="1"/>
    <xf numFmtId="0" fontId="11" fillId="0" borderId="30" xfId="1" applyFont="1" applyBorder="1" applyAlignment="1">
      <alignment horizontal="center"/>
    </xf>
    <xf numFmtId="4" fontId="11" fillId="0" borderId="31" xfId="1" applyNumberFormat="1" applyFont="1" applyBorder="1" applyAlignment="1">
      <alignment horizontal="center"/>
    </xf>
    <xf numFmtId="4" fontId="1" fillId="0" borderId="0" xfId="2" applyNumberFormat="1"/>
    <xf numFmtId="0" fontId="14" fillId="0" borderId="14" xfId="1" applyFont="1" applyBorder="1" applyAlignment="1">
      <alignment horizontal="center"/>
    </xf>
    <xf numFmtId="0" fontId="14" fillId="0" borderId="15" xfId="1" applyFont="1" applyBorder="1" applyAlignment="1">
      <alignment horizontal="center"/>
    </xf>
    <xf numFmtId="0" fontId="3" fillId="0" borderId="15" xfId="1" applyFont="1" applyBorder="1"/>
    <xf numFmtId="0" fontId="2" fillId="0" borderId="20" xfId="1" applyBorder="1"/>
    <xf numFmtId="4" fontId="11" fillId="0" borderId="0" xfId="2" applyNumberFormat="1" applyFont="1" applyBorder="1"/>
    <xf numFmtId="0" fontId="13" fillId="0" borderId="0" xfId="1" applyFont="1" applyBorder="1" applyAlignment="1">
      <alignment horizontal="center"/>
    </xf>
    <xf numFmtId="0" fontId="2" fillId="0" borderId="0" xfId="1" applyBorder="1"/>
    <xf numFmtId="0" fontId="3" fillId="0" borderId="0" xfId="1" applyFont="1" applyBorder="1"/>
    <xf numFmtId="4" fontId="3" fillId="0" borderId="0" xfId="1" applyNumberFormat="1" applyFont="1" applyBorder="1" applyAlignment="1">
      <alignment horizontal="center"/>
    </xf>
    <xf numFmtId="4" fontId="16" fillId="3" borderId="2" xfId="1" applyNumberFormat="1" applyFont="1" applyFill="1" applyBorder="1" applyAlignment="1">
      <alignment horizontal="right" vertical="center"/>
    </xf>
    <xf numFmtId="4" fontId="16" fillId="3" borderId="2" xfId="4" applyNumberFormat="1" applyFont="1" applyFill="1" applyBorder="1" applyAlignment="1">
      <alignment horizontal="right" vertical="center" wrapText="1"/>
    </xf>
    <xf numFmtId="4" fontId="16" fillId="3" borderId="2" xfId="4" applyNumberFormat="1" applyFont="1" applyFill="1" applyBorder="1" applyAlignment="1">
      <alignment horizontal="right" vertical="center"/>
    </xf>
    <xf numFmtId="0" fontId="18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left" vertical="center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Border="1"/>
    <xf numFmtId="49" fontId="4" fillId="0" borderId="3" xfId="0" applyNumberFormat="1" applyFont="1" applyFill="1" applyBorder="1" applyAlignment="1">
      <alignment horizontal="center" vertical="center"/>
    </xf>
    <xf numFmtId="0" fontId="4" fillId="0" borderId="3" xfId="0" applyFont="1" applyBorder="1"/>
    <xf numFmtId="0" fontId="3" fillId="0" borderId="2" xfId="1" applyNumberFormat="1" applyFont="1" applyBorder="1" applyAlignment="1">
      <alignment horizontal="justify" vertical="center"/>
    </xf>
    <xf numFmtId="0" fontId="3" fillId="2" borderId="2" xfId="1" applyFont="1" applyFill="1" applyBorder="1" applyAlignment="1">
      <alignment horizontal="justify" vertical="center"/>
    </xf>
    <xf numFmtId="4" fontId="2" fillId="0" borderId="0" xfId="0" applyNumberFormat="1" applyFont="1" applyAlignment="1">
      <alignment horizontal="right" vertical="top"/>
    </xf>
    <xf numFmtId="4" fontId="2" fillId="0" borderId="0" xfId="1" applyNumberFormat="1" applyFont="1" applyAlignment="1">
      <alignment horizontal="left" vertical="top"/>
    </xf>
    <xf numFmtId="0" fontId="13" fillId="0" borderId="0" xfId="0" applyFont="1"/>
    <xf numFmtId="0" fontId="9" fillId="0" borderId="0" xfId="0" applyFont="1"/>
    <xf numFmtId="0" fontId="11" fillId="0" borderId="0" xfId="0" applyFont="1"/>
    <xf numFmtId="0" fontId="11" fillId="0" borderId="0" xfId="0" applyFont="1" applyAlignment="1">
      <alignment horizontal="center"/>
    </xf>
    <xf numFmtId="0" fontId="13" fillId="0" borderId="0" xfId="0" applyFont="1" applyBorder="1" applyAlignment="1">
      <alignment horizontal="right"/>
    </xf>
    <xf numFmtId="10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11" fillId="0" borderId="36" xfId="0" applyFont="1" applyBorder="1" applyAlignment="1">
      <alignment horizontal="center"/>
    </xf>
    <xf numFmtId="0" fontId="13" fillId="0" borderId="36" xfId="0" applyFont="1" applyBorder="1" applyAlignment="1">
      <alignment horizontal="center"/>
    </xf>
    <xf numFmtId="0" fontId="13" fillId="0" borderId="36" xfId="0" applyFont="1" applyBorder="1" applyAlignment="1">
      <alignment horizontal="left" vertical="center" wrapText="1" readingOrder="1"/>
    </xf>
    <xf numFmtId="165" fontId="13" fillId="0" borderId="36" xfId="0" applyNumberFormat="1" applyFont="1" applyBorder="1" applyAlignment="1">
      <alignment horizontal="center"/>
    </xf>
    <xf numFmtId="4" fontId="13" fillId="0" borderId="36" xfId="0" applyNumberFormat="1" applyFont="1" applyBorder="1" applyAlignment="1">
      <alignment horizontal="center"/>
    </xf>
    <xf numFmtId="49" fontId="13" fillId="0" borderId="36" xfId="0" applyNumberFormat="1" applyFont="1" applyBorder="1" applyAlignment="1">
      <alignment wrapText="1"/>
    </xf>
    <xf numFmtId="4" fontId="12" fillId="0" borderId="36" xfId="0" applyNumberFormat="1" applyFont="1" applyBorder="1" applyAlignment="1">
      <alignment horizontal="left"/>
    </xf>
    <xf numFmtId="0" fontId="0" fillId="0" borderId="36" xfId="0" applyBorder="1" applyAlignment="1">
      <alignment horizontal="center"/>
    </xf>
    <xf numFmtId="4" fontId="12" fillId="0" borderId="36" xfId="0" applyNumberFormat="1" applyFont="1" applyBorder="1" applyAlignment="1">
      <alignment horizontal="center"/>
    </xf>
    <xf numFmtId="0" fontId="13" fillId="0" borderId="37" xfId="0" applyFont="1" applyBorder="1" applyAlignment="1">
      <alignment horizontal="center"/>
    </xf>
    <xf numFmtId="4" fontId="12" fillId="0" borderId="37" xfId="0" applyNumberFormat="1" applyFont="1" applyBorder="1" applyAlignment="1">
      <alignment horizontal="left"/>
    </xf>
    <xf numFmtId="10" fontId="13" fillId="0" borderId="37" xfId="0" applyNumberFormat="1" applyFont="1" applyBorder="1" applyAlignment="1">
      <alignment horizontal="center"/>
    </xf>
    <xf numFmtId="0" fontId="0" fillId="0" borderId="37" xfId="0" applyBorder="1" applyAlignment="1">
      <alignment horizontal="center"/>
    </xf>
    <xf numFmtId="4" fontId="13" fillId="0" borderId="37" xfId="0" applyNumberFormat="1" applyFont="1" applyBorder="1" applyAlignment="1">
      <alignment horizontal="center"/>
    </xf>
    <xf numFmtId="4" fontId="12" fillId="0" borderId="40" xfId="0" applyNumberFormat="1" applyFont="1" applyBorder="1" applyAlignment="1">
      <alignment horizontal="center"/>
    </xf>
    <xf numFmtId="4" fontId="12" fillId="0" borderId="0" xfId="0" applyNumberFormat="1" applyFont="1" applyBorder="1" applyAlignment="1">
      <alignment horizontal="left"/>
    </xf>
    <xf numFmtId="0" fontId="0" fillId="0" borderId="0" xfId="0" applyBorder="1" applyAlignment="1">
      <alignment horizontal="center"/>
    </xf>
    <xf numFmtId="4" fontId="12" fillId="0" borderId="0" xfId="0" applyNumberFormat="1" applyFont="1" applyBorder="1" applyAlignment="1">
      <alignment horizontal="center"/>
    </xf>
    <xf numFmtId="166" fontId="13" fillId="0" borderId="36" xfId="0" applyNumberFormat="1" applyFont="1" applyBorder="1" applyAlignment="1">
      <alignment horizontal="center"/>
    </xf>
    <xf numFmtId="0" fontId="13" fillId="0" borderId="41" xfId="1" applyFont="1" applyBorder="1" applyAlignment="1">
      <alignment horizontal="center"/>
    </xf>
    <xf numFmtId="0" fontId="14" fillId="0" borderId="42" xfId="1" applyFont="1" applyBorder="1" applyAlignment="1">
      <alignment horizontal="center" vertical="center" wrapText="1" readingOrder="1"/>
    </xf>
    <xf numFmtId="0" fontId="13" fillId="0" borderId="42" xfId="1" applyFont="1" applyBorder="1" applyAlignment="1">
      <alignment horizontal="center"/>
    </xf>
    <xf numFmtId="0" fontId="13" fillId="0" borderId="43" xfId="1" applyFont="1" applyBorder="1" applyAlignment="1">
      <alignment horizontal="center"/>
    </xf>
    <xf numFmtId="0" fontId="11" fillId="0" borderId="46" xfId="1" applyFont="1" applyBorder="1" applyAlignment="1">
      <alignment horizontal="center"/>
    </xf>
    <xf numFmtId="0" fontId="14" fillId="0" borderId="14" xfId="1" applyFont="1" applyBorder="1" applyAlignment="1">
      <alignment horizontal="left" vertical="center" wrapText="1" readingOrder="1"/>
    </xf>
    <xf numFmtId="0" fontId="11" fillId="0" borderId="47" xfId="1" applyFont="1" applyBorder="1" applyAlignment="1">
      <alignment horizontal="center"/>
    </xf>
    <xf numFmtId="0" fontId="14" fillId="0" borderId="48" xfId="1" applyFont="1" applyBorder="1" applyAlignment="1">
      <alignment horizontal="left" vertical="center" wrapText="1" readingOrder="1"/>
    </xf>
    <xf numFmtId="0" fontId="11" fillId="0" borderId="48" xfId="1" applyFont="1" applyBorder="1" applyAlignment="1">
      <alignment horizontal="center"/>
    </xf>
    <xf numFmtId="0" fontId="11" fillId="0" borderId="49" xfId="1" applyFont="1" applyBorder="1" applyAlignment="1">
      <alignment horizontal="center"/>
    </xf>
    <xf numFmtId="4" fontId="11" fillId="0" borderId="50" xfId="1" applyNumberFormat="1" applyFont="1" applyBorder="1" applyAlignment="1">
      <alignment horizontal="center"/>
    </xf>
    <xf numFmtId="4" fontId="14" fillId="0" borderId="51" xfId="1" applyNumberFormat="1" applyFont="1" applyBorder="1" applyAlignment="1">
      <alignment horizontal="center"/>
    </xf>
    <xf numFmtId="0" fontId="11" fillId="0" borderId="17" xfId="1" applyFont="1" applyBorder="1" applyAlignment="1">
      <alignment horizontal="center"/>
    </xf>
    <xf numFmtId="2" fontId="11" fillId="0" borderId="11" xfId="1" applyNumberFormat="1" applyFont="1" applyBorder="1" applyAlignment="1">
      <alignment horizontal="center"/>
    </xf>
    <xf numFmtId="0" fontId="14" fillId="0" borderId="54" xfId="1" applyFont="1" applyBorder="1" applyAlignment="1">
      <alignment horizontal="left" vertical="center" wrapText="1" readingOrder="1"/>
    </xf>
    <xf numFmtId="0" fontId="11" fillId="0" borderId="54" xfId="1" applyFont="1" applyBorder="1" applyAlignment="1">
      <alignment horizontal="center"/>
    </xf>
    <xf numFmtId="4" fontId="11" fillId="0" borderId="54" xfId="1" applyNumberFormat="1" applyFont="1" applyBorder="1" applyAlignment="1">
      <alignment horizontal="center"/>
    </xf>
    <xf numFmtId="4" fontId="14" fillId="0" borderId="55" xfId="1" applyNumberFormat="1" applyFont="1" applyBorder="1" applyAlignment="1">
      <alignment horizontal="center"/>
    </xf>
    <xf numFmtId="0" fontId="1" fillId="0" borderId="56" xfId="2" applyBorder="1"/>
    <xf numFmtId="0" fontId="11" fillId="0" borderId="10" xfId="1" applyFont="1" applyBorder="1" applyAlignment="1">
      <alignment horizontal="center"/>
    </xf>
    <xf numFmtId="0" fontId="11" fillId="0" borderId="41" xfId="1" applyFont="1" applyBorder="1" applyAlignment="1">
      <alignment horizontal="center"/>
    </xf>
    <xf numFmtId="4" fontId="14" fillId="0" borderId="0" xfId="0" applyNumberFormat="1" applyFont="1" applyBorder="1" applyAlignment="1">
      <alignment horizontal="center"/>
    </xf>
    <xf numFmtId="4" fontId="14" fillId="0" borderId="0" xfId="0" applyNumberFormat="1" applyFont="1" applyBorder="1"/>
    <xf numFmtId="0" fontId="13" fillId="0" borderId="0" xfId="1" applyFont="1"/>
    <xf numFmtId="0" fontId="11" fillId="0" borderId="0" xfId="1" applyFont="1"/>
    <xf numFmtId="0" fontId="24" fillId="0" borderId="4" xfId="1" applyFont="1" applyBorder="1" applyAlignment="1">
      <alignment horizontal="center"/>
    </xf>
    <xf numFmtId="0" fontId="14" fillId="0" borderId="0" xfId="1" applyFont="1" applyBorder="1" applyAlignment="1">
      <alignment horizontal="center"/>
    </xf>
    <xf numFmtId="0" fontId="2" fillId="0" borderId="23" xfId="1" applyBorder="1" applyAlignment="1">
      <alignment horizontal="center"/>
    </xf>
    <xf numFmtId="0" fontId="2" fillId="0" borderId="11" xfId="1" applyBorder="1"/>
    <xf numFmtId="0" fontId="2" fillId="0" borderId="11" xfId="1" applyFont="1" applyBorder="1" applyAlignment="1">
      <alignment horizontal="center"/>
    </xf>
    <xf numFmtId="0" fontId="2" fillId="0" borderId="11" xfId="1" applyBorder="1" applyAlignment="1">
      <alignment horizontal="center"/>
    </xf>
    <xf numFmtId="2" fontId="2" fillId="0" borderId="24" xfId="1" applyNumberFormat="1" applyBorder="1" applyAlignment="1">
      <alignment horizontal="center"/>
    </xf>
    <xf numFmtId="0" fontId="2" fillId="0" borderId="0" xfId="2" applyFont="1" applyAlignment="1">
      <alignment horizontal="right"/>
    </xf>
    <xf numFmtId="0" fontId="2" fillId="0" borderId="13" xfId="1" applyBorder="1" applyAlignment="1">
      <alignment horizontal="center"/>
    </xf>
    <xf numFmtId="0" fontId="2" fillId="0" borderId="14" xfId="1" applyBorder="1"/>
    <xf numFmtId="0" fontId="2" fillId="0" borderId="14" xfId="1" applyFont="1" applyBorder="1" applyAlignment="1">
      <alignment horizontal="center"/>
    </xf>
    <xf numFmtId="2" fontId="2" fillId="0" borderId="16" xfId="1" applyNumberFormat="1" applyBorder="1" applyAlignment="1">
      <alignment horizontal="center"/>
    </xf>
    <xf numFmtId="2" fontId="2" fillId="0" borderId="14" xfId="1" applyNumberFormat="1" applyBorder="1" applyAlignment="1">
      <alignment horizontal="center"/>
    </xf>
    <xf numFmtId="2" fontId="3" fillId="0" borderId="16" xfId="1" applyNumberFormat="1" applyFont="1" applyBorder="1" applyAlignment="1">
      <alignment horizontal="center"/>
    </xf>
    <xf numFmtId="0" fontId="2" fillId="0" borderId="15" xfId="1" applyBorder="1"/>
    <xf numFmtId="0" fontId="2" fillId="0" borderId="15" xfId="1" applyBorder="1" applyAlignment="1">
      <alignment horizontal="center"/>
    </xf>
    <xf numFmtId="2" fontId="2" fillId="0" borderId="18" xfId="1" applyNumberFormat="1" applyBorder="1" applyAlignment="1">
      <alignment horizontal="center"/>
    </xf>
    <xf numFmtId="0" fontId="3" fillId="0" borderId="14" xfId="1" applyFont="1" applyBorder="1"/>
    <xf numFmtId="0" fontId="3" fillId="0" borderId="14" xfId="1" applyFont="1" applyBorder="1" applyAlignment="1">
      <alignment horizontal="center"/>
    </xf>
    <xf numFmtId="0" fontId="13" fillId="0" borderId="0" xfId="1" applyFont="1" applyBorder="1"/>
    <xf numFmtId="4" fontId="11" fillId="0" borderId="0" xfId="1" applyNumberFormat="1" applyFont="1" applyBorder="1"/>
    <xf numFmtId="0" fontId="2" fillId="0" borderId="6" xfId="1" applyBorder="1" applyAlignment="1">
      <alignment horizontal="center"/>
    </xf>
    <xf numFmtId="0" fontId="3" fillId="0" borderId="7" xfId="1" applyFont="1" applyBorder="1"/>
    <xf numFmtId="4" fontId="3" fillId="0" borderId="7" xfId="1" applyNumberFormat="1" applyFont="1" applyBorder="1" applyAlignment="1">
      <alignment horizontal="center"/>
    </xf>
    <xf numFmtId="4" fontId="14" fillId="0" borderId="57" xfId="1" applyNumberFormat="1" applyFont="1" applyBorder="1" applyAlignment="1">
      <alignment horizontal="center"/>
    </xf>
    <xf numFmtId="0" fontId="13" fillId="0" borderId="58" xfId="1" applyFont="1" applyBorder="1" applyAlignment="1">
      <alignment horizontal="left"/>
    </xf>
    <xf numFmtId="0" fontId="13" fillId="0" borderId="58" xfId="1" applyFont="1" applyBorder="1" applyAlignment="1">
      <alignment horizontal="center"/>
    </xf>
    <xf numFmtId="0" fontId="11" fillId="0" borderId="15" xfId="1" applyFont="1" applyBorder="1" applyAlignment="1">
      <alignment wrapText="1"/>
    </xf>
    <xf numFmtId="0" fontId="11" fillId="0" borderId="61" xfId="1" applyFont="1" applyBorder="1" applyAlignment="1">
      <alignment horizontal="center"/>
    </xf>
    <xf numFmtId="2" fontId="11" fillId="0" borderId="15" xfId="1" applyNumberFormat="1" applyFont="1" applyBorder="1" applyAlignment="1">
      <alignment horizontal="center"/>
    </xf>
    <xf numFmtId="4" fontId="11" fillId="0" borderId="63" xfId="1" applyNumberFormat="1" applyFont="1" applyBorder="1" applyAlignment="1">
      <alignment horizontal="center"/>
    </xf>
    <xf numFmtId="0" fontId="11" fillId="0" borderId="14" xfId="1" applyFont="1" applyBorder="1" applyAlignment="1">
      <alignment wrapText="1"/>
    </xf>
    <xf numFmtId="4" fontId="11" fillId="0" borderId="12" xfId="1" applyNumberFormat="1" applyFont="1" applyBorder="1" applyAlignment="1">
      <alignment horizontal="center"/>
    </xf>
    <xf numFmtId="0" fontId="11" fillId="0" borderId="15" xfId="1" applyFont="1" applyBorder="1" applyAlignment="1">
      <alignment horizontal="center"/>
    </xf>
    <xf numFmtId="0" fontId="11" fillId="0" borderId="42" xfId="1" applyFont="1" applyBorder="1" applyAlignment="1">
      <alignment horizontal="center"/>
    </xf>
    <xf numFmtId="4" fontId="11" fillId="0" borderId="42" xfId="1" applyNumberFormat="1" applyFont="1" applyBorder="1" applyAlignment="1">
      <alignment horizontal="center"/>
    </xf>
    <xf numFmtId="4" fontId="14" fillId="0" borderId="43" xfId="1" applyNumberFormat="1" applyFont="1" applyBorder="1" applyAlignment="1">
      <alignment horizontal="center"/>
    </xf>
    <xf numFmtId="0" fontId="11" fillId="0" borderId="64" xfId="1" applyFont="1" applyBorder="1" applyAlignment="1">
      <alignment horizontal="left" vertical="center" wrapText="1" readingOrder="1"/>
    </xf>
    <xf numFmtId="4" fontId="11" fillId="0" borderId="18" xfId="1" applyNumberFormat="1" applyFont="1" applyBorder="1" applyAlignment="1">
      <alignment horizontal="center"/>
    </xf>
    <xf numFmtId="0" fontId="2" fillId="0" borderId="54" xfId="1" applyBorder="1" applyAlignment="1">
      <alignment horizontal="center"/>
    </xf>
    <xf numFmtId="0" fontId="13" fillId="0" borderId="65" xfId="1" applyFont="1" applyBorder="1" applyAlignment="1">
      <alignment horizontal="center"/>
    </xf>
    <xf numFmtId="0" fontId="13" fillId="0" borderId="7" xfId="1" applyFont="1" applyBorder="1" applyAlignment="1">
      <alignment horizontal="center"/>
    </xf>
    <xf numFmtId="0" fontId="13" fillId="0" borderId="57" xfId="1" applyFont="1" applyBorder="1" applyAlignment="1">
      <alignment horizontal="center"/>
    </xf>
    <xf numFmtId="0" fontId="11" fillId="0" borderId="15" xfId="1" applyFont="1" applyBorder="1" applyAlignment="1">
      <alignment horizontal="left" vertical="center" wrapText="1" readingOrder="1"/>
    </xf>
    <xf numFmtId="4" fontId="11" fillId="0" borderId="15" xfId="1" applyNumberFormat="1" applyFont="1" applyBorder="1" applyAlignment="1">
      <alignment horizontal="center"/>
    </xf>
    <xf numFmtId="0" fontId="11" fillId="0" borderId="48" xfId="1" applyFont="1" applyBorder="1" applyAlignment="1">
      <alignment horizontal="left" vertical="center" wrapText="1" readingOrder="1"/>
    </xf>
    <xf numFmtId="0" fontId="2" fillId="0" borderId="5" xfId="1" applyFont="1" applyBorder="1" applyAlignment="1">
      <alignment horizontal="justify" vertical="center" wrapText="1"/>
    </xf>
    <xf numFmtId="165" fontId="11" fillId="0" borderId="14" xfId="1" applyNumberFormat="1" applyFont="1" applyBorder="1" applyAlignment="1">
      <alignment horizontal="center"/>
    </xf>
    <xf numFmtId="0" fontId="13" fillId="0" borderId="9" xfId="1" applyFont="1" applyBorder="1" applyAlignment="1">
      <alignment horizontal="center"/>
    </xf>
    <xf numFmtId="0" fontId="11" fillId="0" borderId="14" xfId="1" applyFont="1" applyBorder="1" applyAlignment="1">
      <alignment horizontal="center" vertical="center" wrapText="1" readingOrder="1"/>
    </xf>
    <xf numFmtId="2" fontId="11" fillId="0" borderId="14" xfId="1" applyNumberFormat="1" applyFont="1" applyBorder="1" applyAlignment="1">
      <alignment horizontal="center" vertical="center" wrapText="1" readingOrder="1"/>
    </xf>
    <xf numFmtId="4" fontId="17" fillId="3" borderId="2" xfId="1" applyNumberFormat="1" applyFont="1" applyFill="1" applyBorder="1" applyAlignment="1">
      <alignment horizontal="right" vertical="center"/>
    </xf>
    <xf numFmtId="4" fontId="11" fillId="0" borderId="14" xfId="1" applyNumberFormat="1" applyFont="1" applyBorder="1" applyAlignment="1">
      <alignment horizontal="left"/>
    </xf>
    <xf numFmtId="0" fontId="4" fillId="0" borderId="5" xfId="0" applyFont="1" applyBorder="1" applyAlignment="1">
      <alignment horizontal="left" vertical="center"/>
    </xf>
    <xf numFmtId="4" fontId="0" fillId="0" borderId="0" xfId="0" applyNumberFormat="1" applyBorder="1"/>
    <xf numFmtId="43" fontId="0" fillId="0" borderId="0" xfId="0" applyNumberFormat="1" applyBorder="1"/>
    <xf numFmtId="49" fontId="23" fillId="0" borderId="0" xfId="0" applyNumberFormat="1" applyFont="1" applyBorder="1" applyAlignment="1">
      <alignment horizontal="left" vertical="top" wrapText="1"/>
    </xf>
    <xf numFmtId="49" fontId="23" fillId="0" borderId="0" xfId="0" applyNumberFormat="1" applyFont="1" applyBorder="1" applyAlignment="1">
      <alignment horizontal="center" vertical="top" wrapText="1"/>
    </xf>
    <xf numFmtId="4" fontId="2" fillId="0" borderId="0" xfId="1" applyNumberFormat="1" applyFont="1" applyAlignment="1">
      <alignment horizontal="center"/>
    </xf>
    <xf numFmtId="0" fontId="4" fillId="0" borderId="32" xfId="1" applyFont="1" applyBorder="1" applyAlignment="1">
      <alignment horizontal="center"/>
    </xf>
    <xf numFmtId="0" fontId="4" fillId="0" borderId="33" xfId="1" applyFont="1" applyBorder="1" applyAlignment="1">
      <alignment horizontal="center"/>
    </xf>
    <xf numFmtId="0" fontId="4" fillId="0" borderId="34" xfId="1" applyFont="1" applyBorder="1" applyAlignment="1">
      <alignment horizontal="center"/>
    </xf>
    <xf numFmtId="4" fontId="3" fillId="0" borderId="0" xfId="1" applyNumberFormat="1" applyFont="1" applyAlignment="1">
      <alignment horizontal="justify" vertical="top" wrapText="1"/>
    </xf>
    <xf numFmtId="0" fontId="3" fillId="0" borderId="0" xfId="1" applyFont="1" applyAlignment="1">
      <alignment horizontal="justify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left" wrapText="1"/>
    </xf>
    <xf numFmtId="0" fontId="4" fillId="0" borderId="0" xfId="1" applyNumberFormat="1" applyFont="1" applyAlignment="1">
      <alignment horizontal="justify" vertical="center" wrapText="1"/>
    </xf>
    <xf numFmtId="4" fontId="2" fillId="0" borderId="32" xfId="1" applyNumberFormat="1" applyFont="1" applyBorder="1" applyAlignment="1">
      <alignment horizontal="center" vertical="center"/>
    </xf>
    <xf numFmtId="4" fontId="2" fillId="0" borderId="33" xfId="1" applyNumberFormat="1" applyFont="1" applyBorder="1" applyAlignment="1">
      <alignment horizontal="center" vertical="center"/>
    </xf>
    <xf numFmtId="4" fontId="2" fillId="0" borderId="34" xfId="1" applyNumberFormat="1" applyFont="1" applyBorder="1" applyAlignment="1">
      <alignment horizontal="center" vertical="center"/>
    </xf>
    <xf numFmtId="0" fontId="9" fillId="2" borderId="0" xfId="0" applyNumberFormat="1" applyFont="1" applyFill="1" applyBorder="1" applyAlignment="1">
      <alignment horizontal="center" vertical="center"/>
    </xf>
    <xf numFmtId="0" fontId="4" fillId="2" borderId="4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14" fillId="0" borderId="0" xfId="2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35" xfId="0" applyFont="1" applyBorder="1" applyAlignment="1">
      <alignment horizontal="right"/>
    </xf>
    <xf numFmtId="0" fontId="12" fillId="0" borderId="36" xfId="0" applyFont="1" applyBorder="1" applyAlignment="1">
      <alignment horizontal="left"/>
    </xf>
    <xf numFmtId="4" fontId="12" fillId="0" borderId="38" xfId="0" applyNumberFormat="1" applyFont="1" applyBorder="1" applyAlignment="1">
      <alignment horizontal="center"/>
    </xf>
    <xf numFmtId="4" fontId="12" fillId="0" borderId="39" xfId="0" applyNumberFormat="1" applyFont="1" applyBorder="1" applyAlignment="1">
      <alignment horizontal="center"/>
    </xf>
    <xf numFmtId="0" fontId="12" fillId="0" borderId="32" xfId="2" applyFont="1" applyBorder="1" applyAlignment="1">
      <alignment horizontal="left"/>
    </xf>
    <xf numFmtId="0" fontId="12" fillId="0" borderId="33" xfId="2" applyFont="1" applyBorder="1" applyAlignment="1">
      <alignment horizontal="left"/>
    </xf>
    <xf numFmtId="0" fontId="12" fillId="0" borderId="34" xfId="2" applyFont="1" applyBorder="1" applyAlignment="1">
      <alignment horizontal="left"/>
    </xf>
    <xf numFmtId="0" fontId="13" fillId="0" borderId="32" xfId="1" applyFont="1" applyBorder="1" applyAlignment="1">
      <alignment horizontal="center"/>
    </xf>
    <xf numFmtId="0" fontId="13" fillId="0" borderId="34" xfId="1" applyFont="1" applyBorder="1" applyAlignment="1">
      <alignment horizontal="center"/>
    </xf>
    <xf numFmtId="4" fontId="11" fillId="0" borderId="28" xfId="1" applyNumberFormat="1" applyFont="1" applyBorder="1" applyAlignment="1">
      <alignment horizontal="center"/>
    </xf>
    <xf numFmtId="4" fontId="11" fillId="0" borderId="44" xfId="1" applyNumberFormat="1" applyFont="1" applyBorder="1" applyAlignment="1">
      <alignment horizontal="center"/>
    </xf>
    <xf numFmtId="4" fontId="11" fillId="0" borderId="30" xfId="1" applyNumberFormat="1" applyFont="1" applyBorder="1" applyAlignment="1">
      <alignment horizontal="center"/>
    </xf>
    <xf numFmtId="4" fontId="11" fillId="0" borderId="45" xfId="1" applyNumberFormat="1" applyFont="1" applyBorder="1" applyAlignment="1">
      <alignment horizontal="center"/>
    </xf>
    <xf numFmtId="4" fontId="11" fillId="0" borderId="52" xfId="1" applyNumberFormat="1" applyFont="1" applyBorder="1" applyAlignment="1">
      <alignment horizontal="center"/>
    </xf>
    <xf numFmtId="4" fontId="11" fillId="0" borderId="53" xfId="1" applyNumberFormat="1" applyFont="1" applyBorder="1" applyAlignment="1">
      <alignment horizontal="center"/>
    </xf>
    <xf numFmtId="0" fontId="24" fillId="0" borderId="32" xfId="1" applyFont="1" applyBorder="1" applyAlignment="1">
      <alignment horizontal="center"/>
    </xf>
    <xf numFmtId="0" fontId="24" fillId="0" borderId="34" xfId="1" applyFont="1" applyBorder="1" applyAlignment="1">
      <alignment horizontal="center"/>
    </xf>
    <xf numFmtId="0" fontId="14" fillId="0" borderId="0" xfId="1" applyFont="1" applyBorder="1" applyAlignment="1">
      <alignment horizontal="center"/>
    </xf>
    <xf numFmtId="2" fontId="2" fillId="0" borderId="28" xfId="1" applyNumberFormat="1" applyBorder="1" applyAlignment="1">
      <alignment horizontal="center"/>
    </xf>
    <xf numFmtId="2" fontId="2" fillId="0" borderId="44" xfId="1" applyNumberFormat="1" applyBorder="1" applyAlignment="1">
      <alignment horizontal="center"/>
    </xf>
    <xf numFmtId="2" fontId="2" fillId="0" borderId="30" xfId="1" applyNumberFormat="1" applyBorder="1" applyAlignment="1">
      <alignment horizontal="center"/>
    </xf>
    <xf numFmtId="2" fontId="2" fillId="0" borderId="45" xfId="1" applyNumberFormat="1" applyBorder="1" applyAlignment="1">
      <alignment horizontal="center"/>
    </xf>
    <xf numFmtId="0" fontId="13" fillId="0" borderId="59" xfId="1" applyFont="1" applyBorder="1" applyAlignment="1">
      <alignment horizontal="center"/>
    </xf>
    <xf numFmtId="0" fontId="13" fillId="0" borderId="60" xfId="1" applyFont="1" applyBorder="1" applyAlignment="1">
      <alignment horizontal="center"/>
    </xf>
    <xf numFmtId="4" fontId="11" fillId="0" borderId="61" xfId="1" applyNumberFormat="1" applyFont="1" applyBorder="1" applyAlignment="1">
      <alignment horizontal="center"/>
    </xf>
    <xf numFmtId="4" fontId="11" fillId="0" borderId="62" xfId="1" applyNumberFormat="1" applyFont="1" applyBorder="1" applyAlignment="1">
      <alignment horizontal="center"/>
    </xf>
  </cellXfs>
  <cellStyles count="5">
    <cellStyle name="Normal" xfId="0" builtinId="0"/>
    <cellStyle name="Normal 2" xfId="1"/>
    <cellStyle name="Normal_Análise de Custo FEIRA DA MATA 144513.10" xfId="2"/>
    <cellStyle name="Separador de milhares 2" xfId="3"/>
    <cellStyle name="Vírgula" xfId="4" builtinId="3"/>
  </cellStyles>
  <dxfs count="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38100</xdr:rowOff>
    </xdr:from>
    <xdr:to>
      <xdr:col>1</xdr:col>
      <xdr:colOff>1504950</xdr:colOff>
      <xdr:row>3</xdr:row>
      <xdr:rowOff>9525</xdr:rowOff>
    </xdr:to>
    <xdr:pic>
      <xdr:nvPicPr>
        <xdr:cNvPr id="1130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"/>
          <a:ext cx="222885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47625</xdr:rowOff>
    </xdr:from>
    <xdr:to>
      <xdr:col>1</xdr:col>
      <xdr:colOff>1647825</xdr:colOff>
      <xdr:row>3</xdr:row>
      <xdr:rowOff>19050</xdr:rowOff>
    </xdr:to>
    <xdr:pic>
      <xdr:nvPicPr>
        <xdr:cNvPr id="1335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47625"/>
          <a:ext cx="204787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47625</xdr:rowOff>
    </xdr:from>
    <xdr:to>
      <xdr:col>1</xdr:col>
      <xdr:colOff>1781175</xdr:colOff>
      <xdr:row>3</xdr:row>
      <xdr:rowOff>19050</xdr:rowOff>
    </xdr:to>
    <xdr:pic>
      <xdr:nvPicPr>
        <xdr:cNvPr id="1751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47625"/>
          <a:ext cx="234315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47625</xdr:colOff>
      <xdr:row>0</xdr:row>
      <xdr:rowOff>47625</xdr:rowOff>
    </xdr:from>
    <xdr:to>
      <xdr:col>1</xdr:col>
      <xdr:colOff>1781175</xdr:colOff>
      <xdr:row>3</xdr:row>
      <xdr:rowOff>19050</xdr:rowOff>
    </xdr:to>
    <xdr:pic>
      <xdr:nvPicPr>
        <xdr:cNvPr id="1751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47625"/>
          <a:ext cx="234315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47625</xdr:colOff>
      <xdr:row>0</xdr:row>
      <xdr:rowOff>47625</xdr:rowOff>
    </xdr:from>
    <xdr:to>
      <xdr:col>1</xdr:col>
      <xdr:colOff>1781175</xdr:colOff>
      <xdr:row>3</xdr:row>
      <xdr:rowOff>19050</xdr:rowOff>
    </xdr:to>
    <xdr:pic>
      <xdr:nvPicPr>
        <xdr:cNvPr id="17516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47625"/>
          <a:ext cx="234315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0"/>
  <sheetViews>
    <sheetView showGridLines="0" tabSelected="1" view="pageBreakPreview" topLeftCell="A25" zoomScaleNormal="100" zoomScaleSheetLayoutView="100" workbookViewId="0">
      <selection activeCell="L35" sqref="L35"/>
    </sheetView>
  </sheetViews>
  <sheetFormatPr defaultRowHeight="12.75"/>
  <cols>
    <col min="1" max="1" width="11.140625" style="2" customWidth="1"/>
    <col min="2" max="2" width="53.85546875" style="2" customWidth="1"/>
    <col min="3" max="3" width="7.42578125" style="2" bestFit="1" customWidth="1"/>
    <col min="4" max="4" width="16.42578125" style="3" customWidth="1"/>
    <col min="5" max="5" width="14.28515625" style="3" customWidth="1"/>
    <col min="6" max="6" width="16.5703125" style="4" customWidth="1"/>
    <col min="7" max="7" width="3.28515625" style="2" customWidth="1"/>
    <col min="8" max="8" width="10.85546875" style="2" customWidth="1"/>
    <col min="9" max="9" width="11.7109375" style="2" customWidth="1"/>
    <col min="10" max="10" width="12.140625" style="2" customWidth="1"/>
    <col min="11" max="16384" width="9.140625" style="2"/>
  </cols>
  <sheetData>
    <row r="1" spans="1:11" s="9" customFormat="1" ht="12.75" customHeight="1">
      <c r="A1" s="259" t="s">
        <v>200</v>
      </c>
      <c r="B1" s="259"/>
      <c r="C1" s="259"/>
      <c r="D1" s="259"/>
      <c r="E1" s="259"/>
      <c r="F1" s="259"/>
      <c r="G1" s="259"/>
    </row>
    <row r="2" spans="1:11" s="9" customFormat="1" ht="12.75" customHeight="1">
      <c r="A2" s="260" t="s">
        <v>201</v>
      </c>
      <c r="B2" s="260"/>
      <c r="C2" s="260"/>
      <c r="D2" s="260"/>
      <c r="E2" s="260"/>
      <c r="F2" s="260"/>
      <c r="G2" s="260"/>
      <c r="H2" s="260"/>
      <c r="I2" s="260"/>
      <c r="J2" s="260"/>
    </row>
    <row r="3" spans="1:11" s="9" customFormat="1" ht="12.75" customHeight="1">
      <c r="A3" s="260" t="s">
        <v>89</v>
      </c>
      <c r="B3" s="260"/>
      <c r="C3" s="260"/>
      <c r="D3" s="260"/>
      <c r="E3" s="260"/>
      <c r="F3" s="260"/>
      <c r="G3" s="260"/>
    </row>
    <row r="4" spans="1:11" ht="26.25">
      <c r="A4" s="17"/>
      <c r="B4" s="5"/>
    </row>
    <row r="6" spans="1:11" customFormat="1" ht="30" customHeight="1">
      <c r="A6" s="6" t="s">
        <v>18</v>
      </c>
      <c r="B6" s="267" t="s">
        <v>100</v>
      </c>
      <c r="C6" s="267"/>
      <c r="D6" s="7"/>
      <c r="E6" s="150" t="s">
        <v>121</v>
      </c>
      <c r="F6" s="151">
        <v>76000</v>
      </c>
      <c r="G6" s="74"/>
    </row>
    <row r="7" spans="1:11" customFormat="1">
      <c r="A7" s="6"/>
      <c r="B7" s="267"/>
      <c r="C7" s="267"/>
      <c r="D7" s="8"/>
      <c r="E7" s="6"/>
    </row>
    <row r="8" spans="1:11" customFormat="1">
      <c r="A8" s="6"/>
      <c r="B8" s="16"/>
      <c r="C8" s="16"/>
      <c r="D8" s="8"/>
      <c r="E8" s="6"/>
    </row>
    <row r="9" spans="1:11" customFormat="1">
      <c r="A9" s="268" t="s">
        <v>199</v>
      </c>
      <c r="B9" s="268"/>
      <c r="C9" s="268"/>
      <c r="D9" s="268"/>
      <c r="E9" s="1"/>
    </row>
    <row r="10" spans="1:11" ht="15.75">
      <c r="A10" s="269"/>
      <c r="B10" s="269"/>
      <c r="C10" s="269"/>
      <c r="D10" s="269"/>
      <c r="E10" s="269"/>
      <c r="F10" s="269"/>
    </row>
    <row r="11" spans="1:11" ht="15.75">
      <c r="A11" s="262" t="s">
        <v>9</v>
      </c>
      <c r="B11" s="263"/>
      <c r="C11" s="263"/>
      <c r="D11" s="263"/>
      <c r="E11" s="263"/>
      <c r="F11" s="264"/>
    </row>
    <row r="12" spans="1:11">
      <c r="A12" s="38" t="s">
        <v>10</v>
      </c>
      <c r="B12" s="38" t="s">
        <v>11</v>
      </c>
      <c r="C12" s="38" t="s">
        <v>12</v>
      </c>
      <c r="D12" s="39" t="s">
        <v>1</v>
      </c>
      <c r="E12" s="39" t="s">
        <v>98</v>
      </c>
      <c r="F12" s="39" t="s">
        <v>97</v>
      </c>
    </row>
    <row r="13" spans="1:11" ht="13.5">
      <c r="A13" s="18"/>
      <c r="B13" s="19"/>
      <c r="C13" s="20"/>
      <c r="D13" s="21"/>
      <c r="E13" s="21"/>
      <c r="F13" s="21"/>
      <c r="G13" s="70"/>
    </row>
    <row r="14" spans="1:11" ht="13.5">
      <c r="A14" s="22" t="s">
        <v>2</v>
      </c>
      <c r="B14" s="23" t="s">
        <v>14</v>
      </c>
      <c r="C14" s="24"/>
      <c r="D14" s="25"/>
      <c r="E14" s="25"/>
      <c r="F14" s="63">
        <f>SUM(F15:F20)</f>
        <v>92568.359999999986</v>
      </c>
      <c r="G14" s="70"/>
      <c r="I14" s="3"/>
    </row>
    <row r="15" spans="1:11" ht="13.5">
      <c r="A15" s="22" t="s">
        <v>3</v>
      </c>
      <c r="B15" s="26" t="s">
        <v>15</v>
      </c>
      <c r="C15" s="27" t="s">
        <v>4</v>
      </c>
      <c r="D15" s="28">
        <f>1</f>
        <v>1</v>
      </c>
      <c r="E15" s="28">
        <f>'Composição dos Custos'!F20</f>
        <v>3558.056</v>
      </c>
      <c r="F15" s="25">
        <f t="shared" ref="F15:F20" si="0">ROUND(D15*E15,2)</f>
        <v>3558.06</v>
      </c>
      <c r="G15" s="71"/>
      <c r="K15" s="3"/>
    </row>
    <row r="16" spans="1:11" ht="13.5">
      <c r="A16" s="22" t="s">
        <v>5</v>
      </c>
      <c r="B16" s="26" t="s">
        <v>16</v>
      </c>
      <c r="C16" s="27" t="s">
        <v>4</v>
      </c>
      <c r="D16" s="28">
        <f>1</f>
        <v>1</v>
      </c>
      <c r="E16" s="28">
        <f>'Composição dos Custos'!F28</f>
        <v>3558.056</v>
      </c>
      <c r="F16" s="25">
        <f t="shared" si="0"/>
        <v>3558.06</v>
      </c>
      <c r="G16" s="71"/>
      <c r="K16" s="3"/>
    </row>
    <row r="17" spans="1:8" ht="13.5">
      <c r="A17" s="22" t="s">
        <v>8</v>
      </c>
      <c r="B17" s="29" t="s">
        <v>101</v>
      </c>
      <c r="C17" s="30" t="s">
        <v>51</v>
      </c>
      <c r="D17" s="25">
        <f>6*10</f>
        <v>60</v>
      </c>
      <c r="E17" s="25">
        <f>'Composição dos Custos'!G62</f>
        <v>220.21545640000002</v>
      </c>
      <c r="F17" s="25">
        <f t="shared" si="0"/>
        <v>13212.93</v>
      </c>
      <c r="G17" s="71"/>
    </row>
    <row r="18" spans="1:8" ht="13.5">
      <c r="A18" s="22" t="s">
        <v>13</v>
      </c>
      <c r="B18" s="29" t="s">
        <v>56</v>
      </c>
      <c r="C18" s="30" t="s">
        <v>52</v>
      </c>
      <c r="D18" s="25">
        <v>4</v>
      </c>
      <c r="E18" s="134">
        <f>'Composição dos Custos'!G83</f>
        <v>15121.345168</v>
      </c>
      <c r="F18" s="25">
        <f t="shared" si="0"/>
        <v>60485.38</v>
      </c>
      <c r="G18" s="71"/>
    </row>
    <row r="19" spans="1:8" ht="13.5">
      <c r="A19" s="22" t="s">
        <v>17</v>
      </c>
      <c r="B19" s="249" t="s">
        <v>172</v>
      </c>
      <c r="C19" s="30" t="s">
        <v>174</v>
      </c>
      <c r="D19" s="25">
        <v>45</v>
      </c>
      <c r="E19" s="134">
        <f>'Composição dos Custos'!G96</f>
        <v>203.6576</v>
      </c>
      <c r="F19" s="25">
        <f t="shared" si="0"/>
        <v>9164.59</v>
      </c>
      <c r="G19" s="71"/>
    </row>
    <row r="20" spans="1:8" ht="13.5">
      <c r="A20" s="22" t="s">
        <v>173</v>
      </c>
      <c r="B20" s="48" t="s">
        <v>102</v>
      </c>
      <c r="C20" s="27" t="s">
        <v>51</v>
      </c>
      <c r="D20" s="28">
        <v>12</v>
      </c>
      <c r="E20" s="135">
        <f>'Composição dos Custos'!G117</f>
        <v>215.77847600000001</v>
      </c>
      <c r="F20" s="25">
        <f t="shared" si="0"/>
        <v>2589.34</v>
      </c>
      <c r="G20" s="71"/>
      <c r="H20" s="76"/>
    </row>
    <row r="21" spans="1:8" ht="13.5">
      <c r="A21" s="22"/>
      <c r="B21" s="23"/>
      <c r="C21" s="24"/>
      <c r="D21" s="25"/>
      <c r="E21" s="134"/>
      <c r="F21" s="25"/>
      <c r="G21" s="70"/>
      <c r="H21" s="75"/>
    </row>
    <row r="22" spans="1:8" ht="13.5">
      <c r="A22" s="22" t="s">
        <v>6</v>
      </c>
      <c r="B22" s="26" t="s">
        <v>90</v>
      </c>
      <c r="C22" s="27"/>
      <c r="D22" s="28"/>
      <c r="E22" s="135"/>
      <c r="F22" s="63">
        <f>SUM(F23:F30)</f>
        <v>4194328.8599999994</v>
      </c>
      <c r="G22" s="70"/>
      <c r="H22" s="75"/>
    </row>
    <row r="23" spans="1:8" ht="13.5">
      <c r="A23" s="22" t="s">
        <v>7</v>
      </c>
      <c r="B23" s="23" t="s">
        <v>122</v>
      </c>
      <c r="C23" s="27" t="s">
        <v>51</v>
      </c>
      <c r="D23" s="28">
        <f>(F6*2*0.3)</f>
        <v>45600</v>
      </c>
      <c r="E23" s="135">
        <f>'Composição dos Custos'!G134</f>
        <v>0.33616537396121882</v>
      </c>
      <c r="F23" s="134">
        <f>ROUND(D23*E23,2)</f>
        <v>15329.14</v>
      </c>
      <c r="G23" s="71"/>
      <c r="H23" s="137"/>
    </row>
    <row r="24" spans="1:8" ht="25.5">
      <c r="A24" s="22" t="s">
        <v>91</v>
      </c>
      <c r="B24" s="23" t="s">
        <v>116</v>
      </c>
      <c r="C24" s="27" t="s">
        <v>0</v>
      </c>
      <c r="D24" s="28">
        <f>D23*0.2</f>
        <v>9120</v>
      </c>
      <c r="E24" s="135">
        <f>'Composição dos Custos'!G155</f>
        <v>9.2503999999999991</v>
      </c>
      <c r="F24" s="134">
        <f t="shared" ref="F24:F30" si="1">ROUND(D24*E24,2)</f>
        <v>84363.65</v>
      </c>
      <c r="G24" s="71"/>
      <c r="H24" s="137"/>
    </row>
    <row r="25" spans="1:8" ht="13.5">
      <c r="A25" s="22" t="s">
        <v>92</v>
      </c>
      <c r="B25" s="23" t="s">
        <v>120</v>
      </c>
      <c r="C25" s="27" t="s">
        <v>115</v>
      </c>
      <c r="D25" s="28">
        <f>(F6*5)/10000</f>
        <v>38</v>
      </c>
      <c r="E25" s="135">
        <f>'Composição dos Custos'!G172</f>
        <v>190.53840000000002</v>
      </c>
      <c r="F25" s="134">
        <f t="shared" si="1"/>
        <v>7240.46</v>
      </c>
      <c r="G25" s="71"/>
      <c r="H25" s="137"/>
    </row>
    <row r="26" spans="1:8" ht="38.25">
      <c r="A26" s="22" t="s">
        <v>93</v>
      </c>
      <c r="B26" s="26" t="s">
        <v>117</v>
      </c>
      <c r="C26" s="27" t="s">
        <v>0</v>
      </c>
      <c r="D26" s="28">
        <f>F6*5*0.2*1.3</f>
        <v>98800</v>
      </c>
      <c r="E26" s="135">
        <f>'Composição dos Custos'!G195</f>
        <v>22.160073972602746</v>
      </c>
      <c r="F26" s="134">
        <f t="shared" si="1"/>
        <v>2189415.31</v>
      </c>
      <c r="G26" s="71"/>
      <c r="H26" s="137"/>
    </row>
    <row r="27" spans="1:8" ht="13.5">
      <c r="A27" s="22" t="s">
        <v>109</v>
      </c>
      <c r="B27" s="23" t="s">
        <v>103</v>
      </c>
      <c r="C27" s="27" t="s">
        <v>51</v>
      </c>
      <c r="D27" s="28">
        <f>F6*5</f>
        <v>380000</v>
      </c>
      <c r="E27" s="135">
        <f>'Composição dos Custos'!G222</f>
        <v>0.76045469678953626</v>
      </c>
      <c r="F27" s="134">
        <f t="shared" si="1"/>
        <v>288972.78000000003</v>
      </c>
      <c r="G27" s="71"/>
      <c r="H27" s="137"/>
    </row>
    <row r="28" spans="1:8" ht="13.5">
      <c r="A28" s="22" t="s">
        <v>94</v>
      </c>
      <c r="B28" s="26" t="s">
        <v>104</v>
      </c>
      <c r="C28" s="27" t="s">
        <v>0</v>
      </c>
      <c r="D28" s="28">
        <f>D26</f>
        <v>98800</v>
      </c>
      <c r="E28" s="135">
        <f>'Composição dos Custos'!G245</f>
        <v>3.2411315789473685</v>
      </c>
      <c r="F28" s="134">
        <f t="shared" si="1"/>
        <v>320223.8</v>
      </c>
      <c r="G28" s="71"/>
      <c r="H28" s="137"/>
    </row>
    <row r="29" spans="1:8" ht="25.5">
      <c r="A29" s="22" t="s">
        <v>95</v>
      </c>
      <c r="B29" s="26" t="s">
        <v>105</v>
      </c>
      <c r="C29" s="27" t="s">
        <v>119</v>
      </c>
      <c r="D29" s="135">
        <f>(('Composição dos Custos'!J239+'Composição dos Custos'!K214)/1000)*10</f>
        <v>44280.618311533894</v>
      </c>
      <c r="E29" s="135">
        <f>'Composição dos Custos'!G259</f>
        <v>1.1266164383561643</v>
      </c>
      <c r="F29" s="134">
        <f t="shared" si="1"/>
        <v>49887.27</v>
      </c>
      <c r="G29" s="71"/>
      <c r="H29" s="137"/>
    </row>
    <row r="30" spans="1:8" ht="13.5">
      <c r="A30" s="22" t="s">
        <v>96</v>
      </c>
      <c r="B30" s="26" t="s">
        <v>118</v>
      </c>
      <c r="C30" s="27" t="s">
        <v>119</v>
      </c>
      <c r="D30" s="135">
        <f>(D26/1.5)*30</f>
        <v>1976000.0000000002</v>
      </c>
      <c r="E30" s="135">
        <f>'Composição dos Custos'!G273</f>
        <v>0.62697188755020083</v>
      </c>
      <c r="F30" s="134">
        <f t="shared" si="1"/>
        <v>1238896.45</v>
      </c>
      <c r="G30" s="71"/>
      <c r="H30" s="137"/>
    </row>
    <row r="31" spans="1:8" ht="13.5">
      <c r="A31" s="22"/>
      <c r="B31" s="26"/>
      <c r="C31" s="27"/>
      <c r="D31" s="28"/>
      <c r="E31" s="135"/>
      <c r="F31" s="25"/>
      <c r="G31" s="71"/>
      <c r="H31" s="137"/>
    </row>
    <row r="32" spans="1:8" ht="13.5">
      <c r="A32" s="22" t="s">
        <v>110</v>
      </c>
      <c r="B32" s="149" t="s">
        <v>106</v>
      </c>
      <c r="C32" s="24"/>
      <c r="D32" s="25"/>
      <c r="E32" s="135"/>
      <c r="F32" s="63">
        <f>SUM(F33:F34)</f>
        <v>95540.29</v>
      </c>
      <c r="G32" s="70"/>
      <c r="H32" s="137"/>
    </row>
    <row r="33" spans="1:9" ht="12.75" customHeight="1">
      <c r="A33" s="22" t="s">
        <v>111</v>
      </c>
      <c r="B33" s="23" t="s">
        <v>197</v>
      </c>
      <c r="C33" s="24" t="s">
        <v>51</v>
      </c>
      <c r="D33" s="134">
        <f>50*20</f>
        <v>1000</v>
      </c>
      <c r="E33" s="134">
        <f>'Composição dos Custos'!G290</f>
        <v>94.830611999999988</v>
      </c>
      <c r="F33" s="134">
        <f t="shared" ref="F33:F34" si="2">ROUND(D33*E33,2)</f>
        <v>94830.61</v>
      </c>
      <c r="G33" s="70"/>
      <c r="H33" s="137"/>
    </row>
    <row r="34" spans="1:9" ht="13.5">
      <c r="A34" s="22" t="s">
        <v>112</v>
      </c>
      <c r="B34" s="31" t="s">
        <v>107</v>
      </c>
      <c r="C34" s="30" t="s">
        <v>51</v>
      </c>
      <c r="D34" s="134">
        <f>D33*0.4</f>
        <v>400</v>
      </c>
      <c r="E34" s="134">
        <f>'Composição dos Custos'!G304</f>
        <v>1.7741920000000002</v>
      </c>
      <c r="F34" s="134">
        <f t="shared" si="2"/>
        <v>709.68</v>
      </c>
      <c r="G34" s="71"/>
      <c r="H34" s="76"/>
    </row>
    <row r="35" spans="1:9" ht="13.5">
      <c r="A35" s="22"/>
      <c r="B35" s="31"/>
      <c r="C35" s="30"/>
      <c r="D35" s="134"/>
      <c r="E35" s="134"/>
      <c r="F35" s="134"/>
      <c r="G35" s="71"/>
      <c r="H35" s="76"/>
    </row>
    <row r="36" spans="1:9" ht="13.5">
      <c r="A36" s="22" t="s">
        <v>113</v>
      </c>
      <c r="B36" s="148" t="s">
        <v>108</v>
      </c>
      <c r="C36" s="27"/>
      <c r="D36" s="134"/>
      <c r="E36" s="134"/>
      <c r="F36" s="254">
        <f>SUM(F37:F37)</f>
        <v>37271.42</v>
      </c>
      <c r="G36" s="71"/>
      <c r="H36" s="76"/>
    </row>
    <row r="37" spans="1:9" ht="38.25">
      <c r="A37" s="22" t="s">
        <v>114</v>
      </c>
      <c r="B37" s="32" t="s">
        <v>188</v>
      </c>
      <c r="C37" s="30" t="s">
        <v>52</v>
      </c>
      <c r="D37" s="136">
        <v>4</v>
      </c>
      <c r="E37" s="136">
        <f>'Composição dos Custos'!G318</f>
        <v>9317.8559999999998</v>
      </c>
      <c r="F37" s="134">
        <f>ROUND(D37*E37,2)</f>
        <v>37271.42</v>
      </c>
      <c r="G37" s="71"/>
      <c r="H37" s="76"/>
    </row>
    <row r="38" spans="1:9" ht="13.5">
      <c r="A38" s="33"/>
      <c r="B38" s="34"/>
      <c r="C38" s="35"/>
      <c r="D38" s="36"/>
      <c r="E38" s="36"/>
      <c r="F38" s="36"/>
    </row>
    <row r="39" spans="1:9">
      <c r="A39" s="37"/>
      <c r="B39" s="72" t="s">
        <v>78</v>
      </c>
      <c r="C39" s="270"/>
      <c r="D39" s="271"/>
      <c r="E39" s="272"/>
      <c r="F39" s="64">
        <f>F14+F22+F32+F36</f>
        <v>4419708.93</v>
      </c>
      <c r="H39" s="261"/>
      <c r="I39" s="261"/>
    </row>
    <row r="40" spans="1:9" ht="29.25" customHeight="1">
      <c r="A40" s="265"/>
      <c r="B40" s="266"/>
      <c r="C40" s="266"/>
      <c r="D40" s="266"/>
      <c r="E40" s="266"/>
      <c r="F40" s="266"/>
      <c r="H40" s="3"/>
    </row>
  </sheetData>
  <mergeCells count="12">
    <mergeCell ref="A40:F40"/>
    <mergeCell ref="B6:C6"/>
    <mergeCell ref="B7:C7"/>
    <mergeCell ref="A9:D9"/>
    <mergeCell ref="A10:F10"/>
    <mergeCell ref="C39:E39"/>
    <mergeCell ref="A1:G1"/>
    <mergeCell ref="A3:G3"/>
    <mergeCell ref="H39:I39"/>
    <mergeCell ref="A11:F11"/>
    <mergeCell ref="A2:G2"/>
    <mergeCell ref="H2:J2"/>
  </mergeCells>
  <phoneticPr fontId="10" type="noConversion"/>
  <conditionalFormatting sqref="F40">
    <cfRule type="expression" dxfId="7" priority="26" stopIfTrue="1">
      <formula>LEFT($B40,5)="Total"</formula>
    </cfRule>
  </conditionalFormatting>
  <conditionalFormatting sqref="B14:B16 B20:B24 B29:B40">
    <cfRule type="expression" dxfId="6" priority="25" stopIfTrue="1">
      <formula>OR(RIGHT($A14,2)="00",$A14="")</formula>
    </cfRule>
  </conditionalFormatting>
  <conditionalFormatting sqref="F14:F39">
    <cfRule type="expression" dxfId="5" priority="24" stopIfTrue="1">
      <formula>OR(RIGHT($A14,2)="00",LEFT($B14,5)="Total")</formula>
    </cfRule>
  </conditionalFormatting>
  <conditionalFormatting sqref="A14:A40">
    <cfRule type="expression" dxfId="4" priority="23" stopIfTrue="1">
      <formula>RIGHT(A14,2)="00"</formula>
    </cfRule>
  </conditionalFormatting>
  <conditionalFormatting sqref="B25">
    <cfRule type="expression" dxfId="3" priority="12" stopIfTrue="1">
      <formula>OR(RIGHT($A25,2)="00",$A25="")</formula>
    </cfRule>
  </conditionalFormatting>
  <conditionalFormatting sqref="B26">
    <cfRule type="expression" dxfId="2" priority="9" stopIfTrue="1">
      <formula>OR(RIGHT($A26,2)="00",$A26="")</formula>
    </cfRule>
  </conditionalFormatting>
  <conditionalFormatting sqref="B27">
    <cfRule type="expression" dxfId="1" priority="6" stopIfTrue="1">
      <formula>OR(RIGHT($A27,2)="00",$A27="")</formula>
    </cfRule>
  </conditionalFormatting>
  <conditionalFormatting sqref="B28">
    <cfRule type="expression" dxfId="0" priority="3" stopIfTrue="1">
      <formula>OR(RIGHT($A28,2)="00",$A28="")</formula>
    </cfRule>
  </conditionalFormatting>
  <pageMargins left="0.98425196850393704" right="0.59055118110236227" top="0.78740157480314965" bottom="0.78740157480314965" header="0.51181102362204722" footer="0.59055118110236227"/>
  <pageSetup paperSize="9" scale="5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showGridLines="0" topLeftCell="A4" workbookViewId="0">
      <selection activeCell="E30" sqref="E30"/>
    </sheetView>
  </sheetViews>
  <sheetFormatPr defaultRowHeight="12.75"/>
  <cols>
    <col min="1" max="1" width="6.7109375" customWidth="1"/>
    <col min="2" max="2" width="31.5703125" customWidth="1"/>
    <col min="3" max="3" width="15.85546875" customWidth="1"/>
    <col min="4" max="4" width="17.5703125" customWidth="1"/>
    <col min="5" max="5" width="17.42578125" customWidth="1"/>
    <col min="6" max="6" width="16" customWidth="1"/>
    <col min="7" max="7" width="20" customWidth="1"/>
    <col min="9" max="9" width="11.7109375" bestFit="1" customWidth="1"/>
  </cols>
  <sheetData>
    <row r="1" spans="1:12" s="9" customFormat="1" ht="15.75" customHeight="1">
      <c r="A1" s="73"/>
      <c r="B1" s="73"/>
      <c r="C1" s="259" t="s">
        <v>85</v>
      </c>
      <c r="D1" s="259"/>
      <c r="E1" s="259"/>
      <c r="F1" s="259"/>
    </row>
    <row r="2" spans="1:12" s="9" customFormat="1" ht="15.75">
      <c r="A2" s="73"/>
      <c r="B2" s="73"/>
      <c r="C2" s="259" t="s">
        <v>86</v>
      </c>
      <c r="D2" s="259"/>
      <c r="E2" s="259"/>
      <c r="F2" s="259"/>
      <c r="G2" s="259"/>
    </row>
    <row r="3" spans="1:12" s="9" customFormat="1" ht="15.75">
      <c r="A3" s="73"/>
      <c r="B3" s="73"/>
      <c r="C3" s="259" t="s">
        <v>87</v>
      </c>
      <c r="D3" s="259"/>
      <c r="E3" s="259"/>
      <c r="F3" s="259"/>
    </row>
    <row r="5" spans="1:12" s="47" customFormat="1">
      <c r="A5" s="69" t="s">
        <v>195</v>
      </c>
      <c r="B5" s="50"/>
      <c r="C5" s="50"/>
      <c r="D5" s="5"/>
      <c r="E5" s="68"/>
      <c r="F5" s="49"/>
    </row>
    <row r="6" spans="1:12" ht="15">
      <c r="A6" s="10"/>
      <c r="B6" s="11"/>
      <c r="C6" s="12"/>
      <c r="D6" s="12"/>
      <c r="E6" s="13"/>
    </row>
    <row r="7" spans="1:12" ht="15">
      <c r="A7" s="10"/>
      <c r="B7" s="11"/>
      <c r="C7" s="12"/>
      <c r="D7" s="12"/>
      <c r="E7" s="14"/>
      <c r="F7" s="15"/>
    </row>
    <row r="8" spans="1:12" ht="15">
      <c r="A8" s="10"/>
      <c r="B8" s="11"/>
      <c r="C8" s="12"/>
      <c r="D8" s="12"/>
      <c r="E8" s="14"/>
      <c r="F8" s="15"/>
    </row>
    <row r="9" spans="1:12" ht="20.25">
      <c r="A9" s="275" t="s">
        <v>20</v>
      </c>
      <c r="B9" s="275"/>
      <c r="C9" s="275"/>
      <c r="D9" s="275"/>
      <c r="E9" s="275"/>
      <c r="F9" s="275"/>
    </row>
    <row r="10" spans="1:12" ht="12.75" customHeight="1">
      <c r="A10" s="276" t="s">
        <v>21</v>
      </c>
      <c r="B10" s="276" t="s">
        <v>22</v>
      </c>
      <c r="C10" s="276" t="s">
        <v>23</v>
      </c>
      <c r="D10" s="276" t="s">
        <v>53</v>
      </c>
      <c r="E10" s="274" t="s">
        <v>54</v>
      </c>
      <c r="F10" s="274" t="s">
        <v>55</v>
      </c>
      <c r="G10" s="274" t="s">
        <v>192</v>
      </c>
      <c r="H10" s="273"/>
      <c r="I10" s="273"/>
      <c r="J10" s="273"/>
      <c r="K10" s="273"/>
      <c r="L10" s="273"/>
    </row>
    <row r="11" spans="1:12" ht="12.75" customHeight="1">
      <c r="A11" s="276"/>
      <c r="B11" s="276"/>
      <c r="C11" s="276"/>
      <c r="D11" s="276"/>
      <c r="E11" s="274"/>
      <c r="F11" s="274"/>
      <c r="G11" s="274"/>
      <c r="H11" s="273"/>
      <c r="I11" s="273"/>
      <c r="J11" s="273"/>
      <c r="K11" s="273"/>
      <c r="L11" s="273"/>
    </row>
    <row r="12" spans="1:12" ht="15.75">
      <c r="A12" s="138" t="s">
        <v>24</v>
      </c>
      <c r="B12" s="139" t="s">
        <v>14</v>
      </c>
      <c r="C12" s="57">
        <f>PLANILHA!F14</f>
        <v>92568.359999999986</v>
      </c>
      <c r="D12" s="40">
        <v>40759.74</v>
      </c>
      <c r="E12" s="40">
        <v>18481.77</v>
      </c>
      <c r="F12" s="40">
        <v>15243.29</v>
      </c>
      <c r="G12" s="40">
        <v>18083.560000000001</v>
      </c>
      <c r="H12" s="15"/>
      <c r="I12" s="258"/>
      <c r="J12" s="15"/>
      <c r="K12" s="15"/>
      <c r="L12" s="15"/>
    </row>
    <row r="13" spans="1:12" ht="15.75">
      <c r="A13" s="140" t="s">
        <v>25</v>
      </c>
      <c r="B13" s="256" t="s">
        <v>90</v>
      </c>
      <c r="C13" s="58">
        <f>PLANILHA!F22</f>
        <v>4194328.8599999994</v>
      </c>
      <c r="D13" s="41">
        <f>C13/4</f>
        <v>1048582.2149999999</v>
      </c>
      <c r="E13" s="41">
        <f>D13</f>
        <v>1048582.2149999999</v>
      </c>
      <c r="F13" s="41">
        <f>E13</f>
        <v>1048582.2149999999</v>
      </c>
      <c r="G13" s="41">
        <f>C13-3*D13</f>
        <v>1048582.2149999999</v>
      </c>
      <c r="H13" s="15"/>
      <c r="I13" s="257"/>
      <c r="J13" s="15"/>
      <c r="K13" s="15"/>
      <c r="L13" s="15"/>
    </row>
    <row r="14" spans="1:12" ht="15.75">
      <c r="A14" s="140" t="s">
        <v>99</v>
      </c>
      <c r="B14" s="256" t="s">
        <v>106</v>
      </c>
      <c r="C14" s="58">
        <f>PLANILHA!F32</f>
        <v>95540.29</v>
      </c>
      <c r="D14" s="41"/>
      <c r="E14" s="41"/>
      <c r="F14" s="41"/>
      <c r="G14" s="41">
        <f>C14</f>
        <v>95540.29</v>
      </c>
      <c r="H14" s="15"/>
      <c r="I14" s="15"/>
      <c r="J14" s="15"/>
      <c r="K14" s="15"/>
      <c r="L14" s="15"/>
    </row>
    <row r="15" spans="1:12" ht="15.75">
      <c r="A15" s="140" t="s">
        <v>76</v>
      </c>
      <c r="B15" s="256" t="s">
        <v>108</v>
      </c>
      <c r="C15" s="58">
        <f>PLANILHA!F36</f>
        <v>37271.42</v>
      </c>
      <c r="D15" s="41">
        <f>C15/4</f>
        <v>9317.8549999999996</v>
      </c>
      <c r="E15" s="41">
        <f>D15</f>
        <v>9317.8549999999996</v>
      </c>
      <c r="F15" s="41">
        <f>E15</f>
        <v>9317.8549999999996</v>
      </c>
      <c r="G15" s="41">
        <f>F15</f>
        <v>9317.8549999999996</v>
      </c>
      <c r="H15" s="15"/>
      <c r="I15" s="15"/>
      <c r="J15" s="15"/>
      <c r="K15" s="15"/>
      <c r="L15" s="15"/>
    </row>
    <row r="16" spans="1:12" ht="15.75">
      <c r="A16" s="140"/>
      <c r="B16" s="141"/>
      <c r="C16" s="58"/>
      <c r="D16" s="41"/>
      <c r="E16" s="41"/>
      <c r="F16" s="41"/>
      <c r="G16" s="41"/>
      <c r="H16" s="15"/>
      <c r="I16" s="15"/>
      <c r="J16" s="15"/>
      <c r="K16" s="15"/>
      <c r="L16" s="15"/>
    </row>
    <row r="17" spans="1:12" ht="15.75">
      <c r="A17" s="142" t="s">
        <v>77</v>
      </c>
      <c r="B17" s="143" t="s">
        <v>19</v>
      </c>
      <c r="C17" s="65">
        <f>SUM(C12:C15)</f>
        <v>4419708.93</v>
      </c>
      <c r="D17" s="66">
        <f>SUM(D12:D15)</f>
        <v>1098659.8099999998</v>
      </c>
      <c r="E17" s="66">
        <f>SUM(E12:E15)</f>
        <v>1076381.8399999999</v>
      </c>
      <c r="F17" s="66">
        <f>SUM(F12:F15)</f>
        <v>1073143.3599999999</v>
      </c>
      <c r="G17" s="66">
        <f>SUM(G12:G15)</f>
        <v>1171523.92</v>
      </c>
      <c r="H17" s="15"/>
      <c r="I17" s="15"/>
      <c r="J17" s="15"/>
      <c r="K17" s="15"/>
      <c r="L17" s="15"/>
    </row>
    <row r="18" spans="1:12" ht="15.75">
      <c r="A18" s="142"/>
      <c r="B18" s="143"/>
      <c r="C18" s="65"/>
      <c r="D18" s="66"/>
      <c r="E18" s="66"/>
      <c r="F18" s="66"/>
      <c r="G18" s="66"/>
      <c r="H18" s="15"/>
      <c r="I18" s="15"/>
      <c r="J18" s="15"/>
      <c r="K18" s="15"/>
      <c r="L18" s="15"/>
    </row>
    <row r="19" spans="1:12" ht="15.75">
      <c r="A19" s="144" t="s">
        <v>26</v>
      </c>
      <c r="B19" s="145" t="s">
        <v>27</v>
      </c>
      <c r="C19" s="42"/>
      <c r="D19" s="43">
        <f>100*D17/C17</f>
        <v>24.85819377250257</v>
      </c>
      <c r="E19" s="43">
        <f>100*E17/C17</f>
        <v>24.354134108102905</v>
      </c>
      <c r="F19" s="43">
        <f>100*F17/C17</f>
        <v>24.280860504540055</v>
      </c>
      <c r="G19" s="43">
        <f>100*G17/C17</f>
        <v>26.506811614854467</v>
      </c>
      <c r="H19" s="15"/>
      <c r="I19" s="15"/>
      <c r="J19" s="15"/>
      <c r="K19" s="15"/>
      <c r="L19" s="15"/>
    </row>
    <row r="20" spans="1:12" ht="15.75">
      <c r="A20" s="144" t="s">
        <v>193</v>
      </c>
      <c r="B20" s="145" t="s">
        <v>28</v>
      </c>
      <c r="C20" s="42"/>
      <c r="D20" s="44">
        <f>D17</f>
        <v>1098659.8099999998</v>
      </c>
      <c r="E20" s="45">
        <f>D20+E17</f>
        <v>2175041.6499999994</v>
      </c>
      <c r="F20" s="45">
        <f>E20+F17</f>
        <v>3248185.0099999993</v>
      </c>
      <c r="G20" s="45">
        <f>F20+G17</f>
        <v>4419708.93</v>
      </c>
      <c r="H20" s="15"/>
      <c r="I20" s="15"/>
      <c r="J20" s="15"/>
      <c r="K20" s="15"/>
      <c r="L20" s="15"/>
    </row>
    <row r="21" spans="1:12" ht="15.75">
      <c r="A21" s="146" t="s">
        <v>194</v>
      </c>
      <c r="B21" s="147" t="s">
        <v>29</v>
      </c>
      <c r="C21" s="46"/>
      <c r="D21" s="67">
        <f>D19</f>
        <v>24.85819377250257</v>
      </c>
      <c r="E21" s="67">
        <f>D21+E19</f>
        <v>49.212327880605471</v>
      </c>
      <c r="F21" s="67">
        <f>E21+F19</f>
        <v>73.49318838514553</v>
      </c>
      <c r="G21" s="67">
        <f>F21+G19</f>
        <v>100</v>
      </c>
      <c r="H21" s="15"/>
      <c r="I21" s="15"/>
      <c r="J21" s="15"/>
      <c r="K21" s="15"/>
      <c r="L21" s="15"/>
    </row>
    <row r="22" spans="1:12">
      <c r="A22" s="1"/>
      <c r="B22" s="7"/>
      <c r="C22" s="7"/>
      <c r="D22" s="7"/>
      <c r="E22" s="7"/>
    </row>
  </sheetData>
  <mergeCells count="16">
    <mergeCell ref="C1:F1"/>
    <mergeCell ref="L10:L11"/>
    <mergeCell ref="F10:F11"/>
    <mergeCell ref="G10:G11"/>
    <mergeCell ref="H10:H11"/>
    <mergeCell ref="J10:J11"/>
    <mergeCell ref="K10:K11"/>
    <mergeCell ref="C2:G2"/>
    <mergeCell ref="C3:F3"/>
    <mergeCell ref="A9:F9"/>
    <mergeCell ref="I10:I11"/>
    <mergeCell ref="E10:E11"/>
    <mergeCell ref="A10:A11"/>
    <mergeCell ref="B10:B11"/>
    <mergeCell ref="C10:C11"/>
    <mergeCell ref="D10:D11"/>
  </mergeCells>
  <phoneticPr fontId="10" type="noConversion"/>
  <pageMargins left="0.51181102362204722" right="0.51181102362204722" top="1.2204724409448819" bottom="0.78740157480314965" header="0.31496062992125984" footer="0.31496062992125984"/>
  <pageSetup scale="90" orientation="landscape" horizontalDpi="4294967295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8"/>
  <sheetViews>
    <sheetView view="pageBreakPreview" topLeftCell="C290" zoomScale="98" zoomScaleNormal="85" zoomScaleSheetLayoutView="98" workbookViewId="0">
      <selection activeCell="L307" sqref="L307"/>
    </sheetView>
  </sheetViews>
  <sheetFormatPr defaultRowHeight="15"/>
  <cols>
    <col min="1" max="1" width="13.42578125" style="80" customWidth="1"/>
    <col min="2" max="2" width="29.85546875" style="80" customWidth="1"/>
    <col min="3" max="3" width="11.5703125" style="80" customWidth="1"/>
    <col min="4" max="4" width="17.140625" style="80" customWidth="1"/>
    <col min="5" max="5" width="18.28515625" style="80" customWidth="1"/>
    <col min="6" max="6" width="18" style="80" customWidth="1"/>
    <col min="7" max="7" width="17.28515625" style="80" customWidth="1"/>
    <col min="8" max="8" width="12.85546875" style="80" customWidth="1"/>
    <col min="9" max="9" width="30.42578125" style="80" customWidth="1"/>
    <col min="10" max="16384" width="9.140625" style="80"/>
  </cols>
  <sheetData>
    <row r="1" spans="1:15" s="9" customFormat="1" ht="12.75" customHeight="1">
      <c r="A1" s="73"/>
      <c r="B1" s="73"/>
      <c r="C1" s="259" t="s">
        <v>85</v>
      </c>
      <c r="D1" s="259"/>
      <c r="E1" s="259"/>
      <c r="F1" s="259"/>
      <c r="G1" s="259"/>
    </row>
    <row r="2" spans="1:15" s="9" customFormat="1" ht="12.75" customHeight="1">
      <c r="A2" s="73"/>
      <c r="B2" s="73"/>
      <c r="C2" s="259" t="s">
        <v>86</v>
      </c>
      <c r="D2" s="259"/>
      <c r="E2" s="259"/>
      <c r="F2" s="259"/>
      <c r="G2" s="259"/>
      <c r="H2" s="259"/>
      <c r="I2" s="259"/>
      <c r="J2" s="259"/>
    </row>
    <row r="3" spans="1:15" s="9" customFormat="1" ht="12.75" customHeight="1">
      <c r="A3" s="73"/>
      <c r="B3" s="73"/>
      <c r="C3" s="259" t="s">
        <v>87</v>
      </c>
      <c r="D3" s="259"/>
      <c r="E3" s="259"/>
      <c r="F3" s="259"/>
      <c r="G3" s="259"/>
    </row>
    <row r="5" spans="1:15">
      <c r="A5" s="77" t="s">
        <v>79</v>
      </c>
      <c r="B5" s="78" t="s">
        <v>100</v>
      </c>
      <c r="C5" s="77"/>
      <c r="D5" s="77"/>
      <c r="E5" s="79"/>
      <c r="F5" s="79"/>
      <c r="G5" s="79"/>
      <c r="H5" s="79"/>
    </row>
    <row r="6" spans="1:15">
      <c r="A6" s="77" t="s">
        <v>80</v>
      </c>
      <c r="B6" s="78" t="s">
        <v>169</v>
      </c>
      <c r="C6" s="77"/>
      <c r="D6" s="77"/>
      <c r="E6" s="79"/>
      <c r="F6" s="79"/>
      <c r="G6" s="79"/>
      <c r="H6" s="79"/>
    </row>
    <row r="7" spans="1:15">
      <c r="A7" s="77"/>
      <c r="B7" s="78"/>
      <c r="C7" s="77"/>
      <c r="D7" s="77"/>
      <c r="E7" s="79"/>
      <c r="F7" s="79"/>
      <c r="G7" s="79"/>
      <c r="H7" s="79"/>
    </row>
    <row r="8" spans="1:15" s="83" customFormat="1">
      <c r="A8" s="82"/>
      <c r="B8" s="82" t="s">
        <v>170</v>
      </c>
      <c r="C8" s="277" t="s">
        <v>171</v>
      </c>
      <c r="D8" s="277"/>
      <c r="E8" s="82"/>
      <c r="F8" s="82"/>
      <c r="G8" s="82"/>
      <c r="H8" s="82"/>
    </row>
    <row r="9" spans="1:15">
      <c r="A9" s="79"/>
      <c r="B9" s="79"/>
      <c r="C9" s="81"/>
      <c r="D9" s="79"/>
      <c r="E9" s="79"/>
      <c r="F9" s="79"/>
      <c r="G9" s="79"/>
      <c r="H9" s="79"/>
    </row>
    <row r="10" spans="1:15" ht="15.75">
      <c r="A10" s="131"/>
      <c r="B10" s="132"/>
      <c r="C10" s="61"/>
      <c r="D10" s="131"/>
      <c r="E10" s="133"/>
      <c r="F10" s="62"/>
      <c r="G10" s="130"/>
      <c r="H10" s="130"/>
      <c r="I10" s="59"/>
      <c r="J10" s="59"/>
    </row>
    <row r="11" spans="1:15" customFormat="1" ht="15.75">
      <c r="A11" s="278" t="s">
        <v>123</v>
      </c>
      <c r="B11" s="278"/>
      <c r="C11" s="278"/>
      <c r="D11" s="278"/>
      <c r="E11" s="278"/>
      <c r="F11" s="278"/>
      <c r="G11" s="152"/>
      <c r="H11" s="153"/>
      <c r="J11" s="154"/>
      <c r="K11" s="155"/>
      <c r="L11" s="154"/>
      <c r="M11" s="154"/>
      <c r="N11" s="154"/>
      <c r="O11" s="154"/>
    </row>
    <row r="12" spans="1:15" customFormat="1" ht="15.75">
      <c r="A12" s="154"/>
      <c r="B12" s="154"/>
      <c r="C12" s="155"/>
      <c r="D12" s="154"/>
      <c r="E12" s="154"/>
      <c r="F12" s="154"/>
      <c r="G12" s="152"/>
      <c r="H12" s="153"/>
      <c r="J12" s="154"/>
      <c r="K12" s="155"/>
      <c r="L12" s="154"/>
      <c r="M12" s="154"/>
      <c r="N12" s="154"/>
      <c r="O12" s="154"/>
    </row>
    <row r="13" spans="1:15" customFormat="1" ht="15.75">
      <c r="A13" s="156" t="s">
        <v>124</v>
      </c>
      <c r="B13" s="157">
        <v>0.24</v>
      </c>
      <c r="C13" s="158"/>
      <c r="D13" s="279" t="s">
        <v>88</v>
      </c>
      <c r="E13" s="279"/>
      <c r="F13" s="157">
        <v>0.91700000000000004</v>
      </c>
      <c r="G13" s="152"/>
      <c r="H13" s="153"/>
      <c r="J13" s="154"/>
      <c r="K13" s="155"/>
      <c r="L13" s="154"/>
      <c r="M13" s="154"/>
      <c r="N13" s="154"/>
      <c r="O13" s="154"/>
    </row>
    <row r="14" spans="1:15" customFormat="1" ht="15.75" customHeight="1">
      <c r="A14" s="280" t="s">
        <v>125</v>
      </c>
      <c r="B14" s="280"/>
      <c r="C14" s="280"/>
      <c r="D14" s="280"/>
      <c r="E14" s="280"/>
      <c r="F14" s="280"/>
      <c r="G14" s="153"/>
      <c r="H14" s="153"/>
      <c r="J14" s="154"/>
      <c r="K14" s="155"/>
      <c r="L14" s="154"/>
      <c r="M14" s="154"/>
      <c r="N14" s="154"/>
      <c r="O14" s="154"/>
    </row>
    <row r="15" spans="1:15" customFormat="1" ht="15.75">
      <c r="A15" s="159" t="s">
        <v>126</v>
      </c>
      <c r="B15" s="159" t="s">
        <v>46</v>
      </c>
      <c r="C15" s="159" t="s">
        <v>47</v>
      </c>
      <c r="D15" s="159" t="s">
        <v>48</v>
      </c>
      <c r="E15" s="159" t="s">
        <v>49</v>
      </c>
      <c r="F15" s="159" t="s">
        <v>50</v>
      </c>
      <c r="G15" s="152"/>
      <c r="H15" s="153"/>
      <c r="J15" s="154"/>
      <c r="K15" s="155"/>
      <c r="L15" s="154"/>
      <c r="M15" s="154"/>
      <c r="N15" s="154"/>
      <c r="O15" s="154"/>
    </row>
    <row r="16" spans="1:15" customFormat="1" ht="15.75">
      <c r="A16" s="160">
        <v>1286</v>
      </c>
      <c r="B16" s="161" t="s">
        <v>32</v>
      </c>
      <c r="C16" s="160" t="s">
        <v>30</v>
      </c>
      <c r="D16" s="162">
        <v>12</v>
      </c>
      <c r="E16" s="163">
        <v>172.45</v>
      </c>
      <c r="F16" s="163">
        <f>ROUND(E16*D16,2)</f>
        <v>2069.4</v>
      </c>
      <c r="G16" s="152"/>
      <c r="H16" s="153"/>
      <c r="J16" s="154"/>
      <c r="K16" s="155"/>
      <c r="L16" s="154"/>
      <c r="M16" s="154"/>
      <c r="N16" s="154"/>
      <c r="O16" s="154"/>
    </row>
    <row r="17" spans="1:15" customFormat="1" ht="15.75">
      <c r="A17" s="160" t="s">
        <v>127</v>
      </c>
      <c r="B17" s="164" t="s">
        <v>128</v>
      </c>
      <c r="C17" s="160" t="s">
        <v>33</v>
      </c>
      <c r="D17" s="160">
        <v>10</v>
      </c>
      <c r="E17" s="163">
        <v>80</v>
      </c>
      <c r="F17" s="163">
        <f>ROUND(E17*D17,2)</f>
        <v>800</v>
      </c>
      <c r="G17" s="152"/>
      <c r="H17" s="153"/>
      <c r="J17" s="154"/>
      <c r="K17" s="155"/>
      <c r="L17" s="154"/>
      <c r="M17" s="154"/>
      <c r="N17" s="154"/>
      <c r="O17" s="154"/>
    </row>
    <row r="18" spans="1:15" customFormat="1" ht="15.75">
      <c r="A18" s="160"/>
      <c r="B18" s="165" t="s">
        <v>34</v>
      </c>
      <c r="C18" s="160"/>
      <c r="D18" s="160"/>
      <c r="E18" s="166"/>
      <c r="F18" s="167">
        <f>SUM(F16:F17)</f>
        <v>2869.4</v>
      </c>
      <c r="G18" s="152"/>
      <c r="H18" s="153"/>
      <c r="J18" s="154"/>
      <c r="K18" s="155"/>
      <c r="L18" s="154"/>
      <c r="M18" s="154"/>
      <c r="N18" s="154"/>
      <c r="O18" s="154"/>
    </row>
    <row r="19" spans="1:15" customFormat="1" ht="16.5" thickBot="1">
      <c r="A19" s="168"/>
      <c r="B19" s="169" t="str">
        <f>"BDI  "</f>
        <v xml:space="preserve">BDI  </v>
      </c>
      <c r="C19" s="168" t="s">
        <v>129</v>
      </c>
      <c r="D19" s="170">
        <f>B13</f>
        <v>0.24</v>
      </c>
      <c r="E19" s="171"/>
      <c r="F19" s="172">
        <f>F18*B13</f>
        <v>688.65599999999995</v>
      </c>
      <c r="G19" s="152"/>
      <c r="H19" s="153"/>
      <c r="J19" s="154"/>
      <c r="K19" s="155"/>
      <c r="L19" s="154"/>
      <c r="M19" s="154"/>
      <c r="N19" s="154"/>
      <c r="O19" s="154"/>
    </row>
    <row r="20" spans="1:15" customFormat="1" ht="16.5" thickBot="1">
      <c r="A20" s="281" t="s">
        <v>130</v>
      </c>
      <c r="B20" s="282"/>
      <c r="C20" s="282"/>
      <c r="D20" s="282"/>
      <c r="E20" s="282"/>
      <c r="F20" s="173">
        <f>F19+F18</f>
        <v>3558.056</v>
      </c>
      <c r="G20" s="152"/>
      <c r="H20" s="153"/>
      <c r="J20" s="154"/>
      <c r="K20" s="155"/>
      <c r="L20" s="154"/>
      <c r="M20" s="154"/>
      <c r="N20" s="154"/>
      <c r="O20" s="154"/>
    </row>
    <row r="21" spans="1:15" customFormat="1" ht="15.75">
      <c r="A21" s="158"/>
      <c r="B21" s="174"/>
      <c r="C21" s="158"/>
      <c r="D21" s="158"/>
      <c r="E21" s="175"/>
      <c r="F21" s="176"/>
      <c r="G21" s="152"/>
      <c r="H21" s="153"/>
      <c r="J21" s="154"/>
      <c r="K21" s="155"/>
      <c r="L21" s="154"/>
      <c r="M21" s="154"/>
      <c r="N21" s="154"/>
      <c r="O21" s="154"/>
    </row>
    <row r="22" spans="1:15" customFormat="1" ht="15.75">
      <c r="A22" s="280" t="s">
        <v>131</v>
      </c>
      <c r="B22" s="280"/>
      <c r="C22" s="280"/>
      <c r="D22" s="280"/>
      <c r="E22" s="280"/>
      <c r="F22" s="280"/>
      <c r="G22" s="152"/>
      <c r="H22" s="153"/>
      <c r="J22" s="154"/>
      <c r="K22" s="155"/>
      <c r="L22" s="154"/>
      <c r="M22" s="154"/>
      <c r="N22" s="154"/>
      <c r="O22" s="154"/>
    </row>
    <row r="23" spans="1:15" customFormat="1" ht="15.75">
      <c r="A23" s="159" t="s">
        <v>126</v>
      </c>
      <c r="B23" s="159" t="s">
        <v>46</v>
      </c>
      <c r="C23" s="159" t="s">
        <v>47</v>
      </c>
      <c r="D23" s="159" t="s">
        <v>48</v>
      </c>
      <c r="E23" s="159" t="s">
        <v>49</v>
      </c>
      <c r="F23" s="159" t="s">
        <v>50</v>
      </c>
      <c r="G23" s="152"/>
      <c r="H23" s="153"/>
      <c r="J23" s="154"/>
      <c r="K23" s="155"/>
      <c r="L23" s="154"/>
      <c r="M23" s="154"/>
      <c r="N23" s="154"/>
      <c r="O23" s="154"/>
    </row>
    <row r="24" spans="1:15" customFormat="1" ht="15.75">
      <c r="A24" s="160">
        <f>A16</f>
        <v>1286</v>
      </c>
      <c r="B24" s="161" t="s">
        <v>32</v>
      </c>
      <c r="C24" s="160" t="s">
        <v>132</v>
      </c>
      <c r="D24" s="177">
        <f>D16</f>
        <v>12</v>
      </c>
      <c r="E24" s="163">
        <f>E16</f>
        <v>172.45</v>
      </c>
      <c r="F24" s="163">
        <f>ROUND(E24*D24,2)</f>
        <v>2069.4</v>
      </c>
      <c r="G24" s="152"/>
      <c r="H24" s="153"/>
      <c r="J24" s="154"/>
      <c r="K24" s="155"/>
      <c r="L24" s="154"/>
      <c r="M24" s="154"/>
      <c r="N24" s="154"/>
      <c r="O24" s="154"/>
    </row>
    <row r="25" spans="1:15" customFormat="1" ht="15.75">
      <c r="A25" s="160" t="str">
        <f>A17</f>
        <v>cotação</v>
      </c>
      <c r="B25" s="164" t="str">
        <f>B17</f>
        <v xml:space="preserve">Passagens rodoviárias </v>
      </c>
      <c r="C25" s="160" t="s">
        <v>33</v>
      </c>
      <c r="D25" s="160">
        <f>D17</f>
        <v>10</v>
      </c>
      <c r="E25" s="163">
        <f>E17</f>
        <v>80</v>
      </c>
      <c r="F25" s="163">
        <f>ROUND(E25*D25,2)</f>
        <v>800</v>
      </c>
      <c r="G25" s="152"/>
      <c r="H25" s="153"/>
      <c r="J25" s="154"/>
      <c r="K25" s="155"/>
      <c r="L25" s="154"/>
      <c r="M25" s="154"/>
      <c r="N25" s="154"/>
      <c r="O25" s="154"/>
    </row>
    <row r="26" spans="1:15" customFormat="1" ht="15.75">
      <c r="A26" s="160"/>
      <c r="B26" s="165" t="s">
        <v>34</v>
      </c>
      <c r="C26" s="160"/>
      <c r="D26" s="160"/>
      <c r="E26" s="166"/>
      <c r="F26" s="167">
        <f>SUM(F24:F25)</f>
        <v>2869.4</v>
      </c>
      <c r="G26" s="152"/>
      <c r="H26" s="153"/>
      <c r="J26" s="154"/>
      <c r="K26" s="155"/>
      <c r="L26" s="154"/>
      <c r="M26" s="154"/>
      <c r="N26" s="154"/>
      <c r="O26" s="154"/>
    </row>
    <row r="27" spans="1:15" customFormat="1" ht="16.5" thickBot="1">
      <c r="A27" s="168"/>
      <c r="B27" s="169" t="str">
        <f>"BDI  "</f>
        <v xml:space="preserve">BDI  </v>
      </c>
      <c r="C27" s="168" t="str">
        <f>C19</f>
        <v>%</v>
      </c>
      <c r="D27" s="170">
        <f>B13</f>
        <v>0.24</v>
      </c>
      <c r="E27" s="171"/>
      <c r="F27" s="172">
        <f>F26*B13</f>
        <v>688.65599999999995</v>
      </c>
      <c r="G27" s="152"/>
      <c r="H27" s="153"/>
      <c r="J27" s="154"/>
      <c r="K27" s="155"/>
      <c r="L27" s="154"/>
      <c r="M27" s="154"/>
      <c r="N27" s="154"/>
      <c r="O27" s="154"/>
    </row>
    <row r="28" spans="1:15" customFormat="1" ht="16.5" thickBot="1">
      <c r="A28" s="281" t="s">
        <v>130</v>
      </c>
      <c r="B28" s="282"/>
      <c r="C28" s="282"/>
      <c r="D28" s="282"/>
      <c r="E28" s="282"/>
      <c r="F28" s="173">
        <f>F27+F26</f>
        <v>3558.056</v>
      </c>
      <c r="G28" s="152"/>
      <c r="H28" s="153"/>
      <c r="J28" s="154"/>
      <c r="K28" s="155"/>
      <c r="L28" s="154"/>
      <c r="M28" s="154"/>
      <c r="N28" s="154"/>
      <c r="O28" s="154"/>
    </row>
    <row r="29" spans="1:15" customFormat="1" ht="15.75">
      <c r="A29" s="176"/>
      <c r="B29" s="176"/>
      <c r="C29" s="176"/>
      <c r="D29" s="176"/>
      <c r="E29" s="176"/>
      <c r="F29" s="176"/>
      <c r="G29" s="152"/>
      <c r="H29" s="153"/>
      <c r="J29" s="154"/>
      <c r="K29" s="155"/>
      <c r="L29" s="154"/>
      <c r="M29" s="154"/>
      <c r="N29" s="154"/>
      <c r="O29" s="154"/>
    </row>
    <row r="30" spans="1:15" ht="15.75">
      <c r="A30" s="283" t="s">
        <v>133</v>
      </c>
      <c r="B30" s="284"/>
      <c r="C30" s="284"/>
      <c r="D30" s="284"/>
      <c r="E30" s="284"/>
      <c r="F30" s="284"/>
      <c r="G30" s="285"/>
      <c r="H30" s="90"/>
      <c r="I30" s="90"/>
      <c r="J30" s="89"/>
    </row>
    <row r="31" spans="1:15" ht="16.5" thickBot="1">
      <c r="A31" s="91" t="s">
        <v>45</v>
      </c>
      <c r="B31" s="91" t="s">
        <v>46</v>
      </c>
      <c r="C31" s="91" t="s">
        <v>47</v>
      </c>
      <c r="D31" s="91" t="s">
        <v>48</v>
      </c>
      <c r="E31" s="286" t="s">
        <v>49</v>
      </c>
      <c r="F31" s="287"/>
      <c r="G31" s="91" t="s">
        <v>50</v>
      </c>
      <c r="H31" s="90"/>
      <c r="I31" s="90"/>
      <c r="J31" s="89"/>
    </row>
    <row r="32" spans="1:15" ht="16.5" thickBot="1">
      <c r="A32" s="178"/>
      <c r="B32" s="179" t="s">
        <v>134</v>
      </c>
      <c r="C32" s="180"/>
      <c r="D32" s="180"/>
      <c r="E32" s="180"/>
      <c r="F32" s="180"/>
      <c r="G32" s="181"/>
      <c r="H32" s="90"/>
      <c r="I32" s="90"/>
      <c r="J32" s="89"/>
    </row>
    <row r="33" spans="1:11" ht="15.75">
      <c r="A33" s="92">
        <v>1</v>
      </c>
      <c r="B33" s="93" t="s">
        <v>41</v>
      </c>
      <c r="C33" s="94" t="s">
        <v>30</v>
      </c>
      <c r="D33" s="94">
        <v>0.95</v>
      </c>
      <c r="E33" s="288">
        <v>5.75</v>
      </c>
      <c r="F33" s="289"/>
      <c r="G33" s="95">
        <f>ROUND(E33*D33,2)</f>
        <v>5.46</v>
      </c>
      <c r="H33" s="84">
        <v>1214</v>
      </c>
      <c r="I33" s="85"/>
    </row>
    <row r="34" spans="1:11" ht="15.75">
      <c r="A34" s="96">
        <v>2</v>
      </c>
      <c r="B34" s="97" t="s">
        <v>57</v>
      </c>
      <c r="C34" s="98" t="s">
        <v>30</v>
      </c>
      <c r="D34" s="98">
        <v>0.16</v>
      </c>
      <c r="E34" s="290">
        <v>10.56</v>
      </c>
      <c r="F34" s="291"/>
      <c r="G34" s="100">
        <f>ROUND(E34*D34,2)</f>
        <v>1.69</v>
      </c>
      <c r="H34" s="84">
        <v>4083</v>
      </c>
      <c r="I34" s="85"/>
    </row>
    <row r="35" spans="1:11" ht="15.75">
      <c r="A35" s="96">
        <v>3</v>
      </c>
      <c r="B35" s="97" t="s">
        <v>58</v>
      </c>
      <c r="C35" s="98" t="s">
        <v>30</v>
      </c>
      <c r="D35" s="98">
        <v>0.36</v>
      </c>
      <c r="E35" s="290">
        <f>E33</f>
        <v>5.75</v>
      </c>
      <c r="F35" s="291"/>
      <c r="G35" s="100">
        <f>ROUND(E35*D35,2)</f>
        <v>2.0699999999999998</v>
      </c>
      <c r="H35" s="84">
        <v>4750</v>
      </c>
      <c r="I35" s="85"/>
    </row>
    <row r="36" spans="1:11" ht="15.75">
      <c r="A36" s="96">
        <v>4</v>
      </c>
      <c r="B36" s="97" t="s">
        <v>59</v>
      </c>
      <c r="C36" s="98" t="s">
        <v>30</v>
      </c>
      <c r="D36" s="98">
        <v>0.16</v>
      </c>
      <c r="E36" s="290">
        <f>E35</f>
        <v>5.75</v>
      </c>
      <c r="F36" s="291"/>
      <c r="G36" s="100">
        <f>ROUND(E36*D36,2)</f>
        <v>0.92</v>
      </c>
      <c r="H36" s="84">
        <v>2436</v>
      </c>
      <c r="I36" s="85"/>
    </row>
    <row r="37" spans="1:11" ht="15.75">
      <c r="A37" s="96">
        <v>5</v>
      </c>
      <c r="B37" s="97" t="s">
        <v>42</v>
      </c>
      <c r="C37" s="98" t="s">
        <v>30</v>
      </c>
      <c r="D37" s="101">
        <v>1.9</v>
      </c>
      <c r="E37" s="290">
        <v>3.52</v>
      </c>
      <c r="F37" s="291"/>
      <c r="G37" s="100">
        <f>ROUND(E37*D37,2)</f>
        <v>6.69</v>
      </c>
      <c r="H37" s="84">
        <v>6111</v>
      </c>
      <c r="I37" s="85"/>
    </row>
    <row r="38" spans="1:11" ht="15.75">
      <c r="A38" s="96">
        <v>6</v>
      </c>
      <c r="B38" s="97" t="s">
        <v>60</v>
      </c>
      <c r="C38" s="98"/>
      <c r="D38" s="98"/>
      <c r="E38" s="98"/>
      <c r="F38" s="99"/>
      <c r="G38" s="100">
        <f>SUM(G33:G37)</f>
        <v>16.830000000000002</v>
      </c>
      <c r="H38" s="85"/>
      <c r="I38" s="85"/>
    </row>
    <row r="39" spans="1:11" ht="15.75">
      <c r="A39" s="96">
        <v>7</v>
      </c>
      <c r="B39" s="97" t="str">
        <f>"Leis Sociais  ( "&amp;TEXT($F$13,"0,00%")&amp;")"</f>
        <v>Leis Sociais  ( 91,70%)</v>
      </c>
      <c r="C39" s="98"/>
      <c r="D39" s="98"/>
      <c r="E39" s="98"/>
      <c r="F39" s="99"/>
      <c r="G39" s="100">
        <f>$F$13*G38</f>
        <v>15.433110000000003</v>
      </c>
      <c r="H39" s="85"/>
      <c r="I39" s="85"/>
      <c r="K39" s="124"/>
    </row>
    <row r="40" spans="1:11" ht="15.75">
      <c r="A40" s="182">
        <v>8</v>
      </c>
      <c r="B40" s="183" t="s">
        <v>61</v>
      </c>
      <c r="C40" s="98"/>
      <c r="D40" s="98"/>
      <c r="E40" s="98"/>
      <c r="F40" s="99"/>
      <c r="G40" s="113">
        <f>G39+G38</f>
        <v>32.263110000000005</v>
      </c>
      <c r="H40" s="85"/>
      <c r="I40" s="85"/>
    </row>
    <row r="41" spans="1:11" ht="15.75">
      <c r="A41" s="184"/>
      <c r="B41" s="185"/>
      <c r="C41" s="186"/>
      <c r="D41" s="186"/>
      <c r="E41" s="187"/>
      <c r="F41" s="188"/>
      <c r="G41" s="189"/>
      <c r="H41" s="85"/>
      <c r="I41" s="85"/>
    </row>
    <row r="42" spans="1:11" ht="16.5" thickBot="1">
      <c r="A42" s="91" t="s">
        <v>45</v>
      </c>
      <c r="B42" s="91" t="s">
        <v>46</v>
      </c>
      <c r="C42" s="91" t="s">
        <v>47</v>
      </c>
      <c r="D42" s="91" t="s">
        <v>48</v>
      </c>
      <c r="E42" s="286" t="s">
        <v>49</v>
      </c>
      <c r="F42" s="287"/>
      <c r="G42" s="91" t="s">
        <v>50</v>
      </c>
      <c r="H42" s="84"/>
      <c r="I42" s="85"/>
    </row>
    <row r="43" spans="1:11" ht="16.5" thickBot="1">
      <c r="A43" s="178"/>
      <c r="B43" s="179" t="s">
        <v>135</v>
      </c>
      <c r="C43" s="180"/>
      <c r="D43" s="180"/>
      <c r="E43" s="180"/>
      <c r="F43" s="180"/>
      <c r="G43" s="181"/>
      <c r="H43" s="84"/>
      <c r="I43" s="85"/>
    </row>
    <row r="44" spans="1:11" ht="15.75">
      <c r="A44" s="107">
        <v>9</v>
      </c>
      <c r="B44" s="108" t="s">
        <v>62</v>
      </c>
      <c r="C44" s="109" t="s">
        <v>0</v>
      </c>
      <c r="D44" s="109">
        <v>0.03</v>
      </c>
      <c r="E44" s="292">
        <v>55</v>
      </c>
      <c r="F44" s="293"/>
      <c r="G44" s="110">
        <f t="shared" ref="G44:G59" si="0">ROUND(E44*D44,2)</f>
        <v>1.65</v>
      </c>
      <c r="H44" s="84">
        <v>367</v>
      </c>
      <c r="I44" s="85"/>
    </row>
    <row r="45" spans="1:11" ht="25.5">
      <c r="A45" s="96">
        <v>10</v>
      </c>
      <c r="B45" s="97" t="s">
        <v>63</v>
      </c>
      <c r="C45" s="98" t="s">
        <v>43</v>
      </c>
      <c r="D45" s="98">
        <v>0.03</v>
      </c>
      <c r="E45" s="290">
        <v>0.65</v>
      </c>
      <c r="F45" s="291"/>
      <c r="G45" s="100">
        <f t="shared" si="0"/>
        <v>0.02</v>
      </c>
      <c r="H45" s="84">
        <v>938</v>
      </c>
      <c r="I45" s="85"/>
    </row>
    <row r="46" spans="1:11" ht="25.5">
      <c r="A46" s="96">
        <v>11</v>
      </c>
      <c r="B46" s="97" t="s">
        <v>64</v>
      </c>
      <c r="C46" s="98" t="s">
        <v>4</v>
      </c>
      <c r="D46" s="98">
        <v>0.51</v>
      </c>
      <c r="E46" s="290">
        <v>30.52</v>
      </c>
      <c r="F46" s="291"/>
      <c r="G46" s="100">
        <f t="shared" si="0"/>
        <v>15.57</v>
      </c>
      <c r="H46" s="84">
        <v>1357</v>
      </c>
      <c r="I46" s="85"/>
    </row>
    <row r="47" spans="1:11" ht="15.75">
      <c r="A47" s="96">
        <v>12</v>
      </c>
      <c r="B47" s="97" t="s">
        <v>65</v>
      </c>
      <c r="C47" s="98" t="s">
        <v>44</v>
      </c>
      <c r="D47" s="101">
        <v>12.67</v>
      </c>
      <c r="E47" s="290">
        <v>0.55000000000000004</v>
      </c>
      <c r="F47" s="291"/>
      <c r="G47" s="100">
        <f t="shared" si="0"/>
        <v>6.97</v>
      </c>
      <c r="H47" s="84">
        <v>1379</v>
      </c>
      <c r="I47" s="85"/>
    </row>
    <row r="48" spans="1:11" ht="25.5">
      <c r="A48" s="96">
        <v>13</v>
      </c>
      <c r="B48" s="97" t="s">
        <v>66</v>
      </c>
      <c r="C48" s="98" t="s">
        <v>4</v>
      </c>
      <c r="D48" s="98">
        <v>1.53</v>
      </c>
      <c r="E48" s="290">
        <v>46.85</v>
      </c>
      <c r="F48" s="291"/>
      <c r="G48" s="100">
        <f t="shared" si="0"/>
        <v>71.680000000000007</v>
      </c>
      <c r="H48" s="84">
        <v>7207</v>
      </c>
      <c r="I48" s="85"/>
    </row>
    <row r="49" spans="1:15" ht="15.75">
      <c r="A49" s="96">
        <v>14</v>
      </c>
      <c r="B49" s="97" t="s">
        <v>67</v>
      </c>
      <c r="C49" s="98" t="s">
        <v>4</v>
      </c>
      <c r="D49" s="98">
        <v>0.15</v>
      </c>
      <c r="E49" s="290">
        <v>3.64</v>
      </c>
      <c r="F49" s="291"/>
      <c r="G49" s="100">
        <f t="shared" si="0"/>
        <v>0.55000000000000004</v>
      </c>
      <c r="H49" s="84">
        <v>12128</v>
      </c>
      <c r="I49" s="85"/>
    </row>
    <row r="50" spans="1:15" ht="15.75">
      <c r="A50" s="96">
        <v>15</v>
      </c>
      <c r="B50" s="97" t="s">
        <v>68</v>
      </c>
      <c r="C50" s="98" t="s">
        <v>4</v>
      </c>
      <c r="D50" s="98">
        <v>0.15</v>
      </c>
      <c r="E50" s="290">
        <v>1.84</v>
      </c>
      <c r="F50" s="291"/>
      <c r="G50" s="100">
        <f t="shared" si="0"/>
        <v>0.28000000000000003</v>
      </c>
      <c r="H50" s="84">
        <v>12294</v>
      </c>
      <c r="I50" s="85"/>
    </row>
    <row r="51" spans="1:15" ht="15.75">
      <c r="A51" s="96">
        <v>16</v>
      </c>
      <c r="B51" s="97" t="s">
        <v>69</v>
      </c>
      <c r="C51" s="98" t="s">
        <v>4</v>
      </c>
      <c r="D51" s="98">
        <v>4.9000000000000004</v>
      </c>
      <c r="E51" s="290">
        <v>4.3499999999999996</v>
      </c>
      <c r="F51" s="291"/>
      <c r="G51" s="100">
        <f t="shared" si="0"/>
        <v>21.32</v>
      </c>
      <c r="H51" s="84">
        <v>2425</v>
      </c>
      <c r="I51" s="85"/>
    </row>
    <row r="52" spans="1:15" ht="25.5">
      <c r="A52" s="96">
        <v>17</v>
      </c>
      <c r="B52" s="97" t="s">
        <v>70</v>
      </c>
      <c r="C52" s="98" t="s">
        <v>71</v>
      </c>
      <c r="D52" s="98">
        <v>0.09</v>
      </c>
      <c r="E52" s="290">
        <v>37.4</v>
      </c>
      <c r="F52" s="291"/>
      <c r="G52" s="100">
        <f t="shared" si="0"/>
        <v>3.37</v>
      </c>
      <c r="H52" s="84">
        <v>3080</v>
      </c>
      <c r="I52" s="85"/>
    </row>
    <row r="53" spans="1:15" ht="15.75">
      <c r="A53" s="96">
        <v>18</v>
      </c>
      <c r="B53" s="97" t="s">
        <v>72</v>
      </c>
      <c r="C53" s="98" t="s">
        <v>4</v>
      </c>
      <c r="D53" s="98">
        <v>0.15</v>
      </c>
      <c r="E53" s="290">
        <v>0.91</v>
      </c>
      <c r="F53" s="291"/>
      <c r="G53" s="100">
        <f t="shared" si="0"/>
        <v>0.14000000000000001</v>
      </c>
      <c r="H53" s="84">
        <v>3764</v>
      </c>
      <c r="I53" s="85"/>
    </row>
    <row r="54" spans="1:15" ht="25.5">
      <c r="A54" s="96">
        <v>19</v>
      </c>
      <c r="B54" s="97" t="s">
        <v>81</v>
      </c>
      <c r="C54" s="98" t="s">
        <v>43</v>
      </c>
      <c r="D54" s="98">
        <v>0.03</v>
      </c>
      <c r="E54" s="290">
        <v>19.93</v>
      </c>
      <c r="F54" s="291"/>
      <c r="G54" s="100">
        <f t="shared" si="0"/>
        <v>0.6</v>
      </c>
      <c r="H54" s="84">
        <v>4425</v>
      </c>
      <c r="I54" s="85"/>
    </row>
    <row r="55" spans="1:15" ht="25.5">
      <c r="A55" s="96">
        <v>20</v>
      </c>
      <c r="B55" s="97" t="s">
        <v>82</v>
      </c>
      <c r="C55" s="98" t="s">
        <v>43</v>
      </c>
      <c r="D55" s="98">
        <v>1.3</v>
      </c>
      <c r="E55" s="290">
        <v>8.2899999999999991</v>
      </c>
      <c r="F55" s="291"/>
      <c r="G55" s="100">
        <f t="shared" si="0"/>
        <v>10.78</v>
      </c>
      <c r="H55" s="84">
        <v>4430</v>
      </c>
      <c r="I55" s="85"/>
    </row>
    <row r="56" spans="1:15" ht="25.5">
      <c r="A56" s="96">
        <v>21</v>
      </c>
      <c r="B56" s="97" t="s">
        <v>83</v>
      </c>
      <c r="C56" s="98" t="s">
        <v>43</v>
      </c>
      <c r="D56" s="98">
        <v>3.83</v>
      </c>
      <c r="E56" s="290">
        <v>2.04</v>
      </c>
      <c r="F56" s="291"/>
      <c r="G56" s="100">
        <f t="shared" si="0"/>
        <v>7.81</v>
      </c>
      <c r="H56" s="84">
        <v>4509</v>
      </c>
      <c r="I56" s="85"/>
    </row>
    <row r="57" spans="1:15" ht="15.75">
      <c r="A57" s="96">
        <v>22</v>
      </c>
      <c r="B57" s="97" t="s">
        <v>73</v>
      </c>
      <c r="C57" s="98" t="s">
        <v>0</v>
      </c>
      <c r="D57" s="98">
        <v>0.03</v>
      </c>
      <c r="E57" s="290">
        <v>69.319999999999993</v>
      </c>
      <c r="F57" s="291"/>
      <c r="G57" s="100">
        <f t="shared" si="0"/>
        <v>2.08</v>
      </c>
      <c r="H57" s="84">
        <v>4734</v>
      </c>
      <c r="I57" s="85"/>
    </row>
    <row r="58" spans="1:15" ht="15.75">
      <c r="A58" s="96">
        <v>23</v>
      </c>
      <c r="B58" s="97" t="s">
        <v>74</v>
      </c>
      <c r="C58" s="98" t="s">
        <v>44</v>
      </c>
      <c r="D58" s="98">
        <v>0.28000000000000003</v>
      </c>
      <c r="E58" s="290">
        <v>7.4</v>
      </c>
      <c r="F58" s="291"/>
      <c r="G58" s="100">
        <f t="shared" si="0"/>
        <v>2.0699999999999998</v>
      </c>
      <c r="H58" s="84">
        <v>5069</v>
      </c>
      <c r="I58" s="85"/>
    </row>
    <row r="59" spans="1:15" ht="15.75">
      <c r="A59" s="190">
        <v>24</v>
      </c>
      <c r="B59" s="97" t="s">
        <v>75</v>
      </c>
      <c r="C59" s="98" t="s">
        <v>4</v>
      </c>
      <c r="D59" s="98">
        <v>0.09</v>
      </c>
      <c r="E59" s="290">
        <v>4.84</v>
      </c>
      <c r="F59" s="291"/>
      <c r="G59" s="100">
        <f t="shared" si="0"/>
        <v>0.44</v>
      </c>
      <c r="H59" s="84">
        <v>5088</v>
      </c>
      <c r="I59" s="85"/>
    </row>
    <row r="60" spans="1:15" ht="15.75">
      <c r="A60" s="96"/>
      <c r="B60" s="111" t="s">
        <v>34</v>
      </c>
      <c r="C60" s="98"/>
      <c r="D60" s="98"/>
      <c r="E60" s="98"/>
      <c r="F60" s="112"/>
      <c r="G60" s="113">
        <f>SUM(G44:G59)+G40</f>
        <v>177.59311000000002</v>
      </c>
      <c r="H60" s="85"/>
      <c r="I60" s="114"/>
    </row>
    <row r="61" spans="1:15" ht="16.5" thickBot="1">
      <c r="A61" s="102"/>
      <c r="B61" s="86" t="str">
        <f>"BDI  ( "&amp;TEXT($B$13,"0,00%")&amp;" )"</f>
        <v>BDI  ( 24,00% )</v>
      </c>
      <c r="C61" s="104"/>
      <c r="D61" s="104"/>
      <c r="E61" s="104"/>
      <c r="F61" s="115"/>
      <c r="G61" s="116">
        <f>$B$13*G60</f>
        <v>42.622346400000005</v>
      </c>
      <c r="H61" s="85"/>
      <c r="I61" s="85"/>
    </row>
    <row r="62" spans="1:15" ht="16.5" thickBot="1">
      <c r="A62" s="51"/>
      <c r="B62" s="52" t="s">
        <v>31</v>
      </c>
      <c r="C62" s="53"/>
      <c r="D62" s="53"/>
      <c r="E62" s="53"/>
      <c r="F62" s="54"/>
      <c r="G62" s="55">
        <f>G61+G60</f>
        <v>220.21545640000002</v>
      </c>
      <c r="H62" s="85"/>
      <c r="I62" s="85"/>
    </row>
    <row r="63" spans="1:15" customFormat="1" ht="15.75">
      <c r="A63" s="176"/>
      <c r="B63" s="176"/>
      <c r="C63" s="176"/>
      <c r="D63" s="176"/>
      <c r="E63" s="176"/>
      <c r="F63" s="176"/>
      <c r="G63" s="152"/>
      <c r="H63" s="153"/>
      <c r="J63" s="154"/>
      <c r="K63" s="155"/>
      <c r="L63" s="154"/>
      <c r="M63" s="154"/>
      <c r="N63" s="154"/>
      <c r="O63" s="154"/>
    </row>
    <row r="64" spans="1:15" ht="15.75">
      <c r="A64" s="283" t="s">
        <v>136</v>
      </c>
      <c r="B64" s="284"/>
      <c r="C64" s="284"/>
      <c r="D64" s="284"/>
      <c r="E64" s="284"/>
      <c r="F64" s="284"/>
      <c r="G64" s="285"/>
      <c r="H64" s="84"/>
      <c r="I64" s="85"/>
    </row>
    <row r="65" spans="1:11" ht="16.5" thickBot="1">
      <c r="A65" s="117" t="s">
        <v>45</v>
      </c>
      <c r="B65" s="91" t="s">
        <v>46</v>
      </c>
      <c r="C65" s="91" t="s">
        <v>47</v>
      </c>
      <c r="D65" s="91" t="s">
        <v>48</v>
      </c>
      <c r="E65" s="286" t="s">
        <v>49</v>
      </c>
      <c r="F65" s="287"/>
      <c r="G65" s="91" t="s">
        <v>50</v>
      </c>
      <c r="H65" s="90"/>
      <c r="I65" s="85"/>
      <c r="J65" s="89"/>
    </row>
    <row r="66" spans="1:11" ht="16.5" thickBot="1">
      <c r="A66" s="178"/>
      <c r="B66" s="179" t="s">
        <v>134</v>
      </c>
      <c r="C66" s="180"/>
      <c r="D66" s="180"/>
      <c r="E66" s="180"/>
      <c r="F66" s="180"/>
      <c r="G66" s="181"/>
      <c r="H66" s="90"/>
      <c r="I66" s="85"/>
      <c r="J66" s="89"/>
    </row>
    <row r="67" spans="1:11" ht="15.75">
      <c r="A67" s="92">
        <v>1</v>
      </c>
      <c r="B67" s="93" t="s">
        <v>84</v>
      </c>
      <c r="C67" s="94" t="s">
        <v>30</v>
      </c>
      <c r="D67" s="191">
        <v>100</v>
      </c>
      <c r="E67" s="288">
        <v>92.74</v>
      </c>
      <c r="F67" s="289"/>
      <c r="G67" s="95">
        <f>ROUND(E67*D67,2)</f>
        <v>9274</v>
      </c>
      <c r="H67" s="84">
        <v>2708</v>
      </c>
      <c r="I67" s="90"/>
    </row>
    <row r="68" spans="1:11" ht="15.75">
      <c r="A68" s="96">
        <v>2</v>
      </c>
      <c r="B68" s="97" t="s">
        <v>40</v>
      </c>
      <c r="C68" s="98" t="s">
        <v>30</v>
      </c>
      <c r="D68" s="101">
        <v>220</v>
      </c>
      <c r="E68" s="290">
        <v>5.4</v>
      </c>
      <c r="F68" s="291"/>
      <c r="G68" s="100">
        <f>ROUND(E68*D68,2)</f>
        <v>1188</v>
      </c>
      <c r="H68" s="84">
        <v>6122</v>
      </c>
      <c r="I68" s="85"/>
    </row>
    <row r="69" spans="1:11" ht="15.75">
      <c r="A69" s="96">
        <v>3</v>
      </c>
      <c r="B69" s="97" t="s">
        <v>137</v>
      </c>
      <c r="C69" s="98" t="s">
        <v>30</v>
      </c>
      <c r="D69" s="101">
        <v>220</v>
      </c>
      <c r="E69" s="290">
        <v>4.49</v>
      </c>
      <c r="F69" s="291"/>
      <c r="G69" s="100">
        <f>ROUND(E69*D69,2)</f>
        <v>987.8</v>
      </c>
      <c r="H69" s="84"/>
      <c r="I69" s="85"/>
    </row>
    <row r="70" spans="1:11" ht="15.75">
      <c r="A70" s="96">
        <v>4</v>
      </c>
      <c r="B70" s="97" t="s">
        <v>60</v>
      </c>
      <c r="C70" s="98"/>
      <c r="D70" s="98"/>
      <c r="E70" s="98"/>
      <c r="F70" s="99"/>
      <c r="G70" s="113">
        <f>SUM(G67:G69)</f>
        <v>11449.8</v>
      </c>
      <c r="H70" s="85"/>
      <c r="I70" s="85"/>
    </row>
    <row r="71" spans="1:11" ht="15.75">
      <c r="A71" s="96">
        <v>5</v>
      </c>
      <c r="B71" s="97" t="str">
        <f>"Leis Sociais  ( "&amp;TEXT($F$13,"0,00%")&amp;")"</f>
        <v>Leis Sociais  ( 91,70%)</v>
      </c>
      <c r="C71" s="98"/>
      <c r="D71" s="98"/>
      <c r="E71" s="98"/>
      <c r="F71" s="99"/>
      <c r="G71" s="100">
        <f>$F$6*G70</f>
        <v>0</v>
      </c>
      <c r="H71" s="85"/>
      <c r="I71" s="85"/>
    </row>
    <row r="72" spans="1:11" ht="15.75">
      <c r="A72" s="96">
        <v>6</v>
      </c>
      <c r="B72" s="192" t="s">
        <v>61</v>
      </c>
      <c r="C72" s="193"/>
      <c r="D72" s="193"/>
      <c r="E72" s="193"/>
      <c r="F72" s="194"/>
      <c r="G72" s="195">
        <f>G71+G70</f>
        <v>11449.8</v>
      </c>
      <c r="H72" s="85"/>
      <c r="I72" s="85"/>
    </row>
    <row r="73" spans="1:11">
      <c r="B73" s="196"/>
      <c r="C73" s="196"/>
      <c r="D73" s="196"/>
      <c r="E73" s="196"/>
      <c r="F73" s="196"/>
      <c r="G73" s="196"/>
    </row>
    <row r="74" spans="1:11" ht="16.5" thickBot="1">
      <c r="A74" s="91" t="s">
        <v>45</v>
      </c>
      <c r="B74" s="91" t="s">
        <v>46</v>
      </c>
      <c r="C74" s="91" t="s">
        <v>47</v>
      </c>
      <c r="D74" s="91" t="s">
        <v>48</v>
      </c>
      <c r="E74" s="286" t="s">
        <v>49</v>
      </c>
      <c r="F74" s="287"/>
      <c r="G74" s="91" t="s">
        <v>50</v>
      </c>
      <c r="H74" s="84"/>
      <c r="I74" s="85"/>
    </row>
    <row r="75" spans="1:11" ht="16.5" thickBot="1">
      <c r="A75" s="178"/>
      <c r="B75" s="179" t="s">
        <v>135</v>
      </c>
      <c r="C75" s="180"/>
      <c r="D75" s="180"/>
      <c r="E75" s="180"/>
      <c r="F75" s="180"/>
      <c r="G75" s="181"/>
      <c r="H75" s="84"/>
      <c r="I75" s="85"/>
      <c r="K75" s="124"/>
    </row>
    <row r="76" spans="1:11" ht="15.75">
      <c r="A76" s="197">
        <v>7</v>
      </c>
      <c r="B76" s="118" t="s">
        <v>35</v>
      </c>
      <c r="C76" s="119" t="s">
        <v>138</v>
      </c>
      <c r="D76" s="191">
        <v>1.36</v>
      </c>
      <c r="E76" s="288">
        <v>25.23</v>
      </c>
      <c r="F76" s="289"/>
      <c r="G76" s="120">
        <f>D76*E76</f>
        <v>34.312800000000003</v>
      </c>
      <c r="H76" s="84">
        <v>12893</v>
      </c>
      <c r="I76" s="85"/>
    </row>
    <row r="77" spans="1:11" ht="15.75">
      <c r="A77" s="211">
        <v>8</v>
      </c>
      <c r="B77" s="121" t="s">
        <v>36</v>
      </c>
      <c r="C77" s="122" t="s">
        <v>33</v>
      </c>
      <c r="D77" s="101">
        <f>D76</f>
        <v>1.36</v>
      </c>
      <c r="E77" s="290">
        <v>8.89</v>
      </c>
      <c r="F77" s="291"/>
      <c r="G77" s="123">
        <f>D77*E77</f>
        <v>12.090400000000002</v>
      </c>
      <c r="H77" s="84">
        <v>12895</v>
      </c>
      <c r="I77" s="85"/>
      <c r="J77" s="124"/>
    </row>
    <row r="78" spans="1:11" ht="15.75">
      <c r="A78" s="211">
        <v>9</v>
      </c>
      <c r="B78" s="121" t="s">
        <v>37</v>
      </c>
      <c r="C78" s="122" t="s">
        <v>138</v>
      </c>
      <c r="D78" s="101">
        <f>D77</f>
        <v>1.36</v>
      </c>
      <c r="E78" s="290">
        <v>6.75</v>
      </c>
      <c r="F78" s="291"/>
      <c r="G78" s="123">
        <f>D78*E78</f>
        <v>9.1800000000000015</v>
      </c>
      <c r="H78" s="84">
        <v>12892</v>
      </c>
      <c r="I78" s="85"/>
    </row>
    <row r="79" spans="1:11" ht="15.75">
      <c r="A79" s="211">
        <v>10</v>
      </c>
      <c r="B79" s="121" t="s">
        <v>38</v>
      </c>
      <c r="C79" s="122" t="s">
        <v>0</v>
      </c>
      <c r="D79" s="98">
        <v>55</v>
      </c>
      <c r="E79" s="290">
        <v>7.95</v>
      </c>
      <c r="F79" s="291"/>
      <c r="G79" s="123">
        <f>D79*E79</f>
        <v>437.25</v>
      </c>
      <c r="H79" s="84">
        <v>14583</v>
      </c>
      <c r="I79" s="85"/>
      <c r="J79" s="124"/>
    </row>
    <row r="80" spans="1:11" ht="15.75">
      <c r="A80" s="211">
        <v>11</v>
      </c>
      <c r="B80" s="121" t="s">
        <v>39</v>
      </c>
      <c r="C80" s="122" t="s">
        <v>139</v>
      </c>
      <c r="D80" s="98">
        <v>600</v>
      </c>
      <c r="E80" s="290">
        <v>0.42</v>
      </c>
      <c r="F80" s="291"/>
      <c r="G80" s="123">
        <f>D80*E80</f>
        <v>252</v>
      </c>
      <c r="H80" s="84">
        <v>14250</v>
      </c>
      <c r="I80" s="85"/>
    </row>
    <row r="81" spans="1:17" ht="15.75">
      <c r="A81" s="211">
        <v>12</v>
      </c>
      <c r="B81" s="111" t="s">
        <v>34</v>
      </c>
      <c r="C81" s="125"/>
      <c r="D81" s="126"/>
      <c r="E81" s="126"/>
      <c r="F81" s="127"/>
      <c r="G81" s="113">
        <f>SUM(G76:G80)+G72</f>
        <v>12194.6332</v>
      </c>
      <c r="H81" s="84"/>
      <c r="I81" s="79"/>
      <c r="K81" s="88"/>
      <c r="L81" s="88"/>
      <c r="M81" s="88"/>
      <c r="N81" s="88"/>
      <c r="O81" s="88"/>
      <c r="P81" s="88"/>
      <c r="Q81" s="79"/>
    </row>
    <row r="82" spans="1:17" ht="16.5" thickBot="1">
      <c r="A82" s="211">
        <v>13</v>
      </c>
      <c r="B82" s="86" t="str">
        <f>"BDI  ( "&amp;TEXT($B$13,"0,00%")&amp;" )"</f>
        <v>BDI  ( 24,00% )</v>
      </c>
      <c r="C82" s="104"/>
      <c r="D82" s="104"/>
      <c r="E82" s="104"/>
      <c r="F82" s="128"/>
      <c r="G82" s="116">
        <f>$B$13*G81</f>
        <v>2926.7119680000001</v>
      </c>
      <c r="I82" s="79"/>
      <c r="K82" s="88"/>
      <c r="L82" s="88"/>
      <c r="M82" s="88"/>
      <c r="N82" s="88"/>
      <c r="O82" s="88"/>
      <c r="P82" s="88"/>
      <c r="Q82" s="79"/>
    </row>
    <row r="83" spans="1:17" ht="15.75" thickBot="1">
      <c r="A83" s="198">
        <v>14</v>
      </c>
      <c r="B83" s="52" t="s">
        <v>31</v>
      </c>
      <c r="C83" s="53"/>
      <c r="D83" s="53"/>
      <c r="E83" s="53"/>
      <c r="F83" s="56"/>
      <c r="G83" s="55">
        <f>G82+G81</f>
        <v>15121.345168</v>
      </c>
      <c r="I83" s="79"/>
      <c r="K83" s="88"/>
      <c r="L83" s="87"/>
      <c r="M83" s="88"/>
      <c r="N83" s="87"/>
      <c r="O83" s="129"/>
      <c r="P83" s="87"/>
      <c r="Q83" s="79"/>
    </row>
    <row r="84" spans="1:17" customFormat="1">
      <c r="A84" s="154"/>
      <c r="B84" s="154"/>
      <c r="C84" s="155"/>
      <c r="D84" s="154"/>
      <c r="E84" s="199"/>
      <c r="F84" s="200"/>
      <c r="G84" s="153"/>
    </row>
    <row r="85" spans="1:17" ht="15.75">
      <c r="A85" s="283" t="s">
        <v>140</v>
      </c>
      <c r="B85" s="284"/>
      <c r="C85" s="284"/>
      <c r="D85" s="284"/>
      <c r="E85" s="284"/>
      <c r="F85" s="284"/>
      <c r="G85" s="285"/>
      <c r="H85" s="90"/>
      <c r="I85" s="201"/>
      <c r="J85" s="202"/>
    </row>
    <row r="86" spans="1:17" ht="15.75" thickBot="1">
      <c r="A86" s="203" t="s">
        <v>45</v>
      </c>
      <c r="B86" s="203" t="s">
        <v>46</v>
      </c>
      <c r="C86" s="203" t="s">
        <v>47</v>
      </c>
      <c r="D86" s="203" t="s">
        <v>48</v>
      </c>
      <c r="E86" s="294" t="s">
        <v>49</v>
      </c>
      <c r="F86" s="295"/>
      <c r="G86" s="203" t="s">
        <v>50</v>
      </c>
      <c r="H86" s="296"/>
      <c r="I86" s="296"/>
      <c r="J86" s="296"/>
    </row>
    <row r="87" spans="1:17" ht="16.5" thickBot="1">
      <c r="A87" s="178"/>
      <c r="B87" s="179" t="s">
        <v>134</v>
      </c>
      <c r="C87" s="180"/>
      <c r="D87" s="180"/>
      <c r="E87" s="180"/>
      <c r="F87" s="180"/>
      <c r="G87" s="181"/>
      <c r="H87" s="204"/>
      <c r="I87" s="204"/>
      <c r="J87" s="204"/>
    </row>
    <row r="88" spans="1:17" ht="15.75">
      <c r="A88" s="205">
        <v>1</v>
      </c>
      <c r="B88" s="206" t="s">
        <v>141</v>
      </c>
      <c r="C88" s="207" t="s">
        <v>30</v>
      </c>
      <c r="D88" s="208">
        <v>12</v>
      </c>
      <c r="E88" s="297">
        <f>17.81/2.216</f>
        <v>8.037003610108302</v>
      </c>
      <c r="F88" s="298"/>
      <c r="G88" s="209">
        <f>ROUND(D88*E88,2)</f>
        <v>96.44</v>
      </c>
      <c r="H88" s="84">
        <v>7592</v>
      </c>
      <c r="I88" s="130"/>
      <c r="J88" s="59"/>
      <c r="K88" s="210"/>
    </row>
    <row r="89" spans="1:17" ht="15.75">
      <c r="A89" s="211">
        <v>2</v>
      </c>
      <c r="B89" s="212" t="s">
        <v>142</v>
      </c>
      <c r="C89" s="213" t="s">
        <v>30</v>
      </c>
      <c r="D89" s="112">
        <v>12</v>
      </c>
      <c r="E89" s="299">
        <f>E37</f>
        <v>3.52</v>
      </c>
      <c r="F89" s="300"/>
      <c r="G89" s="214">
        <f>ROUND(D89*E89,2)</f>
        <v>42.24</v>
      </c>
      <c r="H89" s="84">
        <v>6111</v>
      </c>
      <c r="I89" s="130"/>
      <c r="J89" s="59"/>
    </row>
    <row r="90" spans="1:17" ht="15.75">
      <c r="A90" s="211">
        <v>3</v>
      </c>
      <c r="B90" s="97" t="s">
        <v>60</v>
      </c>
      <c r="C90" s="213"/>
      <c r="D90" s="112"/>
      <c r="E90" s="112"/>
      <c r="F90" s="215"/>
      <c r="G90" s="216">
        <f>G88+G89</f>
        <v>138.68</v>
      </c>
      <c r="H90" s="130"/>
      <c r="I90" s="130"/>
      <c r="J90" s="59"/>
    </row>
    <row r="91" spans="1:17" ht="15.75">
      <c r="A91" s="211">
        <v>4</v>
      </c>
      <c r="B91" s="97" t="str">
        <f>"Leis Sociais  ( "&amp;TEXT($F$13,"0,00%")&amp;")"</f>
        <v>Leis Sociais  ( 91,70%)</v>
      </c>
      <c r="C91" s="213"/>
      <c r="D91" s="112"/>
      <c r="E91" s="112"/>
      <c r="F91" s="215"/>
      <c r="G91" s="214">
        <f>$F$6*G90</f>
        <v>0</v>
      </c>
      <c r="H91" s="130"/>
      <c r="I91" s="130"/>
      <c r="J91" s="59"/>
    </row>
    <row r="92" spans="1:17" ht="15.75">
      <c r="A92" s="211">
        <v>5</v>
      </c>
      <c r="B92" s="183" t="s">
        <v>61</v>
      </c>
      <c r="C92" s="213"/>
      <c r="D92" s="112"/>
      <c r="E92" s="112"/>
      <c r="F92" s="215"/>
      <c r="G92" s="216">
        <f>G90+G91</f>
        <v>138.68</v>
      </c>
      <c r="H92" s="130"/>
      <c r="I92" s="130"/>
      <c r="J92" s="59"/>
    </row>
    <row r="93" spans="1:17" ht="15.75">
      <c r="A93" s="211">
        <v>6</v>
      </c>
      <c r="B93" s="217" t="s">
        <v>143</v>
      </c>
      <c r="C93" s="218" t="s">
        <v>30</v>
      </c>
      <c r="D93" s="218">
        <v>12</v>
      </c>
      <c r="E93" s="218"/>
      <c r="F93" s="218">
        <v>2.13</v>
      </c>
      <c r="G93" s="219">
        <f>ROUND(D93*F93,2)</f>
        <v>25.56</v>
      </c>
      <c r="H93" s="130">
        <v>7247</v>
      </c>
      <c r="I93" s="130"/>
      <c r="J93" s="59"/>
    </row>
    <row r="94" spans="1:17" ht="15.75">
      <c r="A94" s="211">
        <v>7</v>
      </c>
      <c r="B94" s="220" t="s">
        <v>34</v>
      </c>
      <c r="C94" s="221"/>
      <c r="D94" s="220"/>
      <c r="E94" s="220"/>
      <c r="F94" s="221"/>
      <c r="G94" s="216">
        <f>G92+G93</f>
        <v>164.24</v>
      </c>
      <c r="H94" s="130"/>
      <c r="I94" s="130"/>
      <c r="J94" s="59"/>
    </row>
    <row r="95" spans="1:17" ht="16.5" thickBot="1">
      <c r="A95" s="211">
        <v>8</v>
      </c>
      <c r="B95" s="86" t="str">
        <f>"BDI  ( "&amp;TEXT($B$13,"0,00%")&amp;" )"</f>
        <v>BDI  ( 24,00% )</v>
      </c>
      <c r="C95" s="115"/>
      <c r="D95" s="128"/>
      <c r="E95" s="128"/>
      <c r="F95" s="115"/>
      <c r="G95" s="116">
        <f>$B$13*G94</f>
        <v>39.4176</v>
      </c>
      <c r="H95" s="130"/>
      <c r="I95" s="222"/>
      <c r="J95" s="223"/>
    </row>
    <row r="96" spans="1:17" ht="16.5" thickBot="1">
      <c r="A96" s="224">
        <v>9</v>
      </c>
      <c r="B96" s="225" t="s">
        <v>31</v>
      </c>
      <c r="C96" s="54"/>
      <c r="D96" s="56"/>
      <c r="E96" s="56"/>
      <c r="F96" s="226"/>
      <c r="G96" s="227">
        <f>G95+G94</f>
        <v>203.6576</v>
      </c>
      <c r="H96" s="130"/>
      <c r="I96" s="222"/>
      <c r="J96" s="223"/>
    </row>
    <row r="97" spans="1:10" ht="15.75">
      <c r="A97" s="131"/>
      <c r="B97" s="132"/>
      <c r="C97" s="61"/>
      <c r="D97" s="131"/>
      <c r="E97" s="131"/>
      <c r="F97" s="133"/>
      <c r="G97" s="62"/>
      <c r="H97" s="130"/>
      <c r="I97" s="222"/>
      <c r="J97" s="223"/>
    </row>
    <row r="98" spans="1:10" ht="15.75">
      <c r="A98" s="283" t="s">
        <v>144</v>
      </c>
      <c r="B98" s="284"/>
      <c r="C98" s="284"/>
      <c r="D98" s="284"/>
      <c r="E98" s="284"/>
      <c r="F98" s="284"/>
      <c r="G98" s="285"/>
      <c r="H98" s="84"/>
      <c r="I98" s="85"/>
    </row>
    <row r="99" spans="1:10" ht="16.5" thickBot="1">
      <c r="A99" s="228" t="s">
        <v>45</v>
      </c>
      <c r="B99" s="91" t="s">
        <v>46</v>
      </c>
      <c r="C99" s="91" t="s">
        <v>47</v>
      </c>
      <c r="D99" s="91" t="s">
        <v>48</v>
      </c>
      <c r="E99" s="286" t="s">
        <v>49</v>
      </c>
      <c r="F99" s="287"/>
      <c r="G99" s="91" t="s">
        <v>50</v>
      </c>
      <c r="H99" s="90"/>
      <c r="I99" s="85"/>
      <c r="J99" s="89"/>
    </row>
    <row r="100" spans="1:10" ht="16.5" thickBot="1">
      <c r="A100" s="178"/>
      <c r="B100" s="179" t="s">
        <v>134</v>
      </c>
      <c r="C100" s="180"/>
      <c r="D100" s="180"/>
      <c r="E100" s="180"/>
      <c r="F100" s="180"/>
      <c r="G100" s="181"/>
      <c r="H100" s="90"/>
      <c r="I100" s="85"/>
      <c r="J100" s="89"/>
    </row>
    <row r="101" spans="1:10" ht="15.75">
      <c r="A101" s="96">
        <v>1</v>
      </c>
      <c r="B101" s="97" t="s">
        <v>57</v>
      </c>
      <c r="C101" s="94" t="s">
        <v>30</v>
      </c>
      <c r="D101" s="191">
        <v>0.2</v>
      </c>
      <c r="E101" s="288">
        <f>E34</f>
        <v>10.56</v>
      </c>
      <c r="F101" s="289"/>
      <c r="G101" s="95">
        <f>ROUND(E101*D101,2)</f>
        <v>2.11</v>
      </c>
      <c r="H101" s="84">
        <v>4083</v>
      </c>
      <c r="I101" s="90"/>
    </row>
    <row r="102" spans="1:10" ht="15.75">
      <c r="A102" s="96">
        <v>2</v>
      </c>
      <c r="B102" s="97" t="s">
        <v>41</v>
      </c>
      <c r="C102" s="98" t="s">
        <v>30</v>
      </c>
      <c r="D102" s="101">
        <v>1</v>
      </c>
      <c r="E102" s="290">
        <f>E33:E33</f>
        <v>5.75</v>
      </c>
      <c r="F102" s="291"/>
      <c r="G102" s="100">
        <f>ROUND(E102*D102,2)</f>
        <v>5.75</v>
      </c>
      <c r="H102" s="84">
        <v>1214</v>
      </c>
      <c r="I102" s="85"/>
    </row>
    <row r="103" spans="1:10" ht="15.75">
      <c r="A103" s="96">
        <v>3</v>
      </c>
      <c r="B103" s="97" t="s">
        <v>42</v>
      </c>
      <c r="C103" s="98" t="s">
        <v>30</v>
      </c>
      <c r="D103" s="101">
        <v>2</v>
      </c>
      <c r="E103" s="290">
        <f>E37</f>
        <v>3.52</v>
      </c>
      <c r="F103" s="291"/>
      <c r="G103" s="100">
        <f>ROUND(E103*D103,2)</f>
        <v>7.04</v>
      </c>
      <c r="H103" s="84">
        <v>6111</v>
      </c>
      <c r="I103" s="85"/>
    </row>
    <row r="104" spans="1:10" ht="15.75">
      <c r="A104" s="96">
        <v>4</v>
      </c>
      <c r="B104" s="97" t="s">
        <v>60</v>
      </c>
      <c r="C104" s="98"/>
      <c r="D104" s="98"/>
      <c r="E104" s="98"/>
      <c r="F104" s="99"/>
      <c r="G104" s="113">
        <f>SUM(G101:G103)</f>
        <v>14.899999999999999</v>
      </c>
      <c r="H104" s="85"/>
      <c r="I104" s="85"/>
    </row>
    <row r="105" spans="1:10" ht="15.75">
      <c r="A105" s="96">
        <v>5</v>
      </c>
      <c r="B105" s="97" t="str">
        <f>"Leis Sociais  ( "&amp;TEXT($F$13,"0,00%")&amp;")"</f>
        <v>Leis Sociais  ( 91,70%)</v>
      </c>
      <c r="C105" s="98"/>
      <c r="D105" s="98"/>
      <c r="E105" s="98"/>
      <c r="F105" s="99"/>
      <c r="G105" s="100">
        <f>$F$6*G104</f>
        <v>0</v>
      </c>
      <c r="H105" s="85"/>
      <c r="I105" s="85"/>
    </row>
    <row r="106" spans="1:10" ht="15.75">
      <c r="A106" s="96">
        <v>6</v>
      </c>
      <c r="B106" s="183" t="s">
        <v>61</v>
      </c>
      <c r="C106" s="98"/>
      <c r="D106" s="98"/>
      <c r="E106" s="98"/>
      <c r="F106" s="99"/>
      <c r="G106" s="113">
        <f>G105+G104</f>
        <v>14.899999999999999</v>
      </c>
      <c r="H106" s="85"/>
      <c r="I106" s="85"/>
    </row>
    <row r="108" spans="1:10" ht="16.5" thickBot="1">
      <c r="A108" s="229" t="s">
        <v>45</v>
      </c>
      <c r="B108" s="229" t="s">
        <v>46</v>
      </c>
      <c r="C108" s="229" t="s">
        <v>47</v>
      </c>
      <c r="D108" s="229" t="s">
        <v>48</v>
      </c>
      <c r="E108" s="301" t="s">
        <v>49</v>
      </c>
      <c r="F108" s="302"/>
      <c r="G108" s="229" t="s">
        <v>50</v>
      </c>
      <c r="H108" s="84"/>
      <c r="I108" s="85"/>
    </row>
    <row r="109" spans="1:10" ht="16.5" thickBot="1">
      <c r="A109" s="178"/>
      <c r="B109" s="179" t="s">
        <v>135</v>
      </c>
      <c r="C109" s="180"/>
      <c r="D109" s="180"/>
      <c r="E109" s="180"/>
      <c r="F109" s="180"/>
      <c r="G109" s="181"/>
      <c r="H109" s="84"/>
      <c r="I109" s="85"/>
    </row>
    <row r="110" spans="1:10" ht="26.25">
      <c r="A110" s="190">
        <v>7</v>
      </c>
      <c r="B110" s="230" t="s">
        <v>145</v>
      </c>
      <c r="C110" s="231" t="s">
        <v>43</v>
      </c>
      <c r="D110" s="232">
        <v>1</v>
      </c>
      <c r="E110" s="303">
        <v>5.43</v>
      </c>
      <c r="F110" s="304"/>
      <c r="G110" s="233">
        <f>D110*E110</f>
        <v>5.43</v>
      </c>
      <c r="H110" s="84">
        <v>4417</v>
      </c>
      <c r="I110" s="85"/>
    </row>
    <row r="111" spans="1:10" ht="26.25">
      <c r="A111" s="96">
        <v>8</v>
      </c>
      <c r="B111" s="234" t="s">
        <v>146</v>
      </c>
      <c r="C111" s="122" t="s">
        <v>43</v>
      </c>
      <c r="D111" s="101">
        <v>4</v>
      </c>
      <c r="E111" s="290">
        <v>3.97</v>
      </c>
      <c r="F111" s="291"/>
      <c r="G111" s="123">
        <f>D111*E111</f>
        <v>15.88</v>
      </c>
      <c r="H111" s="84">
        <v>4491</v>
      </c>
      <c r="I111" s="85"/>
      <c r="J111" s="124"/>
    </row>
    <row r="112" spans="1:10" ht="29.25" customHeight="1">
      <c r="A112" s="96">
        <v>9</v>
      </c>
      <c r="B112" s="234" t="s">
        <v>147</v>
      </c>
      <c r="C112" s="122" t="s">
        <v>51</v>
      </c>
      <c r="D112" s="101">
        <v>1</v>
      </c>
      <c r="E112" s="290">
        <v>135</v>
      </c>
      <c r="F112" s="291"/>
      <c r="G112" s="123">
        <f>D112*E112</f>
        <v>135</v>
      </c>
      <c r="H112" s="84">
        <v>4813</v>
      </c>
      <c r="I112" s="85"/>
    </row>
    <row r="113" spans="1:17" ht="15.75">
      <c r="A113" s="96">
        <v>10</v>
      </c>
      <c r="B113" s="234" t="s">
        <v>148</v>
      </c>
      <c r="C113" s="122" t="s">
        <v>44</v>
      </c>
      <c r="D113" s="98">
        <v>0.11</v>
      </c>
      <c r="E113" s="290">
        <v>7.45</v>
      </c>
      <c r="F113" s="291"/>
      <c r="G113" s="123">
        <f>D113*E113</f>
        <v>0.81950000000000001</v>
      </c>
      <c r="H113" s="84">
        <v>5075</v>
      </c>
      <c r="I113" s="85"/>
      <c r="J113" s="124"/>
    </row>
    <row r="114" spans="1:17" ht="26.25">
      <c r="A114" s="96">
        <v>11</v>
      </c>
      <c r="B114" s="234" t="s">
        <v>149</v>
      </c>
      <c r="C114" s="122" t="s">
        <v>0</v>
      </c>
      <c r="D114" s="98">
        <v>0.01</v>
      </c>
      <c r="E114" s="290">
        <v>198.54</v>
      </c>
      <c r="F114" s="291"/>
      <c r="G114" s="123">
        <f>D114*E114</f>
        <v>1.9854000000000001</v>
      </c>
      <c r="H114" s="84">
        <v>5652</v>
      </c>
      <c r="I114" s="85"/>
    </row>
    <row r="115" spans="1:17" ht="15.75">
      <c r="A115" s="96">
        <v>12</v>
      </c>
      <c r="B115" s="111" t="s">
        <v>34</v>
      </c>
      <c r="C115" s="125"/>
      <c r="D115" s="126"/>
      <c r="E115" s="126"/>
      <c r="F115" s="127"/>
      <c r="G115" s="113">
        <f>SUM(G110:G114)+G106</f>
        <v>174.01490000000001</v>
      </c>
      <c r="H115" s="84"/>
      <c r="I115" s="79"/>
      <c r="K115" s="88"/>
      <c r="L115" s="88"/>
      <c r="M115" s="88"/>
      <c r="N115" s="88"/>
      <c r="O115" s="88"/>
      <c r="P115" s="88"/>
      <c r="Q115" s="79"/>
    </row>
    <row r="116" spans="1:17" ht="16.5" thickBot="1">
      <c r="A116" s="182">
        <v>13</v>
      </c>
      <c r="B116" s="86" t="str">
        <f>"BDI  ( "&amp;TEXT($B$13,"0,00%")&amp;" )"</f>
        <v>BDI  ( 24,00% )</v>
      </c>
      <c r="C116" s="104"/>
      <c r="D116" s="104"/>
      <c r="E116" s="104"/>
      <c r="F116" s="128"/>
      <c r="G116" s="116">
        <f>$B$13*G115</f>
        <v>41.763576</v>
      </c>
      <c r="I116" s="79"/>
      <c r="K116" s="88"/>
      <c r="L116" s="88"/>
      <c r="M116" s="88"/>
      <c r="N116" s="88"/>
      <c r="O116" s="88"/>
      <c r="P116" s="88"/>
      <c r="Q116" s="79"/>
    </row>
    <row r="117" spans="1:17" ht="15.75" thickBot="1">
      <c r="A117" s="198">
        <v>14</v>
      </c>
      <c r="B117" s="52" t="s">
        <v>31</v>
      </c>
      <c r="C117" s="53"/>
      <c r="D117" s="53"/>
      <c r="E117" s="53"/>
      <c r="F117" s="56"/>
      <c r="G117" s="55">
        <f>G116+G115</f>
        <v>215.77847600000001</v>
      </c>
      <c r="I117" s="79"/>
      <c r="K117" s="88"/>
      <c r="L117" s="87"/>
      <c r="M117" s="88"/>
      <c r="N117" s="87"/>
      <c r="O117" s="129"/>
      <c r="P117" s="87"/>
      <c r="Q117" s="79"/>
    </row>
    <row r="118" spans="1:17">
      <c r="A118" s="59"/>
      <c r="B118" s="60"/>
      <c r="C118" s="59"/>
      <c r="D118" s="59"/>
      <c r="E118" s="59"/>
      <c r="F118" s="131"/>
      <c r="G118" s="62"/>
      <c r="I118" s="79"/>
      <c r="K118" s="88"/>
      <c r="L118" s="87"/>
      <c r="M118" s="88"/>
      <c r="N118" s="87"/>
      <c r="O118" s="129"/>
      <c r="P118" s="87"/>
      <c r="Q118" s="79"/>
    </row>
    <row r="119" spans="1:17" ht="15.75">
      <c r="A119" s="283" t="s">
        <v>187</v>
      </c>
      <c r="B119" s="284"/>
      <c r="C119" s="284"/>
      <c r="D119" s="284"/>
      <c r="E119" s="284"/>
      <c r="F119" s="284"/>
      <c r="G119" s="285"/>
      <c r="H119" s="84"/>
      <c r="I119" s="85"/>
    </row>
    <row r="120" spans="1:17" ht="16.5" thickBot="1">
      <c r="A120" s="228" t="s">
        <v>45</v>
      </c>
      <c r="B120" s="91" t="s">
        <v>46</v>
      </c>
      <c r="C120" s="91" t="s">
        <v>47</v>
      </c>
      <c r="D120" s="91" t="s">
        <v>48</v>
      </c>
      <c r="E120" s="286" t="s">
        <v>49</v>
      </c>
      <c r="F120" s="287"/>
      <c r="G120" s="91" t="s">
        <v>50</v>
      </c>
      <c r="H120" s="90"/>
      <c r="I120" s="85"/>
      <c r="J120" s="89"/>
    </row>
    <row r="121" spans="1:17" ht="16.5" thickBot="1">
      <c r="A121" s="178"/>
      <c r="B121" s="179" t="s">
        <v>134</v>
      </c>
      <c r="C121" s="180"/>
      <c r="D121" s="180"/>
      <c r="E121" s="180"/>
      <c r="F121" s="180"/>
      <c r="G121" s="181"/>
      <c r="H121" s="90"/>
      <c r="I121" s="85"/>
      <c r="J121" s="89"/>
    </row>
    <row r="122" spans="1:17" ht="15.75">
      <c r="A122" s="96">
        <v>1</v>
      </c>
      <c r="B122" s="97" t="s">
        <v>57</v>
      </c>
      <c r="C122" s="94" t="s">
        <v>30</v>
      </c>
      <c r="D122" s="191">
        <v>0.5</v>
      </c>
      <c r="E122" s="288">
        <v>20.25</v>
      </c>
      <c r="F122" s="289"/>
      <c r="G122" s="235">
        <f>ROUND(E122*D122,2)</f>
        <v>10.130000000000001</v>
      </c>
      <c r="H122" s="84">
        <v>4083</v>
      </c>
      <c r="I122" s="90"/>
    </row>
    <row r="123" spans="1:17" ht="15.75">
      <c r="A123" s="96">
        <v>2</v>
      </c>
      <c r="B123" s="97" t="s">
        <v>142</v>
      </c>
      <c r="C123" s="236" t="s">
        <v>30</v>
      </c>
      <c r="D123" s="232">
        <v>2</v>
      </c>
      <c r="E123" s="290">
        <v>6.75</v>
      </c>
      <c r="F123" s="291"/>
      <c r="G123" s="100">
        <f>ROUND(E123*D123,2)</f>
        <v>13.5</v>
      </c>
      <c r="H123" s="84">
        <v>6111</v>
      </c>
      <c r="I123" s="90"/>
    </row>
    <row r="124" spans="1:17" ht="15.75">
      <c r="A124" s="96">
        <v>5</v>
      </c>
      <c r="B124" s="183" t="s">
        <v>61</v>
      </c>
      <c r="C124" s="98"/>
      <c r="D124" s="98"/>
      <c r="E124" s="98"/>
      <c r="F124" s="99"/>
      <c r="G124" s="113">
        <f>SUM(G122:G123)</f>
        <v>23.630000000000003</v>
      </c>
      <c r="H124" s="85"/>
      <c r="I124" s="85"/>
    </row>
    <row r="126" spans="1:17" ht="16.5" thickBot="1">
      <c r="A126" s="229" t="s">
        <v>45</v>
      </c>
      <c r="B126" s="229" t="s">
        <v>46</v>
      </c>
      <c r="C126" s="229" t="s">
        <v>47</v>
      </c>
      <c r="D126" s="229" t="s">
        <v>48</v>
      </c>
      <c r="E126" s="301" t="s">
        <v>49</v>
      </c>
      <c r="F126" s="302"/>
      <c r="G126" s="229" t="s">
        <v>50</v>
      </c>
      <c r="H126" s="84"/>
      <c r="I126" s="85"/>
    </row>
    <row r="127" spans="1:17" ht="16.5" thickBot="1">
      <c r="A127" s="198"/>
      <c r="B127" s="179" t="s">
        <v>150</v>
      </c>
      <c r="C127" s="237"/>
      <c r="D127" s="237"/>
      <c r="E127" s="237"/>
      <c r="F127" s="238"/>
      <c r="G127" s="239"/>
      <c r="H127" s="84"/>
      <c r="I127" s="85"/>
    </row>
    <row r="128" spans="1:17" ht="15.75">
      <c r="A128" s="190">
        <v>6</v>
      </c>
      <c r="B128" s="240" t="s">
        <v>165</v>
      </c>
      <c r="C128" s="236" t="s">
        <v>152</v>
      </c>
      <c r="D128" s="101">
        <v>1</v>
      </c>
      <c r="E128" s="236">
        <v>1</v>
      </c>
      <c r="F128" s="236">
        <v>364.17</v>
      </c>
      <c r="G128" s="241">
        <f t="shared" ref="G128:G130" si="1">ROUND(D128*F128*E128,2)</f>
        <v>364.17</v>
      </c>
      <c r="H128" s="84"/>
      <c r="I128" s="85"/>
    </row>
    <row r="129" spans="1:17" ht="15.75">
      <c r="A129" s="190">
        <v>7</v>
      </c>
      <c r="B129" s="97" t="s">
        <v>165</v>
      </c>
      <c r="C129" s="98" t="s">
        <v>153</v>
      </c>
      <c r="D129" s="101">
        <v>1</v>
      </c>
      <c r="E129" s="98">
        <v>0</v>
      </c>
      <c r="F129" s="98">
        <v>16.329999999999998</v>
      </c>
      <c r="G129" s="241">
        <f t="shared" si="1"/>
        <v>0</v>
      </c>
      <c r="H129" s="84"/>
      <c r="I129" s="85"/>
    </row>
    <row r="130" spans="1:17" ht="15.75">
      <c r="A130" s="190">
        <v>18</v>
      </c>
      <c r="B130" s="97" t="s">
        <v>160</v>
      </c>
      <c r="C130" s="98" t="s">
        <v>129</v>
      </c>
      <c r="D130" s="101">
        <v>1</v>
      </c>
      <c r="E130" s="250">
        <v>0.15509999999999999</v>
      </c>
      <c r="F130" s="99">
        <f>G124</f>
        <v>23.630000000000003</v>
      </c>
      <c r="G130" s="241">
        <f t="shared" si="1"/>
        <v>3.67</v>
      </c>
      <c r="H130" s="84"/>
      <c r="I130" s="85"/>
    </row>
    <row r="131" spans="1:17" ht="15.75">
      <c r="A131" s="190">
        <v>19</v>
      </c>
      <c r="B131" s="111" t="s">
        <v>161</v>
      </c>
      <c r="C131" s="98"/>
      <c r="D131" s="98"/>
      <c r="E131" s="98"/>
      <c r="F131" s="112"/>
      <c r="G131" s="113">
        <f>SUM(G128:G130)+G124</f>
        <v>391.47</v>
      </c>
      <c r="H131" s="85"/>
      <c r="I131" s="114"/>
    </row>
    <row r="132" spans="1:17" ht="15.75">
      <c r="A132" s="190">
        <v>20</v>
      </c>
      <c r="B132" s="111" t="s">
        <v>162</v>
      </c>
      <c r="C132" s="193"/>
      <c r="D132" s="193"/>
      <c r="E132" s="193"/>
      <c r="F132" s="242"/>
      <c r="G132" s="195">
        <f>G131/1444</f>
        <v>0.271101108033241</v>
      </c>
      <c r="H132" s="85"/>
      <c r="I132" s="114"/>
    </row>
    <row r="133" spans="1:17" ht="16.5" thickBot="1">
      <c r="A133" s="184">
        <v>21</v>
      </c>
      <c r="B133" s="86" t="str">
        <f>"BDI  ( "&amp;TEXT($B$13,"0,00%")&amp;" )"</f>
        <v>BDI  ( 24,00% )</v>
      </c>
      <c r="C133" s="104"/>
      <c r="D133" s="104"/>
      <c r="E133" s="104"/>
      <c r="F133" s="115"/>
      <c r="G133" s="116">
        <f>$B$13*G132</f>
        <v>6.5064265927977843E-2</v>
      </c>
      <c r="H133" s="85"/>
      <c r="I133" s="85"/>
    </row>
    <row r="134" spans="1:17" ht="16.5" thickBot="1">
      <c r="A134" s="198">
        <v>22</v>
      </c>
      <c r="B134" s="52" t="s">
        <v>31</v>
      </c>
      <c r="C134" s="53"/>
      <c r="D134" s="53"/>
      <c r="E134" s="53"/>
      <c r="F134" s="54"/>
      <c r="G134" s="55">
        <f>G133+G132</f>
        <v>0.33616537396121882</v>
      </c>
      <c r="H134" s="85"/>
      <c r="I134" s="85"/>
    </row>
    <row r="135" spans="1:17">
      <c r="A135" s="59"/>
      <c r="B135" s="60"/>
      <c r="C135" s="59"/>
      <c r="D135" s="59"/>
      <c r="E135" s="59"/>
      <c r="F135" s="131"/>
      <c r="G135" s="62"/>
      <c r="I135" s="79"/>
      <c r="K135" s="88"/>
      <c r="L135" s="87"/>
      <c r="M135" s="88"/>
      <c r="N135" s="87"/>
      <c r="O135" s="129"/>
      <c r="P135" s="87"/>
      <c r="Q135" s="79"/>
    </row>
    <row r="136" spans="1:17" ht="15.75">
      <c r="A136" s="283" t="s">
        <v>175</v>
      </c>
      <c r="B136" s="284"/>
      <c r="C136" s="284"/>
      <c r="D136" s="284"/>
      <c r="E136" s="284"/>
      <c r="F136" s="284"/>
      <c r="G136" s="285"/>
      <c r="H136" s="90"/>
      <c r="I136" s="90"/>
      <c r="J136" s="89"/>
    </row>
    <row r="137" spans="1:17" ht="16.5" thickBot="1">
      <c r="A137" s="229" t="s">
        <v>45</v>
      </c>
      <c r="B137" s="229" t="s">
        <v>46</v>
      </c>
      <c r="C137" s="229" t="s">
        <v>47</v>
      </c>
      <c r="D137" s="229" t="s">
        <v>48</v>
      </c>
      <c r="E137" s="229" t="s">
        <v>163</v>
      </c>
      <c r="F137" s="229" t="s">
        <v>49</v>
      </c>
      <c r="G137" s="229" t="s">
        <v>50</v>
      </c>
      <c r="H137" s="90"/>
      <c r="I137" s="90"/>
      <c r="J137" s="89"/>
    </row>
    <row r="138" spans="1:17" ht="16.5" thickBot="1">
      <c r="A138" s="243"/>
      <c r="B138" s="179" t="s">
        <v>134</v>
      </c>
      <c r="C138" s="244"/>
      <c r="D138" s="244"/>
      <c r="E138" s="244"/>
      <c r="F138" s="244"/>
      <c r="G138" s="245"/>
      <c r="H138" s="90"/>
      <c r="I138" s="90"/>
      <c r="J138" s="89"/>
    </row>
    <row r="139" spans="1:17" ht="15.75">
      <c r="A139" s="190">
        <v>1</v>
      </c>
      <c r="B139" s="246" t="s">
        <v>164</v>
      </c>
      <c r="C139" s="236" t="s">
        <v>30</v>
      </c>
      <c r="D139" s="101">
        <v>1</v>
      </c>
      <c r="E139" s="236"/>
      <c r="F139" s="247">
        <v>20.25</v>
      </c>
      <c r="G139" s="241">
        <f>ROUND(F139*D139,2)</f>
        <v>20.25</v>
      </c>
      <c r="H139" s="84">
        <v>4083</v>
      </c>
      <c r="I139" s="85"/>
    </row>
    <row r="140" spans="1:17" ht="15.75">
      <c r="A140" s="96">
        <v>2</v>
      </c>
      <c r="B140" s="97" t="s">
        <v>42</v>
      </c>
      <c r="C140" s="98" t="s">
        <v>30</v>
      </c>
      <c r="D140" s="101">
        <v>3</v>
      </c>
      <c r="E140" s="98"/>
      <c r="F140" s="99">
        <v>6.75</v>
      </c>
      <c r="G140" s="100">
        <f>ROUND(F140*D140,2)</f>
        <v>20.25</v>
      </c>
      <c r="H140" s="84">
        <v>6111</v>
      </c>
      <c r="I140" s="85"/>
    </row>
    <row r="141" spans="1:17" ht="16.5" thickBot="1">
      <c r="A141" s="96">
        <v>5</v>
      </c>
      <c r="B141" s="103" t="s">
        <v>61</v>
      </c>
      <c r="C141" s="104"/>
      <c r="D141" s="104"/>
      <c r="E141" s="104"/>
      <c r="F141" s="105"/>
      <c r="G141" s="106">
        <f>SUM(G139:G140)</f>
        <v>40.5</v>
      </c>
      <c r="H141" s="85"/>
      <c r="I141" s="85"/>
    </row>
    <row r="142" spans="1:17" ht="16.5" thickBot="1">
      <c r="A142" s="198"/>
      <c r="B142" s="179" t="s">
        <v>150</v>
      </c>
      <c r="C142" s="237"/>
      <c r="D142" s="237"/>
      <c r="E142" s="237"/>
      <c r="F142" s="238"/>
      <c r="G142" s="239"/>
      <c r="H142" s="85"/>
      <c r="I142" s="85"/>
    </row>
    <row r="143" spans="1:17" ht="15.75">
      <c r="A143" s="190">
        <v>6</v>
      </c>
      <c r="B143" s="248" t="s">
        <v>165</v>
      </c>
      <c r="C143" s="236" t="s">
        <v>152</v>
      </c>
      <c r="D143" s="101">
        <v>1</v>
      </c>
      <c r="E143" s="236">
        <v>0.92</v>
      </c>
      <c r="F143" s="236">
        <v>364.17</v>
      </c>
      <c r="G143" s="241">
        <f>ROUND(D143*F143*E143,2)</f>
        <v>335.04</v>
      </c>
      <c r="H143" s="84"/>
      <c r="I143" s="85"/>
    </row>
    <row r="144" spans="1:17" ht="15.75">
      <c r="A144" s="96">
        <v>7</v>
      </c>
      <c r="B144" s="97" t="s">
        <v>165</v>
      </c>
      <c r="C144" s="98" t="s">
        <v>153</v>
      </c>
      <c r="D144" s="101">
        <v>1</v>
      </c>
      <c r="E144" s="98">
        <v>0.08</v>
      </c>
      <c r="F144" s="98">
        <v>16.329999999999998</v>
      </c>
      <c r="G144" s="241">
        <f t="shared" ref="G144:G148" si="2">ROUND(D144*F144*E144,2)</f>
        <v>1.31</v>
      </c>
      <c r="H144" s="84"/>
      <c r="I144" s="85"/>
    </row>
    <row r="145" spans="1:17" ht="15.75">
      <c r="A145" s="96">
        <v>8</v>
      </c>
      <c r="B145" s="97" t="s">
        <v>151</v>
      </c>
      <c r="C145" s="236" t="s">
        <v>152</v>
      </c>
      <c r="D145" s="101">
        <v>1</v>
      </c>
      <c r="E145" s="98">
        <v>0.22</v>
      </c>
      <c r="F145" s="98">
        <v>143.08000000000001</v>
      </c>
      <c r="G145" s="241">
        <f t="shared" si="2"/>
        <v>31.48</v>
      </c>
      <c r="H145" s="84"/>
      <c r="I145" s="85"/>
    </row>
    <row r="146" spans="1:17" ht="15.75">
      <c r="A146" s="96">
        <v>9</v>
      </c>
      <c r="B146" s="97" t="s">
        <v>151</v>
      </c>
      <c r="C146" s="98" t="s">
        <v>153</v>
      </c>
      <c r="D146" s="101">
        <v>1</v>
      </c>
      <c r="E146" s="101">
        <v>0.78</v>
      </c>
      <c r="F146" s="101">
        <v>16.329999999999998</v>
      </c>
      <c r="G146" s="241">
        <f t="shared" si="2"/>
        <v>12.74</v>
      </c>
      <c r="H146" s="84"/>
      <c r="I146" s="85"/>
    </row>
    <row r="147" spans="1:17" ht="18.75" customHeight="1">
      <c r="A147" s="96">
        <v>10</v>
      </c>
      <c r="B147" s="97" t="s">
        <v>166</v>
      </c>
      <c r="C147" s="236" t="s">
        <v>152</v>
      </c>
      <c r="D147" s="101">
        <v>1</v>
      </c>
      <c r="E147" s="98">
        <v>1</v>
      </c>
      <c r="F147" s="98">
        <v>186.58</v>
      </c>
      <c r="G147" s="241">
        <f t="shared" si="2"/>
        <v>186.58</v>
      </c>
      <c r="H147" s="84"/>
      <c r="I147" s="85"/>
    </row>
    <row r="148" spans="1:17" ht="23.25" customHeight="1">
      <c r="A148" s="96">
        <v>11</v>
      </c>
      <c r="B148" s="97" t="s">
        <v>166</v>
      </c>
      <c r="C148" s="98" t="s">
        <v>153</v>
      </c>
      <c r="D148" s="101">
        <v>1</v>
      </c>
      <c r="E148" s="98">
        <v>0</v>
      </c>
      <c r="F148" s="98">
        <v>16.329999999999998</v>
      </c>
      <c r="G148" s="241">
        <f t="shared" si="2"/>
        <v>0</v>
      </c>
      <c r="H148" s="84"/>
      <c r="I148" s="85"/>
    </row>
    <row r="149" spans="1:17" ht="15.75">
      <c r="A149" s="96">
        <v>12</v>
      </c>
      <c r="B149" s="97" t="s">
        <v>167</v>
      </c>
      <c r="C149" s="236" t="s">
        <v>152</v>
      </c>
      <c r="D149" s="101">
        <v>5</v>
      </c>
      <c r="E149" s="98">
        <v>0.88</v>
      </c>
      <c r="F149" s="98">
        <v>187.72</v>
      </c>
      <c r="G149" s="241">
        <f>ROUND(D149*F149*E149,2)</f>
        <v>825.97</v>
      </c>
      <c r="H149" s="84"/>
      <c r="I149" s="85"/>
    </row>
    <row r="150" spans="1:17" ht="15.75">
      <c r="A150" s="96">
        <v>13</v>
      </c>
      <c r="B150" s="97" t="s">
        <v>167</v>
      </c>
      <c r="C150" s="98" t="s">
        <v>153</v>
      </c>
      <c r="D150" s="101">
        <v>5</v>
      </c>
      <c r="E150" s="98">
        <v>0.12</v>
      </c>
      <c r="F150" s="98">
        <v>12.23</v>
      </c>
      <c r="G150" s="241">
        <f t="shared" ref="G150:G151" si="3">ROUND(D150*F150*E150,2)</f>
        <v>7.34</v>
      </c>
      <c r="H150" s="84"/>
      <c r="I150" s="85"/>
    </row>
    <row r="151" spans="1:17" ht="15.75">
      <c r="A151" s="96">
        <v>14</v>
      </c>
      <c r="B151" s="97" t="s">
        <v>160</v>
      </c>
      <c r="C151" s="98" t="s">
        <v>129</v>
      </c>
      <c r="D151" s="101">
        <v>1</v>
      </c>
      <c r="E151" s="98">
        <v>0.15509999999999999</v>
      </c>
      <c r="F151" s="99">
        <f>G141</f>
        <v>40.5</v>
      </c>
      <c r="G151" s="241">
        <f t="shared" si="3"/>
        <v>6.28</v>
      </c>
      <c r="H151" s="84"/>
      <c r="I151" s="85"/>
    </row>
    <row r="152" spans="1:17" ht="15.75">
      <c r="A152" s="190">
        <v>15</v>
      </c>
      <c r="B152" s="111" t="s">
        <v>161</v>
      </c>
      <c r="C152" s="98"/>
      <c r="D152" s="98"/>
      <c r="E152" s="98"/>
      <c r="F152" s="112"/>
      <c r="G152" s="113">
        <f>SUM(G143:G151)+G141</f>
        <v>1447.24</v>
      </c>
      <c r="H152" s="85"/>
      <c r="I152" s="114"/>
    </row>
    <row r="153" spans="1:17" ht="15.75">
      <c r="A153" s="190">
        <v>16</v>
      </c>
      <c r="B153" s="111" t="s">
        <v>162</v>
      </c>
      <c r="C153" s="193"/>
      <c r="D153" s="193"/>
      <c r="E153" s="193"/>
      <c r="F153" s="242"/>
      <c r="G153" s="195">
        <f>G152/194</f>
        <v>7.46</v>
      </c>
      <c r="H153" s="85"/>
      <c r="I153" s="114"/>
    </row>
    <row r="154" spans="1:17" ht="16.5" thickBot="1">
      <c r="A154" s="102">
        <v>17</v>
      </c>
      <c r="B154" s="86" t="str">
        <f>"BDI  ( "&amp;TEXT($B$13,"0,00%")&amp;" )"</f>
        <v>BDI  ( 24,00% )</v>
      </c>
      <c r="C154" s="104"/>
      <c r="D154" s="104"/>
      <c r="E154" s="104"/>
      <c r="F154" s="115"/>
      <c r="G154" s="116">
        <f>$B$13*G153</f>
        <v>1.7904</v>
      </c>
      <c r="H154" s="85"/>
      <c r="I154" s="85"/>
    </row>
    <row r="155" spans="1:17" ht="16.5" thickBot="1">
      <c r="A155" s="51">
        <v>18</v>
      </c>
      <c r="B155" s="52" t="s">
        <v>31</v>
      </c>
      <c r="C155" s="53"/>
      <c r="D155" s="53"/>
      <c r="E155" s="53"/>
      <c r="F155" s="54"/>
      <c r="G155" s="55">
        <f>G154+G153</f>
        <v>9.2503999999999991</v>
      </c>
      <c r="H155" s="85"/>
      <c r="I155" s="85"/>
    </row>
    <row r="156" spans="1:17">
      <c r="A156" s="59"/>
      <c r="B156" s="60"/>
      <c r="C156" s="59"/>
      <c r="D156" s="59"/>
      <c r="E156" s="59"/>
      <c r="F156" s="131"/>
      <c r="G156" s="62"/>
      <c r="I156" s="79"/>
      <c r="K156" s="88"/>
      <c r="L156" s="87"/>
      <c r="M156" s="88"/>
      <c r="N156" s="87"/>
      <c r="O156" s="129"/>
      <c r="P156" s="87"/>
      <c r="Q156" s="79"/>
    </row>
    <row r="157" spans="1:17" ht="15.75">
      <c r="A157" s="283" t="s">
        <v>176</v>
      </c>
      <c r="B157" s="284"/>
      <c r="C157" s="284"/>
      <c r="D157" s="284"/>
      <c r="E157" s="284"/>
      <c r="F157" s="284"/>
      <c r="G157" s="285"/>
      <c r="H157" s="84"/>
      <c r="I157" s="85"/>
    </row>
    <row r="158" spans="1:17" ht="16.5" thickBot="1">
      <c r="A158" s="228" t="s">
        <v>45</v>
      </c>
      <c r="B158" s="91" t="s">
        <v>46</v>
      </c>
      <c r="C158" s="91" t="s">
        <v>47</v>
      </c>
      <c r="D158" s="91" t="s">
        <v>48</v>
      </c>
      <c r="E158" s="286" t="s">
        <v>49</v>
      </c>
      <c r="F158" s="287"/>
      <c r="G158" s="91" t="s">
        <v>50</v>
      </c>
      <c r="H158" s="90"/>
      <c r="I158" s="85"/>
      <c r="J158" s="89"/>
    </row>
    <row r="159" spans="1:17" ht="16.5" thickBot="1">
      <c r="A159" s="178"/>
      <c r="B159" s="179" t="s">
        <v>134</v>
      </c>
      <c r="C159" s="180"/>
      <c r="D159" s="180"/>
      <c r="E159" s="180"/>
      <c r="F159" s="180"/>
      <c r="G159" s="181"/>
      <c r="H159" s="90"/>
      <c r="I159" s="85"/>
      <c r="J159" s="89"/>
    </row>
    <row r="160" spans="1:17" ht="15.75">
      <c r="A160" s="96">
        <v>1</v>
      </c>
      <c r="B160" s="97" t="s">
        <v>57</v>
      </c>
      <c r="C160" s="94" t="s">
        <v>30</v>
      </c>
      <c r="D160" s="191">
        <v>0.1</v>
      </c>
      <c r="E160" s="288">
        <v>20.25</v>
      </c>
      <c r="F160" s="289"/>
      <c r="G160" s="235">
        <f>ROUND(E160*D160,2)</f>
        <v>2.0299999999999998</v>
      </c>
      <c r="H160" s="84">
        <v>4083</v>
      </c>
      <c r="I160" s="90"/>
    </row>
    <row r="161" spans="1:17" ht="15.75">
      <c r="A161" s="96">
        <v>2</v>
      </c>
      <c r="B161" s="97" t="s">
        <v>142</v>
      </c>
      <c r="C161" s="236" t="s">
        <v>30</v>
      </c>
      <c r="D161" s="232">
        <v>1</v>
      </c>
      <c r="E161" s="290">
        <v>6.75</v>
      </c>
      <c r="F161" s="291"/>
      <c r="G161" s="100">
        <f>ROUND(E161*D161,2)</f>
        <v>6.75</v>
      </c>
      <c r="H161" s="84">
        <v>6111</v>
      </c>
      <c r="I161" s="90"/>
    </row>
    <row r="162" spans="1:17" ht="15.75">
      <c r="A162" s="96">
        <v>5</v>
      </c>
      <c r="B162" s="183" t="s">
        <v>61</v>
      </c>
      <c r="C162" s="98"/>
      <c r="D162" s="98"/>
      <c r="E162" s="98"/>
      <c r="F162" s="99"/>
      <c r="G162" s="113">
        <f>SUM(G160:G161)</f>
        <v>8.7799999999999994</v>
      </c>
      <c r="H162" s="85"/>
      <c r="I162" s="85"/>
    </row>
    <row r="164" spans="1:17" ht="16.5" thickBot="1">
      <c r="A164" s="229" t="s">
        <v>45</v>
      </c>
      <c r="B164" s="229" t="s">
        <v>46</v>
      </c>
      <c r="C164" s="229" t="s">
        <v>47</v>
      </c>
      <c r="D164" s="229" t="s">
        <v>48</v>
      </c>
      <c r="E164" s="301" t="s">
        <v>49</v>
      </c>
      <c r="F164" s="302"/>
      <c r="G164" s="229" t="s">
        <v>50</v>
      </c>
      <c r="H164" s="84"/>
      <c r="I164" s="85"/>
    </row>
    <row r="165" spans="1:17" ht="16.5" thickBot="1">
      <c r="A165" s="198"/>
      <c r="B165" s="179" t="s">
        <v>150</v>
      </c>
      <c r="C165" s="237"/>
      <c r="D165" s="237"/>
      <c r="E165" s="237"/>
      <c r="F165" s="238"/>
      <c r="G165" s="239"/>
      <c r="H165" s="84"/>
      <c r="I165" s="85"/>
    </row>
    <row r="166" spans="1:17" ht="15.75">
      <c r="A166" s="190">
        <v>6</v>
      </c>
      <c r="B166" s="240" t="s">
        <v>151</v>
      </c>
      <c r="C166" s="236" t="s">
        <v>152</v>
      </c>
      <c r="D166" s="101">
        <v>1</v>
      </c>
      <c r="E166" s="236">
        <v>1</v>
      </c>
      <c r="F166" s="236">
        <v>143.08000000000001</v>
      </c>
      <c r="G166" s="241">
        <f t="shared" ref="G166:G168" si="4">ROUND(D166*F166*E166,2)</f>
        <v>143.08000000000001</v>
      </c>
      <c r="H166" s="84"/>
      <c r="I166" s="85"/>
    </row>
    <row r="167" spans="1:17" ht="15.75">
      <c r="A167" s="190">
        <v>7</v>
      </c>
      <c r="B167" s="97" t="s">
        <v>151</v>
      </c>
      <c r="C167" s="98" t="s">
        <v>153</v>
      </c>
      <c r="D167" s="101">
        <v>1</v>
      </c>
      <c r="E167" s="98">
        <v>0</v>
      </c>
      <c r="F167" s="98">
        <v>16.329999999999998</v>
      </c>
      <c r="G167" s="241">
        <f t="shared" si="4"/>
        <v>0</v>
      </c>
      <c r="H167" s="84"/>
      <c r="I167" s="85"/>
    </row>
    <row r="168" spans="1:17" ht="15.75">
      <c r="A168" s="190">
        <v>18</v>
      </c>
      <c r="B168" s="97" t="s">
        <v>160</v>
      </c>
      <c r="C168" s="98" t="s">
        <v>129</v>
      </c>
      <c r="D168" s="101">
        <v>1</v>
      </c>
      <c r="E168" s="250">
        <v>0.2051</v>
      </c>
      <c r="F168" s="99">
        <f>G162</f>
        <v>8.7799999999999994</v>
      </c>
      <c r="G168" s="241">
        <f t="shared" si="4"/>
        <v>1.8</v>
      </c>
      <c r="H168" s="84"/>
      <c r="I168" s="85"/>
    </row>
    <row r="169" spans="1:17" ht="15.75">
      <c r="A169" s="190">
        <v>19</v>
      </c>
      <c r="B169" s="111" t="s">
        <v>161</v>
      </c>
      <c r="C169" s="98"/>
      <c r="D169" s="98"/>
      <c r="E169" s="98"/>
      <c r="F169" s="112"/>
      <c r="G169" s="113">
        <f>SUM(G166:G168)+G162</f>
        <v>153.66000000000003</v>
      </c>
      <c r="H169" s="85"/>
      <c r="I169" s="114"/>
    </row>
    <row r="170" spans="1:17" ht="15.75">
      <c r="A170" s="190">
        <v>20</v>
      </c>
      <c r="B170" s="111" t="s">
        <v>162</v>
      </c>
      <c r="C170" s="193"/>
      <c r="D170" s="193"/>
      <c r="E170" s="193"/>
      <c r="F170" s="242"/>
      <c r="G170" s="195">
        <f>G169/1</f>
        <v>153.66000000000003</v>
      </c>
      <c r="H170" s="85"/>
      <c r="I170" s="114"/>
    </row>
    <row r="171" spans="1:17" ht="16.5" thickBot="1">
      <c r="A171" s="184">
        <v>21</v>
      </c>
      <c r="B171" s="86" t="str">
        <f>"BDI  ( "&amp;TEXT($B$13,"0,00%")&amp;" )"</f>
        <v>BDI  ( 24,00% )</v>
      </c>
      <c r="C171" s="104"/>
      <c r="D171" s="104"/>
      <c r="E171" s="104"/>
      <c r="F171" s="115"/>
      <c r="G171" s="116">
        <f>$B$13*G170</f>
        <v>36.878400000000006</v>
      </c>
      <c r="H171" s="85"/>
      <c r="I171" s="85"/>
    </row>
    <row r="172" spans="1:17" ht="16.5" thickBot="1">
      <c r="A172" s="198">
        <v>22</v>
      </c>
      <c r="B172" s="52" t="s">
        <v>31</v>
      </c>
      <c r="C172" s="53"/>
      <c r="D172" s="53"/>
      <c r="E172" s="53"/>
      <c r="F172" s="54"/>
      <c r="G172" s="55">
        <f>G171+G170</f>
        <v>190.53840000000002</v>
      </c>
      <c r="H172" s="85"/>
      <c r="I172" s="85"/>
    </row>
    <row r="173" spans="1:17">
      <c r="A173" s="59"/>
      <c r="B173" s="60"/>
      <c r="C173" s="59"/>
      <c r="D173" s="59"/>
      <c r="E173" s="59"/>
      <c r="F173" s="131"/>
      <c r="G173" s="62"/>
      <c r="I173" s="79"/>
      <c r="K173" s="88"/>
      <c r="L173" s="87"/>
      <c r="M173" s="88"/>
      <c r="N173" s="87"/>
      <c r="O173" s="129"/>
      <c r="P173" s="87"/>
      <c r="Q173" s="79"/>
    </row>
    <row r="174" spans="1:17" ht="15.75">
      <c r="A174" s="283" t="s">
        <v>177</v>
      </c>
      <c r="B174" s="284"/>
      <c r="C174" s="284"/>
      <c r="D174" s="284"/>
      <c r="E174" s="284"/>
      <c r="F174" s="284"/>
      <c r="G174" s="285"/>
      <c r="H174" s="90"/>
      <c r="I174" s="90"/>
      <c r="J174" s="89"/>
    </row>
    <row r="175" spans="1:17" ht="16.5" thickBot="1">
      <c r="A175" s="229" t="s">
        <v>45</v>
      </c>
      <c r="B175" s="229" t="s">
        <v>46</v>
      </c>
      <c r="C175" s="229" t="s">
        <v>47</v>
      </c>
      <c r="D175" s="229" t="s">
        <v>48</v>
      </c>
      <c r="E175" s="229" t="s">
        <v>163</v>
      </c>
      <c r="F175" s="229" t="s">
        <v>49</v>
      </c>
      <c r="G175" s="229" t="s">
        <v>50</v>
      </c>
      <c r="H175" s="90"/>
      <c r="I175" s="90"/>
      <c r="J175" s="89"/>
    </row>
    <row r="176" spans="1:17" ht="16.5" thickBot="1">
      <c r="A176" s="243"/>
      <c r="B176" s="179" t="s">
        <v>134</v>
      </c>
      <c r="C176" s="244"/>
      <c r="D176" s="244"/>
      <c r="E176" s="244"/>
      <c r="F176" s="244"/>
      <c r="G176" s="245"/>
      <c r="H176" s="90"/>
      <c r="I176" s="90"/>
      <c r="J176" s="89"/>
    </row>
    <row r="177" spans="1:9" ht="15.75">
      <c r="A177" s="190">
        <v>1</v>
      </c>
      <c r="B177" s="246" t="s">
        <v>164</v>
      </c>
      <c r="C177" s="236" t="s">
        <v>30</v>
      </c>
      <c r="D177" s="101">
        <v>1</v>
      </c>
      <c r="E177" s="236"/>
      <c r="F177" s="247">
        <v>20.25</v>
      </c>
      <c r="G177" s="241">
        <f>ROUND(F177*D177,2)</f>
        <v>20.25</v>
      </c>
      <c r="H177" s="84">
        <v>4083</v>
      </c>
      <c r="I177" s="85"/>
    </row>
    <row r="178" spans="1:9" ht="15.75">
      <c r="A178" s="96">
        <v>2</v>
      </c>
      <c r="B178" s="97" t="s">
        <v>42</v>
      </c>
      <c r="C178" s="98" t="s">
        <v>30</v>
      </c>
      <c r="D178" s="101">
        <v>3</v>
      </c>
      <c r="E178" s="98"/>
      <c r="F178" s="99">
        <v>6.75</v>
      </c>
      <c r="G178" s="100">
        <f>ROUND(F178*D178,2)</f>
        <v>20.25</v>
      </c>
      <c r="H178" s="84">
        <v>6111</v>
      </c>
      <c r="I178" s="85"/>
    </row>
    <row r="179" spans="1:9" ht="16.5" thickBot="1">
      <c r="A179" s="96">
        <v>5</v>
      </c>
      <c r="B179" s="103" t="s">
        <v>61</v>
      </c>
      <c r="C179" s="104"/>
      <c r="D179" s="104"/>
      <c r="E179" s="104"/>
      <c r="F179" s="105"/>
      <c r="G179" s="106">
        <f>SUM(G177:G178)</f>
        <v>40.5</v>
      </c>
      <c r="H179" s="85"/>
      <c r="I179" s="85"/>
    </row>
    <row r="180" spans="1:9" ht="16.5" thickBot="1">
      <c r="A180" s="198"/>
      <c r="B180" s="179" t="s">
        <v>150</v>
      </c>
      <c r="C180" s="237"/>
      <c r="D180" s="237"/>
      <c r="E180" s="237"/>
      <c r="F180" s="238"/>
      <c r="G180" s="239"/>
      <c r="H180" s="85"/>
      <c r="I180" s="85"/>
    </row>
    <row r="181" spans="1:9" ht="15.75">
      <c r="A181" s="190">
        <v>6</v>
      </c>
      <c r="B181" s="248" t="s">
        <v>165</v>
      </c>
      <c r="C181" s="236" t="s">
        <v>152</v>
      </c>
      <c r="D181" s="101">
        <v>1</v>
      </c>
      <c r="E181" s="236">
        <v>0.91</v>
      </c>
      <c r="F181" s="236">
        <v>364.17</v>
      </c>
      <c r="G181" s="241">
        <f>ROUND(D181*F181*E181,2)</f>
        <v>331.39</v>
      </c>
      <c r="H181" s="84"/>
      <c r="I181" s="85"/>
    </row>
    <row r="182" spans="1:9" ht="15.75">
      <c r="A182" s="96">
        <v>7</v>
      </c>
      <c r="B182" s="97" t="s">
        <v>165</v>
      </c>
      <c r="C182" s="98" t="s">
        <v>153</v>
      </c>
      <c r="D182" s="101">
        <v>1</v>
      </c>
      <c r="E182" s="98">
        <v>0.09</v>
      </c>
      <c r="F182" s="98">
        <v>16.329999999999998</v>
      </c>
      <c r="G182" s="241">
        <f t="shared" ref="G182:G191" si="5">ROUND(D182*F182*E182,2)</f>
        <v>1.47</v>
      </c>
      <c r="H182" s="84"/>
      <c r="I182" s="85"/>
    </row>
    <row r="183" spans="1:9" ht="15.75">
      <c r="A183" s="96">
        <v>8</v>
      </c>
      <c r="B183" s="97" t="s">
        <v>151</v>
      </c>
      <c r="C183" s="236" t="s">
        <v>152</v>
      </c>
      <c r="D183" s="101">
        <v>1</v>
      </c>
      <c r="E183" s="98">
        <v>0.78</v>
      </c>
      <c r="F183" s="98">
        <v>143.08000000000001</v>
      </c>
      <c r="G183" s="241">
        <f t="shared" si="5"/>
        <v>111.6</v>
      </c>
      <c r="H183" s="84"/>
      <c r="I183" s="85"/>
    </row>
    <row r="184" spans="1:9" ht="15.75">
      <c r="A184" s="96">
        <v>9</v>
      </c>
      <c r="B184" s="97" t="s">
        <v>151</v>
      </c>
      <c r="C184" s="98" t="s">
        <v>153</v>
      </c>
      <c r="D184" s="101">
        <v>1</v>
      </c>
      <c r="E184" s="101">
        <v>0.22</v>
      </c>
      <c r="F184" s="101">
        <v>16.329999999999998</v>
      </c>
      <c r="G184" s="241">
        <f t="shared" si="5"/>
        <v>3.59</v>
      </c>
      <c r="H184" s="84"/>
      <c r="I184" s="85"/>
    </row>
    <row r="185" spans="1:9" ht="18.75" customHeight="1">
      <c r="A185" s="96">
        <v>10</v>
      </c>
      <c r="B185" s="97" t="s">
        <v>166</v>
      </c>
      <c r="C185" s="236" t="s">
        <v>152</v>
      </c>
      <c r="D185" s="101">
        <v>1</v>
      </c>
      <c r="E185" s="98">
        <v>1</v>
      </c>
      <c r="F185" s="98">
        <v>186.58</v>
      </c>
      <c r="G185" s="241">
        <f t="shared" si="5"/>
        <v>186.58</v>
      </c>
      <c r="H185" s="84"/>
      <c r="I185" s="85"/>
    </row>
    <row r="186" spans="1:9" ht="23.25" customHeight="1">
      <c r="A186" s="96">
        <v>11</v>
      </c>
      <c r="B186" s="97" t="s">
        <v>166</v>
      </c>
      <c r="C186" s="98" t="s">
        <v>153</v>
      </c>
      <c r="D186" s="101">
        <v>1</v>
      </c>
      <c r="E186" s="98">
        <v>0</v>
      </c>
      <c r="F186" s="98">
        <v>16.329999999999998</v>
      </c>
      <c r="G186" s="241">
        <f t="shared" si="5"/>
        <v>0</v>
      </c>
      <c r="H186" s="84"/>
      <c r="I186" s="85"/>
    </row>
    <row r="187" spans="1:9" ht="23.25" customHeight="1">
      <c r="A187" s="96">
        <v>12</v>
      </c>
      <c r="B187" s="97" t="s">
        <v>178</v>
      </c>
      <c r="C187" s="236" t="s">
        <v>152</v>
      </c>
      <c r="D187" s="101">
        <v>1</v>
      </c>
      <c r="E187" s="98">
        <v>0.62</v>
      </c>
      <c r="F187" s="98">
        <v>374.31</v>
      </c>
      <c r="G187" s="241">
        <f t="shared" si="5"/>
        <v>232.07</v>
      </c>
      <c r="H187" s="84"/>
      <c r="I187" s="85"/>
    </row>
    <row r="188" spans="1:9" ht="23.25" customHeight="1">
      <c r="A188" s="96">
        <v>13</v>
      </c>
      <c r="B188" s="97" t="s">
        <v>178</v>
      </c>
      <c r="C188" s="98" t="s">
        <v>153</v>
      </c>
      <c r="D188" s="101">
        <v>1</v>
      </c>
      <c r="E188" s="98">
        <v>0.38</v>
      </c>
      <c r="F188" s="98">
        <v>16.329999999999998</v>
      </c>
      <c r="G188" s="241">
        <f t="shared" si="5"/>
        <v>6.21</v>
      </c>
      <c r="H188" s="84"/>
      <c r="I188" s="85"/>
    </row>
    <row r="189" spans="1:9" ht="15.75">
      <c r="A189" s="96">
        <v>14</v>
      </c>
      <c r="B189" s="97" t="s">
        <v>167</v>
      </c>
      <c r="C189" s="236" t="s">
        <v>152</v>
      </c>
      <c r="D189" s="101">
        <v>9</v>
      </c>
      <c r="E189" s="98">
        <v>1</v>
      </c>
      <c r="F189" s="98">
        <v>187.72</v>
      </c>
      <c r="G189" s="241">
        <f>ROUND(D189*F189*E189,2)</f>
        <v>1689.48</v>
      </c>
      <c r="H189" s="84"/>
      <c r="I189" s="85"/>
    </row>
    <row r="190" spans="1:9" ht="15.75">
      <c r="A190" s="96">
        <v>15</v>
      </c>
      <c r="B190" s="97" t="s">
        <v>167</v>
      </c>
      <c r="C190" s="98" t="s">
        <v>153</v>
      </c>
      <c r="D190" s="101">
        <v>9</v>
      </c>
      <c r="E190" s="98">
        <v>0</v>
      </c>
      <c r="F190" s="98">
        <v>12.23</v>
      </c>
      <c r="G190" s="241">
        <f t="shared" si="5"/>
        <v>0</v>
      </c>
      <c r="H190" s="84"/>
      <c r="I190" s="85"/>
    </row>
    <row r="191" spans="1:9" ht="15.75">
      <c r="A191" s="96">
        <v>16</v>
      </c>
      <c r="B191" s="97" t="s">
        <v>160</v>
      </c>
      <c r="C191" s="98" t="s">
        <v>129</v>
      </c>
      <c r="D191" s="101">
        <v>1</v>
      </c>
      <c r="E191" s="98">
        <v>0.15509999999999999</v>
      </c>
      <c r="F191" s="99">
        <f>G179</f>
        <v>40.5</v>
      </c>
      <c r="G191" s="241">
        <f t="shared" si="5"/>
        <v>6.28</v>
      </c>
      <c r="H191" s="84"/>
      <c r="I191" s="85"/>
    </row>
    <row r="192" spans="1:9" ht="15.75">
      <c r="A192" s="96">
        <v>17</v>
      </c>
      <c r="B192" s="111" t="s">
        <v>161</v>
      </c>
      <c r="C192" s="98"/>
      <c r="D192" s="98"/>
      <c r="E192" s="98"/>
      <c r="F192" s="112"/>
      <c r="G192" s="113">
        <f>SUM(G181:G191)+G179</f>
        <v>2609.1700000000005</v>
      </c>
      <c r="H192" s="85"/>
      <c r="I192" s="114"/>
    </row>
    <row r="193" spans="1:17" ht="15.75">
      <c r="A193" s="96">
        <v>18</v>
      </c>
      <c r="B193" s="111" t="s">
        <v>162</v>
      </c>
      <c r="C193" s="193"/>
      <c r="D193" s="193"/>
      <c r="E193" s="193"/>
      <c r="F193" s="242"/>
      <c r="G193" s="195">
        <f>G192/146</f>
        <v>17.871027397260278</v>
      </c>
      <c r="H193" s="85"/>
      <c r="I193" s="114"/>
    </row>
    <row r="194" spans="1:17" ht="16.5" thickBot="1">
      <c r="A194" s="96">
        <v>19</v>
      </c>
      <c r="B194" s="86" t="str">
        <f>"BDI  ( "&amp;TEXT($B$13,"0,00%")&amp;" )"</f>
        <v>BDI  ( 24,00% )</v>
      </c>
      <c r="C194" s="104"/>
      <c r="D194" s="104"/>
      <c r="E194" s="104"/>
      <c r="F194" s="115"/>
      <c r="G194" s="116">
        <f>$B$13*G193</f>
        <v>4.2890465753424669</v>
      </c>
      <c r="H194" s="85"/>
      <c r="I194" s="85"/>
    </row>
    <row r="195" spans="1:17" ht="16.5" thickBot="1">
      <c r="A195" s="51">
        <v>20</v>
      </c>
      <c r="B195" s="52" t="s">
        <v>31</v>
      </c>
      <c r="C195" s="53"/>
      <c r="D195" s="53"/>
      <c r="E195" s="53"/>
      <c r="F195" s="54"/>
      <c r="G195" s="55">
        <f>G194+G193</f>
        <v>22.160073972602746</v>
      </c>
      <c r="H195" s="85"/>
      <c r="I195" s="85"/>
    </row>
    <row r="196" spans="1:17">
      <c r="A196" s="59"/>
      <c r="B196" s="60"/>
      <c r="C196" s="59"/>
      <c r="D196" s="59"/>
      <c r="E196" s="59"/>
      <c r="F196" s="131"/>
      <c r="G196" s="62"/>
      <c r="I196" s="79"/>
      <c r="K196" s="88"/>
      <c r="L196" s="87"/>
      <c r="M196" s="88"/>
      <c r="N196" s="87"/>
      <c r="O196" s="129"/>
      <c r="P196" s="87"/>
      <c r="Q196" s="79"/>
    </row>
    <row r="197" spans="1:17" ht="15.75">
      <c r="A197" s="283" t="s">
        <v>179</v>
      </c>
      <c r="B197" s="284"/>
      <c r="C197" s="284"/>
      <c r="D197" s="284"/>
      <c r="E197" s="284"/>
      <c r="F197" s="284"/>
      <c r="G197" s="285"/>
      <c r="H197" s="84"/>
      <c r="I197" s="85"/>
    </row>
    <row r="198" spans="1:17" ht="16.5" thickBot="1">
      <c r="A198" s="228" t="s">
        <v>45</v>
      </c>
      <c r="B198" s="91" t="s">
        <v>46</v>
      </c>
      <c r="C198" s="91" t="s">
        <v>47</v>
      </c>
      <c r="D198" s="91" t="s">
        <v>48</v>
      </c>
      <c r="E198" s="286" t="s">
        <v>49</v>
      </c>
      <c r="F198" s="287"/>
      <c r="G198" s="91" t="s">
        <v>50</v>
      </c>
      <c r="H198" s="90"/>
      <c r="I198" s="85"/>
      <c r="J198" s="89"/>
    </row>
    <row r="199" spans="1:17" ht="16.5" thickBot="1">
      <c r="A199" s="178"/>
      <c r="B199" s="179" t="s">
        <v>134</v>
      </c>
      <c r="C199" s="180"/>
      <c r="D199" s="180"/>
      <c r="E199" s="180"/>
      <c r="F199" s="180"/>
      <c r="G199" s="181"/>
      <c r="H199" s="90"/>
      <c r="I199" s="85"/>
      <c r="J199" s="89"/>
    </row>
    <row r="200" spans="1:17" ht="15.75">
      <c r="A200" s="96">
        <v>1</v>
      </c>
      <c r="B200" s="97" t="s">
        <v>180</v>
      </c>
      <c r="C200" s="94" t="s">
        <v>30</v>
      </c>
      <c r="D200" s="191">
        <v>1</v>
      </c>
      <c r="E200" s="288">
        <v>31.54</v>
      </c>
      <c r="F200" s="289"/>
      <c r="G200" s="235">
        <f>ROUND(E200*D200,2)</f>
        <v>31.54</v>
      </c>
      <c r="H200" s="84">
        <v>4083</v>
      </c>
      <c r="I200" s="90"/>
    </row>
    <row r="201" spans="1:17" ht="15.75">
      <c r="A201" s="96">
        <v>2</v>
      </c>
      <c r="B201" s="97" t="s">
        <v>142</v>
      </c>
      <c r="C201" s="236" t="s">
        <v>30</v>
      </c>
      <c r="D201" s="232">
        <v>3</v>
      </c>
      <c r="E201" s="290">
        <v>6.75</v>
      </c>
      <c r="F201" s="291"/>
      <c r="G201" s="100">
        <f>ROUND(E201*D201,2)</f>
        <v>20.25</v>
      </c>
      <c r="H201" s="84">
        <v>6111</v>
      </c>
      <c r="I201" s="90"/>
    </row>
    <row r="202" spans="1:17" ht="15.75">
      <c r="A202" s="96">
        <v>5</v>
      </c>
      <c r="B202" s="183" t="s">
        <v>61</v>
      </c>
      <c r="C202" s="98"/>
      <c r="D202" s="98"/>
      <c r="E202" s="98"/>
      <c r="F202" s="99"/>
      <c r="G202" s="113">
        <f>SUM(G200:G201)</f>
        <v>51.79</v>
      </c>
      <c r="H202" s="85"/>
      <c r="I202" s="85"/>
    </row>
    <row r="204" spans="1:17" ht="16.5" thickBot="1">
      <c r="A204" s="229" t="s">
        <v>45</v>
      </c>
      <c r="B204" s="229" t="s">
        <v>46</v>
      </c>
      <c r="C204" s="229" t="s">
        <v>47</v>
      </c>
      <c r="D204" s="229" t="s">
        <v>48</v>
      </c>
      <c r="E204" s="301" t="s">
        <v>49</v>
      </c>
      <c r="F204" s="302"/>
      <c r="G204" s="229" t="s">
        <v>50</v>
      </c>
      <c r="H204" s="84"/>
      <c r="I204" s="85"/>
    </row>
    <row r="205" spans="1:17" ht="16.5" thickBot="1">
      <c r="A205" s="198"/>
      <c r="B205" s="179" t="s">
        <v>150</v>
      </c>
      <c r="C205" s="237"/>
      <c r="D205" s="237"/>
      <c r="E205" s="237"/>
      <c r="F205" s="238"/>
      <c r="G205" s="239"/>
      <c r="H205" s="84"/>
      <c r="I205" s="85"/>
    </row>
    <row r="206" spans="1:17" ht="15.75">
      <c r="A206" s="190">
        <v>6</v>
      </c>
      <c r="B206" s="240" t="s">
        <v>151</v>
      </c>
      <c r="C206" s="236" t="s">
        <v>152</v>
      </c>
      <c r="D206" s="101">
        <v>1</v>
      </c>
      <c r="E206" s="236">
        <v>0.55000000000000004</v>
      </c>
      <c r="F206" s="236">
        <v>143.08000000000001</v>
      </c>
      <c r="G206" s="241">
        <f t="shared" ref="G206:G218" si="6">ROUND(D206*F206*E206,2)</f>
        <v>78.69</v>
      </c>
      <c r="H206" s="84"/>
      <c r="I206" s="85"/>
    </row>
    <row r="207" spans="1:17" ht="15.75">
      <c r="A207" s="190">
        <v>7</v>
      </c>
      <c r="B207" s="97" t="s">
        <v>151</v>
      </c>
      <c r="C207" s="98" t="s">
        <v>153</v>
      </c>
      <c r="D207" s="101">
        <v>1</v>
      </c>
      <c r="E207" s="98">
        <v>0.45</v>
      </c>
      <c r="F207" s="98">
        <v>16.329999999999998</v>
      </c>
      <c r="G207" s="241">
        <f t="shared" si="6"/>
        <v>7.35</v>
      </c>
      <c r="H207" s="84"/>
      <c r="I207" s="85"/>
    </row>
    <row r="208" spans="1:17" ht="15.75">
      <c r="A208" s="190">
        <v>8</v>
      </c>
      <c r="B208" s="97" t="s">
        <v>154</v>
      </c>
      <c r="C208" s="236" t="s">
        <v>152</v>
      </c>
      <c r="D208" s="101">
        <v>1</v>
      </c>
      <c r="E208" s="98">
        <v>0.52</v>
      </c>
      <c r="F208" s="98">
        <v>64.290000000000006</v>
      </c>
      <c r="G208" s="241">
        <f t="shared" si="6"/>
        <v>33.43</v>
      </c>
      <c r="H208" s="84"/>
      <c r="I208" s="85"/>
    </row>
    <row r="209" spans="1:17" ht="15.75">
      <c r="A209" s="190">
        <v>9</v>
      </c>
      <c r="B209" s="97" t="s">
        <v>154</v>
      </c>
      <c r="C209" s="98" t="s">
        <v>153</v>
      </c>
      <c r="D209" s="101">
        <v>1</v>
      </c>
      <c r="E209" s="101">
        <v>0.48</v>
      </c>
      <c r="F209" s="101">
        <v>11.04</v>
      </c>
      <c r="G209" s="241">
        <f t="shared" si="6"/>
        <v>5.3</v>
      </c>
      <c r="H209" s="84"/>
      <c r="I209" s="85"/>
    </row>
    <row r="210" spans="1:17" ht="27" customHeight="1">
      <c r="A210" s="190">
        <v>10</v>
      </c>
      <c r="B210" s="97" t="s">
        <v>155</v>
      </c>
      <c r="C210" s="236" t="s">
        <v>152</v>
      </c>
      <c r="D210" s="101">
        <v>1</v>
      </c>
      <c r="E210" s="98">
        <v>1</v>
      </c>
      <c r="F210" s="98">
        <v>113.53</v>
      </c>
      <c r="G210" s="241">
        <f t="shared" si="6"/>
        <v>113.53</v>
      </c>
      <c r="H210" s="84"/>
      <c r="I210" s="85"/>
    </row>
    <row r="211" spans="1:17" ht="33.75" customHeight="1">
      <c r="A211" s="190">
        <v>11</v>
      </c>
      <c r="B211" s="97" t="s">
        <v>155</v>
      </c>
      <c r="C211" s="98" t="s">
        <v>153</v>
      </c>
      <c r="D211" s="101">
        <v>1</v>
      </c>
      <c r="E211" s="98">
        <v>0</v>
      </c>
      <c r="F211" s="98">
        <v>11.04</v>
      </c>
      <c r="G211" s="241">
        <f t="shared" si="6"/>
        <v>0</v>
      </c>
      <c r="H211" s="84"/>
      <c r="I211" s="85"/>
    </row>
    <row r="212" spans="1:17" ht="15.75">
      <c r="A212" s="190">
        <v>12</v>
      </c>
      <c r="B212" s="97" t="s">
        <v>156</v>
      </c>
      <c r="C212" s="236" t="s">
        <v>152</v>
      </c>
      <c r="D212" s="101">
        <v>1</v>
      </c>
      <c r="E212" s="98">
        <v>0.52</v>
      </c>
      <c r="F212" s="98">
        <v>2.5499999999999998</v>
      </c>
      <c r="G212" s="241">
        <f t="shared" si="6"/>
        <v>1.33</v>
      </c>
      <c r="H212" s="84"/>
      <c r="I212" s="85" t="s">
        <v>186</v>
      </c>
      <c r="K212" s="80">
        <f>380000/841</f>
        <v>451.84304399524376</v>
      </c>
    </row>
    <row r="213" spans="1:17" ht="15.75">
      <c r="A213" s="190">
        <v>13</v>
      </c>
      <c r="B213" s="97" t="s">
        <v>157</v>
      </c>
      <c r="C213" s="98" t="s">
        <v>153</v>
      </c>
      <c r="D213" s="101">
        <v>1</v>
      </c>
      <c r="E213" s="98">
        <v>0.48</v>
      </c>
      <c r="F213" s="98">
        <v>0</v>
      </c>
      <c r="G213" s="241">
        <f t="shared" si="6"/>
        <v>0</v>
      </c>
      <c r="H213" s="84"/>
      <c r="I213" s="85"/>
      <c r="K213" s="80">
        <f>K212*10000</f>
        <v>4518430.4399524378</v>
      </c>
    </row>
    <row r="214" spans="1:17" ht="25.5">
      <c r="A214" s="190">
        <v>14</v>
      </c>
      <c r="B214" s="97" t="s">
        <v>158</v>
      </c>
      <c r="C214" s="236" t="s">
        <v>152</v>
      </c>
      <c r="D214" s="101">
        <v>1</v>
      </c>
      <c r="E214" s="98">
        <v>0.78</v>
      </c>
      <c r="F214" s="98">
        <v>119.42</v>
      </c>
      <c r="G214" s="241">
        <f t="shared" si="6"/>
        <v>93.15</v>
      </c>
      <c r="H214" s="84"/>
      <c r="I214" s="85"/>
      <c r="K214" s="80">
        <f>K213*0.98</f>
        <v>4428061.8311533891</v>
      </c>
    </row>
    <row r="215" spans="1:17" ht="25.5">
      <c r="A215" s="190">
        <v>15</v>
      </c>
      <c r="B215" s="97" t="s">
        <v>158</v>
      </c>
      <c r="C215" s="98" t="s">
        <v>153</v>
      </c>
      <c r="D215" s="101">
        <v>1</v>
      </c>
      <c r="E215" s="98">
        <v>0.22</v>
      </c>
      <c r="F215" s="98">
        <v>11.04</v>
      </c>
      <c r="G215" s="241">
        <f t="shared" si="6"/>
        <v>2.4300000000000002</v>
      </c>
      <c r="H215" s="84"/>
      <c r="I215" s="85"/>
    </row>
    <row r="216" spans="1:17" ht="15.75">
      <c r="A216" s="190">
        <v>16</v>
      </c>
      <c r="B216" s="97" t="s">
        <v>159</v>
      </c>
      <c r="C216" s="236" t="s">
        <v>152</v>
      </c>
      <c r="D216" s="101">
        <v>1</v>
      </c>
      <c r="E216" s="98">
        <v>0.98</v>
      </c>
      <c r="F216" s="98">
        <v>122.95</v>
      </c>
      <c r="G216" s="241">
        <f t="shared" si="6"/>
        <v>120.49</v>
      </c>
      <c r="H216" s="84"/>
      <c r="I216" s="85"/>
    </row>
    <row r="217" spans="1:17" ht="15.75">
      <c r="A217" s="190">
        <v>17</v>
      </c>
      <c r="B217" s="97" t="s">
        <v>159</v>
      </c>
      <c r="C217" s="98" t="s">
        <v>153</v>
      </c>
      <c r="D217" s="101">
        <v>1</v>
      </c>
      <c r="E217" s="98">
        <v>0.02</v>
      </c>
      <c r="F217" s="98">
        <v>12.23</v>
      </c>
      <c r="G217" s="241">
        <f t="shared" si="6"/>
        <v>0.24</v>
      </c>
      <c r="H217" s="84"/>
      <c r="I217" s="85"/>
    </row>
    <row r="218" spans="1:17" ht="15.75">
      <c r="A218" s="190">
        <v>18</v>
      </c>
      <c r="B218" s="97" t="s">
        <v>160</v>
      </c>
      <c r="C218" s="98" t="s">
        <v>129</v>
      </c>
      <c r="D218" s="101">
        <v>1</v>
      </c>
      <c r="E218" s="250">
        <v>0.15509999999999999</v>
      </c>
      <c r="F218" s="99">
        <f>G202</f>
        <v>51.79</v>
      </c>
      <c r="G218" s="241">
        <f t="shared" si="6"/>
        <v>8.0299999999999994</v>
      </c>
      <c r="H218" s="84"/>
      <c r="I218" s="85"/>
    </row>
    <row r="219" spans="1:17" ht="15.75">
      <c r="A219" s="190">
        <v>19</v>
      </c>
      <c r="B219" s="111" t="s">
        <v>161</v>
      </c>
      <c r="C219" s="98"/>
      <c r="D219" s="98"/>
      <c r="E219" s="98"/>
      <c r="F219" s="112"/>
      <c r="G219" s="113">
        <f>SUM(G206:G218)+G202</f>
        <v>515.76</v>
      </c>
      <c r="H219" s="85"/>
      <c r="I219" s="114"/>
    </row>
    <row r="220" spans="1:17" ht="15.75">
      <c r="A220" s="190">
        <v>20</v>
      </c>
      <c r="B220" s="111" t="s">
        <v>162</v>
      </c>
      <c r="C220" s="193"/>
      <c r="D220" s="193"/>
      <c r="E220" s="193"/>
      <c r="F220" s="242"/>
      <c r="G220" s="195">
        <f>G219/841</f>
        <v>0.61326991676575504</v>
      </c>
      <c r="H220" s="85"/>
      <c r="I220" s="114"/>
    </row>
    <row r="221" spans="1:17" ht="16.5" thickBot="1">
      <c r="A221" s="184">
        <v>21</v>
      </c>
      <c r="B221" s="86" t="str">
        <f>"BDI  ( "&amp;TEXT($B$13,"0,00%")&amp;" )"</f>
        <v>BDI  ( 24,00% )</v>
      </c>
      <c r="C221" s="104"/>
      <c r="D221" s="104"/>
      <c r="E221" s="104"/>
      <c r="F221" s="115"/>
      <c r="G221" s="116">
        <f>$B$13*G220</f>
        <v>0.14718478002378121</v>
      </c>
      <c r="H221" s="85"/>
      <c r="I221" s="85"/>
    </row>
    <row r="222" spans="1:17" ht="16.5" thickBot="1">
      <c r="A222" s="198">
        <v>22</v>
      </c>
      <c r="B222" s="52" t="s">
        <v>31</v>
      </c>
      <c r="C222" s="53"/>
      <c r="D222" s="53"/>
      <c r="E222" s="53"/>
      <c r="F222" s="54"/>
      <c r="G222" s="55">
        <f>G221+G220</f>
        <v>0.76045469678953626</v>
      </c>
      <c r="H222" s="85"/>
      <c r="I222" s="85"/>
    </row>
    <row r="223" spans="1:17">
      <c r="A223" s="59"/>
      <c r="B223" s="60"/>
      <c r="C223" s="59"/>
      <c r="D223" s="59"/>
      <c r="E223" s="59"/>
      <c r="F223" s="131"/>
      <c r="G223" s="62"/>
      <c r="I223" s="79"/>
      <c r="K223" s="88"/>
      <c r="L223" s="87"/>
      <c r="M223" s="88"/>
      <c r="N223" s="87"/>
      <c r="O223" s="129"/>
      <c r="P223" s="87"/>
      <c r="Q223" s="79"/>
    </row>
    <row r="224" spans="1:17" ht="15.75">
      <c r="A224" s="283" t="s">
        <v>181</v>
      </c>
      <c r="B224" s="284"/>
      <c r="C224" s="284"/>
      <c r="D224" s="284"/>
      <c r="E224" s="284"/>
      <c r="F224" s="284"/>
      <c r="G224" s="285"/>
      <c r="H224" s="90"/>
      <c r="I224" s="90"/>
      <c r="J224" s="89"/>
    </row>
    <row r="225" spans="1:10" ht="16.5" thickBot="1">
      <c r="A225" s="229" t="s">
        <v>45</v>
      </c>
      <c r="B225" s="229" t="s">
        <v>46</v>
      </c>
      <c r="C225" s="229" t="s">
        <v>47</v>
      </c>
      <c r="D225" s="229" t="s">
        <v>48</v>
      </c>
      <c r="E225" s="229" t="s">
        <v>163</v>
      </c>
      <c r="F225" s="229" t="s">
        <v>49</v>
      </c>
      <c r="G225" s="229" t="s">
        <v>50</v>
      </c>
      <c r="H225" s="90"/>
      <c r="I225" s="90"/>
      <c r="J225" s="89"/>
    </row>
    <row r="226" spans="1:10" ht="16.5" thickBot="1">
      <c r="A226" s="243"/>
      <c r="B226" s="179" t="s">
        <v>134</v>
      </c>
      <c r="C226" s="244"/>
      <c r="D226" s="244"/>
      <c r="E226" s="244"/>
      <c r="F226" s="244"/>
      <c r="G226" s="245"/>
      <c r="H226" s="90"/>
      <c r="I226" s="90"/>
      <c r="J226" s="89"/>
    </row>
    <row r="227" spans="1:10" ht="15.75">
      <c r="A227" s="190">
        <v>1</v>
      </c>
      <c r="B227" s="246" t="s">
        <v>164</v>
      </c>
      <c r="C227" s="236" t="s">
        <v>30</v>
      </c>
      <c r="D227" s="232">
        <v>1</v>
      </c>
      <c r="E227" s="236"/>
      <c r="F227" s="247">
        <v>20.25</v>
      </c>
      <c r="G227" s="241">
        <f>ROUND(F227*D227,2)</f>
        <v>20.25</v>
      </c>
      <c r="H227" s="84">
        <v>4083</v>
      </c>
      <c r="I227" s="85"/>
    </row>
    <row r="228" spans="1:10" ht="15.75">
      <c r="A228" s="96">
        <v>2</v>
      </c>
      <c r="B228" s="97" t="s">
        <v>42</v>
      </c>
      <c r="C228" s="98" t="s">
        <v>30</v>
      </c>
      <c r="D228" s="101">
        <v>2</v>
      </c>
      <c r="E228" s="98"/>
      <c r="F228" s="99">
        <v>6.75</v>
      </c>
      <c r="G228" s="100">
        <f>ROUND(F228*D228,2)</f>
        <v>13.5</v>
      </c>
      <c r="H228" s="84">
        <v>6111</v>
      </c>
      <c r="I228" s="85"/>
    </row>
    <row r="229" spans="1:10" ht="16.5" thickBot="1">
      <c r="A229" s="96">
        <v>5</v>
      </c>
      <c r="B229" s="103" t="s">
        <v>61</v>
      </c>
      <c r="C229" s="104"/>
      <c r="D229" s="104"/>
      <c r="E229" s="104"/>
      <c r="F229" s="105"/>
      <c r="G229" s="106">
        <f>SUM(G227:G228)</f>
        <v>33.75</v>
      </c>
      <c r="H229" s="85"/>
      <c r="I229" s="85"/>
    </row>
    <row r="230" spans="1:10" ht="16.5" thickBot="1">
      <c r="A230" s="198"/>
      <c r="B230" s="179" t="s">
        <v>150</v>
      </c>
      <c r="C230" s="237"/>
      <c r="D230" s="237"/>
      <c r="E230" s="237"/>
      <c r="F230" s="238"/>
      <c r="G230" s="239"/>
      <c r="H230" s="85"/>
      <c r="I230" s="85"/>
    </row>
    <row r="231" spans="1:10" ht="15.75">
      <c r="A231" s="190">
        <v>6</v>
      </c>
      <c r="B231" s="108" t="s">
        <v>151</v>
      </c>
      <c r="C231" s="236" t="s">
        <v>152</v>
      </c>
      <c r="D231" s="101">
        <v>1</v>
      </c>
      <c r="E231" s="236">
        <v>0.35</v>
      </c>
      <c r="F231" s="236">
        <v>143.08000000000001</v>
      </c>
      <c r="G231" s="241">
        <f t="shared" ref="G231:G240" si="7">ROUND(D231*F231*E231,2)</f>
        <v>50.08</v>
      </c>
      <c r="H231" s="84"/>
      <c r="I231" s="85"/>
    </row>
    <row r="232" spans="1:10" ht="15.75">
      <c r="A232" s="190">
        <v>7</v>
      </c>
      <c r="B232" s="246" t="s">
        <v>151</v>
      </c>
      <c r="C232" s="98" t="s">
        <v>153</v>
      </c>
      <c r="D232" s="101">
        <v>1</v>
      </c>
      <c r="E232" s="98">
        <v>0.65</v>
      </c>
      <c r="F232" s="98">
        <v>16.329999999999998</v>
      </c>
      <c r="G232" s="241">
        <f t="shared" si="7"/>
        <v>10.61</v>
      </c>
      <c r="H232" s="84"/>
      <c r="I232" s="85"/>
    </row>
    <row r="233" spans="1:10" ht="15.75">
      <c r="A233" s="190">
        <v>8</v>
      </c>
      <c r="B233" s="97" t="s">
        <v>154</v>
      </c>
      <c r="C233" s="236" t="s">
        <v>152</v>
      </c>
      <c r="D233" s="101">
        <v>1</v>
      </c>
      <c r="E233" s="98">
        <v>0.52</v>
      </c>
      <c r="F233" s="98">
        <v>64.290000000000006</v>
      </c>
      <c r="G233" s="241">
        <f t="shared" si="7"/>
        <v>33.43</v>
      </c>
      <c r="H233" s="84"/>
      <c r="I233" s="85"/>
    </row>
    <row r="234" spans="1:10" ht="15.75">
      <c r="A234" s="190">
        <v>9</v>
      </c>
      <c r="B234" s="97" t="s">
        <v>154</v>
      </c>
      <c r="C234" s="98" t="s">
        <v>153</v>
      </c>
      <c r="D234" s="101">
        <v>1</v>
      </c>
      <c r="E234" s="101">
        <v>0.48</v>
      </c>
      <c r="F234" s="101">
        <v>11.04</v>
      </c>
      <c r="G234" s="241">
        <f t="shared" si="7"/>
        <v>5.3</v>
      </c>
      <c r="H234" s="84"/>
      <c r="I234" s="85"/>
    </row>
    <row r="235" spans="1:10" ht="25.5" customHeight="1">
      <c r="A235" s="190">
        <v>10</v>
      </c>
      <c r="B235" s="97" t="s">
        <v>155</v>
      </c>
      <c r="C235" s="236" t="s">
        <v>152</v>
      </c>
      <c r="D235" s="101">
        <v>1</v>
      </c>
      <c r="E235" s="101">
        <v>1</v>
      </c>
      <c r="F235" s="98">
        <v>113.53</v>
      </c>
      <c r="G235" s="241">
        <f t="shared" si="7"/>
        <v>113.53</v>
      </c>
      <c r="H235" s="84"/>
      <c r="I235" s="85"/>
    </row>
    <row r="236" spans="1:10" ht="25.5" customHeight="1">
      <c r="A236" s="190">
        <v>11</v>
      </c>
      <c r="B236" s="97" t="s">
        <v>155</v>
      </c>
      <c r="C236" s="98" t="s">
        <v>153</v>
      </c>
      <c r="D236" s="101">
        <v>1</v>
      </c>
      <c r="E236" s="101">
        <v>0</v>
      </c>
      <c r="F236" s="98">
        <v>11.04</v>
      </c>
      <c r="G236" s="241">
        <f t="shared" si="7"/>
        <v>0</v>
      </c>
      <c r="H236" s="84"/>
      <c r="I236" s="85"/>
    </row>
    <row r="237" spans="1:10" ht="15.75">
      <c r="A237" s="190">
        <v>12</v>
      </c>
      <c r="B237" s="97" t="s">
        <v>156</v>
      </c>
      <c r="C237" s="236" t="s">
        <v>152</v>
      </c>
      <c r="D237" s="101">
        <v>1</v>
      </c>
      <c r="E237" s="98">
        <v>0.52</v>
      </c>
      <c r="F237" s="98">
        <v>2.5499999999999998</v>
      </c>
      <c r="G237" s="241">
        <f t="shared" si="7"/>
        <v>1.33</v>
      </c>
      <c r="H237" s="84"/>
      <c r="I237" s="85"/>
    </row>
    <row r="238" spans="1:10" ht="15.75">
      <c r="A238" s="190">
        <v>13</v>
      </c>
      <c r="B238" s="97" t="s">
        <v>156</v>
      </c>
      <c r="C238" s="98" t="s">
        <v>153</v>
      </c>
      <c r="D238" s="101">
        <v>1</v>
      </c>
      <c r="E238" s="98">
        <v>0.48</v>
      </c>
      <c r="F238" s="98">
        <v>0</v>
      </c>
      <c r="G238" s="241">
        <f t="shared" si="7"/>
        <v>0</v>
      </c>
      <c r="H238" s="84"/>
      <c r="I238" s="85"/>
    </row>
    <row r="239" spans="1:10" ht="15.75">
      <c r="A239" s="190">
        <v>14</v>
      </c>
      <c r="B239" s="97" t="s">
        <v>159</v>
      </c>
      <c r="C239" s="236" t="s">
        <v>152</v>
      </c>
      <c r="D239" s="101">
        <v>2</v>
      </c>
      <c r="E239" s="98">
        <v>0.54</v>
      </c>
      <c r="F239" s="98">
        <v>122.95</v>
      </c>
      <c r="G239" s="241">
        <f t="shared" si="7"/>
        <v>132.79</v>
      </c>
      <c r="H239" s="84"/>
      <c r="I239" s="85"/>
    </row>
    <row r="240" spans="1:10" ht="15.75">
      <c r="A240" s="190">
        <v>15</v>
      </c>
      <c r="B240" s="97" t="s">
        <v>159</v>
      </c>
      <c r="C240" s="98" t="s">
        <v>153</v>
      </c>
      <c r="D240" s="101">
        <v>2</v>
      </c>
      <c r="E240" s="98">
        <v>0.46</v>
      </c>
      <c r="F240" s="98">
        <v>12.23</v>
      </c>
      <c r="G240" s="241">
        <f t="shared" si="7"/>
        <v>11.25</v>
      </c>
      <c r="H240" s="84"/>
      <c r="I240" s="85"/>
    </row>
    <row r="241" spans="1:17" ht="15.75">
      <c r="A241" s="190">
        <v>16</v>
      </c>
      <c r="B241" s="97" t="s">
        <v>160</v>
      </c>
      <c r="C241" s="98" t="s">
        <v>129</v>
      </c>
      <c r="D241" s="101">
        <v>1</v>
      </c>
      <c r="E241" s="98">
        <v>0.15509999999999999</v>
      </c>
      <c r="F241" s="99">
        <f>G229</f>
        <v>33.75</v>
      </c>
      <c r="G241" s="241">
        <f>ROUND(D241*F241*E241,2)</f>
        <v>5.23</v>
      </c>
      <c r="H241" s="84"/>
      <c r="I241" s="85"/>
    </row>
    <row r="242" spans="1:17" ht="15.75">
      <c r="A242" s="190">
        <v>17</v>
      </c>
      <c r="B242" s="111" t="s">
        <v>161</v>
      </c>
      <c r="C242" s="98"/>
      <c r="D242" s="98"/>
      <c r="E242" s="98"/>
      <c r="F242" s="112"/>
      <c r="G242" s="113">
        <f>SUM(G231:G241)+G229</f>
        <v>397.3</v>
      </c>
      <c r="H242" s="85"/>
      <c r="I242" s="114"/>
    </row>
    <row r="243" spans="1:17" ht="15.75">
      <c r="A243" s="190">
        <v>18</v>
      </c>
      <c r="B243" s="111" t="s">
        <v>162</v>
      </c>
      <c r="C243" s="193"/>
      <c r="D243" s="193"/>
      <c r="E243" s="193"/>
      <c r="F243" s="242"/>
      <c r="G243" s="195">
        <f>G242/152</f>
        <v>2.6138157894736844</v>
      </c>
      <c r="H243" s="85"/>
      <c r="I243" s="114"/>
    </row>
    <row r="244" spans="1:17" ht="16.5" thickBot="1">
      <c r="A244" s="184">
        <v>19</v>
      </c>
      <c r="B244" s="86" t="str">
        <f>"BDI  ( "&amp;TEXT($B$13,"0,00%")&amp;" )"</f>
        <v>BDI  ( 24,00% )</v>
      </c>
      <c r="C244" s="104"/>
      <c r="D244" s="104"/>
      <c r="E244" s="104"/>
      <c r="F244" s="115"/>
      <c r="G244" s="116">
        <f>$B$13*G243</f>
        <v>0.62731578947368427</v>
      </c>
      <c r="H244" s="85"/>
      <c r="I244" s="85"/>
    </row>
    <row r="245" spans="1:17" ht="16.5" thickBot="1">
      <c r="A245" s="198">
        <v>20</v>
      </c>
      <c r="B245" s="52" t="s">
        <v>31</v>
      </c>
      <c r="C245" s="53"/>
      <c r="D245" s="53"/>
      <c r="E245" s="53"/>
      <c r="F245" s="54"/>
      <c r="G245" s="55">
        <f>G244+G243</f>
        <v>3.2411315789473685</v>
      </c>
      <c r="H245" s="85"/>
      <c r="I245" s="85"/>
    </row>
    <row r="246" spans="1:17">
      <c r="A246" s="59"/>
      <c r="B246" s="60"/>
      <c r="C246" s="59"/>
      <c r="D246" s="59"/>
      <c r="E246" s="59"/>
      <c r="F246" s="131"/>
      <c r="G246" s="62"/>
      <c r="I246" s="79"/>
      <c r="K246" s="88"/>
      <c r="L246" s="87"/>
      <c r="M246" s="88"/>
      <c r="N246" s="87"/>
      <c r="O246" s="129"/>
      <c r="P246" s="87"/>
      <c r="Q246" s="79"/>
    </row>
    <row r="247" spans="1:17" ht="15.75">
      <c r="A247" s="283" t="s">
        <v>182</v>
      </c>
      <c r="B247" s="284"/>
      <c r="C247" s="284"/>
      <c r="D247" s="284"/>
      <c r="E247" s="284"/>
      <c r="F247" s="284"/>
      <c r="G247" s="285"/>
      <c r="H247" s="90"/>
      <c r="I247" s="90"/>
      <c r="J247" s="89"/>
    </row>
    <row r="248" spans="1:17" ht="16.5" thickBot="1">
      <c r="A248" s="229" t="s">
        <v>45</v>
      </c>
      <c r="B248" s="229" t="s">
        <v>46</v>
      </c>
      <c r="C248" s="229" t="s">
        <v>47</v>
      </c>
      <c r="D248" s="229" t="s">
        <v>48</v>
      </c>
      <c r="E248" s="229" t="s">
        <v>163</v>
      </c>
      <c r="F248" s="229" t="s">
        <v>49</v>
      </c>
      <c r="G248" s="229" t="s">
        <v>50</v>
      </c>
      <c r="H248" s="90"/>
      <c r="I248" s="90"/>
      <c r="J248" s="89"/>
    </row>
    <row r="249" spans="1:17" ht="16.5" thickBot="1">
      <c r="A249" s="243"/>
      <c r="B249" s="179" t="s">
        <v>134</v>
      </c>
      <c r="C249" s="244"/>
      <c r="D249" s="244"/>
      <c r="E249" s="244"/>
      <c r="F249" s="244"/>
      <c r="G249" s="245"/>
      <c r="H249" s="90"/>
      <c r="I249" s="90"/>
      <c r="J249" s="89"/>
    </row>
    <row r="250" spans="1:17" ht="15.75">
      <c r="A250" s="96">
        <v>2</v>
      </c>
      <c r="B250" s="97" t="s">
        <v>42</v>
      </c>
      <c r="C250" s="98" t="s">
        <v>30</v>
      </c>
      <c r="D250" s="101">
        <v>1</v>
      </c>
      <c r="E250" s="98"/>
      <c r="F250" s="99">
        <f>F178</f>
        <v>6.75</v>
      </c>
      <c r="G250" s="100">
        <f>ROUND(F250*D250,2)</f>
        <v>6.75</v>
      </c>
      <c r="H250" s="84">
        <v>6111</v>
      </c>
      <c r="I250" s="85"/>
    </row>
    <row r="251" spans="1:17" ht="16.5" thickBot="1">
      <c r="A251" s="96">
        <v>5</v>
      </c>
      <c r="B251" s="103" t="s">
        <v>61</v>
      </c>
      <c r="C251" s="104"/>
      <c r="D251" s="104"/>
      <c r="E251" s="104"/>
      <c r="F251" s="105"/>
      <c r="G251" s="106">
        <f>G250</f>
        <v>6.75</v>
      </c>
      <c r="H251" s="85"/>
      <c r="I251" s="85"/>
    </row>
    <row r="252" spans="1:17" ht="16.5" thickBot="1">
      <c r="A252" s="198"/>
      <c r="B252" s="179" t="s">
        <v>150</v>
      </c>
      <c r="C252" s="237"/>
      <c r="D252" s="237"/>
      <c r="E252" s="237"/>
      <c r="F252" s="238"/>
      <c r="G252" s="239"/>
      <c r="H252" s="85"/>
      <c r="I252" s="85"/>
    </row>
    <row r="253" spans="1:17" ht="15.75">
      <c r="A253" s="190">
        <v>6</v>
      </c>
      <c r="B253" s="248" t="s">
        <v>184</v>
      </c>
      <c r="C253" s="236" t="s">
        <v>152</v>
      </c>
      <c r="D253" s="101">
        <v>1</v>
      </c>
      <c r="E253" s="232">
        <v>1</v>
      </c>
      <c r="F253" s="236">
        <v>125.9</v>
      </c>
      <c r="G253" s="241">
        <f>ROUND(D253*F253*E253,2)</f>
        <v>125.9</v>
      </c>
      <c r="H253" s="84"/>
      <c r="I253" s="85"/>
    </row>
    <row r="254" spans="1:17" ht="15.75">
      <c r="A254" s="96">
        <v>7</v>
      </c>
      <c r="B254" s="248" t="s">
        <v>184</v>
      </c>
      <c r="C254" s="98" t="s">
        <v>153</v>
      </c>
      <c r="D254" s="101">
        <v>1</v>
      </c>
      <c r="E254" s="101">
        <v>0</v>
      </c>
      <c r="F254" s="98">
        <v>12.23</v>
      </c>
      <c r="G254" s="241">
        <f>ROUND(D254*F254*E254,2)</f>
        <v>0</v>
      </c>
      <c r="H254" s="84"/>
      <c r="I254" s="85"/>
    </row>
    <row r="255" spans="1:17" ht="15.75">
      <c r="A255" s="96">
        <v>14</v>
      </c>
      <c r="B255" s="97" t="s">
        <v>160</v>
      </c>
      <c r="C255" s="98" t="s">
        <v>129</v>
      </c>
      <c r="D255" s="101">
        <v>0</v>
      </c>
      <c r="E255" s="98">
        <v>0.15509999999999999</v>
      </c>
      <c r="F255" s="99">
        <f>G251</f>
        <v>6.75</v>
      </c>
      <c r="G255" s="241">
        <f>ROUND(D255*F255*E255,2)</f>
        <v>0</v>
      </c>
      <c r="H255" s="84"/>
      <c r="I255" s="85"/>
    </row>
    <row r="256" spans="1:17" ht="15.75">
      <c r="A256" s="190">
        <v>15</v>
      </c>
      <c r="B256" s="111" t="s">
        <v>161</v>
      </c>
      <c r="C256" s="98"/>
      <c r="D256" s="98"/>
      <c r="E256" s="98"/>
      <c r="F256" s="112"/>
      <c r="G256" s="113">
        <f>SUM(G253:G255)+G251</f>
        <v>132.65</v>
      </c>
      <c r="H256" s="85"/>
      <c r="I256" s="114"/>
    </row>
    <row r="257" spans="1:17" ht="15.75">
      <c r="A257" s="190">
        <v>16</v>
      </c>
      <c r="B257" s="111" t="s">
        <v>162</v>
      </c>
      <c r="C257" s="193"/>
      <c r="D257" s="193"/>
      <c r="E257" s="193"/>
      <c r="F257" s="242"/>
      <c r="G257" s="195">
        <f>G256/146</f>
        <v>0.90856164383561644</v>
      </c>
      <c r="H257" s="85"/>
      <c r="I257" s="114"/>
    </row>
    <row r="258" spans="1:17" ht="16.5" thickBot="1">
      <c r="A258" s="102">
        <v>17</v>
      </c>
      <c r="B258" s="86" t="str">
        <f>"BDI  ( "&amp;TEXT($B$13,"0,00%")&amp;" )"</f>
        <v>BDI  ( 24,00% )</v>
      </c>
      <c r="C258" s="104"/>
      <c r="D258" s="104"/>
      <c r="E258" s="104"/>
      <c r="F258" s="115"/>
      <c r="G258" s="116">
        <f>$B$13*G257</f>
        <v>0.21805479452054793</v>
      </c>
      <c r="H258" s="85"/>
      <c r="I258" s="85"/>
    </row>
    <row r="259" spans="1:17" ht="16.5" thickBot="1">
      <c r="A259" s="51">
        <v>18</v>
      </c>
      <c r="B259" s="52" t="s">
        <v>31</v>
      </c>
      <c r="C259" s="53"/>
      <c r="D259" s="53"/>
      <c r="E259" s="53"/>
      <c r="F259" s="54"/>
      <c r="G259" s="55">
        <f>G258+G257</f>
        <v>1.1266164383561643</v>
      </c>
      <c r="H259" s="85"/>
      <c r="I259" s="85"/>
    </row>
    <row r="260" spans="1:17">
      <c r="A260" s="59"/>
      <c r="B260" s="60"/>
      <c r="C260" s="59"/>
      <c r="D260" s="59"/>
      <c r="E260" s="59"/>
      <c r="F260" s="131"/>
      <c r="G260" s="62"/>
      <c r="I260" s="79"/>
      <c r="K260" s="88"/>
      <c r="L260" s="87"/>
      <c r="M260" s="88"/>
      <c r="N260" s="87"/>
      <c r="O260" s="129"/>
      <c r="P260" s="87"/>
      <c r="Q260" s="79"/>
    </row>
    <row r="261" spans="1:17" ht="15.75">
      <c r="A261" s="283" t="s">
        <v>183</v>
      </c>
      <c r="B261" s="284"/>
      <c r="C261" s="284"/>
      <c r="D261" s="284"/>
      <c r="E261" s="284"/>
      <c r="F261" s="284"/>
      <c r="G261" s="285"/>
      <c r="H261" s="90"/>
      <c r="I261" s="90"/>
      <c r="J261" s="89"/>
    </row>
    <row r="262" spans="1:17" ht="16.5" thickBot="1">
      <c r="A262" s="229" t="s">
        <v>45</v>
      </c>
      <c r="B262" s="229" t="s">
        <v>46</v>
      </c>
      <c r="C262" s="229" t="s">
        <v>47</v>
      </c>
      <c r="D262" s="229" t="s">
        <v>48</v>
      </c>
      <c r="E262" s="229" t="s">
        <v>163</v>
      </c>
      <c r="F262" s="229" t="s">
        <v>49</v>
      </c>
      <c r="G262" s="229" t="s">
        <v>50</v>
      </c>
      <c r="H262" s="90"/>
      <c r="I262" s="90"/>
      <c r="J262" s="89"/>
    </row>
    <row r="263" spans="1:17" ht="16.5" thickBot="1">
      <c r="A263" s="243"/>
      <c r="B263" s="179" t="s">
        <v>134</v>
      </c>
      <c r="C263" s="244"/>
      <c r="D263" s="244"/>
      <c r="E263" s="244"/>
      <c r="F263" s="244"/>
      <c r="G263" s="245"/>
      <c r="H263" s="90"/>
      <c r="I263" s="90"/>
      <c r="J263" s="89"/>
    </row>
    <row r="264" spans="1:17" ht="15.75">
      <c r="A264" s="96">
        <v>2</v>
      </c>
      <c r="B264" s="97" t="s">
        <v>42</v>
      </c>
      <c r="C264" s="98" t="s">
        <v>30</v>
      </c>
      <c r="D264" s="101">
        <v>1</v>
      </c>
      <c r="E264" s="98"/>
      <c r="F264" s="99">
        <f>F192</f>
        <v>0</v>
      </c>
      <c r="G264" s="100">
        <f>ROUND(F264*D264,2)</f>
        <v>0</v>
      </c>
      <c r="H264" s="84">
        <v>6111</v>
      </c>
      <c r="I264" s="85"/>
    </row>
    <row r="265" spans="1:17" ht="16.5" thickBot="1">
      <c r="A265" s="96">
        <v>5</v>
      </c>
      <c r="B265" s="103" t="s">
        <v>61</v>
      </c>
      <c r="C265" s="104"/>
      <c r="D265" s="104"/>
      <c r="E265" s="104"/>
      <c r="F265" s="105"/>
      <c r="G265" s="106">
        <f>G264</f>
        <v>0</v>
      </c>
      <c r="H265" s="85"/>
      <c r="I265" s="85"/>
    </row>
    <row r="266" spans="1:17" ht="16.5" thickBot="1">
      <c r="A266" s="198"/>
      <c r="B266" s="179" t="s">
        <v>150</v>
      </c>
      <c r="C266" s="237"/>
      <c r="D266" s="237"/>
      <c r="E266" s="237"/>
      <c r="F266" s="238"/>
      <c r="G266" s="239"/>
      <c r="H266" s="85"/>
      <c r="I266" s="85"/>
    </row>
    <row r="267" spans="1:17" ht="25.5">
      <c r="A267" s="190">
        <v>6</v>
      </c>
      <c r="B267" s="248" t="s">
        <v>168</v>
      </c>
      <c r="C267" s="236" t="s">
        <v>152</v>
      </c>
      <c r="D267" s="101">
        <v>1</v>
      </c>
      <c r="E267" s="232">
        <v>1</v>
      </c>
      <c r="F267" s="236">
        <v>125.9</v>
      </c>
      <c r="G267" s="241">
        <f>ROUND(D267*F267*E267,2)</f>
        <v>125.9</v>
      </c>
      <c r="H267" s="84"/>
      <c r="I267" s="85"/>
    </row>
    <row r="268" spans="1:17" ht="25.5">
      <c r="A268" s="96">
        <v>7</v>
      </c>
      <c r="B268" s="248" t="s">
        <v>168</v>
      </c>
      <c r="C268" s="98" t="s">
        <v>153</v>
      </c>
      <c r="D268" s="101">
        <v>0</v>
      </c>
      <c r="E268" s="101">
        <v>0</v>
      </c>
      <c r="F268" s="98">
        <v>12.23</v>
      </c>
      <c r="G268" s="241">
        <f>ROUND(D268*F268*E268,2)</f>
        <v>0</v>
      </c>
      <c r="H268" s="84"/>
      <c r="I268" s="85"/>
    </row>
    <row r="269" spans="1:17" ht="15.75">
      <c r="A269" s="96">
        <v>14</v>
      </c>
      <c r="B269" s="97" t="s">
        <v>160</v>
      </c>
      <c r="C269" s="98" t="s">
        <v>129</v>
      </c>
      <c r="D269" s="101">
        <v>0</v>
      </c>
      <c r="E269" s="98">
        <v>0.15509999999999999</v>
      </c>
      <c r="F269" s="99">
        <f>G265</f>
        <v>0</v>
      </c>
      <c r="G269" s="241">
        <f>ROUND(D269*F269*E269,2)</f>
        <v>0</v>
      </c>
      <c r="H269" s="84"/>
      <c r="I269" s="85"/>
    </row>
    <row r="270" spans="1:17" ht="15.75">
      <c r="A270" s="190">
        <v>15</v>
      </c>
      <c r="B270" s="111" t="s">
        <v>161</v>
      </c>
      <c r="C270" s="98"/>
      <c r="D270" s="98"/>
      <c r="E270" s="98"/>
      <c r="F270" s="112"/>
      <c r="G270" s="113">
        <f>SUM(G267:G269)+G265</f>
        <v>125.9</v>
      </c>
      <c r="H270" s="85"/>
      <c r="I270" s="114"/>
    </row>
    <row r="271" spans="1:17" ht="15.75">
      <c r="A271" s="190">
        <v>16</v>
      </c>
      <c r="B271" s="111" t="s">
        <v>162</v>
      </c>
      <c r="C271" s="193"/>
      <c r="D271" s="193"/>
      <c r="E271" s="193"/>
      <c r="F271" s="242"/>
      <c r="G271" s="195">
        <f>G270/249</f>
        <v>0.50562248995983938</v>
      </c>
      <c r="H271" s="85"/>
      <c r="I271" s="114"/>
    </row>
    <row r="272" spans="1:17" ht="16.5" thickBot="1">
      <c r="A272" s="102">
        <v>17</v>
      </c>
      <c r="B272" s="86" t="str">
        <f>"BDI  ( "&amp;TEXT($B$13,"0,00%")&amp;" )"</f>
        <v>BDI  ( 24,00% )</v>
      </c>
      <c r="C272" s="104"/>
      <c r="D272" s="104"/>
      <c r="E272" s="104"/>
      <c r="F272" s="115"/>
      <c r="G272" s="116">
        <f>$B$13*G271</f>
        <v>0.12134939759036145</v>
      </c>
      <c r="H272" s="85"/>
      <c r="I272" s="85"/>
    </row>
    <row r="273" spans="1:17" ht="16.5" thickBot="1">
      <c r="A273" s="51">
        <v>18</v>
      </c>
      <c r="B273" s="52" t="s">
        <v>31</v>
      </c>
      <c r="C273" s="53"/>
      <c r="D273" s="53"/>
      <c r="E273" s="53"/>
      <c r="F273" s="54"/>
      <c r="G273" s="55">
        <f>G272+G271</f>
        <v>0.62697188755020083</v>
      </c>
      <c r="H273" s="85"/>
      <c r="I273" s="85"/>
    </row>
    <row r="274" spans="1:17">
      <c r="A274" s="59"/>
      <c r="B274" s="60"/>
      <c r="C274" s="59"/>
      <c r="D274" s="59"/>
      <c r="E274" s="59"/>
      <c r="F274" s="131"/>
      <c r="G274" s="62"/>
      <c r="I274" s="79"/>
      <c r="K274" s="88"/>
      <c r="L274" s="87"/>
      <c r="M274" s="88"/>
      <c r="N274" s="87"/>
      <c r="O274" s="129"/>
      <c r="P274" s="87"/>
      <c r="Q274" s="79"/>
    </row>
    <row r="275" spans="1:17" ht="15.75">
      <c r="A275" s="283" t="s">
        <v>185</v>
      </c>
      <c r="B275" s="284"/>
      <c r="C275" s="284"/>
      <c r="D275" s="284"/>
      <c r="E275" s="284"/>
      <c r="F275" s="284"/>
      <c r="G275" s="285"/>
      <c r="H275" s="90"/>
      <c r="I275" s="90"/>
      <c r="J275" s="89"/>
    </row>
    <row r="276" spans="1:17" ht="16.5" thickBot="1">
      <c r="A276" s="229" t="s">
        <v>45</v>
      </c>
      <c r="B276" s="229" t="s">
        <v>46</v>
      </c>
      <c r="C276" s="229" t="s">
        <v>47</v>
      </c>
      <c r="D276" s="229" t="s">
        <v>48</v>
      </c>
      <c r="E276" s="229" t="s">
        <v>163</v>
      </c>
      <c r="F276" s="229" t="s">
        <v>49</v>
      </c>
      <c r="G276" s="229" t="s">
        <v>50</v>
      </c>
      <c r="H276" s="90"/>
      <c r="I276" s="90"/>
      <c r="J276" s="89"/>
    </row>
    <row r="277" spans="1:17" ht="16.5" thickBot="1">
      <c r="A277" s="243"/>
      <c r="B277" s="179" t="s">
        <v>134</v>
      </c>
      <c r="C277" s="244"/>
      <c r="D277" s="244"/>
      <c r="E277" s="244"/>
      <c r="F277" s="244"/>
      <c r="G277" s="245"/>
      <c r="H277" s="90"/>
      <c r="I277" s="90"/>
      <c r="J277" s="89"/>
    </row>
    <row r="278" spans="1:17" ht="15.75">
      <c r="A278" s="251">
        <v>1</v>
      </c>
      <c r="B278" s="97" t="s">
        <v>57</v>
      </c>
      <c r="C278" s="252" t="s">
        <v>30</v>
      </c>
      <c r="D278" s="252">
        <v>0.01</v>
      </c>
      <c r="E278" s="252"/>
      <c r="F278" s="252">
        <v>20.25</v>
      </c>
      <c r="G278" s="253">
        <f>ROUND(D278*F278,2)</f>
        <v>0.2</v>
      </c>
      <c r="H278" s="90"/>
      <c r="I278" s="90"/>
      <c r="J278" s="89"/>
    </row>
    <row r="279" spans="1:17" ht="15.75">
      <c r="A279" s="96">
        <v>3</v>
      </c>
      <c r="B279" s="97" t="s">
        <v>42</v>
      </c>
      <c r="C279" s="98" t="s">
        <v>30</v>
      </c>
      <c r="D279" s="101">
        <v>0.25</v>
      </c>
      <c r="E279" s="98"/>
      <c r="F279" s="99">
        <v>6.75</v>
      </c>
      <c r="G279" s="100">
        <f>ROUND(F279*D279,2)</f>
        <v>1.69</v>
      </c>
      <c r="H279" s="84">
        <v>6111</v>
      </c>
      <c r="I279" s="85"/>
    </row>
    <row r="280" spans="1:17" ht="16.5" thickBot="1">
      <c r="A280" s="96">
        <v>4</v>
      </c>
      <c r="B280" s="103" t="s">
        <v>61</v>
      </c>
      <c r="C280" s="104"/>
      <c r="D280" s="104"/>
      <c r="E280" s="104"/>
      <c r="F280" s="105"/>
      <c r="G280" s="106">
        <f>SUM(G278:G279)</f>
        <v>1.89</v>
      </c>
      <c r="H280" s="85"/>
      <c r="I280" s="85"/>
    </row>
    <row r="281" spans="1:17" ht="16.5" thickBot="1">
      <c r="A281" s="198"/>
      <c r="B281" s="179" t="s">
        <v>150</v>
      </c>
      <c r="C281" s="237"/>
      <c r="D281" s="237"/>
      <c r="E281" s="237"/>
      <c r="F281" s="238"/>
      <c r="G281" s="239"/>
      <c r="H281" s="85"/>
      <c r="I281" s="85"/>
    </row>
    <row r="282" spans="1:17" ht="15.75">
      <c r="A282" s="190">
        <v>5</v>
      </c>
      <c r="B282" s="108" t="s">
        <v>151</v>
      </c>
      <c r="C282" s="236" t="s">
        <v>152</v>
      </c>
      <c r="D282" s="101">
        <v>1</v>
      </c>
      <c r="E282" s="232">
        <v>1</v>
      </c>
      <c r="F282" s="236">
        <v>143.08000000000001</v>
      </c>
      <c r="G282" s="241">
        <f>ROUND(D282*F282*E282,2)</f>
        <v>143.08000000000001</v>
      </c>
      <c r="H282" s="84"/>
      <c r="I282" s="85"/>
    </row>
    <row r="283" spans="1:17" ht="15.75">
      <c r="A283" s="96">
        <v>6</v>
      </c>
      <c r="B283" s="255" t="s">
        <v>151</v>
      </c>
      <c r="C283" s="98" t="s">
        <v>153</v>
      </c>
      <c r="D283" s="101">
        <v>1</v>
      </c>
      <c r="E283" s="101">
        <v>0</v>
      </c>
      <c r="F283" s="98">
        <v>16.329999999999998</v>
      </c>
      <c r="G283" s="241">
        <f>ROUND(D283*F283*E283,2)</f>
        <v>0</v>
      </c>
      <c r="H283" s="84"/>
      <c r="I283" s="85"/>
    </row>
    <row r="284" spans="1:17" ht="16.5" thickBot="1">
      <c r="A284" s="96">
        <v>7</v>
      </c>
      <c r="B284" s="97" t="s">
        <v>160</v>
      </c>
      <c r="C284" s="98" t="s">
        <v>129</v>
      </c>
      <c r="D284" s="101">
        <v>1</v>
      </c>
      <c r="E284" s="98">
        <v>0.15509999999999999</v>
      </c>
      <c r="F284" s="99">
        <f>G280</f>
        <v>1.89</v>
      </c>
      <c r="G284" s="241">
        <f>ROUND(D284*F284*E284,2)</f>
        <v>0.28999999999999998</v>
      </c>
      <c r="H284" s="84"/>
      <c r="I284" s="85"/>
    </row>
    <row r="285" spans="1:17" ht="16.5" thickBot="1">
      <c r="A285" s="198"/>
      <c r="B285" s="179" t="s">
        <v>135</v>
      </c>
      <c r="C285" s="237"/>
      <c r="D285" s="237"/>
      <c r="E285" s="237"/>
      <c r="F285" s="238"/>
      <c r="G285" s="239"/>
      <c r="H285" s="84"/>
      <c r="I285" s="85"/>
    </row>
    <row r="286" spans="1:17" ht="15.75">
      <c r="A286" s="190"/>
      <c r="B286" s="97" t="s">
        <v>196</v>
      </c>
      <c r="C286" s="98" t="s">
        <v>0</v>
      </c>
      <c r="D286" s="101"/>
      <c r="E286" s="98">
        <v>150</v>
      </c>
      <c r="F286" s="99">
        <v>101</v>
      </c>
      <c r="G286" s="241">
        <f>ROUND(E286*F286,2)</f>
        <v>15150</v>
      </c>
      <c r="H286" s="84">
        <v>7253</v>
      </c>
      <c r="I286" s="85"/>
    </row>
    <row r="287" spans="1:17" ht="15.75">
      <c r="A287" s="190">
        <v>15</v>
      </c>
      <c r="B287" s="111" t="s">
        <v>161</v>
      </c>
      <c r="C287" s="98"/>
      <c r="D287" s="98"/>
      <c r="E287" s="98"/>
      <c r="F287" s="112"/>
      <c r="G287" s="113">
        <f>SUM(G282:G284)+G280+G286</f>
        <v>15295.26</v>
      </c>
      <c r="H287" s="85"/>
      <c r="I287" s="114"/>
    </row>
    <row r="288" spans="1:17" ht="15.75">
      <c r="A288" s="190">
        <v>16</v>
      </c>
      <c r="B288" s="111" t="s">
        <v>162</v>
      </c>
      <c r="C288" s="193"/>
      <c r="D288" s="193"/>
      <c r="E288" s="193"/>
      <c r="F288" s="242"/>
      <c r="G288" s="195">
        <f>G287/200</f>
        <v>76.476299999999995</v>
      </c>
      <c r="H288" s="85"/>
      <c r="I288" s="114"/>
    </row>
    <row r="289" spans="1:10" ht="16.5" thickBot="1">
      <c r="A289" s="102">
        <v>17</v>
      </c>
      <c r="B289" s="86" t="str">
        <f>"BDI  ( "&amp;TEXT($B$13,"0,00%")&amp;" )"</f>
        <v>BDI  ( 24,00% )</v>
      </c>
      <c r="C289" s="104"/>
      <c r="D289" s="104"/>
      <c r="E289" s="104"/>
      <c r="F289" s="115"/>
      <c r="G289" s="116">
        <f>$B$13*G288</f>
        <v>18.354311999999997</v>
      </c>
      <c r="H289" s="85"/>
      <c r="I289" s="85"/>
    </row>
    <row r="290" spans="1:10" ht="16.5" thickBot="1">
      <c r="A290" s="51">
        <v>18</v>
      </c>
      <c r="B290" s="52" t="s">
        <v>31</v>
      </c>
      <c r="C290" s="53"/>
      <c r="D290" s="53"/>
      <c r="E290" s="53"/>
      <c r="F290" s="54"/>
      <c r="G290" s="55">
        <f>G289+G288</f>
        <v>94.830611999999988</v>
      </c>
      <c r="H290" s="85"/>
      <c r="I290" s="85"/>
    </row>
    <row r="292" spans="1:10" ht="15.75">
      <c r="A292" s="283" t="s">
        <v>198</v>
      </c>
      <c r="B292" s="284"/>
      <c r="C292" s="284"/>
      <c r="D292" s="284"/>
      <c r="E292" s="284"/>
      <c r="F292" s="284"/>
      <c r="G292" s="285"/>
      <c r="H292" s="90"/>
      <c r="I292" s="90"/>
      <c r="J292" s="89"/>
    </row>
    <row r="293" spans="1:10" ht="16.5" thickBot="1">
      <c r="A293" s="229" t="s">
        <v>45</v>
      </c>
      <c r="B293" s="229" t="s">
        <v>46</v>
      </c>
      <c r="C293" s="229" t="s">
        <v>47</v>
      </c>
      <c r="D293" s="229" t="s">
        <v>48</v>
      </c>
      <c r="E293" s="229" t="s">
        <v>163</v>
      </c>
      <c r="F293" s="229" t="s">
        <v>49</v>
      </c>
      <c r="G293" s="229" t="s">
        <v>50</v>
      </c>
      <c r="H293" s="90"/>
      <c r="I293" s="90"/>
      <c r="J293" s="89"/>
    </row>
    <row r="294" spans="1:10" ht="16.5" thickBot="1">
      <c r="A294" s="243"/>
      <c r="B294" s="179" t="s">
        <v>134</v>
      </c>
      <c r="C294" s="244"/>
      <c r="D294" s="244"/>
      <c r="E294" s="244"/>
      <c r="F294" s="244"/>
      <c r="G294" s="245"/>
      <c r="H294" s="90"/>
      <c r="I294" s="90"/>
      <c r="J294" s="89"/>
    </row>
    <row r="295" spans="1:10" ht="15.75">
      <c r="A295" s="96">
        <v>2</v>
      </c>
      <c r="B295" s="97" t="s">
        <v>42</v>
      </c>
      <c r="C295" s="98" t="s">
        <v>30</v>
      </c>
      <c r="D295" s="101">
        <v>0</v>
      </c>
      <c r="E295" s="98"/>
      <c r="F295" s="99">
        <v>6.75</v>
      </c>
      <c r="G295" s="100">
        <f>ROUND(F295*D295,2)</f>
        <v>0</v>
      </c>
      <c r="H295" s="84">
        <v>6111</v>
      </c>
      <c r="I295" s="85"/>
    </row>
    <row r="296" spans="1:10" ht="16.5" thickBot="1">
      <c r="A296" s="96">
        <v>5</v>
      </c>
      <c r="B296" s="103" t="s">
        <v>61</v>
      </c>
      <c r="C296" s="104"/>
      <c r="D296" s="104"/>
      <c r="E296" s="104"/>
      <c r="F296" s="105"/>
      <c r="G296" s="106">
        <f>G295</f>
        <v>0</v>
      </c>
      <c r="H296" s="85"/>
      <c r="I296" s="85"/>
    </row>
    <row r="297" spans="1:10" ht="16.5" thickBot="1">
      <c r="A297" s="198"/>
      <c r="B297" s="179" t="s">
        <v>150</v>
      </c>
      <c r="C297" s="237"/>
      <c r="D297" s="237"/>
      <c r="E297" s="237"/>
      <c r="F297" s="238"/>
      <c r="G297" s="239"/>
      <c r="H297" s="85"/>
      <c r="I297" s="85"/>
    </row>
    <row r="298" spans="1:10" ht="15.75">
      <c r="A298" s="190">
        <v>6</v>
      </c>
      <c r="B298" s="108" t="s">
        <v>151</v>
      </c>
      <c r="C298" s="236" t="s">
        <v>152</v>
      </c>
      <c r="D298" s="101">
        <v>1</v>
      </c>
      <c r="E298" s="232">
        <v>1</v>
      </c>
      <c r="F298" s="236">
        <v>143.08000000000001</v>
      </c>
      <c r="G298" s="241">
        <f>ROUND(D298*F298*E298,2)</f>
        <v>143.08000000000001</v>
      </c>
      <c r="H298" s="84"/>
      <c r="I298" s="85"/>
    </row>
    <row r="299" spans="1:10" ht="15.75">
      <c r="A299" s="96">
        <v>7</v>
      </c>
      <c r="B299" s="255" t="s">
        <v>151</v>
      </c>
      <c r="C299" s="98" t="s">
        <v>153</v>
      </c>
      <c r="D299" s="101">
        <v>1</v>
      </c>
      <c r="E299" s="101">
        <v>0</v>
      </c>
      <c r="F299" s="98">
        <v>16.329999999999998</v>
      </c>
      <c r="G299" s="241">
        <f>ROUND(D299*F299*E299,2)</f>
        <v>0</v>
      </c>
      <c r="H299" s="84"/>
      <c r="I299" s="85"/>
    </row>
    <row r="300" spans="1:10" ht="15.75">
      <c r="A300" s="96">
        <v>14</v>
      </c>
      <c r="B300" s="97" t="s">
        <v>160</v>
      </c>
      <c r="C300" s="98" t="s">
        <v>129</v>
      </c>
      <c r="D300" s="101">
        <v>0</v>
      </c>
      <c r="E300" s="98">
        <v>0.15509999999999999</v>
      </c>
      <c r="F300" s="99">
        <f>G296</f>
        <v>0</v>
      </c>
      <c r="G300" s="241">
        <f>ROUND(D300*F300*E300,2)</f>
        <v>0</v>
      </c>
      <c r="H300" s="84"/>
      <c r="I300" s="85"/>
    </row>
    <row r="301" spans="1:10" ht="15.75">
      <c r="A301" s="190">
        <v>15</v>
      </c>
      <c r="B301" s="111" t="s">
        <v>161</v>
      </c>
      <c r="C301" s="98"/>
      <c r="D301" s="98"/>
      <c r="E301" s="98"/>
      <c r="F301" s="112"/>
      <c r="G301" s="113">
        <f>SUM(G298:G300)+G296</f>
        <v>143.08000000000001</v>
      </c>
      <c r="H301" s="85"/>
      <c r="I301" s="114"/>
    </row>
    <row r="302" spans="1:10" ht="15.75">
      <c r="A302" s="190">
        <v>16</v>
      </c>
      <c r="B302" s="111" t="s">
        <v>162</v>
      </c>
      <c r="C302" s="193"/>
      <c r="D302" s="193"/>
      <c r="E302" s="193"/>
      <c r="F302" s="242"/>
      <c r="G302" s="195">
        <f>G301/100</f>
        <v>1.4308000000000001</v>
      </c>
      <c r="H302" s="85"/>
      <c r="I302" s="114"/>
    </row>
    <row r="303" spans="1:10" ht="16.5" thickBot="1">
      <c r="A303" s="102">
        <v>17</v>
      </c>
      <c r="B303" s="86" t="str">
        <f>"BDI  ( "&amp;TEXT($B$13,"0,00%")&amp;" )"</f>
        <v>BDI  ( 24,00% )</v>
      </c>
      <c r="C303" s="104"/>
      <c r="D303" s="104"/>
      <c r="E303" s="104"/>
      <c r="F303" s="115"/>
      <c r="G303" s="116">
        <f>$B$13*G302</f>
        <v>0.34339200000000003</v>
      </c>
      <c r="H303" s="85"/>
      <c r="I303" s="85"/>
    </row>
    <row r="304" spans="1:10" ht="16.5" thickBot="1">
      <c r="A304" s="51">
        <v>18</v>
      </c>
      <c r="B304" s="52" t="s">
        <v>31</v>
      </c>
      <c r="C304" s="53"/>
      <c r="D304" s="53"/>
      <c r="E304" s="53"/>
      <c r="F304" s="54"/>
      <c r="G304" s="55">
        <f>G303+G302</f>
        <v>1.7741920000000002</v>
      </c>
      <c r="H304" s="85"/>
      <c r="I304" s="85"/>
    </row>
    <row r="306" spans="1:10" ht="15.75">
      <c r="A306" s="283" t="s">
        <v>190</v>
      </c>
      <c r="B306" s="284"/>
      <c r="C306" s="284"/>
      <c r="D306" s="284"/>
      <c r="E306" s="284"/>
      <c r="F306" s="284"/>
      <c r="G306" s="285"/>
      <c r="H306" s="90"/>
      <c r="I306" s="90"/>
      <c r="J306" s="89"/>
    </row>
    <row r="307" spans="1:10" ht="16.5" thickBot="1">
      <c r="A307" s="229" t="s">
        <v>45</v>
      </c>
      <c r="B307" s="229" t="s">
        <v>46</v>
      </c>
      <c r="C307" s="229" t="s">
        <v>47</v>
      </c>
      <c r="D307" s="229" t="s">
        <v>48</v>
      </c>
      <c r="E307" s="229" t="s">
        <v>163</v>
      </c>
      <c r="F307" s="229" t="s">
        <v>49</v>
      </c>
      <c r="G307" s="229" t="s">
        <v>50</v>
      </c>
      <c r="H307" s="90"/>
      <c r="I307" s="90"/>
      <c r="J307" s="89"/>
    </row>
    <row r="308" spans="1:10" ht="16.5" thickBot="1">
      <c r="A308" s="243"/>
      <c r="B308" s="179" t="s">
        <v>134</v>
      </c>
      <c r="C308" s="244"/>
      <c r="D308" s="244"/>
      <c r="E308" s="244"/>
      <c r="F308" s="244"/>
      <c r="G308" s="245"/>
      <c r="H308" s="90"/>
      <c r="I308" s="90"/>
      <c r="J308" s="89"/>
    </row>
    <row r="309" spans="1:10" ht="15.75">
      <c r="A309" s="96">
        <v>2</v>
      </c>
      <c r="B309" s="97" t="s">
        <v>42</v>
      </c>
      <c r="C309" s="98" t="s">
        <v>30</v>
      </c>
      <c r="D309" s="101">
        <v>0</v>
      </c>
      <c r="E309" s="98"/>
      <c r="F309" s="99">
        <v>6.75</v>
      </c>
      <c r="G309" s="100">
        <f>ROUND(F309*D309,2)</f>
        <v>0</v>
      </c>
      <c r="H309" s="84">
        <v>6111</v>
      </c>
      <c r="I309" s="85"/>
    </row>
    <row r="310" spans="1:10" ht="16.5" thickBot="1">
      <c r="A310" s="96">
        <v>5</v>
      </c>
      <c r="B310" s="103" t="s">
        <v>61</v>
      </c>
      <c r="C310" s="104"/>
      <c r="D310" s="104"/>
      <c r="E310" s="104"/>
      <c r="F310" s="105"/>
      <c r="G310" s="106">
        <f>G309</f>
        <v>0</v>
      </c>
      <c r="H310" s="85"/>
      <c r="I310" s="85"/>
    </row>
    <row r="311" spans="1:10" ht="16.5" thickBot="1">
      <c r="A311" s="198"/>
      <c r="B311" s="179" t="s">
        <v>150</v>
      </c>
      <c r="C311" s="237"/>
      <c r="D311" s="237"/>
      <c r="E311" s="237"/>
      <c r="F311" s="238"/>
      <c r="G311" s="239"/>
      <c r="H311" s="85"/>
      <c r="I311" s="85"/>
    </row>
    <row r="312" spans="1:10" ht="15.75">
      <c r="A312" s="190">
        <v>6</v>
      </c>
      <c r="B312" s="248" t="s">
        <v>189</v>
      </c>
      <c r="C312" s="236" t="s">
        <v>152</v>
      </c>
      <c r="D312" s="101">
        <v>1</v>
      </c>
      <c r="E312" s="232">
        <v>1</v>
      </c>
      <c r="F312" s="236">
        <v>6062.4</v>
      </c>
      <c r="G312" s="241">
        <f>ROUND(D312*F312*E312,2)</f>
        <v>6062.4</v>
      </c>
      <c r="H312" s="84">
        <v>1160</v>
      </c>
      <c r="I312" s="85"/>
    </row>
    <row r="313" spans="1:10" ht="15.75">
      <c r="A313" s="96">
        <v>7</v>
      </c>
      <c r="B313" s="248" t="s">
        <v>191</v>
      </c>
      <c r="C313" s="98" t="s">
        <v>153</v>
      </c>
      <c r="D313" s="101">
        <v>1</v>
      </c>
      <c r="E313" s="101">
        <v>600</v>
      </c>
      <c r="F313" s="98">
        <v>2.42</v>
      </c>
      <c r="G313" s="241">
        <f>ROUND(D313*F313*E313,2)</f>
        <v>1452</v>
      </c>
      <c r="H313" s="84">
        <v>4221</v>
      </c>
      <c r="I313" s="85"/>
    </row>
    <row r="314" spans="1:10" ht="15.75">
      <c r="A314" s="96">
        <v>14</v>
      </c>
      <c r="B314" s="97" t="s">
        <v>160</v>
      </c>
      <c r="C314" s="98" t="s">
        <v>129</v>
      </c>
      <c r="D314" s="101">
        <v>0</v>
      </c>
      <c r="E314" s="98">
        <v>0.15509999999999999</v>
      </c>
      <c r="F314" s="99">
        <f>G310</f>
        <v>0</v>
      </c>
      <c r="G314" s="241">
        <f>ROUND(D314*F314*E314,2)</f>
        <v>0</v>
      </c>
      <c r="H314" s="84"/>
      <c r="I314" s="85"/>
    </row>
    <row r="315" spans="1:10" ht="15.75">
      <c r="A315" s="190">
        <v>15</v>
      </c>
      <c r="B315" s="111" t="s">
        <v>161</v>
      </c>
      <c r="C315" s="98"/>
      <c r="D315" s="98"/>
      <c r="E315" s="98"/>
      <c r="F315" s="112"/>
      <c r="G315" s="113">
        <f>SUM(G312:G314)+G310</f>
        <v>7514.4</v>
      </c>
      <c r="H315" s="85"/>
      <c r="I315" s="114"/>
    </row>
    <row r="316" spans="1:10" ht="15.75">
      <c r="A316" s="190">
        <v>16</v>
      </c>
      <c r="B316" s="111" t="s">
        <v>162</v>
      </c>
      <c r="C316" s="193"/>
      <c r="D316" s="193"/>
      <c r="E316" s="193"/>
      <c r="F316" s="242"/>
      <c r="G316" s="195">
        <f>G315/1</f>
        <v>7514.4</v>
      </c>
      <c r="H316" s="85"/>
      <c r="I316" s="114"/>
    </row>
    <row r="317" spans="1:10" ht="16.5" thickBot="1">
      <c r="A317" s="102">
        <v>17</v>
      </c>
      <c r="B317" s="86" t="str">
        <f>"BDI  ( "&amp;TEXT($B$13,"0,00%")&amp;" )"</f>
        <v>BDI  ( 24,00% )</v>
      </c>
      <c r="C317" s="104"/>
      <c r="D317" s="104"/>
      <c r="E317" s="104"/>
      <c r="F317" s="115"/>
      <c r="G317" s="116">
        <f>$B$13*G316</f>
        <v>1803.4559999999999</v>
      </c>
      <c r="H317" s="85"/>
      <c r="I317" s="85"/>
    </row>
    <row r="318" spans="1:10" ht="16.5" thickBot="1">
      <c r="A318" s="51">
        <v>18</v>
      </c>
      <c r="B318" s="52" t="s">
        <v>31</v>
      </c>
      <c r="C318" s="53"/>
      <c r="D318" s="53"/>
      <c r="E318" s="53"/>
      <c r="F318" s="54"/>
      <c r="G318" s="55">
        <f>G317+G316</f>
        <v>9317.8559999999998</v>
      </c>
      <c r="H318" s="85"/>
      <c r="I318" s="85"/>
    </row>
  </sheetData>
  <mergeCells count="85">
    <mergeCell ref="A119:G119"/>
    <mergeCell ref="E120:F120"/>
    <mergeCell ref="E122:F122"/>
    <mergeCell ref="E123:F123"/>
    <mergeCell ref="E126:F126"/>
    <mergeCell ref="A136:G136"/>
    <mergeCell ref="A157:G157"/>
    <mergeCell ref="E158:F158"/>
    <mergeCell ref="E160:F160"/>
    <mergeCell ref="E161:F161"/>
    <mergeCell ref="E164:F164"/>
    <mergeCell ref="A261:G261"/>
    <mergeCell ref="A275:G275"/>
    <mergeCell ref="A292:G292"/>
    <mergeCell ref="E204:F204"/>
    <mergeCell ref="A174:G174"/>
    <mergeCell ref="A247:G247"/>
    <mergeCell ref="A224:G224"/>
    <mergeCell ref="A306:G306"/>
    <mergeCell ref="A197:G197"/>
    <mergeCell ref="E198:F198"/>
    <mergeCell ref="E200:F200"/>
    <mergeCell ref="E201:F201"/>
    <mergeCell ref="E114:F114"/>
    <mergeCell ref="E103:F103"/>
    <mergeCell ref="E108:F108"/>
    <mergeCell ref="E110:F110"/>
    <mergeCell ref="E111:F111"/>
    <mergeCell ref="E112:F112"/>
    <mergeCell ref="A98:G98"/>
    <mergeCell ref="E99:F99"/>
    <mergeCell ref="E101:F101"/>
    <mergeCell ref="E102:F102"/>
    <mergeCell ref="E113:F113"/>
    <mergeCell ref="A85:G85"/>
    <mergeCell ref="E86:F86"/>
    <mergeCell ref="H86:J86"/>
    <mergeCell ref="E88:F88"/>
    <mergeCell ref="E89:F89"/>
    <mergeCell ref="E76:F76"/>
    <mergeCell ref="E77:F77"/>
    <mergeCell ref="E78:F78"/>
    <mergeCell ref="E79:F79"/>
    <mergeCell ref="E80:F80"/>
    <mergeCell ref="E65:F65"/>
    <mergeCell ref="E67:F67"/>
    <mergeCell ref="E68:F68"/>
    <mergeCell ref="E69:F69"/>
    <mergeCell ref="E74:F74"/>
    <mergeCell ref="E56:F56"/>
    <mergeCell ref="E57:F57"/>
    <mergeCell ref="E58:F58"/>
    <mergeCell ref="E59:F59"/>
    <mergeCell ref="A64:G64"/>
    <mergeCell ref="E51:F51"/>
    <mergeCell ref="E52:F52"/>
    <mergeCell ref="E53:F53"/>
    <mergeCell ref="E54:F54"/>
    <mergeCell ref="E55:F55"/>
    <mergeCell ref="E46:F46"/>
    <mergeCell ref="E47:F47"/>
    <mergeCell ref="E48:F48"/>
    <mergeCell ref="E49:F49"/>
    <mergeCell ref="E50:F50"/>
    <mergeCell ref="E36:F36"/>
    <mergeCell ref="E37:F37"/>
    <mergeCell ref="E42:F42"/>
    <mergeCell ref="E44:F44"/>
    <mergeCell ref="E45:F45"/>
    <mergeCell ref="A30:G30"/>
    <mergeCell ref="E31:F31"/>
    <mergeCell ref="E33:F33"/>
    <mergeCell ref="E34:F34"/>
    <mergeCell ref="E35:F35"/>
    <mergeCell ref="D13:E13"/>
    <mergeCell ref="A14:F14"/>
    <mergeCell ref="A20:E20"/>
    <mergeCell ref="A22:F22"/>
    <mergeCell ref="A28:E28"/>
    <mergeCell ref="C1:G1"/>
    <mergeCell ref="C3:G3"/>
    <mergeCell ref="C8:D8"/>
    <mergeCell ref="A11:F11"/>
    <mergeCell ref="C2:G2"/>
    <mergeCell ref="H2:J2"/>
  </mergeCells>
  <phoneticPr fontId="1" type="noConversion"/>
  <pageMargins left="1.4960629921259843" right="0.51181102362204722" top="0.78740157480314965" bottom="0.78740157480314965" header="0.31496062992125984" footer="0.31496062992125984"/>
  <pageSetup paperSize="9" scale="58" orientation="portrait" r:id="rId1"/>
  <headerFooter alignWithMargins="0"/>
  <rowBreaks count="4" manualBreakCount="4">
    <brk id="62" max="7" man="1"/>
    <brk id="117" max="7" man="1"/>
    <brk id="195" max="7" man="1"/>
    <brk id="259" max="7" man="1"/>
  </rowBreaks>
  <colBreaks count="1" manualBreakCount="1">
    <brk id="8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PLANILHA</vt:lpstr>
      <vt:lpstr>CRONOG</vt:lpstr>
      <vt:lpstr>Composição dos Custos</vt:lpstr>
      <vt:lpstr>'Composição dos Custos'!Area_de_impressao</vt:lpstr>
      <vt:lpstr>PLANILHA!Area_de_impressao</vt:lpstr>
      <vt:lpstr>PLANILHA!Titulos_de_impressao</vt:lpstr>
    </vt:vector>
  </TitlesOfParts>
  <Company>DERBa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Micro53</dc:creator>
  <cp:lastModifiedBy>Messias Carvalho da Silva</cp:lastModifiedBy>
  <cp:lastPrinted>2014-11-24T16:37:24Z</cp:lastPrinted>
  <dcterms:created xsi:type="dcterms:W3CDTF">1998-01-22T12:19:54Z</dcterms:created>
  <dcterms:modified xsi:type="dcterms:W3CDTF">2014-11-24T16:37:29Z</dcterms:modified>
</cp:coreProperties>
</file>