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\licitacao\PASTA PUBLICA LICITAÇÃO\Editais Publicados 2014\EDITAL 57-14 - Sistema de Drenagem - Mirorós - BA\Proc. 59520.000684-2014-27 - Obras Sist. Drenag Mirorós-BA\ANEXO I_PLANILHAS ORÇAMENTÁRIAS\"/>
    </mc:Choice>
  </mc:AlternateContent>
  <bookViews>
    <workbookView xWindow="0" yWindow="0" windowWidth="24000" windowHeight="9735" tabRatio="702"/>
  </bookViews>
  <sheets>
    <sheet name="Orçamentária_MIR" sheetId="4" r:id="rId1"/>
    <sheet name="Custos unit" sheetId="5" r:id="rId2"/>
    <sheet name="Custos unit_implant. serviços" sheetId="6" r:id="rId3"/>
    <sheet name="momento de transporte" sheetId="8" r:id="rId4"/>
    <sheet name="BDI_serviços" sheetId="14" r:id="rId5"/>
    <sheet name="BDI_fornecimentos" sheetId="17" r:id="rId6"/>
    <sheet name="Plan1" sheetId="18" r:id="rId7"/>
  </sheets>
  <externalReferences>
    <externalReference r:id="rId8"/>
    <externalReference r:id="rId9"/>
  </externalReferences>
  <definedNames>
    <definedName name="__xlnm.Print_Area_1">#REF!</definedName>
    <definedName name="__xlnm.Print_Area_2">#REF!</definedName>
    <definedName name="_xlnm.Print_Area" localSheetId="5">BDI_fornecimentos!$A$1:$F$27</definedName>
    <definedName name="_xlnm.Print_Area" localSheetId="1">'Custos unit'!$A$1:$J$235</definedName>
    <definedName name="_xlnm.Print_Area" localSheetId="3">'momento de transporte'!$A$1:$J$29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7" l="1"/>
  <c r="D12" i="17" l="1"/>
  <c r="E23" i="17" l="1"/>
  <c r="E15" i="17" s="1"/>
  <c r="E14" i="17" l="1"/>
  <c r="E21" i="17"/>
  <c r="E13" i="17"/>
  <c r="E12" i="17"/>
  <c r="C30" i="14"/>
  <c r="D12" i="14"/>
  <c r="E23" i="14" s="1"/>
  <c r="E21" i="14" s="1"/>
  <c r="F74" i="6" l="1"/>
  <c r="I69" i="5" l="1"/>
  <c r="I68" i="5"/>
  <c r="H23" i="8" l="1"/>
  <c r="A26" i="8" s="1"/>
  <c r="C14" i="8"/>
  <c r="F26" i="8" s="1"/>
  <c r="F161" i="6"/>
  <c r="E164" i="6" s="1"/>
  <c r="F164" i="6" s="1"/>
  <c r="F154" i="6"/>
  <c r="E157" i="6" s="1"/>
  <c r="F157" i="6" s="1"/>
  <c r="F147" i="6"/>
  <c r="E150" i="6" s="1"/>
  <c r="F150" i="6" s="1"/>
  <c r="D138" i="6"/>
  <c r="F138" i="6" s="1"/>
  <c r="D136" i="6"/>
  <c r="F134" i="6"/>
  <c r="E134" i="6"/>
  <c r="F132" i="6"/>
  <c r="E136" i="6" s="1"/>
  <c r="F136" i="6" s="1"/>
  <c r="E132" i="6"/>
  <c r="F130" i="6"/>
  <c r="D128" i="6"/>
  <c r="F128" i="6" s="1"/>
  <c r="F126" i="6"/>
  <c r="F120" i="6"/>
  <c r="D120" i="6"/>
  <c r="D118" i="6"/>
  <c r="E116" i="6"/>
  <c r="F116" i="6" s="1"/>
  <c r="E118" i="6" s="1"/>
  <c r="F118" i="6" s="1"/>
  <c r="E114" i="6"/>
  <c r="F114" i="6" s="1"/>
  <c r="F112" i="6"/>
  <c r="F110" i="6"/>
  <c r="D110" i="6"/>
  <c r="F108" i="6"/>
  <c r="D102" i="6"/>
  <c r="F102" i="6" s="1"/>
  <c r="D100" i="6"/>
  <c r="F98" i="6"/>
  <c r="E100" i="6" s="1"/>
  <c r="F100" i="6" s="1"/>
  <c r="E98" i="6"/>
  <c r="F96" i="6"/>
  <c r="E96" i="6"/>
  <c r="F94" i="6"/>
  <c r="D92" i="6"/>
  <c r="F92" i="6" s="1"/>
  <c r="F90" i="6"/>
  <c r="F80" i="6"/>
  <c r="D78" i="6"/>
  <c r="F76" i="6"/>
  <c r="E78" i="6" s="1"/>
  <c r="F78" i="6" s="1"/>
  <c r="E82" i="6" s="1"/>
  <c r="E76" i="6"/>
  <c r="E74" i="6"/>
  <c r="F72" i="6"/>
  <c r="F70" i="6"/>
  <c r="F68" i="6"/>
  <c r="E61" i="6"/>
  <c r="D61" i="6"/>
  <c r="F61" i="6" s="1"/>
  <c r="F60" i="6"/>
  <c r="E60" i="6"/>
  <c r="F59" i="6"/>
  <c r="E63" i="6" s="1"/>
  <c r="D53" i="6"/>
  <c r="F53" i="6" s="1"/>
  <c r="D51" i="6"/>
  <c r="F51" i="6" s="1"/>
  <c r="D43" i="6"/>
  <c r="F43" i="6" s="1"/>
  <c r="D35" i="6"/>
  <c r="E33" i="6"/>
  <c r="D33" i="6"/>
  <c r="F33" i="6" s="1"/>
  <c r="E35" i="6" s="1"/>
  <c r="F35" i="6" s="1"/>
  <c r="D31" i="6"/>
  <c r="F31" i="6" s="1"/>
  <c r="D25" i="6"/>
  <c r="E23" i="6"/>
  <c r="D23" i="6"/>
  <c r="F23" i="6" s="1"/>
  <c r="E25" i="6" s="1"/>
  <c r="F25" i="6" s="1"/>
  <c r="D21" i="6"/>
  <c r="F21" i="6" s="1"/>
  <c r="D11" i="6"/>
  <c r="F11" i="6" s="1"/>
  <c r="D104" i="6"/>
  <c r="J230" i="5"/>
  <c r="J231" i="5" s="1"/>
  <c r="J220" i="5"/>
  <c r="J221" i="5" s="1"/>
  <c r="J217" i="5"/>
  <c r="J203" i="5"/>
  <c r="J202" i="5"/>
  <c r="J204" i="5" s="1"/>
  <c r="J191" i="5"/>
  <c r="J190" i="5"/>
  <c r="J186" i="5"/>
  <c r="J187" i="5" s="1"/>
  <c r="J181" i="5"/>
  <c r="J180" i="5"/>
  <c r="J179" i="5"/>
  <c r="J173" i="5"/>
  <c r="J176" i="5" s="1"/>
  <c r="J163" i="5"/>
  <c r="J162" i="5"/>
  <c r="J161" i="5"/>
  <c r="J157" i="5"/>
  <c r="J158" i="5" s="1"/>
  <c r="J153" i="5"/>
  <c r="J152" i="5"/>
  <c r="J154" i="5" s="1"/>
  <c r="E146" i="5"/>
  <c r="J146" i="5" s="1"/>
  <c r="J149" i="5" s="1"/>
  <c r="J135" i="5"/>
  <c r="J134" i="5"/>
  <c r="J136" i="5" s="1"/>
  <c r="J130" i="5"/>
  <c r="J131" i="5" s="1"/>
  <c r="J126" i="5"/>
  <c r="J127" i="5" s="1"/>
  <c r="J125" i="5"/>
  <c r="E119" i="5"/>
  <c r="J119" i="5" s="1"/>
  <c r="J122" i="5" s="1"/>
  <c r="J107" i="5"/>
  <c r="I107" i="5"/>
  <c r="J106" i="5"/>
  <c r="J105" i="5"/>
  <c r="J104" i="5"/>
  <c r="J103" i="5"/>
  <c r="J102" i="5"/>
  <c r="J108" i="5" s="1"/>
  <c r="J109" i="5" s="1"/>
  <c r="J98" i="5"/>
  <c r="J99" i="5" s="1"/>
  <c r="J94" i="5"/>
  <c r="J93" i="5"/>
  <c r="J92" i="5"/>
  <c r="J91" i="5"/>
  <c r="J90" i="5"/>
  <c r="J89" i="5"/>
  <c r="J88" i="5"/>
  <c r="J87" i="5"/>
  <c r="J86" i="5"/>
  <c r="J95" i="5" s="1"/>
  <c r="J82" i="5"/>
  <c r="E81" i="5"/>
  <c r="J81" i="5" s="1"/>
  <c r="J69" i="5"/>
  <c r="J68" i="5"/>
  <c r="J70" i="5" s="1"/>
  <c r="J64" i="5"/>
  <c r="J65" i="5" s="1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8" i="5"/>
  <c r="J7" i="5"/>
  <c r="E140" i="6" l="1"/>
  <c r="E122" i="6"/>
  <c r="E104" i="6"/>
  <c r="J183" i="5"/>
  <c r="J83" i="5"/>
  <c r="J61" i="5"/>
  <c r="J71" i="5" s="1"/>
  <c r="J72" i="5" s="1"/>
  <c r="J74" i="5" s="1"/>
  <c r="E12" i="4" s="1"/>
  <c r="F12" i="4" s="1"/>
  <c r="F104" i="6"/>
  <c r="G88" i="6" s="1"/>
  <c r="E43" i="4" s="1"/>
  <c r="F43" i="4" s="1"/>
  <c r="E46" i="6"/>
  <c r="E13" i="6"/>
  <c r="E27" i="6"/>
  <c r="E37" i="6"/>
  <c r="E55" i="6"/>
  <c r="D13" i="6"/>
  <c r="D63" i="6" s="1"/>
  <c r="F63" i="6" s="1"/>
  <c r="G57" i="6" s="1"/>
  <c r="E28" i="4" s="1"/>
  <c r="D122" i="6"/>
  <c r="G145" i="6"/>
  <c r="E39" i="4" s="1"/>
  <c r="F39" i="4" s="1"/>
  <c r="G152" i="6"/>
  <c r="E40" i="4" s="1"/>
  <c r="F40" i="4" s="1"/>
  <c r="G159" i="6"/>
  <c r="E41" i="4" s="1"/>
  <c r="F41" i="4" s="1"/>
  <c r="D46" i="6"/>
  <c r="D55" i="6"/>
  <c r="D140" i="6"/>
  <c r="F140" i="6" s="1"/>
  <c r="G124" i="6" s="1"/>
  <c r="E45" i="4" s="1"/>
  <c r="D82" i="6"/>
  <c r="F82" i="6" s="1"/>
  <c r="G65" i="6" s="1"/>
  <c r="E35" i="4" s="1"/>
  <c r="F35" i="4" s="1"/>
  <c r="D27" i="6"/>
  <c r="D37" i="6"/>
  <c r="J137" i="5"/>
  <c r="J138" i="5" s="1"/>
  <c r="J140" i="5" s="1"/>
  <c r="E11" i="4" s="1"/>
  <c r="J164" i="5"/>
  <c r="J165" i="5" s="1"/>
  <c r="J167" i="5" s="1"/>
  <c r="E13" i="4" s="1"/>
  <c r="F13" i="4" s="1"/>
  <c r="J232" i="5"/>
  <c r="J233" i="5" s="1"/>
  <c r="J235" i="5" s="1"/>
  <c r="E18" i="4" s="1"/>
  <c r="F18" i="4" s="1"/>
  <c r="J110" i="5"/>
  <c r="J111" i="5" s="1"/>
  <c r="J113" i="5" s="1"/>
  <c r="E17" i="4" s="1"/>
  <c r="J192" i="5"/>
  <c r="J193" i="5" s="1"/>
  <c r="F45" i="4"/>
  <c r="F28" i="4"/>
  <c r="D25" i="4"/>
  <c r="D24" i="4"/>
  <c r="D21" i="4"/>
  <c r="F17" i="4"/>
  <c r="F11" i="4"/>
  <c r="F122" i="6" l="1"/>
  <c r="G106" i="6" s="1"/>
  <c r="E44" i="4" s="1"/>
  <c r="F44" i="4" s="1"/>
  <c r="J194" i="5"/>
  <c r="J196" i="5" s="1"/>
  <c r="E14" i="4" s="1"/>
  <c r="F14" i="4" s="1"/>
  <c r="F37" i="6"/>
  <c r="G29" i="6" s="1"/>
  <c r="E25" i="4" s="1"/>
  <c r="F25" i="4" s="1"/>
  <c r="F27" i="6"/>
  <c r="G19" i="6" s="1"/>
  <c r="E24" i="4" s="1"/>
  <c r="F24" i="4" s="1"/>
  <c r="F13" i="6"/>
  <c r="G8" i="6" s="1"/>
  <c r="E21" i="4" s="1"/>
  <c r="F21" i="4" s="1"/>
  <c r="F46" i="6"/>
  <c r="G41" i="6" s="1"/>
  <c r="E31" i="4" s="1"/>
  <c r="F31" i="4" s="1"/>
  <c r="F55" i="6"/>
  <c r="G48" i="6" s="1"/>
  <c r="E32" i="4" s="1"/>
  <c r="F32" i="4" s="1"/>
  <c r="F47" i="4" l="1"/>
</calcChain>
</file>

<file path=xl/sharedStrings.xml><?xml version="1.0" encoding="utf-8"?>
<sst xmlns="http://schemas.openxmlformats.org/spreadsheetml/2006/main" count="876" uniqueCount="304">
  <si>
    <t>2.1</t>
  </si>
  <si>
    <t>2.2</t>
  </si>
  <si>
    <r>
      <t>OBRA</t>
    </r>
    <r>
      <rPr>
        <sz val="10"/>
        <rFont val="Arial"/>
        <family val="2"/>
      </rPr>
      <t>: REABILITAÇÃO DO SISTEMA DE DRENAGEM SUPERFICIAL E OBRAS ESPECIAIS</t>
    </r>
  </si>
  <si>
    <r>
      <t>LOCAL</t>
    </r>
    <r>
      <rPr>
        <sz val="10"/>
        <rFont val="Arial"/>
        <family val="2"/>
      </rPr>
      <t>: PERÍMETRO IRRIGADO MIRORÓS</t>
    </r>
  </si>
  <si>
    <t xml:space="preserve">PLANILHA ORÇAMENTÁRIA - PERÍMETRO IRRIGADO MIRORÓS  </t>
  </si>
  <si>
    <t xml:space="preserve">ITEM </t>
  </si>
  <si>
    <t>DISCRIMINAÇÃO</t>
  </si>
  <si>
    <t>UNID.</t>
  </si>
  <si>
    <t xml:space="preserve"> QUANT. </t>
  </si>
  <si>
    <t xml:space="preserve"> PREÇOS R$ </t>
  </si>
  <si>
    <t xml:space="preserve"> UNIT.  </t>
  </si>
  <si>
    <t xml:space="preserve"> TOTAL </t>
  </si>
  <si>
    <t>1.0</t>
  </si>
  <si>
    <t>SERVIÇOS PRELIMINARES</t>
  </si>
  <si>
    <t>1.1</t>
  </si>
  <si>
    <t>Mobilização de Equipamentos e Pessoal</t>
  </si>
  <si>
    <t>ud</t>
  </si>
  <si>
    <t>1.2</t>
  </si>
  <si>
    <t>Instalação  de  Canteiro de Obras</t>
  </si>
  <si>
    <t>m²</t>
  </si>
  <si>
    <t>1.3</t>
  </si>
  <si>
    <t>Desmobilização de Equipamentos e Pessoal</t>
  </si>
  <si>
    <t>Placa da obra</t>
  </si>
  <si>
    <t>2.0</t>
  </si>
  <si>
    <t>Administração da Obra</t>
  </si>
  <si>
    <t>Admin.Manut do Canteiro de Obra</t>
  </si>
  <si>
    <t>mês</t>
  </si>
  <si>
    <t>Veículo leve para 05 passageiros, ano 2011</t>
  </si>
  <si>
    <t>3.0</t>
  </si>
  <si>
    <t>3.1</t>
  </si>
  <si>
    <t>Desmatamento e limpeza da faixa, ao longo de  drenos</t>
  </si>
  <si>
    <t>4.0</t>
  </si>
  <si>
    <t>ESCAVAÇÃO DE DRENOS COLETORES ABERTOS</t>
  </si>
  <si>
    <t>4.1</t>
  </si>
  <si>
    <t>Escavação em material de 1ª categoria</t>
  </si>
  <si>
    <t>m³</t>
  </si>
  <si>
    <t>4.2</t>
  </si>
  <si>
    <t>Escavação em material de 2ª categoria</t>
  </si>
  <si>
    <t>5.0</t>
  </si>
  <si>
    <t>DESASSOREAMENTO E LIMPEZA DE DRENO</t>
  </si>
  <si>
    <t>5.1</t>
  </si>
  <si>
    <t>Desassoreamento mecânico fundo dreno</t>
  </si>
  <si>
    <t>m</t>
  </si>
  <si>
    <t>6.0</t>
  </si>
  <si>
    <t>DESTINAÇÃO DO MATERIAL ESCAVADO</t>
  </si>
  <si>
    <t>6.1</t>
  </si>
  <si>
    <t>Espalhamento ao longo das faixas de execução dos drenos-material de 1ª categoria</t>
  </si>
  <si>
    <t>6.2</t>
  </si>
  <si>
    <t>Transporte para locais de bota fora, incluindo carga e descarga materiais de 1ª e 2ª cat.</t>
  </si>
  <si>
    <t xml:space="preserve"> 7.0</t>
  </si>
  <si>
    <t>ESTRUTURAS</t>
  </si>
  <si>
    <t xml:space="preserve"> 7.1</t>
  </si>
  <si>
    <t>Em alvenaria de pedra, argamassa 1:3</t>
  </si>
  <si>
    <t>8.0</t>
  </si>
  <si>
    <t>FORNECIMENTO E INSTALAÇÃO DE TUBOS DE CONCRETO TIPO CA II PARA CONSTRUÇÃO DE BUEIROS. Conf. Especificações Técnicas</t>
  </si>
  <si>
    <t>8.1</t>
  </si>
  <si>
    <t xml:space="preserve">Bueiro - Ø 800mm </t>
  </si>
  <si>
    <t>8.2</t>
  </si>
  <si>
    <t xml:space="preserve">Bueiro - Ø 1000mm </t>
  </si>
  <si>
    <t>8.3</t>
  </si>
  <si>
    <t xml:space="preserve">Bueiro - Ø 1200mm </t>
  </si>
  <si>
    <t>8.4</t>
  </si>
  <si>
    <t>Instalação bueiro - Ø 800mm</t>
  </si>
  <si>
    <t>8.5</t>
  </si>
  <si>
    <t>Instalação bueiro - Ø 1000mm</t>
  </si>
  <si>
    <t xml:space="preserve">m </t>
  </si>
  <si>
    <t>8.6</t>
  </si>
  <si>
    <t xml:space="preserve">Instalação bueiro - Ø 1200mm </t>
  </si>
  <si>
    <t>TOTAL GERAL</t>
  </si>
  <si>
    <t>PERÍMETRO IRRIGADO MIRORÓS</t>
  </si>
  <si>
    <t>CODEVASF</t>
  </si>
  <si>
    <t>01.01-A</t>
  </si>
  <si>
    <t xml:space="preserve"> COMPOSIÇÃO DE PREÇO UNITÁRIO</t>
  </si>
  <si>
    <t xml:space="preserve">OBRA: </t>
  </si>
  <si>
    <t xml:space="preserve">DATA: </t>
  </si>
  <si>
    <t>SERVIÇO :INSTALAÇÃO COMPLETA CANTEIRO DE OBRAS</t>
  </si>
  <si>
    <t xml:space="preserve">UNIDADE: </t>
  </si>
  <si>
    <t>M2</t>
  </si>
  <si>
    <t>EQUIPAMENTO</t>
  </si>
  <si>
    <t>CÓDIGO</t>
  </si>
  <si>
    <t>UNIDADE</t>
  </si>
  <si>
    <t>QUANT.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</si>
  <si>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</si>
  <si>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</si>
  <si>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</si>
  <si>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</si>
  <si>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</si>
  <si>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</si>
  <si>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</si>
  <si>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</si>
  <si>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 xml:space="preserve">Madeirit fenólico (resinado)  220X110X14 - </t>
  </si>
  <si>
    <t>m2</t>
  </si>
  <si>
    <t xml:space="preserve">Prego 18x30 </t>
  </si>
  <si>
    <t>kg</t>
  </si>
  <si>
    <t xml:space="preserve">Pontalete de madeira </t>
  </si>
  <si>
    <t>m3</t>
  </si>
  <si>
    <t xml:space="preserve">Sarrafo </t>
  </si>
  <si>
    <t xml:space="preserve">Telha Fibrocimento ondulada 6 MM 1,22 X 1,10M- </t>
  </si>
  <si>
    <t>u</t>
  </si>
  <si>
    <t xml:space="preserve">Conjunto de fixação e vedação para telhas de fibrocimento (parafuso, arruela elástica e metálica) </t>
  </si>
  <si>
    <t>Vaso sanitário branco SINAPI 11/2013-</t>
  </si>
  <si>
    <t>REGISTRO PVC ESFERA VS SOLDAVEL DN 32</t>
  </si>
  <si>
    <t xml:space="preserve">Dobradiça metálica </t>
  </si>
  <si>
    <t xml:space="preserve">Cadeado 25 mm </t>
  </si>
  <si>
    <t xml:space="preserve">Cimento  </t>
  </si>
  <si>
    <t xml:space="preserve">Areia Lavada </t>
  </si>
  <si>
    <t>Brita 1</t>
  </si>
  <si>
    <t xml:space="preserve">Tubo de PVC JS DN 20 mm para água </t>
  </si>
  <si>
    <t xml:space="preserve">Tubo PVC JS DN 100 mm para esgoto </t>
  </si>
  <si>
    <t xml:space="preserve">Tubo PVC JS DN 40 mm para esgoto </t>
  </si>
  <si>
    <t xml:space="preserve">Tubo PVC JS DN 50 mm para esgoto </t>
  </si>
  <si>
    <t xml:space="preserve">Lavatório </t>
  </si>
  <si>
    <t>Tanque</t>
  </si>
  <si>
    <t xml:space="preserve">Torneira </t>
  </si>
  <si>
    <t>Caixa d´água 500 l</t>
  </si>
  <si>
    <t xml:space="preserve">Joelho de PVC JS DN 20 mm </t>
  </si>
  <si>
    <t>Joelho de PVC JSxrosca DN 20 x 1/2"</t>
  </si>
  <si>
    <t xml:space="preserve">Joelho de PVC JS DN 100 mm </t>
  </si>
  <si>
    <t>Joelho de PVC JS DN 50 mm</t>
  </si>
  <si>
    <t>Joelho de PVC JS DN 40 mm</t>
  </si>
  <si>
    <t>Adesivo para pvc</t>
  </si>
  <si>
    <t>l</t>
  </si>
  <si>
    <t xml:space="preserve">Te de PVC JS DN 20 mm </t>
  </si>
  <si>
    <t xml:space="preserve">Flange para caixa d´água 1/2" </t>
  </si>
  <si>
    <t>Te de PVC JS DN 100mm</t>
  </si>
  <si>
    <t xml:space="preserve">Te de PVC JS DN 50mm </t>
  </si>
  <si>
    <t xml:space="preserve">Torneira bóia 1/2" </t>
  </si>
  <si>
    <t xml:space="preserve">Válvula para pia </t>
  </si>
  <si>
    <t xml:space="preserve">Sifão para pia </t>
  </si>
  <si>
    <t>Tijolo cerâmico furado</t>
  </si>
  <si>
    <t xml:space="preserve">Caixa sifonada PVC com grelha quadrada simples (150x150x50)mm </t>
  </si>
  <si>
    <t xml:space="preserve">Cabo flexível 16 mm </t>
  </si>
  <si>
    <t xml:space="preserve">Cabo flexivel 2,5 mm </t>
  </si>
  <si>
    <t xml:space="preserve">Poste metálico h = 2,5 m </t>
  </si>
  <si>
    <t xml:space="preserve">Chuveiro plástico elétrico 110/220 V </t>
  </si>
  <si>
    <t xml:space="preserve">Cavalete - padrão COPASA </t>
  </si>
  <si>
    <t xml:space="preserve">Tubo para chuveiro </t>
  </si>
  <si>
    <t xml:space="preserve">Cinta (braçadeira) de aço galvanizado com parafusos para pontalete e poste, diâmetro 102 mm </t>
  </si>
  <si>
    <t xml:space="preserve">Tomada universal </t>
  </si>
  <si>
    <t xml:space="preserve">Interruptor simples </t>
  </si>
  <si>
    <t xml:space="preserve">Soquete de plástico para lâmpada </t>
  </si>
  <si>
    <t xml:space="preserve">Lâmpada incandescente 60W </t>
  </si>
  <si>
    <t xml:space="preserve">Tinta PVA acrílica látex </t>
  </si>
  <si>
    <t xml:space="preserve">Registro de pressão ou gaveta 1/2" </t>
  </si>
  <si>
    <t>SERVIÇOS - COMPOSIÇÕES AUXILIARES</t>
  </si>
  <si>
    <t>MÃO DE OBRA</t>
  </si>
  <si>
    <t xml:space="preserve">Pedreiro </t>
  </si>
  <si>
    <t>h</t>
  </si>
  <si>
    <t xml:space="preserve">Servente </t>
  </si>
  <si>
    <t>PRODUÇÃO DA EQUIPE</t>
  </si>
  <si>
    <t xml:space="preserve">CUSTO </t>
  </si>
  <si>
    <t>BDI                %</t>
  </si>
  <si>
    <t>TOTAL DO SERVIÇO - R$</t>
  </si>
  <si>
    <t>01.02-A</t>
  </si>
  <si>
    <t>SERVIÇO :Administração e manutenção de canteiro de obra</t>
  </si>
  <si>
    <t>Carro de passeio leve 1.4</t>
  </si>
  <si>
    <t>Combustível (gasolina comum )</t>
  </si>
  <si>
    <t>Telefone</t>
  </si>
  <si>
    <t xml:space="preserve">Energia elétrica </t>
  </si>
  <si>
    <t>kwh</t>
  </si>
  <si>
    <t xml:space="preserve">Água e esgoto </t>
  </si>
  <si>
    <t xml:space="preserve">Material escritório </t>
  </si>
  <si>
    <t>Material de limpeza</t>
  </si>
  <si>
    <t>EPI</t>
  </si>
  <si>
    <t xml:space="preserve">Engenheiro   de obra </t>
  </si>
  <si>
    <t xml:space="preserve">Topografo </t>
  </si>
  <si>
    <t>Auxiliar de topografo</t>
  </si>
  <si>
    <t xml:space="preserve">Encarregado geral </t>
  </si>
  <si>
    <t xml:space="preserve">Auxiliar de escritório </t>
  </si>
  <si>
    <t xml:space="preserve">Técnico de Segurança de Trabalho </t>
  </si>
  <si>
    <t>Encargos 91,70%</t>
  </si>
  <si>
    <t>01.03-A</t>
  </si>
  <si>
    <t>SERVIÇO :Mobilização</t>
  </si>
  <si>
    <t xml:space="preserve">Transporte de equipamentos </t>
  </si>
  <si>
    <t>TxKM</t>
  </si>
  <si>
    <t>Passagem de ônibus (Salvador -Irecê)</t>
  </si>
  <si>
    <t>unid.</t>
  </si>
  <si>
    <t>01.04-A</t>
  </si>
  <si>
    <t>SERVIÇO :Desmobilização</t>
  </si>
  <si>
    <t>vb</t>
  </si>
  <si>
    <t xml:space="preserve">Transporte de equipamento </t>
  </si>
  <si>
    <t>Passagem de ônibus</t>
  </si>
  <si>
    <t>01.05-A</t>
  </si>
  <si>
    <t>SERVIÇO :Placa da Obra</t>
  </si>
  <si>
    <t>Madeira mista</t>
  </si>
  <si>
    <t xml:space="preserve">Prego </t>
  </si>
  <si>
    <t>Kg</t>
  </si>
  <si>
    <t xml:space="preserve">Placa de aço galvanizado </t>
  </si>
  <si>
    <t xml:space="preserve">Carpinteiro </t>
  </si>
  <si>
    <t>Encargos 91,70</t>
  </si>
  <si>
    <t>Custos</t>
  </si>
  <si>
    <t>01.06-A</t>
  </si>
  <si>
    <t>SERVIÇO :Fornecimento de veículo leve, com ar condicionado para apoio à fiscalização, incluindo despesas com combustivel, óleos, manutenção, licenciamento, seguros, impostos, etc.</t>
  </si>
  <si>
    <t>Combustível (gasolina comum)</t>
  </si>
  <si>
    <t xml:space="preserve"> CN N.º ___/2014 - CODEVASF</t>
  </si>
  <si>
    <t>COMPOSIÇÃO DE CUSTOS UNITÁRIOS PARA SERVIÇOS DE IMPLANTAÇÃO DE DRENOS COLETORES ABERTOS E OBRAS ESPECIAIS.</t>
  </si>
  <si>
    <t>BDI-SERV.</t>
  </si>
  <si>
    <t>E. Sociais</t>
  </si>
  <si>
    <t>Quant.</t>
  </si>
  <si>
    <t>R$ Unit</t>
  </si>
  <si>
    <t>Desmatamento e limpeza da faixa ao longo de drenos</t>
  </si>
  <si>
    <t>a</t>
  </si>
  <si>
    <t>b</t>
  </si>
  <si>
    <t xml:space="preserve">BDI - </t>
  </si>
  <si>
    <t xml:space="preserve">ESCAVAÇÃO DE DRENOS COLETORES  </t>
  </si>
  <si>
    <t>ESCAVAÇÃO DE DRENOS COLETORES  ABERTOS -TALUDES  1:1</t>
  </si>
  <si>
    <t>2.1.1</t>
  </si>
  <si>
    <t>Em material de 1ª categoria</t>
  </si>
  <si>
    <r>
      <t>m</t>
    </r>
    <r>
      <rPr>
        <b/>
        <vertAlign val="superscript"/>
        <sz val="8"/>
        <rFont val="Arial"/>
        <family val="2"/>
      </rPr>
      <t>3</t>
    </r>
  </si>
  <si>
    <t>c</t>
  </si>
  <si>
    <t>Encargos de produção  sobre b.</t>
  </si>
  <si>
    <t>d</t>
  </si>
  <si>
    <t xml:space="preserve">BDI </t>
  </si>
  <si>
    <t>2.1.2</t>
  </si>
  <si>
    <t>Em material de 2ª Categoria</t>
  </si>
  <si>
    <t>Encargos de produção -sobre b.</t>
  </si>
  <si>
    <t>Espalhamento ao longo dos drenos e dentro do lote - material de 1ª categoria</t>
  </si>
  <si>
    <t>3.2</t>
  </si>
  <si>
    <t>Transporte para locais de bota-fora materiais de 2ª  categoria - distância máxima de 3,0Km.</t>
  </si>
  <si>
    <t>BDI</t>
  </si>
  <si>
    <t>CONSTRUÇÃO DE ESTRUTURAS EM ALVENARIA DE PEDRA  ARGAMASSADA</t>
  </si>
  <si>
    <r>
      <t>m</t>
    </r>
    <r>
      <rPr>
        <vertAlign val="superscript"/>
        <sz val="8"/>
        <rFont val="Arial"/>
        <family val="2"/>
      </rPr>
      <t>3</t>
    </r>
  </si>
  <si>
    <t>e</t>
  </si>
  <si>
    <t>f</t>
  </si>
  <si>
    <t>Encargos de produção  sobre  d e e</t>
  </si>
  <si>
    <t>g</t>
  </si>
  <si>
    <t>INSTALAÇÃO DE  TUBOS DE CONCRETO - CONSTRUÇÃO DE BUEIROS</t>
  </si>
  <si>
    <t>Diâmetro de 800 mm</t>
  </si>
  <si>
    <t>Encargos de produção  sobre  "d" e "e"</t>
  </si>
  <si>
    <t>Diâmetro de Ø 1000 mm</t>
  </si>
  <si>
    <t>6.3</t>
  </si>
  <si>
    <t>Diâmetro de Ø 1200 mm</t>
  </si>
  <si>
    <t>FORNECIMENTO DE  TUBOS DE CONCRETO - CONSTRUÇÃO DE BUEIROS</t>
  </si>
  <si>
    <t>7.1</t>
  </si>
  <si>
    <t>7.2</t>
  </si>
  <si>
    <t>7.3</t>
  </si>
  <si>
    <t>Total</t>
  </si>
  <si>
    <r>
      <rPr>
        <sz val="10"/>
        <rFont val="Verdana"/>
        <family val="2"/>
      </rPr>
      <t>OBRA:</t>
    </r>
    <r>
      <rPr>
        <b/>
        <sz val="10"/>
        <rFont val="Verdana"/>
        <family val="2"/>
      </rPr>
      <t xml:space="preserve"> Serviço de Reabilitação do Sistema de Drenagem</t>
    </r>
  </si>
  <si>
    <t>MEMÓRIA DE CÁLCULO DOS MOMENTOS DE TRANSPORTE PARA MOBILIZAÇÃO E DESMOBILIZAÇÃO</t>
  </si>
  <si>
    <t>Cidade de Origem:</t>
  </si>
  <si>
    <t>Salvador</t>
  </si>
  <si>
    <t>Destino:</t>
  </si>
  <si>
    <t xml:space="preserve">Centro de gravidade </t>
  </si>
  <si>
    <t xml:space="preserve">Dist. Origem à Irecê: </t>
  </si>
  <si>
    <t xml:space="preserve"> km</t>
  </si>
  <si>
    <t>Dist. Irecê ao Projeto Mirorós:</t>
  </si>
  <si>
    <t>Distância Total:</t>
  </si>
  <si>
    <t>Peso das máquinas:</t>
  </si>
  <si>
    <t>Escavadeira hidráulica</t>
  </si>
  <si>
    <t xml:space="preserve"> ton</t>
  </si>
  <si>
    <t>ton</t>
  </si>
  <si>
    <t>Trator de Esteira</t>
  </si>
  <si>
    <t xml:space="preserve"> t x km</t>
  </si>
  <si>
    <t>SINAPI 03/2014</t>
  </si>
  <si>
    <t>ORSE 02/2014</t>
  </si>
  <si>
    <t>DNIT/JAN 2014</t>
  </si>
  <si>
    <t>SINAPI  03/2014</t>
  </si>
  <si>
    <t>1A0000290</t>
  </si>
  <si>
    <t>Caixa metálica para medição monofásica</t>
  </si>
  <si>
    <t>1 A 00 002 90</t>
  </si>
  <si>
    <t>Sinapi-Ba-03/2014-00007628 TRATOR DE ESTEIRAS 110 A 160HP C/ LAMINA PESO OPERACIONAL * 13T * (INCL MANUT/OPERACAO)</t>
  </si>
  <si>
    <t>Sinapi-Ba-03/2014-00010800 ESCAVADEIRA HIDRAULICA SOBRE ESTEIRA 146 A 169HP CAP. 2M3 TIPO KOMATSU PC 300- SERIE C OU EQUIV H 209,80
(INCL MANUTENCAO/OPERACAO)</t>
  </si>
  <si>
    <t>Servente Sinapi-Ba-03/2014-00006111</t>
  </si>
  <si>
    <t>Sinapi-Ba-03/2014-00001133 CAMINHÃO BASCULANTE 5,0M3/11T DIESEL TIPO MERCEDES 142HP LK-1214 OU EQUIV (INCL MANUT/OPERACAO)</t>
  </si>
  <si>
    <t>ESCAVADEIRA HIDRAULICA SOBRE ESTEIRA 140HP CAP.  CATERPILAR OU EQUIV Sinapi-Ba-03/2014-00002721</t>
  </si>
  <si>
    <t>Cimento portland cp- 32  Sinapi-Ba-03/2014-00001379</t>
  </si>
  <si>
    <t>Areia Grossa Sinapi-Ba-03/2014-00000367</t>
  </si>
  <si>
    <t>Pedra de alvenaria de uma face Sinapi-Ba-03/2014-00011089</t>
  </si>
  <si>
    <t>Pedreiro Sinapi-Ba-03/2014-00004750</t>
  </si>
  <si>
    <t>Argamassa C:AG (1:3) Sinapi-Ba-03/2014-73548</t>
  </si>
  <si>
    <t>Retroescavadeira Sinapi-Ba-03/2014-00006043</t>
  </si>
  <si>
    <t>Sinapi-Ba-03/2014-00003366 GUINCHO TIPO MUNCK CAP * 5T * MONTADO EM CAMINHAO CARROCERIA ,OU EQUIV</t>
  </si>
  <si>
    <t>Retroescavadeira  Sinapi-Ba-03/2014-00006043</t>
  </si>
  <si>
    <t xml:space="preserve">TUBO CONCRETO ARMADO CLASSE CA-2 PB NBR-9794 DN 800MM P/AGUAS PLUVIAIS SINAPI-Ba-03/2014-00007763 </t>
  </si>
  <si>
    <t>TUBO CONCRETO ARMADO CLASSE CA-2 PB NBR-9794 DN 1100MM P/AGUAS PLUVIAIS SINAPI-Ba-03/2014-00012569</t>
  </si>
  <si>
    <t xml:space="preserve"> TUBO CONCRETO ARMADO CLASSE CA-2 PB NBR-9794 DN 1200MM P/AGUAS PLUVIAIS SINAPI-Ba-03/2014-00007766 </t>
  </si>
  <si>
    <t>BDI* (%)</t>
  </si>
  <si>
    <t>Lucro (L)</t>
  </si>
  <si>
    <t>Despesas Financeiras (F)</t>
  </si>
  <si>
    <t>Taxa de Risco ( R)</t>
  </si>
  <si>
    <t>3</t>
  </si>
  <si>
    <t>Cofins</t>
  </si>
  <si>
    <t>2.3</t>
  </si>
  <si>
    <t>PIS</t>
  </si>
  <si>
    <t>ISS</t>
  </si>
  <si>
    <t>Impostos e Taxas (I)</t>
  </si>
  <si>
    <t>Administração Central (A)</t>
  </si>
  <si>
    <t>Custo Direto (%)</t>
  </si>
  <si>
    <t>Preço de Venda (%)</t>
  </si>
  <si>
    <t>Descrição dos serviços</t>
  </si>
  <si>
    <t>Item</t>
  </si>
  <si>
    <t>Serviços</t>
  </si>
  <si>
    <t>DETALHAMENTO DO BDI</t>
  </si>
  <si>
    <t>DATA: 05 DE MAIO DE 2014</t>
  </si>
  <si>
    <t>BDI =</t>
  </si>
  <si>
    <t>calculado</t>
  </si>
  <si>
    <t>adotado</t>
  </si>
  <si>
    <t>BDI = ((1+a+r+f)/(1-(i+l))-1)*100</t>
  </si>
  <si>
    <t>¹ BDI calculado de cordo com o Acordão n° 2369/2011 - TCU - Plenário</t>
  </si>
  <si>
    <t>² No ISS observar legislação do município. Considerando 50% do preco de venda.</t>
  </si>
  <si>
    <t>Fornecimentos</t>
  </si>
  <si>
    <t>(*) BDI = ((1+A+R+F)/(1-(I+L))-1)*100</t>
  </si>
  <si>
    <t>BDI calculado</t>
  </si>
  <si>
    <t>BDI adotado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</si>
</sst>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_(* #,##0.00_);_(* \(#,##0.00\);_(* &quot;-&quot;??_);_(@_)"/>
    <numFmt numFmtId="166" formatCode="0.0000"/>
    <numFmt numFmtId="167" formatCode="#,##0.0000"/>
    <numFmt numFmtId="168" formatCode="0.0"/>
    <numFmt numFmtId="169" formatCode="0.000"/>
    <numFmt numFmtId="170" formatCode="_(* #,##0.00_);_(* \(#,##0.00\);_(* \-??_);_(@_)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i/>
      <sz val="11"/>
      <color indexed="56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5"/>
      <name val="Arial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Verdana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9" fontId="1" fillId="0" borderId="0" applyFill="0" applyBorder="0" applyAlignment="0" applyProtection="0"/>
    <xf numFmtId="3" fontId="1" fillId="0" borderId="0"/>
    <xf numFmtId="0" fontId="1" fillId="0" borderId="0"/>
    <xf numFmtId="170" fontId="1" fillId="0" borderId="0"/>
  </cellStyleXfs>
  <cellXfs count="268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left" wrapText="1"/>
    </xf>
    <xf numFmtId="165" fontId="0" fillId="0" borderId="0" xfId="0" applyNumberFormat="1" applyBorder="1"/>
    <xf numFmtId="0" fontId="3" fillId="0" borderId="0" xfId="0" applyFont="1"/>
    <xf numFmtId="17" fontId="0" fillId="0" borderId="0" xfId="0" applyNumberFormat="1"/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right" vertical="top" wrapText="1"/>
    </xf>
    <xf numFmtId="0" fontId="0" fillId="0" borderId="0" xfId="0" applyFill="1"/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vertical="top" wrapText="1"/>
    </xf>
    <xf numFmtId="4" fontId="5" fillId="0" borderId="10" xfId="0" applyNumberFormat="1" applyFont="1" applyFill="1" applyBorder="1" applyAlignment="1">
      <alignment horizontal="right" vertical="top" wrapText="1"/>
    </xf>
    <xf numFmtId="2" fontId="5" fillId="0" borderId="10" xfId="0" applyNumberFormat="1" applyFont="1" applyFill="1" applyBorder="1" applyAlignment="1">
      <alignment horizontal="righ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 vertical="top" wrapText="1"/>
    </xf>
    <xf numFmtId="0" fontId="5" fillId="0" borderId="10" xfId="0" applyFont="1" applyBorder="1" applyAlignment="1">
      <alignment horizontal="right" vertical="top" wrapText="1"/>
    </xf>
    <xf numFmtId="0" fontId="4" fillId="0" borderId="9" xfId="0" applyFont="1" applyBorder="1" applyAlignment="1">
      <alignment horizontal="center" vertical="top" wrapText="1"/>
    </xf>
    <xf numFmtId="2" fontId="5" fillId="0" borderId="10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8" xfId="0" applyFont="1" applyFill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4" fillId="0" borderId="10" xfId="0" applyFont="1" applyBorder="1" applyAlignment="1">
      <alignment vertical="top" wrapText="1"/>
    </xf>
    <xf numFmtId="4" fontId="0" fillId="0" borderId="0" xfId="0" applyNumberFormat="1"/>
    <xf numFmtId="0" fontId="4" fillId="0" borderId="11" xfId="0" applyFont="1" applyBorder="1" applyAlignment="1">
      <alignment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4" fontId="7" fillId="2" borderId="10" xfId="0" quotePrefix="1" applyNumberFormat="1" applyFont="1" applyFill="1" applyBorder="1" applyAlignment="1">
      <alignment horizontal="right" vertical="top" wrapText="1"/>
    </xf>
    <xf numFmtId="0" fontId="9" fillId="0" borderId="0" xfId="0" applyFont="1"/>
    <xf numFmtId="0" fontId="11" fillId="5" borderId="14" xfId="1" applyFont="1" applyFill="1" applyBorder="1"/>
    <xf numFmtId="3" fontId="11" fillId="6" borderId="14" xfId="3" applyFont="1" applyFill="1" applyBorder="1" applyAlignment="1">
      <alignment horizontal="left" vertical="center"/>
    </xf>
    <xf numFmtId="14" fontId="11" fillId="6" borderId="14" xfId="3" applyNumberFormat="1" applyFont="1" applyFill="1" applyBorder="1" applyAlignment="1">
      <alignment horizontal="left" vertical="center"/>
    </xf>
    <xf numFmtId="0" fontId="9" fillId="0" borderId="14" xfId="0" applyFont="1" applyBorder="1" applyAlignment="1">
      <alignment horizontal="center"/>
    </xf>
    <xf numFmtId="3" fontId="11" fillId="6" borderId="14" xfId="3" applyFont="1" applyFill="1" applyBorder="1" applyAlignment="1">
      <alignment horizontal="center"/>
    </xf>
    <xf numFmtId="164" fontId="11" fillId="6" borderId="14" xfId="3" applyNumberFormat="1" applyFont="1" applyFill="1" applyBorder="1" applyAlignment="1">
      <alignment horizontal="right"/>
    </xf>
    <xf numFmtId="164" fontId="11" fillId="6" borderId="14" xfId="3" applyNumberFormat="1" applyFont="1" applyFill="1" applyBorder="1" applyAlignment="1">
      <alignment horizontal="center"/>
    </xf>
    <xf numFmtId="2" fontId="11" fillId="6" borderId="14" xfId="3" applyNumberFormat="1" applyFont="1" applyFill="1" applyBorder="1" applyAlignment="1">
      <alignment horizontal="center"/>
    </xf>
    <xf numFmtId="3" fontId="11" fillId="0" borderId="14" xfId="3" applyFont="1" applyFill="1" applyBorder="1" applyAlignment="1">
      <alignment horizontal="center"/>
    </xf>
    <xf numFmtId="166" fontId="11" fillId="0" borderId="14" xfId="3" applyNumberFormat="1" applyFont="1" applyFill="1" applyBorder="1" applyAlignment="1">
      <alignment horizontal="center"/>
    </xf>
    <xf numFmtId="166" fontId="11" fillId="6" borderId="14" xfId="3" applyNumberFormat="1" applyFont="1" applyFill="1" applyBorder="1" applyAlignment="1">
      <alignment horizontal="center"/>
    </xf>
    <xf numFmtId="4" fontId="11" fillId="0" borderId="14" xfId="3" applyNumberFormat="1" applyFont="1" applyFill="1" applyBorder="1" applyAlignment="1"/>
    <xf numFmtId="4" fontId="11" fillId="6" borderId="14" xfId="3" applyNumberFormat="1" applyFont="1" applyFill="1" applyBorder="1" applyAlignment="1"/>
    <xf numFmtId="2" fontId="11" fillId="6" borderId="14" xfId="3" applyNumberFormat="1" applyFont="1" applyFill="1" applyBorder="1" applyAlignment="1">
      <alignment horizontal="right"/>
    </xf>
    <xf numFmtId="4" fontId="11" fillId="6" borderId="14" xfId="3" applyNumberFormat="1" applyFont="1" applyFill="1" applyBorder="1" applyAlignment="1">
      <alignment horizontal="center"/>
    </xf>
    <xf numFmtId="3" fontId="11" fillId="6" borderId="14" xfId="3" applyFont="1" applyFill="1" applyBorder="1" applyAlignment="1">
      <alignment horizontal="center" vertical="center"/>
    </xf>
    <xf numFmtId="3" fontId="11" fillId="6" borderId="14" xfId="3" applyFont="1" applyFill="1" applyBorder="1" applyAlignment="1">
      <alignment horizontal="right" vertical="center"/>
    </xf>
    <xf numFmtId="167" fontId="11" fillId="6" borderId="14" xfId="3" applyNumberFormat="1" applyFont="1" applyFill="1" applyBorder="1" applyAlignment="1">
      <alignment horizontal="right" vertical="center"/>
    </xf>
    <xf numFmtId="4" fontId="11" fillId="6" borderId="14" xfId="3" applyNumberFormat="1" applyFont="1" applyFill="1" applyBorder="1" applyAlignment="1">
      <alignment horizontal="center" vertical="center"/>
    </xf>
    <xf numFmtId="166" fontId="11" fillId="6" borderId="14" xfId="3" applyNumberFormat="1" applyFont="1" applyFill="1" applyBorder="1" applyAlignment="1">
      <alignment horizontal="right"/>
    </xf>
    <xf numFmtId="4" fontId="11" fillId="6" borderId="14" xfId="3" applyNumberFormat="1" applyFont="1" applyFill="1" applyBorder="1" applyAlignment="1">
      <alignment vertical="center"/>
    </xf>
    <xf numFmtId="3" fontId="11" fillId="0" borderId="14" xfId="3" applyFont="1" applyBorder="1"/>
    <xf numFmtId="3" fontId="11" fillId="0" borderId="14" xfId="3" applyFont="1" applyBorder="1" applyAlignment="1">
      <alignment horizontal="right"/>
    </xf>
    <xf numFmtId="3" fontId="11" fillId="6" borderId="14" xfId="3" applyFont="1" applyFill="1" applyBorder="1" applyAlignment="1">
      <alignment horizontal="center" vertical="top"/>
    </xf>
    <xf numFmtId="3" fontId="11" fillId="6" borderId="14" xfId="3" applyFont="1" applyFill="1" applyBorder="1" applyAlignment="1">
      <alignment horizontal="right" vertical="top"/>
    </xf>
    <xf numFmtId="164" fontId="11" fillId="6" borderId="14" xfId="3" applyNumberFormat="1" applyFont="1" applyFill="1" applyBorder="1" applyAlignment="1">
      <alignment horizontal="right" vertical="top"/>
    </xf>
    <xf numFmtId="168" fontId="11" fillId="0" borderId="14" xfId="3" applyNumberFormat="1" applyFont="1" applyFill="1" applyBorder="1" applyAlignment="1">
      <alignment horizontal="right"/>
    </xf>
    <xf numFmtId="168" fontId="11" fillId="6" borderId="14" xfId="3" applyNumberFormat="1" applyFont="1" applyFill="1" applyBorder="1" applyAlignment="1">
      <alignment horizontal="right"/>
    </xf>
    <xf numFmtId="166" fontId="11" fillId="0" borderId="14" xfId="3" applyNumberFormat="1" applyFont="1" applyFill="1" applyBorder="1" applyAlignment="1">
      <alignment horizontal="right"/>
    </xf>
    <xf numFmtId="164" fontId="11" fillId="0" borderId="14" xfId="3" applyNumberFormat="1" applyFont="1" applyFill="1" applyBorder="1" applyAlignment="1">
      <alignment horizontal="right"/>
    </xf>
    <xf numFmtId="4" fontId="11" fillId="0" borderId="14" xfId="3" applyNumberFormat="1" applyFont="1" applyFill="1" applyBorder="1" applyAlignment="1">
      <alignment horizontal="center"/>
    </xf>
    <xf numFmtId="0" fontId="9" fillId="0" borderId="0" xfId="0" applyFont="1" applyFill="1"/>
    <xf numFmtId="2" fontId="11" fillId="0" borderId="14" xfId="3" applyNumberFormat="1" applyFont="1" applyFill="1" applyBorder="1" applyAlignment="1">
      <alignment horizontal="right"/>
    </xf>
    <xf numFmtId="164" fontId="13" fillId="0" borderId="14" xfId="3" applyNumberFormat="1" applyFont="1" applyFill="1" applyBorder="1" applyAlignment="1">
      <alignment horizontal="right"/>
    </xf>
    <xf numFmtId="169" fontId="11" fillId="0" borderId="14" xfId="3" applyNumberFormat="1" applyFont="1" applyFill="1" applyBorder="1" applyAlignment="1">
      <alignment horizontal="right"/>
    </xf>
    <xf numFmtId="169" fontId="11" fillId="6" borderId="14" xfId="3" applyNumberFormat="1" applyFont="1" applyFill="1" applyBorder="1" applyAlignment="1">
      <alignment horizontal="right"/>
    </xf>
    <xf numFmtId="4" fontId="11" fillId="0" borderId="14" xfId="3" applyNumberFormat="1" applyFont="1" applyBorder="1"/>
    <xf numFmtId="2" fontId="11" fillId="0" borderId="14" xfId="3" applyNumberFormat="1" applyFont="1" applyFill="1" applyBorder="1" applyAlignment="1">
      <alignment horizontal="center"/>
    </xf>
    <xf numFmtId="164" fontId="11" fillId="0" borderId="14" xfId="3" applyNumberFormat="1" applyFont="1" applyFill="1" applyBorder="1" applyAlignment="1">
      <alignment horizontal="center"/>
    </xf>
    <xf numFmtId="3" fontId="11" fillId="0" borderId="0" xfId="3" applyFont="1"/>
    <xf numFmtId="3" fontId="11" fillId="0" borderId="0" xfId="3" applyFont="1" applyAlignment="1">
      <alignment horizontal="right"/>
    </xf>
    <xf numFmtId="0" fontId="14" fillId="0" borderId="0" xfId="0" applyFont="1"/>
    <xf numFmtId="0" fontId="15" fillId="0" borderId="0" xfId="0" applyFont="1" applyAlignment="1">
      <alignment horizontal="left" vertical="justify"/>
    </xf>
    <xf numFmtId="0" fontId="16" fillId="0" borderId="0" xfId="0" applyFont="1" applyAlignment="1">
      <alignment horizontal="left" vertical="justify"/>
    </xf>
    <xf numFmtId="10" fontId="16" fillId="0" borderId="0" xfId="0" applyNumberFormat="1" applyFont="1" applyAlignment="1">
      <alignment horizontal="left" vertical="justify"/>
    </xf>
    <xf numFmtId="0" fontId="16" fillId="0" borderId="14" xfId="0" applyFont="1" applyBorder="1" applyAlignment="1">
      <alignment horizontal="left" vertical="justify" wrapText="1"/>
    </xf>
    <xf numFmtId="0" fontId="16" fillId="0" borderId="1" xfId="0" applyFont="1" applyBorder="1" applyAlignment="1">
      <alignment horizontal="left" vertical="justify" wrapText="1"/>
    </xf>
    <xf numFmtId="0" fontId="17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justify" wrapText="1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left" vertical="justify" wrapText="1"/>
    </xf>
    <xf numFmtId="169" fontId="18" fillId="0" borderId="19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justify" wrapText="1"/>
    </xf>
    <xf numFmtId="0" fontId="17" fillId="0" borderId="22" xfId="0" applyFont="1" applyBorder="1" applyAlignment="1">
      <alignment horizontal="center" vertical="center"/>
    </xf>
    <xf numFmtId="169" fontId="17" fillId="0" borderId="14" xfId="0" applyNumberFormat="1" applyFont="1" applyBorder="1" applyAlignment="1">
      <alignment horizontal="center" vertical="center"/>
    </xf>
    <xf numFmtId="169" fontId="18" fillId="0" borderId="14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left" vertical="justify" wrapText="1"/>
    </xf>
    <xf numFmtId="0" fontId="15" fillId="0" borderId="1" xfId="0" applyFont="1" applyBorder="1" applyAlignment="1">
      <alignment horizontal="left" vertical="justify" wrapText="1"/>
    </xf>
    <xf numFmtId="0" fontId="15" fillId="0" borderId="1" xfId="0" applyFont="1" applyBorder="1" applyAlignment="1">
      <alignment horizontal="center" vertical="center"/>
    </xf>
    <xf numFmtId="164" fontId="15" fillId="0" borderId="14" xfId="0" applyNumberFormat="1" applyFont="1" applyBorder="1" applyAlignment="1">
      <alignment horizontal="center" vertical="center"/>
    </xf>
    <xf numFmtId="169" fontId="15" fillId="0" borderId="14" xfId="0" applyNumberFormat="1" applyFont="1" applyFill="1" applyBorder="1" applyAlignment="1">
      <alignment horizontal="center" vertical="center"/>
    </xf>
    <xf numFmtId="169" fontId="15" fillId="0" borderId="14" xfId="0" applyNumberFormat="1" applyFont="1" applyBorder="1" applyAlignment="1">
      <alignment horizontal="center" vertical="center"/>
    </xf>
    <xf numFmtId="169" fontId="16" fillId="0" borderId="14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169" fontId="17" fillId="0" borderId="2" xfId="0" applyNumberFormat="1" applyFont="1" applyBorder="1" applyAlignment="1">
      <alignment horizontal="center" vertical="center"/>
    </xf>
    <xf numFmtId="169" fontId="18" fillId="0" borderId="2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justify" vertical="justify" wrapText="1"/>
    </xf>
    <xf numFmtId="0" fontId="16" fillId="0" borderId="14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justify"/>
    </xf>
    <xf numFmtId="166" fontId="15" fillId="0" borderId="14" xfId="0" applyNumberFormat="1" applyFont="1" applyBorder="1" applyAlignment="1">
      <alignment horizontal="center" vertical="center"/>
    </xf>
    <xf numFmtId="2" fontId="18" fillId="0" borderId="14" xfId="0" applyNumberFormat="1" applyFont="1" applyBorder="1" applyAlignment="1">
      <alignment horizontal="center" vertical="center"/>
    </xf>
    <xf numFmtId="169" fontId="17" fillId="0" borderId="16" xfId="0" applyNumberFormat="1" applyFont="1" applyBorder="1" applyAlignment="1">
      <alignment horizontal="center" vertical="center"/>
    </xf>
    <xf numFmtId="169" fontId="17" fillId="0" borderId="17" xfId="0" applyNumberFormat="1" applyFont="1" applyBorder="1" applyAlignment="1">
      <alignment horizontal="center" vertical="center"/>
    </xf>
    <xf numFmtId="169" fontId="17" fillId="0" borderId="18" xfId="0" applyNumberFormat="1" applyFont="1" applyBorder="1" applyAlignment="1">
      <alignment horizontal="center" vertical="center"/>
    </xf>
    <xf numFmtId="169" fontId="17" fillId="0" borderId="20" xfId="0" applyNumberFormat="1" applyFont="1" applyBorder="1" applyAlignment="1">
      <alignment horizontal="center" vertical="center"/>
    </xf>
    <xf numFmtId="169" fontId="17" fillId="0" borderId="4" xfId="0" applyNumberFormat="1" applyFont="1" applyBorder="1" applyAlignment="1">
      <alignment horizontal="center" vertical="center"/>
    </xf>
    <xf numFmtId="169" fontId="17" fillId="0" borderId="21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left" vertical="center" wrapText="1"/>
    </xf>
    <xf numFmtId="169" fontId="18" fillId="0" borderId="15" xfId="0" applyNumberFormat="1" applyFont="1" applyBorder="1" applyAlignment="1">
      <alignment horizontal="center" vertical="center"/>
    </xf>
    <xf numFmtId="0" fontId="18" fillId="0" borderId="19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justify" wrapText="1"/>
    </xf>
    <xf numFmtId="0" fontId="15" fillId="0" borderId="2" xfId="0" applyFont="1" applyBorder="1" applyAlignment="1">
      <alignment horizontal="center" vertical="center"/>
    </xf>
    <xf numFmtId="169" fontId="15" fillId="0" borderId="2" xfId="0" applyNumberFormat="1" applyFont="1" applyBorder="1" applyAlignment="1">
      <alignment horizontal="center" vertical="center"/>
    </xf>
    <xf numFmtId="169" fontId="15" fillId="0" borderId="2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justify" wrapText="1"/>
    </xf>
    <xf numFmtId="169" fontId="17" fillId="0" borderId="0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center" vertical="justify" wrapText="1"/>
    </xf>
    <xf numFmtId="169" fontId="17" fillId="0" borderId="1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69" fontId="17" fillId="0" borderId="14" xfId="0" applyNumberFormat="1" applyFont="1" applyBorder="1" applyAlignment="1" applyProtection="1">
      <alignment horizontal="center" vertical="center"/>
      <protection locked="0"/>
    </xf>
    <xf numFmtId="169" fontId="15" fillId="0" borderId="19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justify"/>
    </xf>
    <xf numFmtId="169" fontId="15" fillId="0" borderId="0" xfId="0" applyNumberFormat="1" applyFont="1" applyBorder="1" applyAlignment="1">
      <alignment horizontal="center" vertical="center"/>
    </xf>
    <xf numFmtId="169" fontId="17" fillId="0" borderId="14" xfId="0" applyNumberFormat="1" applyFont="1" applyFill="1" applyBorder="1" applyAlignment="1">
      <alignment horizontal="center" vertical="center"/>
    </xf>
    <xf numFmtId="166" fontId="15" fillId="0" borderId="14" xfId="0" applyNumberFormat="1" applyFont="1" applyFill="1" applyBorder="1" applyAlignment="1">
      <alignment horizontal="center" vertical="center"/>
    </xf>
    <xf numFmtId="169" fontId="17" fillId="0" borderId="20" xfId="0" applyNumberFormat="1" applyFont="1" applyFill="1" applyBorder="1" applyAlignment="1">
      <alignment horizontal="center" vertical="center"/>
    </xf>
    <xf numFmtId="169" fontId="17" fillId="0" borderId="4" xfId="0" applyNumberFormat="1" applyFont="1" applyFill="1" applyBorder="1" applyAlignment="1">
      <alignment horizontal="center" vertical="center"/>
    </xf>
    <xf numFmtId="0" fontId="21" fillId="0" borderId="0" xfId="1" applyFont="1" applyAlignment="1">
      <alignment horizontal="left" vertical="top"/>
    </xf>
    <xf numFmtId="0" fontId="3" fillId="0" borderId="0" xfId="1" applyFont="1" applyAlignment="1">
      <alignment vertical="top" wrapText="1"/>
    </xf>
    <xf numFmtId="0" fontId="1" fillId="0" borderId="0" xfId="1" applyFont="1"/>
    <xf numFmtId="0" fontId="1" fillId="0" borderId="0" xfId="1" applyAlignment="1">
      <alignment vertical="center"/>
    </xf>
    <xf numFmtId="0" fontId="3" fillId="0" borderId="0" xfId="1" applyFont="1" applyBorder="1" applyAlignment="1">
      <alignment wrapText="1"/>
    </xf>
    <xf numFmtId="0" fontId="24" fillId="0" borderId="0" xfId="1" applyFont="1" applyBorder="1" applyAlignment="1">
      <alignment horizontal="center" vertical="center"/>
    </xf>
    <xf numFmtId="0" fontId="25" fillId="0" borderId="0" xfId="1" applyFont="1" applyBorder="1" applyAlignment="1">
      <alignment vertical="center"/>
    </xf>
    <xf numFmtId="0" fontId="26" fillId="0" borderId="0" xfId="1" applyFont="1" applyBorder="1" applyAlignment="1">
      <alignment vertical="center"/>
    </xf>
    <xf numFmtId="0" fontId="27" fillId="0" borderId="0" xfId="1" applyFont="1" applyBorder="1" applyAlignment="1">
      <alignment vertical="center"/>
    </xf>
    <xf numFmtId="0" fontId="25" fillId="0" borderId="0" xfId="1" applyFont="1"/>
    <xf numFmtId="0" fontId="26" fillId="0" borderId="0" xfId="1" applyFont="1"/>
    <xf numFmtId="2" fontId="26" fillId="0" borderId="0" xfId="1" applyNumberFormat="1" applyFont="1"/>
    <xf numFmtId="2" fontId="25" fillId="0" borderId="0" xfId="1" applyNumberFormat="1" applyFont="1"/>
    <xf numFmtId="2" fontId="26" fillId="0" borderId="23" xfId="1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/>
    </xf>
    <xf numFmtId="3" fontId="10" fillId="4" borderId="3" xfId="3" quotePrefix="1" applyFont="1" applyFill="1" applyBorder="1" applyAlignment="1">
      <alignment horizontal="center" vertical="center"/>
    </xf>
    <xf numFmtId="3" fontId="11" fillId="6" borderId="3" xfId="3" applyFont="1" applyFill="1" applyBorder="1" applyAlignment="1">
      <alignment horizontal="center"/>
    </xf>
    <xf numFmtId="3" fontId="11" fillId="0" borderId="3" xfId="3" applyFont="1" applyFill="1" applyBorder="1" applyAlignment="1">
      <alignment horizontal="left" wrapText="1"/>
    </xf>
    <xf numFmtId="3" fontId="11" fillId="6" borderId="3" xfId="3" applyFont="1" applyFill="1" applyBorder="1" applyAlignment="1">
      <alignment horizontal="left"/>
    </xf>
    <xf numFmtId="3" fontId="11" fillId="6" borderId="3" xfId="3" applyFont="1" applyFill="1" applyBorder="1" applyAlignment="1">
      <alignment horizontal="left" wrapText="1"/>
    </xf>
    <xf numFmtId="3" fontId="11" fillId="6" borderId="3" xfId="3" applyFont="1" applyFill="1" applyBorder="1" applyAlignment="1">
      <alignment horizontal="center" vertical="center"/>
    </xf>
    <xf numFmtId="3" fontId="11" fillId="0" borderId="3" xfId="3" applyFont="1" applyFill="1" applyBorder="1" applyAlignment="1">
      <alignment wrapText="1"/>
    </xf>
    <xf numFmtId="3" fontId="11" fillId="6" borderId="3" xfId="3" applyFont="1" applyFill="1" applyBorder="1" applyAlignment="1">
      <alignment horizontal="right" vertical="center"/>
    </xf>
    <xf numFmtId="3" fontId="11" fillId="0" borderId="3" xfId="3" applyFont="1" applyBorder="1"/>
    <xf numFmtId="3" fontId="11" fillId="6" borderId="3" xfId="3" applyFont="1" applyFill="1" applyBorder="1" applyAlignment="1">
      <alignment horizontal="left" vertical="top"/>
    </xf>
    <xf numFmtId="165" fontId="11" fillId="0" borderId="3" xfId="3" applyNumberFormat="1" applyFont="1" applyFill="1" applyBorder="1" applyAlignment="1">
      <alignment horizontal="left" vertical="center"/>
    </xf>
    <xf numFmtId="3" fontId="11" fillId="0" borderId="3" xfId="3" applyFont="1" applyFill="1" applyBorder="1" applyAlignment="1">
      <alignment horizontal="left"/>
    </xf>
    <xf numFmtId="3" fontId="11" fillId="6" borderId="3" xfId="3" applyFont="1" applyFill="1" applyBorder="1" applyAlignment="1">
      <alignment horizontal="left" vertical="center"/>
    </xf>
    <xf numFmtId="165" fontId="11" fillId="0" borderId="3" xfId="3" applyNumberFormat="1" applyFont="1" applyBorder="1" applyAlignment="1">
      <alignment horizontal="left" vertical="center"/>
    </xf>
    <xf numFmtId="0" fontId="9" fillId="0" borderId="0" xfId="0" applyFont="1" applyBorder="1"/>
    <xf numFmtId="0" fontId="9" fillId="0" borderId="24" xfId="0" applyFont="1" applyBorder="1" applyAlignment="1">
      <alignment horizontal="center"/>
    </xf>
    <xf numFmtId="0" fontId="9" fillId="0" borderId="14" xfId="0" applyFont="1" applyBorder="1"/>
    <xf numFmtId="2" fontId="15" fillId="0" borderId="14" xfId="0" applyNumberFormat="1" applyFont="1" applyFill="1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 vertical="center"/>
    </xf>
    <xf numFmtId="166" fontId="17" fillId="0" borderId="14" xfId="0" applyNumberFormat="1" applyFont="1" applyBorder="1" applyAlignment="1">
      <alignment horizontal="center" vertical="center"/>
    </xf>
    <xf numFmtId="0" fontId="1" fillId="0" borderId="0" xfId="1" applyAlignment="1">
      <alignment horizontal="center"/>
    </xf>
    <xf numFmtId="4" fontId="1" fillId="0" borderId="0" xfId="1" applyNumberFormat="1"/>
    <xf numFmtId="10" fontId="28" fillId="7" borderId="0" xfId="1" applyNumberFormat="1" applyFont="1" applyFill="1"/>
    <xf numFmtId="4" fontId="29" fillId="7" borderId="0" xfId="1" applyNumberFormat="1" applyFont="1" applyFill="1"/>
    <xf numFmtId="0" fontId="28" fillId="7" borderId="0" xfId="1" applyFont="1" applyFill="1" applyAlignment="1">
      <alignment horizontal="center"/>
    </xf>
    <xf numFmtId="0" fontId="29" fillId="7" borderId="0" xfId="1" applyFont="1" applyFill="1" applyAlignment="1">
      <alignment horizontal="center"/>
    </xf>
    <xf numFmtId="4" fontId="29" fillId="0" borderId="0" xfId="1" applyNumberFormat="1" applyFont="1"/>
    <xf numFmtId="0" fontId="29" fillId="0" borderId="0" xfId="1" applyFont="1"/>
    <xf numFmtId="0" fontId="29" fillId="0" borderId="0" xfId="1" applyFont="1" applyAlignment="1">
      <alignment horizontal="center"/>
    </xf>
    <xf numFmtId="10" fontId="28" fillId="0" borderId="0" xfId="1" applyNumberFormat="1" applyFont="1"/>
    <xf numFmtId="0" fontId="28" fillId="0" borderId="0" xfId="1" applyFont="1"/>
    <xf numFmtId="10" fontId="29" fillId="0" borderId="0" xfId="1" applyNumberFormat="1" applyFont="1"/>
    <xf numFmtId="49" fontId="28" fillId="0" borderId="0" xfId="1" applyNumberFormat="1" applyFont="1" applyAlignment="1">
      <alignment horizontal="center"/>
    </xf>
    <xf numFmtId="49" fontId="29" fillId="0" borderId="0" xfId="1" applyNumberFormat="1" applyFont="1" applyAlignment="1">
      <alignment horizontal="center"/>
    </xf>
    <xf numFmtId="49" fontId="29" fillId="0" borderId="0" xfId="1" applyNumberFormat="1" applyFont="1" applyAlignment="1">
      <alignment horizontal="right"/>
    </xf>
    <xf numFmtId="0" fontId="28" fillId="7" borderId="0" xfId="1" applyFont="1" applyFill="1" applyAlignment="1">
      <alignment horizontal="center" vertical="center" wrapText="1"/>
    </xf>
    <xf numFmtId="0" fontId="28" fillId="7" borderId="0" xfId="1" applyFont="1" applyFill="1" applyAlignment="1">
      <alignment horizontal="center" vertical="center"/>
    </xf>
    <xf numFmtId="0" fontId="28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30" fillId="0" borderId="0" xfId="0" applyFont="1"/>
    <xf numFmtId="0" fontId="1" fillId="0" borderId="0" xfId="1" applyFont="1" applyAlignment="1">
      <alignment horizontal="left"/>
    </xf>
    <xf numFmtId="9" fontId="1" fillId="0" borderId="0" xfId="1" applyNumberFormat="1"/>
    <xf numFmtId="0" fontId="6" fillId="2" borderId="7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11" xfId="0" applyFont="1" applyBorder="1" applyAlignment="1">
      <alignment horizontal="center" vertical="top" wrapText="1"/>
    </xf>
    <xf numFmtId="2" fontId="12" fillId="6" borderId="14" xfId="3" applyNumberFormat="1" applyFont="1" applyFill="1" applyBorder="1" applyAlignment="1">
      <alignment horizontal="left" vertical="center"/>
    </xf>
    <xf numFmtId="3" fontId="11" fillId="6" borderId="14" xfId="3" applyFont="1" applyFill="1" applyBorder="1" applyAlignment="1">
      <alignment horizontal="right" vertical="center"/>
    </xf>
    <xf numFmtId="3" fontId="12" fillId="0" borderId="14" xfId="3" applyFont="1" applyFill="1" applyBorder="1" applyAlignment="1">
      <alignment horizontal="center"/>
    </xf>
    <xf numFmtId="3" fontId="11" fillId="3" borderId="14" xfId="3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2" fontId="11" fillId="6" borderId="14" xfId="3" applyNumberFormat="1" applyFont="1" applyFill="1" applyBorder="1" applyAlignment="1">
      <alignment horizontal="left" vertical="center"/>
    </xf>
    <xf numFmtId="2" fontId="11" fillId="6" borderId="14" xfId="3" applyNumberFormat="1" applyFont="1" applyFill="1" applyBorder="1" applyAlignment="1">
      <alignment horizontal="right" vertical="center"/>
    </xf>
    <xf numFmtId="0" fontId="12" fillId="5" borderId="14" xfId="1" applyFont="1" applyFill="1" applyBorder="1" applyAlignment="1">
      <alignment horizontal="center" vertical="center" wrapText="1"/>
    </xf>
    <xf numFmtId="3" fontId="11" fillId="6" borderId="1" xfId="3" applyFont="1" applyFill="1" applyBorder="1" applyAlignment="1">
      <alignment horizontal="left" vertical="top"/>
    </xf>
    <xf numFmtId="3" fontId="11" fillId="6" borderId="2" xfId="3" applyFont="1" applyFill="1" applyBorder="1" applyAlignment="1">
      <alignment horizontal="left" vertical="top"/>
    </xf>
    <xf numFmtId="3" fontId="11" fillId="6" borderId="3" xfId="3" applyFont="1" applyFill="1" applyBorder="1" applyAlignment="1">
      <alignment horizontal="left" vertical="top"/>
    </xf>
    <xf numFmtId="3" fontId="11" fillId="3" borderId="1" xfId="3" applyFont="1" applyFill="1" applyBorder="1" applyAlignment="1">
      <alignment horizontal="left" vertical="top" wrapText="1"/>
    </xf>
    <xf numFmtId="3" fontId="11" fillId="3" borderId="2" xfId="3" applyFont="1" applyFill="1" applyBorder="1" applyAlignment="1">
      <alignment horizontal="left" vertical="top" wrapText="1"/>
    </xf>
    <xf numFmtId="3" fontId="11" fillId="3" borderId="3" xfId="3" applyFont="1" applyFill="1" applyBorder="1" applyAlignment="1">
      <alignment horizontal="left" vertical="top" wrapText="1"/>
    </xf>
    <xf numFmtId="169" fontId="18" fillId="0" borderId="15" xfId="0" applyNumberFormat="1" applyFont="1" applyBorder="1" applyAlignment="1">
      <alignment horizontal="center" vertical="center"/>
    </xf>
    <xf numFmtId="169" fontId="18" fillId="0" borderId="19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justify" wrapText="1"/>
    </xf>
    <xf numFmtId="0" fontId="16" fillId="0" borderId="20" xfId="0" applyFont="1" applyBorder="1" applyAlignment="1">
      <alignment horizontal="center" vertical="justify" wrapText="1"/>
    </xf>
    <xf numFmtId="169" fontId="17" fillId="0" borderId="15" xfId="0" applyNumberFormat="1" applyFont="1" applyBorder="1" applyAlignment="1">
      <alignment horizontal="center" vertical="center"/>
    </xf>
    <xf numFmtId="169" fontId="17" fillId="0" borderId="19" xfId="0" applyNumberFormat="1" applyFont="1" applyBorder="1" applyAlignment="1">
      <alignment horizontal="center" vertical="center"/>
    </xf>
    <xf numFmtId="169" fontId="17" fillId="0" borderId="16" xfId="0" applyNumberFormat="1" applyFont="1" applyBorder="1" applyAlignment="1">
      <alignment horizontal="center" vertical="center"/>
    </xf>
    <xf numFmtId="169" fontId="17" fillId="0" borderId="17" xfId="0" applyNumberFormat="1" applyFont="1" applyBorder="1" applyAlignment="1">
      <alignment horizontal="center" vertical="center"/>
    </xf>
    <xf numFmtId="169" fontId="17" fillId="0" borderId="18" xfId="0" applyNumberFormat="1" applyFont="1" applyBorder="1" applyAlignment="1">
      <alignment horizontal="center" vertical="center"/>
    </xf>
    <xf numFmtId="169" fontId="17" fillId="0" borderId="20" xfId="0" applyNumberFormat="1" applyFont="1" applyBorder="1" applyAlignment="1">
      <alignment horizontal="center" vertical="center"/>
    </xf>
    <xf numFmtId="169" fontId="17" fillId="0" borderId="4" xfId="0" applyNumberFormat="1" applyFont="1" applyBorder="1" applyAlignment="1">
      <alignment horizontal="center" vertical="center"/>
    </xf>
    <xf numFmtId="169" fontId="17" fillId="0" borderId="21" xfId="0" applyNumberFormat="1" applyFont="1" applyBorder="1" applyAlignment="1">
      <alignment horizontal="center" vertical="center"/>
    </xf>
    <xf numFmtId="169" fontId="16" fillId="0" borderId="14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169" fontId="17" fillId="0" borderId="14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justify" wrapText="1"/>
    </xf>
    <xf numFmtId="0" fontId="16" fillId="0" borderId="19" xfId="0" applyFont="1" applyBorder="1" applyAlignment="1">
      <alignment horizontal="center" vertical="justify" wrapText="1"/>
    </xf>
    <xf numFmtId="0" fontId="2" fillId="0" borderId="0" xfId="0" applyFont="1" applyAlignment="1">
      <alignment horizontal="center" vertical="justify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21" fillId="0" borderId="0" xfId="1" applyFont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28" fillId="0" borderId="0" xfId="1" applyFont="1" applyAlignment="1">
      <alignment horizontal="center"/>
    </xf>
    <xf numFmtId="0" fontId="1" fillId="0" borderId="0" xfId="1" applyFont="1" applyAlignment="1">
      <alignment horizontal="center"/>
    </xf>
  </cellXfs>
  <cellStyles count="6">
    <cellStyle name="Excel Built-in Normal" xfId="4"/>
    <cellStyle name="Normal" xfId="0" builtinId="0"/>
    <cellStyle name="Normal 2 2" xfId="1"/>
    <cellStyle name="Normal_Estrutura_de_preço_-_CODEVASF_versão8" xfId="3"/>
    <cellStyle name="Porcentagem 2" xfId="2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0</xdr:row>
      <xdr:rowOff>28575</xdr:rowOff>
    </xdr:from>
    <xdr:to>
      <xdr:col>3</xdr:col>
      <xdr:colOff>419100</xdr:colOff>
      <xdr:row>1</xdr:row>
      <xdr:rowOff>31750</xdr:rowOff>
    </xdr:to>
    <xdr:pic>
      <xdr:nvPicPr>
        <xdr:cNvPr id="2" name="Picture 16" descr="Logomarca_CODEVAS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4817" y="28575"/>
          <a:ext cx="3124200" cy="5005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looer.oliveira\Documents\Drenagem\PROJETO%20MIROR&#211;S\EXECUCAO_MIROR&#211;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looer.oliveira\Documents\Drenagem\TR%20e%20or&#231;amento\MIR\Momento%20de%20transporte%20-MI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rorós"/>
      <sheetName val="são desid. barreiras sul"/>
      <sheetName val="volume total"/>
    </sheetNames>
    <sheetDataSet>
      <sheetData sheetId="0">
        <row r="95">
          <cell r="E95">
            <v>77.908544807706321</v>
          </cell>
        </row>
      </sheetData>
      <sheetData sheetId="1"/>
      <sheetData sheetId="2">
        <row r="2">
          <cell r="B2">
            <v>120251.74507673988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de custos"/>
      <sheetName val="momento de transporte"/>
    </sheetNames>
    <sheetDataSet>
      <sheetData sheetId="0">
        <row r="11">
          <cell r="D11">
            <v>39900</v>
          </cell>
        </row>
      </sheetData>
      <sheetData sheetId="1">
        <row r="26">
          <cell r="F26">
            <v>39900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view="pageBreakPreview" zoomScale="90" zoomScaleNormal="90" zoomScaleSheetLayoutView="90" workbookViewId="0">
      <selection activeCell="B53" sqref="B53"/>
    </sheetView>
  </sheetViews>
  <sheetFormatPr defaultRowHeight="15" x14ac:dyDescent="0.25"/>
  <cols>
    <col min="1" max="1" width="8.42578125" customWidth="1"/>
    <col min="2" max="2" width="45.7109375" customWidth="1"/>
    <col min="3" max="3" width="5.7109375" customWidth="1"/>
    <col min="4" max="4" width="13.42578125" bestFit="1" customWidth="1"/>
    <col min="5" max="5" width="10.7109375" customWidth="1"/>
    <col min="6" max="6" width="18.85546875" customWidth="1"/>
    <col min="7" max="7" width="12.5703125" bestFit="1" customWidth="1"/>
    <col min="8" max="8" width="11" bestFit="1" customWidth="1"/>
    <col min="257" max="257" width="14" customWidth="1"/>
    <col min="258" max="258" width="45.7109375" customWidth="1"/>
    <col min="259" max="259" width="5.7109375" customWidth="1"/>
    <col min="260" max="260" width="13.42578125" bestFit="1" customWidth="1"/>
    <col min="261" max="261" width="10.7109375" customWidth="1"/>
    <col min="262" max="262" width="18.85546875" customWidth="1"/>
    <col min="263" max="263" width="12.5703125" bestFit="1" customWidth="1"/>
    <col min="513" max="513" width="14" customWidth="1"/>
    <col min="514" max="514" width="45.7109375" customWidth="1"/>
    <col min="515" max="515" width="5.7109375" customWidth="1"/>
    <col min="516" max="516" width="13.42578125" bestFit="1" customWidth="1"/>
    <col min="517" max="517" width="10.7109375" customWidth="1"/>
    <col min="518" max="518" width="18.85546875" customWidth="1"/>
    <col min="519" max="519" width="12.5703125" bestFit="1" customWidth="1"/>
    <col min="769" max="769" width="14" customWidth="1"/>
    <col min="770" max="770" width="45.7109375" customWidth="1"/>
    <col min="771" max="771" width="5.7109375" customWidth="1"/>
    <col min="772" max="772" width="13.42578125" bestFit="1" customWidth="1"/>
    <col min="773" max="773" width="10.7109375" customWidth="1"/>
    <col min="774" max="774" width="18.85546875" customWidth="1"/>
    <col min="775" max="775" width="12.5703125" bestFit="1" customWidth="1"/>
    <col min="1025" max="1025" width="14" customWidth="1"/>
    <col min="1026" max="1026" width="45.7109375" customWidth="1"/>
    <col min="1027" max="1027" width="5.7109375" customWidth="1"/>
    <col min="1028" max="1028" width="13.42578125" bestFit="1" customWidth="1"/>
    <col min="1029" max="1029" width="10.7109375" customWidth="1"/>
    <col min="1030" max="1030" width="18.85546875" customWidth="1"/>
    <col min="1031" max="1031" width="12.5703125" bestFit="1" customWidth="1"/>
    <col min="1281" max="1281" width="14" customWidth="1"/>
    <col min="1282" max="1282" width="45.7109375" customWidth="1"/>
    <col min="1283" max="1283" width="5.7109375" customWidth="1"/>
    <col min="1284" max="1284" width="13.42578125" bestFit="1" customWidth="1"/>
    <col min="1285" max="1285" width="10.7109375" customWidth="1"/>
    <col min="1286" max="1286" width="18.85546875" customWidth="1"/>
    <col min="1287" max="1287" width="12.5703125" bestFit="1" customWidth="1"/>
    <col min="1537" max="1537" width="14" customWidth="1"/>
    <col min="1538" max="1538" width="45.7109375" customWidth="1"/>
    <col min="1539" max="1539" width="5.7109375" customWidth="1"/>
    <col min="1540" max="1540" width="13.42578125" bestFit="1" customWidth="1"/>
    <col min="1541" max="1541" width="10.7109375" customWidth="1"/>
    <col min="1542" max="1542" width="18.85546875" customWidth="1"/>
    <col min="1543" max="1543" width="12.5703125" bestFit="1" customWidth="1"/>
    <col min="1793" max="1793" width="14" customWidth="1"/>
    <col min="1794" max="1794" width="45.7109375" customWidth="1"/>
    <col min="1795" max="1795" width="5.7109375" customWidth="1"/>
    <col min="1796" max="1796" width="13.42578125" bestFit="1" customWidth="1"/>
    <col min="1797" max="1797" width="10.7109375" customWidth="1"/>
    <col min="1798" max="1798" width="18.85546875" customWidth="1"/>
    <col min="1799" max="1799" width="12.5703125" bestFit="1" customWidth="1"/>
    <col min="2049" max="2049" width="14" customWidth="1"/>
    <col min="2050" max="2050" width="45.7109375" customWidth="1"/>
    <col min="2051" max="2051" width="5.7109375" customWidth="1"/>
    <col min="2052" max="2052" width="13.42578125" bestFit="1" customWidth="1"/>
    <col min="2053" max="2053" width="10.7109375" customWidth="1"/>
    <col min="2054" max="2054" width="18.85546875" customWidth="1"/>
    <col min="2055" max="2055" width="12.5703125" bestFit="1" customWidth="1"/>
    <col min="2305" max="2305" width="14" customWidth="1"/>
    <col min="2306" max="2306" width="45.7109375" customWidth="1"/>
    <col min="2307" max="2307" width="5.7109375" customWidth="1"/>
    <col min="2308" max="2308" width="13.42578125" bestFit="1" customWidth="1"/>
    <col min="2309" max="2309" width="10.7109375" customWidth="1"/>
    <col min="2310" max="2310" width="18.85546875" customWidth="1"/>
    <col min="2311" max="2311" width="12.5703125" bestFit="1" customWidth="1"/>
    <col min="2561" max="2561" width="14" customWidth="1"/>
    <col min="2562" max="2562" width="45.7109375" customWidth="1"/>
    <col min="2563" max="2563" width="5.7109375" customWidth="1"/>
    <col min="2564" max="2564" width="13.42578125" bestFit="1" customWidth="1"/>
    <col min="2565" max="2565" width="10.7109375" customWidth="1"/>
    <col min="2566" max="2566" width="18.85546875" customWidth="1"/>
    <col min="2567" max="2567" width="12.5703125" bestFit="1" customWidth="1"/>
    <col min="2817" max="2817" width="14" customWidth="1"/>
    <col min="2818" max="2818" width="45.7109375" customWidth="1"/>
    <col min="2819" max="2819" width="5.7109375" customWidth="1"/>
    <col min="2820" max="2820" width="13.42578125" bestFit="1" customWidth="1"/>
    <col min="2821" max="2821" width="10.7109375" customWidth="1"/>
    <col min="2822" max="2822" width="18.85546875" customWidth="1"/>
    <col min="2823" max="2823" width="12.5703125" bestFit="1" customWidth="1"/>
    <col min="3073" max="3073" width="14" customWidth="1"/>
    <col min="3074" max="3074" width="45.7109375" customWidth="1"/>
    <col min="3075" max="3075" width="5.7109375" customWidth="1"/>
    <col min="3076" max="3076" width="13.42578125" bestFit="1" customWidth="1"/>
    <col min="3077" max="3077" width="10.7109375" customWidth="1"/>
    <col min="3078" max="3078" width="18.85546875" customWidth="1"/>
    <col min="3079" max="3079" width="12.5703125" bestFit="1" customWidth="1"/>
    <col min="3329" max="3329" width="14" customWidth="1"/>
    <col min="3330" max="3330" width="45.7109375" customWidth="1"/>
    <col min="3331" max="3331" width="5.7109375" customWidth="1"/>
    <col min="3332" max="3332" width="13.42578125" bestFit="1" customWidth="1"/>
    <col min="3333" max="3333" width="10.7109375" customWidth="1"/>
    <col min="3334" max="3334" width="18.85546875" customWidth="1"/>
    <col min="3335" max="3335" width="12.5703125" bestFit="1" customWidth="1"/>
    <col min="3585" max="3585" width="14" customWidth="1"/>
    <col min="3586" max="3586" width="45.7109375" customWidth="1"/>
    <col min="3587" max="3587" width="5.7109375" customWidth="1"/>
    <col min="3588" max="3588" width="13.42578125" bestFit="1" customWidth="1"/>
    <col min="3589" max="3589" width="10.7109375" customWidth="1"/>
    <col min="3590" max="3590" width="18.85546875" customWidth="1"/>
    <col min="3591" max="3591" width="12.5703125" bestFit="1" customWidth="1"/>
    <col min="3841" max="3841" width="14" customWidth="1"/>
    <col min="3842" max="3842" width="45.7109375" customWidth="1"/>
    <col min="3843" max="3843" width="5.7109375" customWidth="1"/>
    <col min="3844" max="3844" width="13.42578125" bestFit="1" customWidth="1"/>
    <col min="3845" max="3845" width="10.7109375" customWidth="1"/>
    <col min="3846" max="3846" width="18.85546875" customWidth="1"/>
    <col min="3847" max="3847" width="12.5703125" bestFit="1" customWidth="1"/>
    <col min="4097" max="4097" width="14" customWidth="1"/>
    <col min="4098" max="4098" width="45.7109375" customWidth="1"/>
    <col min="4099" max="4099" width="5.7109375" customWidth="1"/>
    <col min="4100" max="4100" width="13.42578125" bestFit="1" customWidth="1"/>
    <col min="4101" max="4101" width="10.7109375" customWidth="1"/>
    <col min="4102" max="4102" width="18.85546875" customWidth="1"/>
    <col min="4103" max="4103" width="12.5703125" bestFit="1" customWidth="1"/>
    <col min="4353" max="4353" width="14" customWidth="1"/>
    <col min="4354" max="4354" width="45.7109375" customWidth="1"/>
    <col min="4355" max="4355" width="5.7109375" customWidth="1"/>
    <col min="4356" max="4356" width="13.42578125" bestFit="1" customWidth="1"/>
    <col min="4357" max="4357" width="10.7109375" customWidth="1"/>
    <col min="4358" max="4358" width="18.85546875" customWidth="1"/>
    <col min="4359" max="4359" width="12.5703125" bestFit="1" customWidth="1"/>
    <col min="4609" max="4609" width="14" customWidth="1"/>
    <col min="4610" max="4610" width="45.7109375" customWidth="1"/>
    <col min="4611" max="4611" width="5.7109375" customWidth="1"/>
    <col min="4612" max="4612" width="13.42578125" bestFit="1" customWidth="1"/>
    <col min="4613" max="4613" width="10.7109375" customWidth="1"/>
    <col min="4614" max="4614" width="18.85546875" customWidth="1"/>
    <col min="4615" max="4615" width="12.5703125" bestFit="1" customWidth="1"/>
    <col min="4865" max="4865" width="14" customWidth="1"/>
    <col min="4866" max="4866" width="45.7109375" customWidth="1"/>
    <col min="4867" max="4867" width="5.7109375" customWidth="1"/>
    <col min="4868" max="4868" width="13.42578125" bestFit="1" customWidth="1"/>
    <col min="4869" max="4869" width="10.7109375" customWidth="1"/>
    <col min="4870" max="4870" width="18.85546875" customWidth="1"/>
    <col min="4871" max="4871" width="12.5703125" bestFit="1" customWidth="1"/>
    <col min="5121" max="5121" width="14" customWidth="1"/>
    <col min="5122" max="5122" width="45.7109375" customWidth="1"/>
    <col min="5123" max="5123" width="5.7109375" customWidth="1"/>
    <col min="5124" max="5124" width="13.42578125" bestFit="1" customWidth="1"/>
    <col min="5125" max="5125" width="10.7109375" customWidth="1"/>
    <col min="5126" max="5126" width="18.85546875" customWidth="1"/>
    <col min="5127" max="5127" width="12.5703125" bestFit="1" customWidth="1"/>
    <col min="5377" max="5377" width="14" customWidth="1"/>
    <col min="5378" max="5378" width="45.7109375" customWidth="1"/>
    <col min="5379" max="5379" width="5.7109375" customWidth="1"/>
    <col min="5380" max="5380" width="13.42578125" bestFit="1" customWidth="1"/>
    <col min="5381" max="5381" width="10.7109375" customWidth="1"/>
    <col min="5382" max="5382" width="18.85546875" customWidth="1"/>
    <col min="5383" max="5383" width="12.5703125" bestFit="1" customWidth="1"/>
    <col min="5633" max="5633" width="14" customWidth="1"/>
    <col min="5634" max="5634" width="45.7109375" customWidth="1"/>
    <col min="5635" max="5635" width="5.7109375" customWidth="1"/>
    <col min="5636" max="5636" width="13.42578125" bestFit="1" customWidth="1"/>
    <col min="5637" max="5637" width="10.7109375" customWidth="1"/>
    <col min="5638" max="5638" width="18.85546875" customWidth="1"/>
    <col min="5639" max="5639" width="12.5703125" bestFit="1" customWidth="1"/>
    <col min="5889" max="5889" width="14" customWidth="1"/>
    <col min="5890" max="5890" width="45.7109375" customWidth="1"/>
    <col min="5891" max="5891" width="5.7109375" customWidth="1"/>
    <col min="5892" max="5892" width="13.42578125" bestFit="1" customWidth="1"/>
    <col min="5893" max="5893" width="10.7109375" customWidth="1"/>
    <col min="5894" max="5894" width="18.85546875" customWidth="1"/>
    <col min="5895" max="5895" width="12.5703125" bestFit="1" customWidth="1"/>
    <col min="6145" max="6145" width="14" customWidth="1"/>
    <col min="6146" max="6146" width="45.7109375" customWidth="1"/>
    <col min="6147" max="6147" width="5.7109375" customWidth="1"/>
    <col min="6148" max="6148" width="13.42578125" bestFit="1" customWidth="1"/>
    <col min="6149" max="6149" width="10.7109375" customWidth="1"/>
    <col min="6150" max="6150" width="18.85546875" customWidth="1"/>
    <col min="6151" max="6151" width="12.5703125" bestFit="1" customWidth="1"/>
    <col min="6401" max="6401" width="14" customWidth="1"/>
    <col min="6402" max="6402" width="45.7109375" customWidth="1"/>
    <col min="6403" max="6403" width="5.7109375" customWidth="1"/>
    <col min="6404" max="6404" width="13.42578125" bestFit="1" customWidth="1"/>
    <col min="6405" max="6405" width="10.7109375" customWidth="1"/>
    <col min="6406" max="6406" width="18.85546875" customWidth="1"/>
    <col min="6407" max="6407" width="12.5703125" bestFit="1" customWidth="1"/>
    <col min="6657" max="6657" width="14" customWidth="1"/>
    <col min="6658" max="6658" width="45.7109375" customWidth="1"/>
    <col min="6659" max="6659" width="5.7109375" customWidth="1"/>
    <col min="6660" max="6660" width="13.42578125" bestFit="1" customWidth="1"/>
    <col min="6661" max="6661" width="10.7109375" customWidth="1"/>
    <col min="6662" max="6662" width="18.85546875" customWidth="1"/>
    <col min="6663" max="6663" width="12.5703125" bestFit="1" customWidth="1"/>
    <col min="6913" max="6913" width="14" customWidth="1"/>
    <col min="6914" max="6914" width="45.7109375" customWidth="1"/>
    <col min="6915" max="6915" width="5.7109375" customWidth="1"/>
    <col min="6916" max="6916" width="13.42578125" bestFit="1" customWidth="1"/>
    <col min="6917" max="6917" width="10.7109375" customWidth="1"/>
    <col min="6918" max="6918" width="18.85546875" customWidth="1"/>
    <col min="6919" max="6919" width="12.5703125" bestFit="1" customWidth="1"/>
    <col min="7169" max="7169" width="14" customWidth="1"/>
    <col min="7170" max="7170" width="45.7109375" customWidth="1"/>
    <col min="7171" max="7171" width="5.7109375" customWidth="1"/>
    <col min="7172" max="7172" width="13.42578125" bestFit="1" customWidth="1"/>
    <col min="7173" max="7173" width="10.7109375" customWidth="1"/>
    <col min="7174" max="7174" width="18.85546875" customWidth="1"/>
    <col min="7175" max="7175" width="12.5703125" bestFit="1" customWidth="1"/>
    <col min="7425" max="7425" width="14" customWidth="1"/>
    <col min="7426" max="7426" width="45.7109375" customWidth="1"/>
    <col min="7427" max="7427" width="5.7109375" customWidth="1"/>
    <col min="7428" max="7428" width="13.42578125" bestFit="1" customWidth="1"/>
    <col min="7429" max="7429" width="10.7109375" customWidth="1"/>
    <col min="7430" max="7430" width="18.85546875" customWidth="1"/>
    <col min="7431" max="7431" width="12.5703125" bestFit="1" customWidth="1"/>
    <col min="7681" max="7681" width="14" customWidth="1"/>
    <col min="7682" max="7682" width="45.7109375" customWidth="1"/>
    <col min="7683" max="7683" width="5.7109375" customWidth="1"/>
    <col min="7684" max="7684" width="13.42578125" bestFit="1" customWidth="1"/>
    <col min="7685" max="7685" width="10.7109375" customWidth="1"/>
    <col min="7686" max="7686" width="18.85546875" customWidth="1"/>
    <col min="7687" max="7687" width="12.5703125" bestFit="1" customWidth="1"/>
    <col min="7937" max="7937" width="14" customWidth="1"/>
    <col min="7938" max="7938" width="45.7109375" customWidth="1"/>
    <col min="7939" max="7939" width="5.7109375" customWidth="1"/>
    <col min="7940" max="7940" width="13.42578125" bestFit="1" customWidth="1"/>
    <col min="7941" max="7941" width="10.7109375" customWidth="1"/>
    <col min="7942" max="7942" width="18.85546875" customWidth="1"/>
    <col min="7943" max="7943" width="12.5703125" bestFit="1" customWidth="1"/>
    <col min="8193" max="8193" width="14" customWidth="1"/>
    <col min="8194" max="8194" width="45.7109375" customWidth="1"/>
    <col min="8195" max="8195" width="5.7109375" customWidth="1"/>
    <col min="8196" max="8196" width="13.42578125" bestFit="1" customWidth="1"/>
    <col min="8197" max="8197" width="10.7109375" customWidth="1"/>
    <col min="8198" max="8198" width="18.85546875" customWidth="1"/>
    <col min="8199" max="8199" width="12.5703125" bestFit="1" customWidth="1"/>
    <col min="8449" max="8449" width="14" customWidth="1"/>
    <col min="8450" max="8450" width="45.7109375" customWidth="1"/>
    <col min="8451" max="8451" width="5.7109375" customWidth="1"/>
    <col min="8452" max="8452" width="13.42578125" bestFit="1" customWidth="1"/>
    <col min="8453" max="8453" width="10.7109375" customWidth="1"/>
    <col min="8454" max="8454" width="18.85546875" customWidth="1"/>
    <col min="8455" max="8455" width="12.5703125" bestFit="1" customWidth="1"/>
    <col min="8705" max="8705" width="14" customWidth="1"/>
    <col min="8706" max="8706" width="45.7109375" customWidth="1"/>
    <col min="8707" max="8707" width="5.7109375" customWidth="1"/>
    <col min="8708" max="8708" width="13.42578125" bestFit="1" customWidth="1"/>
    <col min="8709" max="8709" width="10.7109375" customWidth="1"/>
    <col min="8710" max="8710" width="18.85546875" customWidth="1"/>
    <col min="8711" max="8711" width="12.5703125" bestFit="1" customWidth="1"/>
    <col min="8961" max="8961" width="14" customWidth="1"/>
    <col min="8962" max="8962" width="45.7109375" customWidth="1"/>
    <col min="8963" max="8963" width="5.7109375" customWidth="1"/>
    <col min="8964" max="8964" width="13.42578125" bestFit="1" customWidth="1"/>
    <col min="8965" max="8965" width="10.7109375" customWidth="1"/>
    <col min="8966" max="8966" width="18.85546875" customWidth="1"/>
    <col min="8967" max="8967" width="12.5703125" bestFit="1" customWidth="1"/>
    <col min="9217" max="9217" width="14" customWidth="1"/>
    <col min="9218" max="9218" width="45.7109375" customWidth="1"/>
    <col min="9219" max="9219" width="5.7109375" customWidth="1"/>
    <col min="9220" max="9220" width="13.42578125" bestFit="1" customWidth="1"/>
    <col min="9221" max="9221" width="10.7109375" customWidth="1"/>
    <col min="9222" max="9222" width="18.85546875" customWidth="1"/>
    <col min="9223" max="9223" width="12.5703125" bestFit="1" customWidth="1"/>
    <col min="9473" max="9473" width="14" customWidth="1"/>
    <col min="9474" max="9474" width="45.7109375" customWidth="1"/>
    <col min="9475" max="9475" width="5.7109375" customWidth="1"/>
    <col min="9476" max="9476" width="13.42578125" bestFit="1" customWidth="1"/>
    <col min="9477" max="9477" width="10.7109375" customWidth="1"/>
    <col min="9478" max="9478" width="18.85546875" customWidth="1"/>
    <col min="9479" max="9479" width="12.5703125" bestFit="1" customWidth="1"/>
    <col min="9729" max="9729" width="14" customWidth="1"/>
    <col min="9730" max="9730" width="45.7109375" customWidth="1"/>
    <col min="9731" max="9731" width="5.7109375" customWidth="1"/>
    <col min="9732" max="9732" width="13.42578125" bestFit="1" customWidth="1"/>
    <col min="9733" max="9733" width="10.7109375" customWidth="1"/>
    <col min="9734" max="9734" width="18.85546875" customWidth="1"/>
    <col min="9735" max="9735" width="12.5703125" bestFit="1" customWidth="1"/>
    <col min="9985" max="9985" width="14" customWidth="1"/>
    <col min="9986" max="9986" width="45.7109375" customWidth="1"/>
    <col min="9987" max="9987" width="5.7109375" customWidth="1"/>
    <col min="9988" max="9988" width="13.42578125" bestFit="1" customWidth="1"/>
    <col min="9989" max="9989" width="10.7109375" customWidth="1"/>
    <col min="9990" max="9990" width="18.85546875" customWidth="1"/>
    <col min="9991" max="9991" width="12.5703125" bestFit="1" customWidth="1"/>
    <col min="10241" max="10241" width="14" customWidth="1"/>
    <col min="10242" max="10242" width="45.7109375" customWidth="1"/>
    <col min="10243" max="10243" width="5.7109375" customWidth="1"/>
    <col min="10244" max="10244" width="13.42578125" bestFit="1" customWidth="1"/>
    <col min="10245" max="10245" width="10.7109375" customWidth="1"/>
    <col min="10246" max="10246" width="18.85546875" customWidth="1"/>
    <col min="10247" max="10247" width="12.5703125" bestFit="1" customWidth="1"/>
    <col min="10497" max="10497" width="14" customWidth="1"/>
    <col min="10498" max="10498" width="45.7109375" customWidth="1"/>
    <col min="10499" max="10499" width="5.7109375" customWidth="1"/>
    <col min="10500" max="10500" width="13.42578125" bestFit="1" customWidth="1"/>
    <col min="10501" max="10501" width="10.7109375" customWidth="1"/>
    <col min="10502" max="10502" width="18.85546875" customWidth="1"/>
    <col min="10503" max="10503" width="12.5703125" bestFit="1" customWidth="1"/>
    <col min="10753" max="10753" width="14" customWidth="1"/>
    <col min="10754" max="10754" width="45.7109375" customWidth="1"/>
    <col min="10755" max="10755" width="5.7109375" customWidth="1"/>
    <col min="10756" max="10756" width="13.42578125" bestFit="1" customWidth="1"/>
    <col min="10757" max="10757" width="10.7109375" customWidth="1"/>
    <col min="10758" max="10758" width="18.85546875" customWidth="1"/>
    <col min="10759" max="10759" width="12.5703125" bestFit="1" customWidth="1"/>
    <col min="11009" max="11009" width="14" customWidth="1"/>
    <col min="11010" max="11010" width="45.7109375" customWidth="1"/>
    <col min="11011" max="11011" width="5.7109375" customWidth="1"/>
    <col min="11012" max="11012" width="13.42578125" bestFit="1" customWidth="1"/>
    <col min="11013" max="11013" width="10.7109375" customWidth="1"/>
    <col min="11014" max="11014" width="18.85546875" customWidth="1"/>
    <col min="11015" max="11015" width="12.5703125" bestFit="1" customWidth="1"/>
    <col min="11265" max="11265" width="14" customWidth="1"/>
    <col min="11266" max="11266" width="45.7109375" customWidth="1"/>
    <col min="11267" max="11267" width="5.7109375" customWidth="1"/>
    <col min="11268" max="11268" width="13.42578125" bestFit="1" customWidth="1"/>
    <col min="11269" max="11269" width="10.7109375" customWidth="1"/>
    <col min="11270" max="11270" width="18.85546875" customWidth="1"/>
    <col min="11271" max="11271" width="12.5703125" bestFit="1" customWidth="1"/>
    <col min="11521" max="11521" width="14" customWidth="1"/>
    <col min="11522" max="11522" width="45.7109375" customWidth="1"/>
    <col min="11523" max="11523" width="5.7109375" customWidth="1"/>
    <col min="11524" max="11524" width="13.42578125" bestFit="1" customWidth="1"/>
    <col min="11525" max="11525" width="10.7109375" customWidth="1"/>
    <col min="11526" max="11526" width="18.85546875" customWidth="1"/>
    <col min="11527" max="11527" width="12.5703125" bestFit="1" customWidth="1"/>
    <col min="11777" max="11777" width="14" customWidth="1"/>
    <col min="11778" max="11778" width="45.7109375" customWidth="1"/>
    <col min="11779" max="11779" width="5.7109375" customWidth="1"/>
    <col min="11780" max="11780" width="13.42578125" bestFit="1" customWidth="1"/>
    <col min="11781" max="11781" width="10.7109375" customWidth="1"/>
    <col min="11782" max="11782" width="18.85546875" customWidth="1"/>
    <col min="11783" max="11783" width="12.5703125" bestFit="1" customWidth="1"/>
    <col min="12033" max="12033" width="14" customWidth="1"/>
    <col min="12034" max="12034" width="45.7109375" customWidth="1"/>
    <col min="12035" max="12035" width="5.7109375" customWidth="1"/>
    <col min="12036" max="12036" width="13.42578125" bestFit="1" customWidth="1"/>
    <col min="12037" max="12037" width="10.7109375" customWidth="1"/>
    <col min="12038" max="12038" width="18.85546875" customWidth="1"/>
    <col min="12039" max="12039" width="12.5703125" bestFit="1" customWidth="1"/>
    <col min="12289" max="12289" width="14" customWidth="1"/>
    <col min="12290" max="12290" width="45.7109375" customWidth="1"/>
    <col min="12291" max="12291" width="5.7109375" customWidth="1"/>
    <col min="12292" max="12292" width="13.42578125" bestFit="1" customWidth="1"/>
    <col min="12293" max="12293" width="10.7109375" customWidth="1"/>
    <col min="12294" max="12294" width="18.85546875" customWidth="1"/>
    <col min="12295" max="12295" width="12.5703125" bestFit="1" customWidth="1"/>
    <col min="12545" max="12545" width="14" customWidth="1"/>
    <col min="12546" max="12546" width="45.7109375" customWidth="1"/>
    <col min="12547" max="12547" width="5.7109375" customWidth="1"/>
    <col min="12548" max="12548" width="13.42578125" bestFit="1" customWidth="1"/>
    <col min="12549" max="12549" width="10.7109375" customWidth="1"/>
    <col min="12550" max="12550" width="18.85546875" customWidth="1"/>
    <col min="12551" max="12551" width="12.5703125" bestFit="1" customWidth="1"/>
    <col min="12801" max="12801" width="14" customWidth="1"/>
    <col min="12802" max="12802" width="45.7109375" customWidth="1"/>
    <col min="12803" max="12803" width="5.7109375" customWidth="1"/>
    <col min="12804" max="12804" width="13.42578125" bestFit="1" customWidth="1"/>
    <col min="12805" max="12805" width="10.7109375" customWidth="1"/>
    <col min="12806" max="12806" width="18.85546875" customWidth="1"/>
    <col min="12807" max="12807" width="12.5703125" bestFit="1" customWidth="1"/>
    <col min="13057" max="13057" width="14" customWidth="1"/>
    <col min="13058" max="13058" width="45.7109375" customWidth="1"/>
    <col min="13059" max="13059" width="5.7109375" customWidth="1"/>
    <col min="13060" max="13060" width="13.42578125" bestFit="1" customWidth="1"/>
    <col min="13061" max="13061" width="10.7109375" customWidth="1"/>
    <col min="13062" max="13062" width="18.85546875" customWidth="1"/>
    <col min="13063" max="13063" width="12.5703125" bestFit="1" customWidth="1"/>
    <col min="13313" max="13313" width="14" customWidth="1"/>
    <col min="13314" max="13314" width="45.7109375" customWidth="1"/>
    <col min="13315" max="13315" width="5.7109375" customWidth="1"/>
    <col min="13316" max="13316" width="13.42578125" bestFit="1" customWidth="1"/>
    <col min="13317" max="13317" width="10.7109375" customWidth="1"/>
    <col min="13318" max="13318" width="18.85546875" customWidth="1"/>
    <col min="13319" max="13319" width="12.5703125" bestFit="1" customWidth="1"/>
    <col min="13569" max="13569" width="14" customWidth="1"/>
    <col min="13570" max="13570" width="45.7109375" customWidth="1"/>
    <col min="13571" max="13571" width="5.7109375" customWidth="1"/>
    <col min="13572" max="13572" width="13.42578125" bestFit="1" customWidth="1"/>
    <col min="13573" max="13573" width="10.7109375" customWidth="1"/>
    <col min="13574" max="13574" width="18.85546875" customWidth="1"/>
    <col min="13575" max="13575" width="12.5703125" bestFit="1" customWidth="1"/>
    <col min="13825" max="13825" width="14" customWidth="1"/>
    <col min="13826" max="13826" width="45.7109375" customWidth="1"/>
    <col min="13827" max="13827" width="5.7109375" customWidth="1"/>
    <col min="13828" max="13828" width="13.42578125" bestFit="1" customWidth="1"/>
    <col min="13829" max="13829" width="10.7109375" customWidth="1"/>
    <col min="13830" max="13830" width="18.85546875" customWidth="1"/>
    <col min="13831" max="13831" width="12.5703125" bestFit="1" customWidth="1"/>
    <col min="14081" max="14081" width="14" customWidth="1"/>
    <col min="14082" max="14082" width="45.7109375" customWidth="1"/>
    <col min="14083" max="14083" width="5.7109375" customWidth="1"/>
    <col min="14084" max="14084" width="13.42578125" bestFit="1" customWidth="1"/>
    <col min="14085" max="14085" width="10.7109375" customWidth="1"/>
    <col min="14086" max="14086" width="18.85546875" customWidth="1"/>
    <col min="14087" max="14087" width="12.5703125" bestFit="1" customWidth="1"/>
    <col min="14337" max="14337" width="14" customWidth="1"/>
    <col min="14338" max="14338" width="45.7109375" customWidth="1"/>
    <col min="14339" max="14339" width="5.7109375" customWidth="1"/>
    <col min="14340" max="14340" width="13.42578125" bestFit="1" customWidth="1"/>
    <col min="14341" max="14341" width="10.7109375" customWidth="1"/>
    <col min="14342" max="14342" width="18.85546875" customWidth="1"/>
    <col min="14343" max="14343" width="12.5703125" bestFit="1" customWidth="1"/>
    <col min="14593" max="14593" width="14" customWidth="1"/>
    <col min="14594" max="14594" width="45.7109375" customWidth="1"/>
    <col min="14595" max="14595" width="5.7109375" customWidth="1"/>
    <col min="14596" max="14596" width="13.42578125" bestFit="1" customWidth="1"/>
    <col min="14597" max="14597" width="10.7109375" customWidth="1"/>
    <col min="14598" max="14598" width="18.85546875" customWidth="1"/>
    <col min="14599" max="14599" width="12.5703125" bestFit="1" customWidth="1"/>
    <col min="14849" max="14849" width="14" customWidth="1"/>
    <col min="14850" max="14850" width="45.7109375" customWidth="1"/>
    <col min="14851" max="14851" width="5.7109375" customWidth="1"/>
    <col min="14852" max="14852" width="13.42578125" bestFit="1" customWidth="1"/>
    <col min="14853" max="14853" width="10.7109375" customWidth="1"/>
    <col min="14854" max="14854" width="18.85546875" customWidth="1"/>
    <col min="14855" max="14855" width="12.5703125" bestFit="1" customWidth="1"/>
    <col min="15105" max="15105" width="14" customWidth="1"/>
    <col min="15106" max="15106" width="45.7109375" customWidth="1"/>
    <col min="15107" max="15107" width="5.7109375" customWidth="1"/>
    <col min="15108" max="15108" width="13.42578125" bestFit="1" customWidth="1"/>
    <col min="15109" max="15109" width="10.7109375" customWidth="1"/>
    <col min="15110" max="15110" width="18.85546875" customWidth="1"/>
    <col min="15111" max="15111" width="12.5703125" bestFit="1" customWidth="1"/>
    <col min="15361" max="15361" width="14" customWidth="1"/>
    <col min="15362" max="15362" width="45.7109375" customWidth="1"/>
    <col min="15363" max="15363" width="5.7109375" customWidth="1"/>
    <col min="15364" max="15364" width="13.42578125" bestFit="1" customWidth="1"/>
    <col min="15365" max="15365" width="10.7109375" customWidth="1"/>
    <col min="15366" max="15366" width="18.85546875" customWidth="1"/>
    <col min="15367" max="15367" width="12.5703125" bestFit="1" customWidth="1"/>
    <col min="15617" max="15617" width="14" customWidth="1"/>
    <col min="15618" max="15618" width="45.7109375" customWidth="1"/>
    <col min="15619" max="15619" width="5.7109375" customWidth="1"/>
    <col min="15620" max="15620" width="13.42578125" bestFit="1" customWidth="1"/>
    <col min="15621" max="15621" width="10.7109375" customWidth="1"/>
    <col min="15622" max="15622" width="18.85546875" customWidth="1"/>
    <col min="15623" max="15623" width="12.5703125" bestFit="1" customWidth="1"/>
    <col min="15873" max="15873" width="14" customWidth="1"/>
    <col min="15874" max="15874" width="45.7109375" customWidth="1"/>
    <col min="15875" max="15875" width="5.7109375" customWidth="1"/>
    <col min="15876" max="15876" width="13.42578125" bestFit="1" customWidth="1"/>
    <col min="15877" max="15877" width="10.7109375" customWidth="1"/>
    <col min="15878" max="15878" width="18.85546875" customWidth="1"/>
    <col min="15879" max="15879" width="12.5703125" bestFit="1" customWidth="1"/>
    <col min="16129" max="16129" width="14" customWidth="1"/>
    <col min="16130" max="16130" width="45.7109375" customWidth="1"/>
    <col min="16131" max="16131" width="5.7109375" customWidth="1"/>
    <col min="16132" max="16132" width="13.42578125" bestFit="1" customWidth="1"/>
    <col min="16133" max="16133" width="10.7109375" customWidth="1"/>
    <col min="16134" max="16134" width="18.85546875" customWidth="1"/>
    <col min="16135" max="16135" width="12.5703125" bestFit="1" customWidth="1"/>
  </cols>
  <sheetData>
    <row r="1" spans="1:6" ht="39" customHeight="1" x14ac:dyDescent="0.25">
      <c r="A1" s="4"/>
      <c r="B1" s="5"/>
      <c r="C1" s="4"/>
      <c r="D1" s="4"/>
      <c r="E1" s="4"/>
      <c r="F1" s="4"/>
    </row>
    <row r="2" spans="1:6" x14ac:dyDescent="0.25">
      <c r="A2" s="210" t="s">
        <v>2</v>
      </c>
      <c r="B2" s="210"/>
      <c r="C2" s="210"/>
      <c r="D2" s="210"/>
      <c r="E2" s="210"/>
      <c r="F2" s="210"/>
    </row>
    <row r="3" spans="1:6" x14ac:dyDescent="0.25">
      <c r="A3" s="210" t="s">
        <v>3</v>
      </c>
      <c r="B3" s="210"/>
      <c r="C3" s="210"/>
      <c r="D3" s="210"/>
      <c r="E3" s="210"/>
      <c r="F3" s="210"/>
    </row>
    <row r="4" spans="1:6" x14ac:dyDescent="0.25">
      <c r="A4" s="211" t="s">
        <v>293</v>
      </c>
      <c r="B4" s="211"/>
      <c r="C4" s="211"/>
      <c r="D4" s="211"/>
      <c r="E4" s="211"/>
      <c r="F4" s="211"/>
    </row>
    <row r="5" spans="1:6" x14ac:dyDescent="0.25">
      <c r="A5" s="4"/>
      <c r="B5" s="5"/>
      <c r="C5" s="4"/>
      <c r="D5" s="4"/>
      <c r="E5" s="4"/>
      <c r="F5" s="6"/>
    </row>
    <row r="6" spans="1:6" x14ac:dyDescent="0.25">
      <c r="B6" s="7" t="s">
        <v>4</v>
      </c>
      <c r="F6" s="8"/>
    </row>
    <row r="7" spans="1:6" ht="15.75" thickBot="1" x14ac:dyDescent="0.3"/>
    <row r="8" spans="1:6" ht="26.25" thickBot="1" x14ac:dyDescent="0.3">
      <c r="A8" s="9" t="s">
        <v>5</v>
      </c>
      <c r="B8" s="10" t="s">
        <v>6</v>
      </c>
      <c r="C8" s="10" t="s">
        <v>7</v>
      </c>
      <c r="D8" s="10" t="s">
        <v>8</v>
      </c>
      <c r="E8" s="212" t="s">
        <v>9</v>
      </c>
      <c r="F8" s="213"/>
    </row>
    <row r="9" spans="1:6" ht="15.75" thickBot="1" x14ac:dyDescent="0.3">
      <c r="A9" s="11"/>
      <c r="B9" s="12"/>
      <c r="C9" s="12"/>
      <c r="D9" s="12"/>
      <c r="E9" s="13" t="s">
        <v>10</v>
      </c>
      <c r="F9" s="14" t="s">
        <v>11</v>
      </c>
    </row>
    <row r="10" spans="1:6" s="19" customFormat="1" ht="15.75" thickBot="1" x14ac:dyDescent="0.3">
      <c r="A10" s="15" t="s">
        <v>12</v>
      </c>
      <c r="B10" s="16" t="s">
        <v>13</v>
      </c>
      <c r="C10" s="17"/>
      <c r="D10" s="18"/>
      <c r="E10" s="18"/>
      <c r="F10" s="18"/>
    </row>
    <row r="11" spans="1:6" s="19" customFormat="1" ht="15.75" thickBot="1" x14ac:dyDescent="0.3">
      <c r="A11" s="20" t="s">
        <v>14</v>
      </c>
      <c r="B11" s="21" t="s">
        <v>15</v>
      </c>
      <c r="C11" s="17" t="s">
        <v>16</v>
      </c>
      <c r="D11" s="18">
        <v>1</v>
      </c>
      <c r="E11" s="22">
        <f>'Custos unit'!J140</f>
        <v>19751.650799999999</v>
      </c>
      <c r="F11" s="22">
        <f t="shared" ref="F11:F24" si="0">ROUND(E11*D11,2)</f>
        <v>19751.650000000001</v>
      </c>
    </row>
    <row r="12" spans="1:6" s="19" customFormat="1" ht="15.75" thickBot="1" x14ac:dyDescent="0.3">
      <c r="A12" s="20" t="s">
        <v>17</v>
      </c>
      <c r="B12" s="21" t="s">
        <v>18</v>
      </c>
      <c r="C12" s="17" t="s">
        <v>19</v>
      </c>
      <c r="D12" s="18">
        <v>98</v>
      </c>
      <c r="E12" s="22">
        <f>'Custos unit'!J74</f>
        <v>300.71575053680476</v>
      </c>
      <c r="F12" s="22">
        <f t="shared" si="0"/>
        <v>29470.14</v>
      </c>
    </row>
    <row r="13" spans="1:6" s="19" customFormat="1" ht="15.75" thickBot="1" x14ac:dyDescent="0.3">
      <c r="A13" s="20" t="s">
        <v>20</v>
      </c>
      <c r="B13" s="21" t="s">
        <v>21</v>
      </c>
      <c r="C13" s="17" t="s">
        <v>16</v>
      </c>
      <c r="D13" s="18">
        <v>1</v>
      </c>
      <c r="E13" s="22">
        <f>'Custos unit'!J167</f>
        <v>19751.650799999999</v>
      </c>
      <c r="F13" s="22">
        <f t="shared" si="0"/>
        <v>19751.650000000001</v>
      </c>
    </row>
    <row r="14" spans="1:6" s="19" customFormat="1" ht="15.75" thickBot="1" x14ac:dyDescent="0.3">
      <c r="A14" s="20">
        <v>1.4</v>
      </c>
      <c r="B14" s="21" t="s">
        <v>22</v>
      </c>
      <c r="C14" s="17" t="s">
        <v>19</v>
      </c>
      <c r="D14" s="18">
        <v>12</v>
      </c>
      <c r="E14" s="22">
        <f>'Custos unit'!J196</f>
        <v>210.87540699199997</v>
      </c>
      <c r="F14" s="22">
        <f t="shared" si="0"/>
        <v>2530.5</v>
      </c>
    </row>
    <row r="15" spans="1:6" s="19" customFormat="1" ht="15.75" thickBot="1" x14ac:dyDescent="0.3">
      <c r="A15" s="15"/>
      <c r="B15" s="16"/>
      <c r="C15" s="17"/>
      <c r="D15" s="18"/>
      <c r="E15" s="18"/>
      <c r="F15" s="22"/>
    </row>
    <row r="16" spans="1:6" s="19" customFormat="1" ht="15.75" thickBot="1" x14ac:dyDescent="0.3">
      <c r="A16" s="15" t="s">
        <v>23</v>
      </c>
      <c r="B16" s="16" t="s">
        <v>24</v>
      </c>
      <c r="C16" s="17"/>
      <c r="D16" s="18"/>
      <c r="E16" s="18"/>
      <c r="F16" s="22"/>
    </row>
    <row r="17" spans="1:7" s="19" customFormat="1" ht="15.75" thickBot="1" x14ac:dyDescent="0.3">
      <c r="A17" s="20" t="s">
        <v>0</v>
      </c>
      <c r="B17" s="21" t="s">
        <v>25</v>
      </c>
      <c r="C17" s="17" t="s">
        <v>26</v>
      </c>
      <c r="D17" s="18">
        <v>8</v>
      </c>
      <c r="E17" s="22">
        <f>'Custos unit'!J113</f>
        <v>20961.215894836365</v>
      </c>
      <c r="F17" s="22">
        <f t="shared" si="0"/>
        <v>167689.73000000001</v>
      </c>
    </row>
    <row r="18" spans="1:7" s="19" customFormat="1" ht="15.75" thickBot="1" x14ac:dyDescent="0.3">
      <c r="A18" s="20" t="s">
        <v>1</v>
      </c>
      <c r="B18" s="21" t="s">
        <v>27</v>
      </c>
      <c r="C18" s="17" t="s">
        <v>26</v>
      </c>
      <c r="D18" s="18">
        <v>8</v>
      </c>
      <c r="E18" s="22">
        <f>'Custos unit'!J235</f>
        <v>3872.9090000000001</v>
      </c>
      <c r="F18" s="22">
        <f t="shared" si="0"/>
        <v>30983.27</v>
      </c>
    </row>
    <row r="19" spans="1:7" s="19" customFormat="1" ht="15.75" thickBot="1" x14ac:dyDescent="0.3">
      <c r="A19" s="20"/>
      <c r="B19" s="21"/>
      <c r="C19" s="17"/>
      <c r="D19" s="18"/>
      <c r="E19" s="22"/>
      <c r="F19" s="22"/>
    </row>
    <row r="20" spans="1:7" s="19" customFormat="1" ht="15.75" thickBot="1" x14ac:dyDescent="0.3">
      <c r="A20" s="15" t="s">
        <v>28</v>
      </c>
      <c r="B20" s="16" t="s">
        <v>13</v>
      </c>
      <c r="C20" s="17"/>
      <c r="D20" s="18"/>
      <c r="E20" s="18"/>
      <c r="F20" s="22"/>
    </row>
    <row r="21" spans="1:7" s="19" customFormat="1" ht="26.25" thickBot="1" x14ac:dyDescent="0.3">
      <c r="A21" s="20" t="s">
        <v>29</v>
      </c>
      <c r="B21" s="21" t="s">
        <v>30</v>
      </c>
      <c r="C21" s="17" t="s">
        <v>19</v>
      </c>
      <c r="D21" s="22">
        <f>[1]mirorós!$E$95*1000*10</f>
        <v>779085.44807706319</v>
      </c>
      <c r="E21" s="23">
        <f>'Custos unit_implant. serviços'!G8</f>
        <v>0.23</v>
      </c>
      <c r="F21" s="22">
        <f t="shared" si="0"/>
        <v>179189.65</v>
      </c>
    </row>
    <row r="22" spans="1:7" ht="15.75" thickBot="1" x14ac:dyDescent="0.3">
      <c r="A22" s="11"/>
      <c r="B22" s="24"/>
      <c r="C22" s="12"/>
      <c r="D22" s="25"/>
      <c r="E22" s="26"/>
      <c r="F22" s="25"/>
    </row>
    <row r="23" spans="1:7" ht="15.75" thickBot="1" x14ac:dyDescent="0.3">
      <c r="A23" s="27" t="s">
        <v>31</v>
      </c>
      <c r="B23" s="214" t="s">
        <v>32</v>
      </c>
      <c r="C23" s="215"/>
      <c r="D23" s="216"/>
      <c r="E23" s="26"/>
      <c r="F23" s="25"/>
    </row>
    <row r="24" spans="1:7" ht="15.75" thickBot="1" x14ac:dyDescent="0.3">
      <c r="A24" s="11" t="s">
        <v>33</v>
      </c>
      <c r="B24" s="24" t="s">
        <v>34</v>
      </c>
      <c r="C24" s="12" t="s">
        <v>35</v>
      </c>
      <c r="D24" s="22">
        <f>0.85*'[1]volume total'!$B$2</f>
        <v>102213.98331522889</v>
      </c>
      <c r="E24" s="26">
        <f>'Custos unit_implant. serviços'!G19</f>
        <v>4.6100000000000003</v>
      </c>
      <c r="F24" s="25">
        <f t="shared" si="0"/>
        <v>471206.46</v>
      </c>
    </row>
    <row r="25" spans="1:7" ht="15.75" thickBot="1" x14ac:dyDescent="0.3">
      <c r="A25" s="11" t="s">
        <v>36</v>
      </c>
      <c r="B25" s="24" t="s">
        <v>37</v>
      </c>
      <c r="C25" s="12" t="s">
        <v>35</v>
      </c>
      <c r="D25" s="22">
        <f>0.15*'[1]volume total'!$B$2</f>
        <v>18037.761761510981</v>
      </c>
      <c r="E25" s="28">
        <f>'Custos unit_implant. serviços'!G29</f>
        <v>5.8290513173391503</v>
      </c>
      <c r="F25" s="25">
        <f>ROUND(E25*D25,2)</f>
        <v>105143.03999999999</v>
      </c>
    </row>
    <row r="26" spans="1:7" ht="15.75" thickBot="1" x14ac:dyDescent="0.3">
      <c r="A26" s="11"/>
      <c r="B26" s="24"/>
      <c r="C26" s="12"/>
      <c r="D26" s="22"/>
      <c r="E26" s="26"/>
      <c r="F26" s="25"/>
    </row>
    <row r="27" spans="1:7" ht="15.75" thickBot="1" x14ac:dyDescent="0.3">
      <c r="A27" s="29" t="s">
        <v>38</v>
      </c>
      <c r="B27" s="30" t="s">
        <v>39</v>
      </c>
      <c r="C27" s="31"/>
      <c r="D27" s="32"/>
      <c r="E27" s="33"/>
      <c r="F27" s="25"/>
    </row>
    <row r="28" spans="1:7" ht="15.75" thickBot="1" x14ac:dyDescent="0.3">
      <c r="A28" s="11" t="s">
        <v>40</v>
      </c>
      <c r="B28" s="24" t="s">
        <v>41</v>
      </c>
      <c r="C28" s="12" t="s">
        <v>42</v>
      </c>
      <c r="D28" s="22">
        <v>20000</v>
      </c>
      <c r="E28" s="26">
        <f>'Custos unit_implant. serviços'!G57</f>
        <v>2.97</v>
      </c>
      <c r="F28" s="25">
        <f t="shared" ref="F28:F45" si="1">ROUND(E28*D28,2)</f>
        <v>59400</v>
      </c>
    </row>
    <row r="29" spans="1:7" ht="15.75" thickBot="1" x14ac:dyDescent="0.3">
      <c r="A29" s="11"/>
      <c r="B29" s="24"/>
      <c r="C29" s="12"/>
      <c r="D29" s="18"/>
      <c r="E29" s="26"/>
      <c r="F29" s="25"/>
    </row>
    <row r="30" spans="1:7" ht="15.75" thickBot="1" x14ac:dyDescent="0.3">
      <c r="A30" s="27" t="s">
        <v>43</v>
      </c>
      <c r="B30" s="34" t="s">
        <v>44</v>
      </c>
      <c r="C30" s="26"/>
      <c r="D30" s="18"/>
      <c r="E30" s="26"/>
      <c r="F30" s="25"/>
    </row>
    <row r="31" spans="1:7" ht="26.25" thickBot="1" x14ac:dyDescent="0.3">
      <c r="A31" s="11" t="s">
        <v>45</v>
      </c>
      <c r="B31" s="24" t="s">
        <v>46</v>
      </c>
      <c r="C31" s="12" t="s">
        <v>35</v>
      </c>
      <c r="D31" s="22">
        <v>50000</v>
      </c>
      <c r="E31" s="26">
        <f>'Custos unit_implant. serviços'!G41</f>
        <v>2.36</v>
      </c>
      <c r="F31" s="25">
        <f t="shared" si="1"/>
        <v>118000</v>
      </c>
      <c r="G31" s="35"/>
    </row>
    <row r="32" spans="1:7" ht="26.25" thickBot="1" x14ac:dyDescent="0.3">
      <c r="A32" s="11" t="s">
        <v>47</v>
      </c>
      <c r="B32" s="24" t="s">
        <v>48</v>
      </c>
      <c r="C32" s="12" t="s">
        <v>35</v>
      </c>
      <c r="D32" s="22">
        <v>50000</v>
      </c>
      <c r="E32" s="26">
        <f>'Custos unit_implant. serviços'!G48</f>
        <v>15.44</v>
      </c>
      <c r="F32" s="25">
        <f t="shared" si="1"/>
        <v>772000</v>
      </c>
      <c r="G32" s="35"/>
    </row>
    <row r="33" spans="1:8" ht="15.75" thickBot="1" x14ac:dyDescent="0.3">
      <c r="A33" s="11"/>
      <c r="B33" s="24"/>
      <c r="C33" s="26"/>
      <c r="D33" s="18"/>
      <c r="E33" s="26"/>
      <c r="F33" s="25"/>
    </row>
    <row r="34" spans="1:8" ht="15.75" thickBot="1" x14ac:dyDescent="0.3">
      <c r="A34" s="27" t="s">
        <v>49</v>
      </c>
      <c r="B34" s="34" t="s">
        <v>50</v>
      </c>
      <c r="C34" s="26"/>
      <c r="D34" s="18"/>
      <c r="E34" s="26"/>
      <c r="F34" s="25"/>
    </row>
    <row r="35" spans="1:8" ht="15.75" thickBot="1" x14ac:dyDescent="0.3">
      <c r="A35" s="11" t="s">
        <v>51</v>
      </c>
      <c r="B35" s="24" t="s">
        <v>52</v>
      </c>
      <c r="C35" s="12" t="s">
        <v>35</v>
      </c>
      <c r="D35" s="18">
        <v>300</v>
      </c>
      <c r="E35" s="26">
        <f>'Custos unit_implant. serviços'!G65</f>
        <v>603.88</v>
      </c>
      <c r="F35" s="25">
        <f t="shared" si="1"/>
        <v>181164</v>
      </c>
    </row>
    <row r="36" spans="1:8" ht="15.75" thickBot="1" x14ac:dyDescent="0.3">
      <c r="A36" s="11"/>
      <c r="B36" s="24"/>
      <c r="C36" s="26"/>
      <c r="D36" s="18"/>
      <c r="E36" s="26"/>
      <c r="F36" s="25"/>
    </row>
    <row r="37" spans="1:8" ht="15.75" thickBot="1" x14ac:dyDescent="0.3">
      <c r="A37" s="27" t="s">
        <v>53</v>
      </c>
      <c r="B37" s="212" t="s">
        <v>54</v>
      </c>
      <c r="C37" s="217"/>
      <c r="D37" s="217"/>
      <c r="E37" s="36"/>
      <c r="F37" s="25"/>
    </row>
    <row r="38" spans="1:8" ht="15.75" thickBot="1" x14ac:dyDescent="0.3">
      <c r="A38" s="11"/>
      <c r="B38" s="24"/>
      <c r="C38" s="26"/>
      <c r="D38" s="26"/>
      <c r="E38" s="26"/>
      <c r="F38" s="25"/>
    </row>
    <row r="39" spans="1:8" ht="15.75" thickBot="1" x14ac:dyDescent="0.3">
      <c r="A39" s="11" t="s">
        <v>55</v>
      </c>
      <c r="B39" s="24" t="s">
        <v>56</v>
      </c>
      <c r="C39" s="12" t="s">
        <v>42</v>
      </c>
      <c r="D39" s="18">
        <v>66</v>
      </c>
      <c r="E39" s="28">
        <f>'Custos unit_implant. serviços'!G145</f>
        <v>235.292</v>
      </c>
      <c r="F39" s="25">
        <f t="shared" si="1"/>
        <v>15529.27</v>
      </c>
    </row>
    <row r="40" spans="1:8" ht="15.75" thickBot="1" x14ac:dyDescent="0.3">
      <c r="A40" s="11" t="s">
        <v>57</v>
      </c>
      <c r="B40" s="24" t="s">
        <v>58</v>
      </c>
      <c r="C40" s="12" t="s">
        <v>42</v>
      </c>
      <c r="D40" s="18">
        <v>68</v>
      </c>
      <c r="E40" s="28">
        <f>'Custos unit_implant. serviços'!G152</f>
        <v>450.12279999999998</v>
      </c>
      <c r="F40" s="25">
        <f t="shared" si="1"/>
        <v>30608.35</v>
      </c>
    </row>
    <row r="41" spans="1:8" ht="15.75" thickBot="1" x14ac:dyDescent="0.3">
      <c r="A41" s="11" t="s">
        <v>59</v>
      </c>
      <c r="B41" s="24" t="s">
        <v>60</v>
      </c>
      <c r="C41" s="12" t="s">
        <v>42</v>
      </c>
      <c r="D41" s="18">
        <v>44</v>
      </c>
      <c r="E41" s="28">
        <f>'Custos unit_implant. serviços'!G159</f>
        <v>569.23199999999997</v>
      </c>
      <c r="F41" s="25">
        <f t="shared" si="1"/>
        <v>25046.21</v>
      </c>
    </row>
    <row r="42" spans="1:8" ht="15.75" thickBot="1" x14ac:dyDescent="0.3">
      <c r="A42" s="11"/>
      <c r="B42" s="24"/>
      <c r="C42" s="12"/>
      <c r="D42" s="18"/>
      <c r="E42" s="26"/>
      <c r="F42" s="25"/>
    </row>
    <row r="43" spans="1:8" ht="15.75" thickBot="1" x14ac:dyDescent="0.3">
      <c r="A43" s="11" t="s">
        <v>61</v>
      </c>
      <c r="B43" s="24" t="s">
        <v>62</v>
      </c>
      <c r="C43" s="12" t="s">
        <v>42</v>
      </c>
      <c r="D43" s="18">
        <v>66</v>
      </c>
      <c r="E43" s="28">
        <f>'Custos unit_implant. serviços'!G88</f>
        <v>161.95517952366413</v>
      </c>
      <c r="F43" s="25">
        <f t="shared" si="1"/>
        <v>10689.04</v>
      </c>
    </row>
    <row r="44" spans="1:8" ht="15.75" thickBot="1" x14ac:dyDescent="0.3">
      <c r="A44" s="11" t="s">
        <v>63</v>
      </c>
      <c r="B44" s="24" t="s">
        <v>64</v>
      </c>
      <c r="C44" s="12" t="s">
        <v>65</v>
      </c>
      <c r="D44" s="18">
        <v>68</v>
      </c>
      <c r="E44" s="28">
        <f>'Custos unit_implant. serviços'!G106</f>
        <v>166.78453152366413</v>
      </c>
      <c r="F44" s="25">
        <f t="shared" si="1"/>
        <v>11341.35</v>
      </c>
    </row>
    <row r="45" spans="1:8" ht="15.75" thickBot="1" x14ac:dyDescent="0.3">
      <c r="A45" s="11" t="s">
        <v>66</v>
      </c>
      <c r="B45" s="24" t="s">
        <v>67</v>
      </c>
      <c r="C45" s="12" t="s">
        <v>42</v>
      </c>
      <c r="D45" s="18">
        <v>44</v>
      </c>
      <c r="E45" s="28">
        <f>'Custos unit_implant. serviços'!G124</f>
        <v>169.12999552366412</v>
      </c>
      <c r="F45" s="25">
        <f t="shared" si="1"/>
        <v>7441.72</v>
      </c>
    </row>
    <row r="46" spans="1:8" ht="15.75" thickBot="1" x14ac:dyDescent="0.3">
      <c r="A46" s="11"/>
      <c r="B46" s="24"/>
      <c r="C46" s="12"/>
      <c r="D46" s="26"/>
      <c r="E46" s="26"/>
      <c r="F46" s="26"/>
    </row>
    <row r="47" spans="1:8" ht="16.5" thickBot="1" x14ac:dyDescent="0.3">
      <c r="A47" s="208" t="s">
        <v>68</v>
      </c>
      <c r="B47" s="209"/>
      <c r="C47" s="37"/>
      <c r="D47" s="37"/>
      <c r="E47" s="38"/>
      <c r="F47" s="39">
        <f>SUM(F11:F45)</f>
        <v>2256936.0300000003</v>
      </c>
    </row>
    <row r="48" spans="1:8" x14ac:dyDescent="0.25">
      <c r="H48" s="35"/>
    </row>
  </sheetData>
  <mergeCells count="7">
    <mergeCell ref="A47:B47"/>
    <mergeCell ref="A2:F2"/>
    <mergeCell ref="A3:F3"/>
    <mergeCell ref="A4:F4"/>
    <mergeCell ref="E8:F8"/>
    <mergeCell ref="B23:D23"/>
    <mergeCell ref="B37:D37"/>
  </mergeCells>
  <pageMargins left="0.51181102362204722" right="0.51181102362204722" top="0.78740157480314965" bottom="0.78740157480314965" header="0.31496062992125984" footer="0.31496062992125984"/>
  <pageSetup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6"/>
  <sheetViews>
    <sheetView view="pageBreakPreview" topLeftCell="A133" zoomScale="80" zoomScaleNormal="100" zoomScaleSheetLayoutView="80" workbookViewId="0">
      <selection activeCell="E152" sqref="E152"/>
    </sheetView>
  </sheetViews>
  <sheetFormatPr defaultRowHeight="15" x14ac:dyDescent="0.25"/>
  <cols>
    <col min="1" max="1" width="16" style="178" bestFit="1" customWidth="1"/>
    <col min="2" max="2" width="13.7109375" style="179" customWidth="1"/>
    <col min="3" max="3" width="58.85546875" style="40" customWidth="1"/>
    <col min="4" max="5" width="11.28515625" style="40" customWidth="1"/>
    <col min="6" max="6" width="11.140625" style="40" bestFit="1" customWidth="1"/>
    <col min="7" max="7" width="10" style="40" customWidth="1"/>
    <col min="8" max="9" width="14.5703125" style="40" customWidth="1"/>
    <col min="10" max="10" width="11.140625" style="40" bestFit="1" customWidth="1"/>
    <col min="11" max="257" width="9.140625" style="40"/>
    <col min="258" max="258" width="24.28515625" style="40" bestFit="1" customWidth="1"/>
    <col min="259" max="259" width="58.85546875" style="40" customWidth="1"/>
    <col min="260" max="261" width="11.28515625" style="40" customWidth="1"/>
    <col min="262" max="262" width="11.140625" style="40" bestFit="1" customWidth="1"/>
    <col min="263" max="263" width="10" style="40" customWidth="1"/>
    <col min="264" max="265" width="14.5703125" style="40" customWidth="1"/>
    <col min="266" max="266" width="10.7109375" style="40" customWidth="1"/>
    <col min="267" max="513" width="9.140625" style="40"/>
    <col min="514" max="514" width="24.28515625" style="40" bestFit="1" customWidth="1"/>
    <col min="515" max="515" width="58.85546875" style="40" customWidth="1"/>
    <col min="516" max="517" width="11.28515625" style="40" customWidth="1"/>
    <col min="518" max="518" width="11.140625" style="40" bestFit="1" customWidth="1"/>
    <col min="519" max="519" width="10" style="40" customWidth="1"/>
    <col min="520" max="521" width="14.5703125" style="40" customWidth="1"/>
    <col min="522" max="522" width="10.7109375" style="40" customWidth="1"/>
    <col min="523" max="769" width="9.140625" style="40"/>
    <col min="770" max="770" width="24.28515625" style="40" bestFit="1" customWidth="1"/>
    <col min="771" max="771" width="58.85546875" style="40" customWidth="1"/>
    <col min="772" max="773" width="11.28515625" style="40" customWidth="1"/>
    <col min="774" max="774" width="11.140625" style="40" bestFit="1" customWidth="1"/>
    <col min="775" max="775" width="10" style="40" customWidth="1"/>
    <col min="776" max="777" width="14.5703125" style="40" customWidth="1"/>
    <col min="778" max="778" width="10.7109375" style="40" customWidth="1"/>
    <col min="779" max="1025" width="9.140625" style="40"/>
    <col min="1026" max="1026" width="24.28515625" style="40" bestFit="1" customWidth="1"/>
    <col min="1027" max="1027" width="58.85546875" style="40" customWidth="1"/>
    <col min="1028" max="1029" width="11.28515625" style="40" customWidth="1"/>
    <col min="1030" max="1030" width="11.140625" style="40" bestFit="1" customWidth="1"/>
    <col min="1031" max="1031" width="10" style="40" customWidth="1"/>
    <col min="1032" max="1033" width="14.5703125" style="40" customWidth="1"/>
    <col min="1034" max="1034" width="10.7109375" style="40" customWidth="1"/>
    <col min="1035" max="1281" width="9.140625" style="40"/>
    <col min="1282" max="1282" width="24.28515625" style="40" bestFit="1" customWidth="1"/>
    <col min="1283" max="1283" width="58.85546875" style="40" customWidth="1"/>
    <col min="1284" max="1285" width="11.28515625" style="40" customWidth="1"/>
    <col min="1286" max="1286" width="11.140625" style="40" bestFit="1" customWidth="1"/>
    <col min="1287" max="1287" width="10" style="40" customWidth="1"/>
    <col min="1288" max="1289" width="14.5703125" style="40" customWidth="1"/>
    <col min="1290" max="1290" width="10.7109375" style="40" customWidth="1"/>
    <col min="1291" max="1537" width="9.140625" style="40"/>
    <col min="1538" max="1538" width="24.28515625" style="40" bestFit="1" customWidth="1"/>
    <col min="1539" max="1539" width="58.85546875" style="40" customWidth="1"/>
    <col min="1540" max="1541" width="11.28515625" style="40" customWidth="1"/>
    <col min="1542" max="1542" width="11.140625" style="40" bestFit="1" customWidth="1"/>
    <col min="1543" max="1543" width="10" style="40" customWidth="1"/>
    <col min="1544" max="1545" width="14.5703125" style="40" customWidth="1"/>
    <col min="1546" max="1546" width="10.7109375" style="40" customWidth="1"/>
    <col min="1547" max="1793" width="9.140625" style="40"/>
    <col min="1794" max="1794" width="24.28515625" style="40" bestFit="1" customWidth="1"/>
    <col min="1795" max="1795" width="58.85546875" style="40" customWidth="1"/>
    <col min="1796" max="1797" width="11.28515625" style="40" customWidth="1"/>
    <col min="1798" max="1798" width="11.140625" style="40" bestFit="1" customWidth="1"/>
    <col min="1799" max="1799" width="10" style="40" customWidth="1"/>
    <col min="1800" max="1801" width="14.5703125" style="40" customWidth="1"/>
    <col min="1802" max="1802" width="10.7109375" style="40" customWidth="1"/>
    <col min="1803" max="2049" width="9.140625" style="40"/>
    <col min="2050" max="2050" width="24.28515625" style="40" bestFit="1" customWidth="1"/>
    <col min="2051" max="2051" width="58.85546875" style="40" customWidth="1"/>
    <col min="2052" max="2053" width="11.28515625" style="40" customWidth="1"/>
    <col min="2054" max="2054" width="11.140625" style="40" bestFit="1" customWidth="1"/>
    <col min="2055" max="2055" width="10" style="40" customWidth="1"/>
    <col min="2056" max="2057" width="14.5703125" style="40" customWidth="1"/>
    <col min="2058" max="2058" width="10.7109375" style="40" customWidth="1"/>
    <col min="2059" max="2305" width="9.140625" style="40"/>
    <col min="2306" max="2306" width="24.28515625" style="40" bestFit="1" customWidth="1"/>
    <col min="2307" max="2307" width="58.85546875" style="40" customWidth="1"/>
    <col min="2308" max="2309" width="11.28515625" style="40" customWidth="1"/>
    <col min="2310" max="2310" width="11.140625" style="40" bestFit="1" customWidth="1"/>
    <col min="2311" max="2311" width="10" style="40" customWidth="1"/>
    <col min="2312" max="2313" width="14.5703125" style="40" customWidth="1"/>
    <col min="2314" max="2314" width="10.7109375" style="40" customWidth="1"/>
    <col min="2315" max="2561" width="9.140625" style="40"/>
    <col min="2562" max="2562" width="24.28515625" style="40" bestFit="1" customWidth="1"/>
    <col min="2563" max="2563" width="58.85546875" style="40" customWidth="1"/>
    <col min="2564" max="2565" width="11.28515625" style="40" customWidth="1"/>
    <col min="2566" max="2566" width="11.140625" style="40" bestFit="1" customWidth="1"/>
    <col min="2567" max="2567" width="10" style="40" customWidth="1"/>
    <col min="2568" max="2569" width="14.5703125" style="40" customWidth="1"/>
    <col min="2570" max="2570" width="10.7109375" style="40" customWidth="1"/>
    <col min="2571" max="2817" width="9.140625" style="40"/>
    <col min="2818" max="2818" width="24.28515625" style="40" bestFit="1" customWidth="1"/>
    <col min="2819" max="2819" width="58.85546875" style="40" customWidth="1"/>
    <col min="2820" max="2821" width="11.28515625" style="40" customWidth="1"/>
    <col min="2822" max="2822" width="11.140625" style="40" bestFit="1" customWidth="1"/>
    <col min="2823" max="2823" width="10" style="40" customWidth="1"/>
    <col min="2824" max="2825" width="14.5703125" style="40" customWidth="1"/>
    <col min="2826" max="2826" width="10.7109375" style="40" customWidth="1"/>
    <col min="2827" max="3073" width="9.140625" style="40"/>
    <col min="3074" max="3074" width="24.28515625" style="40" bestFit="1" customWidth="1"/>
    <col min="3075" max="3075" width="58.85546875" style="40" customWidth="1"/>
    <col min="3076" max="3077" width="11.28515625" style="40" customWidth="1"/>
    <col min="3078" max="3078" width="11.140625" style="40" bestFit="1" customWidth="1"/>
    <col min="3079" max="3079" width="10" style="40" customWidth="1"/>
    <col min="3080" max="3081" width="14.5703125" style="40" customWidth="1"/>
    <col min="3082" max="3082" width="10.7109375" style="40" customWidth="1"/>
    <col min="3083" max="3329" width="9.140625" style="40"/>
    <col min="3330" max="3330" width="24.28515625" style="40" bestFit="1" customWidth="1"/>
    <col min="3331" max="3331" width="58.85546875" style="40" customWidth="1"/>
    <col min="3332" max="3333" width="11.28515625" style="40" customWidth="1"/>
    <col min="3334" max="3334" width="11.140625" style="40" bestFit="1" customWidth="1"/>
    <col min="3335" max="3335" width="10" style="40" customWidth="1"/>
    <col min="3336" max="3337" width="14.5703125" style="40" customWidth="1"/>
    <col min="3338" max="3338" width="10.7109375" style="40" customWidth="1"/>
    <col min="3339" max="3585" width="9.140625" style="40"/>
    <col min="3586" max="3586" width="24.28515625" style="40" bestFit="1" customWidth="1"/>
    <col min="3587" max="3587" width="58.85546875" style="40" customWidth="1"/>
    <col min="3588" max="3589" width="11.28515625" style="40" customWidth="1"/>
    <col min="3590" max="3590" width="11.140625" style="40" bestFit="1" customWidth="1"/>
    <col min="3591" max="3591" width="10" style="40" customWidth="1"/>
    <col min="3592" max="3593" width="14.5703125" style="40" customWidth="1"/>
    <col min="3594" max="3594" width="10.7109375" style="40" customWidth="1"/>
    <col min="3595" max="3841" width="9.140625" style="40"/>
    <col min="3842" max="3842" width="24.28515625" style="40" bestFit="1" customWidth="1"/>
    <col min="3843" max="3843" width="58.85546875" style="40" customWidth="1"/>
    <col min="3844" max="3845" width="11.28515625" style="40" customWidth="1"/>
    <col min="3846" max="3846" width="11.140625" style="40" bestFit="1" customWidth="1"/>
    <col min="3847" max="3847" width="10" style="40" customWidth="1"/>
    <col min="3848" max="3849" width="14.5703125" style="40" customWidth="1"/>
    <col min="3850" max="3850" width="10.7109375" style="40" customWidth="1"/>
    <col min="3851" max="4097" width="9.140625" style="40"/>
    <col min="4098" max="4098" width="24.28515625" style="40" bestFit="1" customWidth="1"/>
    <col min="4099" max="4099" width="58.85546875" style="40" customWidth="1"/>
    <col min="4100" max="4101" width="11.28515625" style="40" customWidth="1"/>
    <col min="4102" max="4102" width="11.140625" style="40" bestFit="1" customWidth="1"/>
    <col min="4103" max="4103" width="10" style="40" customWidth="1"/>
    <col min="4104" max="4105" width="14.5703125" style="40" customWidth="1"/>
    <col min="4106" max="4106" width="10.7109375" style="40" customWidth="1"/>
    <col min="4107" max="4353" width="9.140625" style="40"/>
    <col min="4354" max="4354" width="24.28515625" style="40" bestFit="1" customWidth="1"/>
    <col min="4355" max="4355" width="58.85546875" style="40" customWidth="1"/>
    <col min="4356" max="4357" width="11.28515625" style="40" customWidth="1"/>
    <col min="4358" max="4358" width="11.140625" style="40" bestFit="1" customWidth="1"/>
    <col min="4359" max="4359" width="10" style="40" customWidth="1"/>
    <col min="4360" max="4361" width="14.5703125" style="40" customWidth="1"/>
    <col min="4362" max="4362" width="10.7109375" style="40" customWidth="1"/>
    <col min="4363" max="4609" width="9.140625" style="40"/>
    <col min="4610" max="4610" width="24.28515625" style="40" bestFit="1" customWidth="1"/>
    <col min="4611" max="4611" width="58.85546875" style="40" customWidth="1"/>
    <col min="4612" max="4613" width="11.28515625" style="40" customWidth="1"/>
    <col min="4614" max="4614" width="11.140625" style="40" bestFit="1" customWidth="1"/>
    <col min="4615" max="4615" width="10" style="40" customWidth="1"/>
    <col min="4616" max="4617" width="14.5703125" style="40" customWidth="1"/>
    <col min="4618" max="4618" width="10.7109375" style="40" customWidth="1"/>
    <col min="4619" max="4865" width="9.140625" style="40"/>
    <col min="4866" max="4866" width="24.28515625" style="40" bestFit="1" customWidth="1"/>
    <col min="4867" max="4867" width="58.85546875" style="40" customWidth="1"/>
    <col min="4868" max="4869" width="11.28515625" style="40" customWidth="1"/>
    <col min="4870" max="4870" width="11.140625" style="40" bestFit="1" customWidth="1"/>
    <col min="4871" max="4871" width="10" style="40" customWidth="1"/>
    <col min="4872" max="4873" width="14.5703125" style="40" customWidth="1"/>
    <col min="4874" max="4874" width="10.7109375" style="40" customWidth="1"/>
    <col min="4875" max="5121" width="9.140625" style="40"/>
    <col min="5122" max="5122" width="24.28515625" style="40" bestFit="1" customWidth="1"/>
    <col min="5123" max="5123" width="58.85546875" style="40" customWidth="1"/>
    <col min="5124" max="5125" width="11.28515625" style="40" customWidth="1"/>
    <col min="5126" max="5126" width="11.140625" style="40" bestFit="1" customWidth="1"/>
    <col min="5127" max="5127" width="10" style="40" customWidth="1"/>
    <col min="5128" max="5129" width="14.5703125" style="40" customWidth="1"/>
    <col min="5130" max="5130" width="10.7109375" style="40" customWidth="1"/>
    <col min="5131" max="5377" width="9.140625" style="40"/>
    <col min="5378" max="5378" width="24.28515625" style="40" bestFit="1" customWidth="1"/>
    <col min="5379" max="5379" width="58.85546875" style="40" customWidth="1"/>
    <col min="5380" max="5381" width="11.28515625" style="40" customWidth="1"/>
    <col min="5382" max="5382" width="11.140625" style="40" bestFit="1" customWidth="1"/>
    <col min="5383" max="5383" width="10" style="40" customWidth="1"/>
    <col min="5384" max="5385" width="14.5703125" style="40" customWidth="1"/>
    <col min="5386" max="5386" width="10.7109375" style="40" customWidth="1"/>
    <col min="5387" max="5633" width="9.140625" style="40"/>
    <col min="5634" max="5634" width="24.28515625" style="40" bestFit="1" customWidth="1"/>
    <col min="5635" max="5635" width="58.85546875" style="40" customWidth="1"/>
    <col min="5636" max="5637" width="11.28515625" style="40" customWidth="1"/>
    <col min="5638" max="5638" width="11.140625" style="40" bestFit="1" customWidth="1"/>
    <col min="5639" max="5639" width="10" style="40" customWidth="1"/>
    <col min="5640" max="5641" width="14.5703125" style="40" customWidth="1"/>
    <col min="5642" max="5642" width="10.7109375" style="40" customWidth="1"/>
    <col min="5643" max="5889" width="9.140625" style="40"/>
    <col min="5890" max="5890" width="24.28515625" style="40" bestFit="1" customWidth="1"/>
    <col min="5891" max="5891" width="58.85546875" style="40" customWidth="1"/>
    <col min="5892" max="5893" width="11.28515625" style="40" customWidth="1"/>
    <col min="5894" max="5894" width="11.140625" style="40" bestFit="1" customWidth="1"/>
    <col min="5895" max="5895" width="10" style="40" customWidth="1"/>
    <col min="5896" max="5897" width="14.5703125" style="40" customWidth="1"/>
    <col min="5898" max="5898" width="10.7109375" style="40" customWidth="1"/>
    <col min="5899" max="6145" width="9.140625" style="40"/>
    <col min="6146" max="6146" width="24.28515625" style="40" bestFit="1" customWidth="1"/>
    <col min="6147" max="6147" width="58.85546875" style="40" customWidth="1"/>
    <col min="6148" max="6149" width="11.28515625" style="40" customWidth="1"/>
    <col min="6150" max="6150" width="11.140625" style="40" bestFit="1" customWidth="1"/>
    <col min="6151" max="6151" width="10" style="40" customWidth="1"/>
    <col min="6152" max="6153" width="14.5703125" style="40" customWidth="1"/>
    <col min="6154" max="6154" width="10.7109375" style="40" customWidth="1"/>
    <col min="6155" max="6401" width="9.140625" style="40"/>
    <col min="6402" max="6402" width="24.28515625" style="40" bestFit="1" customWidth="1"/>
    <col min="6403" max="6403" width="58.85546875" style="40" customWidth="1"/>
    <col min="6404" max="6405" width="11.28515625" style="40" customWidth="1"/>
    <col min="6406" max="6406" width="11.140625" style="40" bestFit="1" customWidth="1"/>
    <col min="6407" max="6407" width="10" style="40" customWidth="1"/>
    <col min="6408" max="6409" width="14.5703125" style="40" customWidth="1"/>
    <col min="6410" max="6410" width="10.7109375" style="40" customWidth="1"/>
    <col min="6411" max="6657" width="9.140625" style="40"/>
    <col min="6658" max="6658" width="24.28515625" style="40" bestFit="1" customWidth="1"/>
    <col min="6659" max="6659" width="58.85546875" style="40" customWidth="1"/>
    <col min="6660" max="6661" width="11.28515625" style="40" customWidth="1"/>
    <col min="6662" max="6662" width="11.140625" style="40" bestFit="1" customWidth="1"/>
    <col min="6663" max="6663" width="10" style="40" customWidth="1"/>
    <col min="6664" max="6665" width="14.5703125" style="40" customWidth="1"/>
    <col min="6666" max="6666" width="10.7109375" style="40" customWidth="1"/>
    <col min="6667" max="6913" width="9.140625" style="40"/>
    <col min="6914" max="6914" width="24.28515625" style="40" bestFit="1" customWidth="1"/>
    <col min="6915" max="6915" width="58.85546875" style="40" customWidth="1"/>
    <col min="6916" max="6917" width="11.28515625" style="40" customWidth="1"/>
    <col min="6918" max="6918" width="11.140625" style="40" bestFit="1" customWidth="1"/>
    <col min="6919" max="6919" width="10" style="40" customWidth="1"/>
    <col min="6920" max="6921" width="14.5703125" style="40" customWidth="1"/>
    <col min="6922" max="6922" width="10.7109375" style="40" customWidth="1"/>
    <col min="6923" max="7169" width="9.140625" style="40"/>
    <col min="7170" max="7170" width="24.28515625" style="40" bestFit="1" customWidth="1"/>
    <col min="7171" max="7171" width="58.85546875" style="40" customWidth="1"/>
    <col min="7172" max="7173" width="11.28515625" style="40" customWidth="1"/>
    <col min="7174" max="7174" width="11.140625" style="40" bestFit="1" customWidth="1"/>
    <col min="7175" max="7175" width="10" style="40" customWidth="1"/>
    <col min="7176" max="7177" width="14.5703125" style="40" customWidth="1"/>
    <col min="7178" max="7178" width="10.7109375" style="40" customWidth="1"/>
    <col min="7179" max="7425" width="9.140625" style="40"/>
    <col min="7426" max="7426" width="24.28515625" style="40" bestFit="1" customWidth="1"/>
    <col min="7427" max="7427" width="58.85546875" style="40" customWidth="1"/>
    <col min="7428" max="7429" width="11.28515625" style="40" customWidth="1"/>
    <col min="7430" max="7430" width="11.140625" style="40" bestFit="1" customWidth="1"/>
    <col min="7431" max="7431" width="10" style="40" customWidth="1"/>
    <col min="7432" max="7433" width="14.5703125" style="40" customWidth="1"/>
    <col min="7434" max="7434" width="10.7109375" style="40" customWidth="1"/>
    <col min="7435" max="7681" width="9.140625" style="40"/>
    <col min="7682" max="7682" width="24.28515625" style="40" bestFit="1" customWidth="1"/>
    <col min="7683" max="7683" width="58.85546875" style="40" customWidth="1"/>
    <col min="7684" max="7685" width="11.28515625" style="40" customWidth="1"/>
    <col min="7686" max="7686" width="11.140625" style="40" bestFit="1" customWidth="1"/>
    <col min="7687" max="7687" width="10" style="40" customWidth="1"/>
    <col min="7688" max="7689" width="14.5703125" style="40" customWidth="1"/>
    <col min="7690" max="7690" width="10.7109375" style="40" customWidth="1"/>
    <col min="7691" max="7937" width="9.140625" style="40"/>
    <col min="7938" max="7938" width="24.28515625" style="40" bestFit="1" customWidth="1"/>
    <col min="7939" max="7939" width="58.85546875" style="40" customWidth="1"/>
    <col min="7940" max="7941" width="11.28515625" style="40" customWidth="1"/>
    <col min="7942" max="7942" width="11.140625" style="40" bestFit="1" customWidth="1"/>
    <col min="7943" max="7943" width="10" style="40" customWidth="1"/>
    <col min="7944" max="7945" width="14.5703125" style="40" customWidth="1"/>
    <col min="7946" max="7946" width="10.7109375" style="40" customWidth="1"/>
    <col min="7947" max="8193" width="9.140625" style="40"/>
    <col min="8194" max="8194" width="24.28515625" style="40" bestFit="1" customWidth="1"/>
    <col min="8195" max="8195" width="58.85546875" style="40" customWidth="1"/>
    <col min="8196" max="8197" width="11.28515625" style="40" customWidth="1"/>
    <col min="8198" max="8198" width="11.140625" style="40" bestFit="1" customWidth="1"/>
    <col min="8199" max="8199" width="10" style="40" customWidth="1"/>
    <col min="8200" max="8201" width="14.5703125" style="40" customWidth="1"/>
    <col min="8202" max="8202" width="10.7109375" style="40" customWidth="1"/>
    <col min="8203" max="8449" width="9.140625" style="40"/>
    <col min="8450" max="8450" width="24.28515625" style="40" bestFit="1" customWidth="1"/>
    <col min="8451" max="8451" width="58.85546875" style="40" customWidth="1"/>
    <col min="8452" max="8453" width="11.28515625" style="40" customWidth="1"/>
    <col min="8454" max="8454" width="11.140625" style="40" bestFit="1" customWidth="1"/>
    <col min="8455" max="8455" width="10" style="40" customWidth="1"/>
    <col min="8456" max="8457" width="14.5703125" style="40" customWidth="1"/>
    <col min="8458" max="8458" width="10.7109375" style="40" customWidth="1"/>
    <col min="8459" max="8705" width="9.140625" style="40"/>
    <col min="8706" max="8706" width="24.28515625" style="40" bestFit="1" customWidth="1"/>
    <col min="8707" max="8707" width="58.85546875" style="40" customWidth="1"/>
    <col min="8708" max="8709" width="11.28515625" style="40" customWidth="1"/>
    <col min="8710" max="8710" width="11.140625" style="40" bestFit="1" customWidth="1"/>
    <col min="8711" max="8711" width="10" style="40" customWidth="1"/>
    <col min="8712" max="8713" width="14.5703125" style="40" customWidth="1"/>
    <col min="8714" max="8714" width="10.7109375" style="40" customWidth="1"/>
    <col min="8715" max="8961" width="9.140625" style="40"/>
    <col min="8962" max="8962" width="24.28515625" style="40" bestFit="1" customWidth="1"/>
    <col min="8963" max="8963" width="58.85546875" style="40" customWidth="1"/>
    <col min="8964" max="8965" width="11.28515625" style="40" customWidth="1"/>
    <col min="8966" max="8966" width="11.140625" style="40" bestFit="1" customWidth="1"/>
    <col min="8967" max="8967" width="10" style="40" customWidth="1"/>
    <col min="8968" max="8969" width="14.5703125" style="40" customWidth="1"/>
    <col min="8970" max="8970" width="10.7109375" style="40" customWidth="1"/>
    <col min="8971" max="9217" width="9.140625" style="40"/>
    <col min="9218" max="9218" width="24.28515625" style="40" bestFit="1" customWidth="1"/>
    <col min="9219" max="9219" width="58.85546875" style="40" customWidth="1"/>
    <col min="9220" max="9221" width="11.28515625" style="40" customWidth="1"/>
    <col min="9222" max="9222" width="11.140625" style="40" bestFit="1" customWidth="1"/>
    <col min="9223" max="9223" width="10" style="40" customWidth="1"/>
    <col min="9224" max="9225" width="14.5703125" style="40" customWidth="1"/>
    <col min="9226" max="9226" width="10.7109375" style="40" customWidth="1"/>
    <col min="9227" max="9473" width="9.140625" style="40"/>
    <col min="9474" max="9474" width="24.28515625" style="40" bestFit="1" customWidth="1"/>
    <col min="9475" max="9475" width="58.85546875" style="40" customWidth="1"/>
    <col min="9476" max="9477" width="11.28515625" style="40" customWidth="1"/>
    <col min="9478" max="9478" width="11.140625" style="40" bestFit="1" customWidth="1"/>
    <col min="9479" max="9479" width="10" style="40" customWidth="1"/>
    <col min="9480" max="9481" width="14.5703125" style="40" customWidth="1"/>
    <col min="9482" max="9482" width="10.7109375" style="40" customWidth="1"/>
    <col min="9483" max="9729" width="9.140625" style="40"/>
    <col min="9730" max="9730" width="24.28515625" style="40" bestFit="1" customWidth="1"/>
    <col min="9731" max="9731" width="58.85546875" style="40" customWidth="1"/>
    <col min="9732" max="9733" width="11.28515625" style="40" customWidth="1"/>
    <col min="9734" max="9734" width="11.140625" style="40" bestFit="1" customWidth="1"/>
    <col min="9735" max="9735" width="10" style="40" customWidth="1"/>
    <col min="9736" max="9737" width="14.5703125" style="40" customWidth="1"/>
    <col min="9738" max="9738" width="10.7109375" style="40" customWidth="1"/>
    <col min="9739" max="9985" width="9.140625" style="40"/>
    <col min="9986" max="9986" width="24.28515625" style="40" bestFit="1" customWidth="1"/>
    <col min="9987" max="9987" width="58.85546875" style="40" customWidth="1"/>
    <col min="9988" max="9989" width="11.28515625" style="40" customWidth="1"/>
    <col min="9990" max="9990" width="11.140625" style="40" bestFit="1" customWidth="1"/>
    <col min="9991" max="9991" width="10" style="40" customWidth="1"/>
    <col min="9992" max="9993" width="14.5703125" style="40" customWidth="1"/>
    <col min="9994" max="9994" width="10.7109375" style="40" customWidth="1"/>
    <col min="9995" max="10241" width="9.140625" style="40"/>
    <col min="10242" max="10242" width="24.28515625" style="40" bestFit="1" customWidth="1"/>
    <col min="10243" max="10243" width="58.85546875" style="40" customWidth="1"/>
    <col min="10244" max="10245" width="11.28515625" style="40" customWidth="1"/>
    <col min="10246" max="10246" width="11.140625" style="40" bestFit="1" customWidth="1"/>
    <col min="10247" max="10247" width="10" style="40" customWidth="1"/>
    <col min="10248" max="10249" width="14.5703125" style="40" customWidth="1"/>
    <col min="10250" max="10250" width="10.7109375" style="40" customWidth="1"/>
    <col min="10251" max="10497" width="9.140625" style="40"/>
    <col min="10498" max="10498" width="24.28515625" style="40" bestFit="1" customWidth="1"/>
    <col min="10499" max="10499" width="58.85546875" style="40" customWidth="1"/>
    <col min="10500" max="10501" width="11.28515625" style="40" customWidth="1"/>
    <col min="10502" max="10502" width="11.140625" style="40" bestFit="1" customWidth="1"/>
    <col min="10503" max="10503" width="10" style="40" customWidth="1"/>
    <col min="10504" max="10505" width="14.5703125" style="40" customWidth="1"/>
    <col min="10506" max="10506" width="10.7109375" style="40" customWidth="1"/>
    <col min="10507" max="10753" width="9.140625" style="40"/>
    <col min="10754" max="10754" width="24.28515625" style="40" bestFit="1" customWidth="1"/>
    <col min="10755" max="10755" width="58.85546875" style="40" customWidth="1"/>
    <col min="10756" max="10757" width="11.28515625" style="40" customWidth="1"/>
    <col min="10758" max="10758" width="11.140625" style="40" bestFit="1" customWidth="1"/>
    <col min="10759" max="10759" width="10" style="40" customWidth="1"/>
    <col min="10760" max="10761" width="14.5703125" style="40" customWidth="1"/>
    <col min="10762" max="10762" width="10.7109375" style="40" customWidth="1"/>
    <col min="10763" max="11009" width="9.140625" style="40"/>
    <col min="11010" max="11010" width="24.28515625" style="40" bestFit="1" customWidth="1"/>
    <col min="11011" max="11011" width="58.85546875" style="40" customWidth="1"/>
    <col min="11012" max="11013" width="11.28515625" style="40" customWidth="1"/>
    <col min="11014" max="11014" width="11.140625" style="40" bestFit="1" customWidth="1"/>
    <col min="11015" max="11015" width="10" style="40" customWidth="1"/>
    <col min="11016" max="11017" width="14.5703125" style="40" customWidth="1"/>
    <col min="11018" max="11018" width="10.7109375" style="40" customWidth="1"/>
    <col min="11019" max="11265" width="9.140625" style="40"/>
    <col min="11266" max="11266" width="24.28515625" style="40" bestFit="1" customWidth="1"/>
    <col min="11267" max="11267" width="58.85546875" style="40" customWidth="1"/>
    <col min="11268" max="11269" width="11.28515625" style="40" customWidth="1"/>
    <col min="11270" max="11270" width="11.140625" style="40" bestFit="1" customWidth="1"/>
    <col min="11271" max="11271" width="10" style="40" customWidth="1"/>
    <col min="11272" max="11273" width="14.5703125" style="40" customWidth="1"/>
    <col min="11274" max="11274" width="10.7109375" style="40" customWidth="1"/>
    <col min="11275" max="11521" width="9.140625" style="40"/>
    <col min="11522" max="11522" width="24.28515625" style="40" bestFit="1" customWidth="1"/>
    <col min="11523" max="11523" width="58.85546875" style="40" customWidth="1"/>
    <col min="11524" max="11525" width="11.28515625" style="40" customWidth="1"/>
    <col min="11526" max="11526" width="11.140625" style="40" bestFit="1" customWidth="1"/>
    <col min="11527" max="11527" width="10" style="40" customWidth="1"/>
    <col min="11528" max="11529" width="14.5703125" style="40" customWidth="1"/>
    <col min="11530" max="11530" width="10.7109375" style="40" customWidth="1"/>
    <col min="11531" max="11777" width="9.140625" style="40"/>
    <col min="11778" max="11778" width="24.28515625" style="40" bestFit="1" customWidth="1"/>
    <col min="11779" max="11779" width="58.85546875" style="40" customWidth="1"/>
    <col min="11780" max="11781" width="11.28515625" style="40" customWidth="1"/>
    <col min="11782" max="11782" width="11.140625" style="40" bestFit="1" customWidth="1"/>
    <col min="11783" max="11783" width="10" style="40" customWidth="1"/>
    <col min="11784" max="11785" width="14.5703125" style="40" customWidth="1"/>
    <col min="11786" max="11786" width="10.7109375" style="40" customWidth="1"/>
    <col min="11787" max="12033" width="9.140625" style="40"/>
    <col min="12034" max="12034" width="24.28515625" style="40" bestFit="1" customWidth="1"/>
    <col min="12035" max="12035" width="58.85546875" style="40" customWidth="1"/>
    <col min="12036" max="12037" width="11.28515625" style="40" customWidth="1"/>
    <col min="12038" max="12038" width="11.140625" style="40" bestFit="1" customWidth="1"/>
    <col min="12039" max="12039" width="10" style="40" customWidth="1"/>
    <col min="12040" max="12041" width="14.5703125" style="40" customWidth="1"/>
    <col min="12042" max="12042" width="10.7109375" style="40" customWidth="1"/>
    <col min="12043" max="12289" width="9.140625" style="40"/>
    <col min="12290" max="12290" width="24.28515625" style="40" bestFit="1" customWidth="1"/>
    <col min="12291" max="12291" width="58.85546875" style="40" customWidth="1"/>
    <col min="12292" max="12293" width="11.28515625" style="40" customWidth="1"/>
    <col min="12294" max="12294" width="11.140625" style="40" bestFit="1" customWidth="1"/>
    <col min="12295" max="12295" width="10" style="40" customWidth="1"/>
    <col min="12296" max="12297" width="14.5703125" style="40" customWidth="1"/>
    <col min="12298" max="12298" width="10.7109375" style="40" customWidth="1"/>
    <col min="12299" max="12545" width="9.140625" style="40"/>
    <col min="12546" max="12546" width="24.28515625" style="40" bestFit="1" customWidth="1"/>
    <col min="12547" max="12547" width="58.85546875" style="40" customWidth="1"/>
    <col min="12548" max="12549" width="11.28515625" style="40" customWidth="1"/>
    <col min="12550" max="12550" width="11.140625" style="40" bestFit="1" customWidth="1"/>
    <col min="12551" max="12551" width="10" style="40" customWidth="1"/>
    <col min="12552" max="12553" width="14.5703125" style="40" customWidth="1"/>
    <col min="12554" max="12554" width="10.7109375" style="40" customWidth="1"/>
    <col min="12555" max="12801" width="9.140625" style="40"/>
    <col min="12802" max="12802" width="24.28515625" style="40" bestFit="1" customWidth="1"/>
    <col min="12803" max="12803" width="58.85546875" style="40" customWidth="1"/>
    <col min="12804" max="12805" width="11.28515625" style="40" customWidth="1"/>
    <col min="12806" max="12806" width="11.140625" style="40" bestFit="1" customWidth="1"/>
    <col min="12807" max="12807" width="10" style="40" customWidth="1"/>
    <col min="12808" max="12809" width="14.5703125" style="40" customWidth="1"/>
    <col min="12810" max="12810" width="10.7109375" style="40" customWidth="1"/>
    <col min="12811" max="13057" width="9.140625" style="40"/>
    <col min="13058" max="13058" width="24.28515625" style="40" bestFit="1" customWidth="1"/>
    <col min="13059" max="13059" width="58.85546875" style="40" customWidth="1"/>
    <col min="13060" max="13061" width="11.28515625" style="40" customWidth="1"/>
    <col min="13062" max="13062" width="11.140625" style="40" bestFit="1" customWidth="1"/>
    <col min="13063" max="13063" width="10" style="40" customWidth="1"/>
    <col min="13064" max="13065" width="14.5703125" style="40" customWidth="1"/>
    <col min="13066" max="13066" width="10.7109375" style="40" customWidth="1"/>
    <col min="13067" max="13313" width="9.140625" style="40"/>
    <col min="13314" max="13314" width="24.28515625" style="40" bestFit="1" customWidth="1"/>
    <col min="13315" max="13315" width="58.85546875" style="40" customWidth="1"/>
    <col min="13316" max="13317" width="11.28515625" style="40" customWidth="1"/>
    <col min="13318" max="13318" width="11.140625" style="40" bestFit="1" customWidth="1"/>
    <col min="13319" max="13319" width="10" style="40" customWidth="1"/>
    <col min="13320" max="13321" width="14.5703125" style="40" customWidth="1"/>
    <col min="13322" max="13322" width="10.7109375" style="40" customWidth="1"/>
    <col min="13323" max="13569" width="9.140625" style="40"/>
    <col min="13570" max="13570" width="24.28515625" style="40" bestFit="1" customWidth="1"/>
    <col min="13571" max="13571" width="58.85546875" style="40" customWidth="1"/>
    <col min="13572" max="13573" width="11.28515625" style="40" customWidth="1"/>
    <col min="13574" max="13574" width="11.140625" style="40" bestFit="1" customWidth="1"/>
    <col min="13575" max="13575" width="10" style="40" customWidth="1"/>
    <col min="13576" max="13577" width="14.5703125" style="40" customWidth="1"/>
    <col min="13578" max="13578" width="10.7109375" style="40" customWidth="1"/>
    <col min="13579" max="13825" width="9.140625" style="40"/>
    <col min="13826" max="13826" width="24.28515625" style="40" bestFit="1" customWidth="1"/>
    <col min="13827" max="13827" width="58.85546875" style="40" customWidth="1"/>
    <col min="13828" max="13829" width="11.28515625" style="40" customWidth="1"/>
    <col min="13830" max="13830" width="11.140625" style="40" bestFit="1" customWidth="1"/>
    <col min="13831" max="13831" width="10" style="40" customWidth="1"/>
    <col min="13832" max="13833" width="14.5703125" style="40" customWidth="1"/>
    <col min="13834" max="13834" width="10.7109375" style="40" customWidth="1"/>
    <col min="13835" max="14081" width="9.140625" style="40"/>
    <col min="14082" max="14082" width="24.28515625" style="40" bestFit="1" customWidth="1"/>
    <col min="14083" max="14083" width="58.85546875" style="40" customWidth="1"/>
    <col min="14084" max="14085" width="11.28515625" style="40" customWidth="1"/>
    <col min="14086" max="14086" width="11.140625" style="40" bestFit="1" customWidth="1"/>
    <col min="14087" max="14087" width="10" style="40" customWidth="1"/>
    <col min="14088" max="14089" width="14.5703125" style="40" customWidth="1"/>
    <col min="14090" max="14090" width="10.7109375" style="40" customWidth="1"/>
    <col min="14091" max="14337" width="9.140625" style="40"/>
    <col min="14338" max="14338" width="24.28515625" style="40" bestFit="1" customWidth="1"/>
    <col min="14339" max="14339" width="58.85546875" style="40" customWidth="1"/>
    <col min="14340" max="14341" width="11.28515625" style="40" customWidth="1"/>
    <col min="14342" max="14342" width="11.140625" style="40" bestFit="1" customWidth="1"/>
    <col min="14343" max="14343" width="10" style="40" customWidth="1"/>
    <col min="14344" max="14345" width="14.5703125" style="40" customWidth="1"/>
    <col min="14346" max="14346" width="10.7109375" style="40" customWidth="1"/>
    <col min="14347" max="14593" width="9.140625" style="40"/>
    <col min="14594" max="14594" width="24.28515625" style="40" bestFit="1" customWidth="1"/>
    <col min="14595" max="14595" width="58.85546875" style="40" customWidth="1"/>
    <col min="14596" max="14597" width="11.28515625" style="40" customWidth="1"/>
    <col min="14598" max="14598" width="11.140625" style="40" bestFit="1" customWidth="1"/>
    <col min="14599" max="14599" width="10" style="40" customWidth="1"/>
    <col min="14600" max="14601" width="14.5703125" style="40" customWidth="1"/>
    <col min="14602" max="14602" width="10.7109375" style="40" customWidth="1"/>
    <col min="14603" max="14849" width="9.140625" style="40"/>
    <col min="14850" max="14850" width="24.28515625" style="40" bestFit="1" customWidth="1"/>
    <col min="14851" max="14851" width="58.85546875" style="40" customWidth="1"/>
    <col min="14852" max="14853" width="11.28515625" style="40" customWidth="1"/>
    <col min="14854" max="14854" width="11.140625" style="40" bestFit="1" customWidth="1"/>
    <col min="14855" max="14855" width="10" style="40" customWidth="1"/>
    <col min="14856" max="14857" width="14.5703125" style="40" customWidth="1"/>
    <col min="14858" max="14858" width="10.7109375" style="40" customWidth="1"/>
    <col min="14859" max="15105" width="9.140625" style="40"/>
    <col min="15106" max="15106" width="24.28515625" style="40" bestFit="1" customWidth="1"/>
    <col min="15107" max="15107" width="58.85546875" style="40" customWidth="1"/>
    <col min="15108" max="15109" width="11.28515625" style="40" customWidth="1"/>
    <col min="15110" max="15110" width="11.140625" style="40" bestFit="1" customWidth="1"/>
    <col min="15111" max="15111" width="10" style="40" customWidth="1"/>
    <col min="15112" max="15113" width="14.5703125" style="40" customWidth="1"/>
    <col min="15114" max="15114" width="10.7109375" style="40" customWidth="1"/>
    <col min="15115" max="15361" width="9.140625" style="40"/>
    <col min="15362" max="15362" width="24.28515625" style="40" bestFit="1" customWidth="1"/>
    <col min="15363" max="15363" width="58.85546875" style="40" customWidth="1"/>
    <col min="15364" max="15365" width="11.28515625" style="40" customWidth="1"/>
    <col min="15366" max="15366" width="11.140625" style="40" bestFit="1" customWidth="1"/>
    <col min="15367" max="15367" width="10" style="40" customWidth="1"/>
    <col min="15368" max="15369" width="14.5703125" style="40" customWidth="1"/>
    <col min="15370" max="15370" width="10.7109375" style="40" customWidth="1"/>
    <col min="15371" max="15617" width="9.140625" style="40"/>
    <col min="15618" max="15618" width="24.28515625" style="40" bestFit="1" customWidth="1"/>
    <col min="15619" max="15619" width="58.85546875" style="40" customWidth="1"/>
    <col min="15620" max="15621" width="11.28515625" style="40" customWidth="1"/>
    <col min="15622" max="15622" width="11.140625" style="40" bestFit="1" customWidth="1"/>
    <col min="15623" max="15623" width="10" style="40" customWidth="1"/>
    <col min="15624" max="15625" width="14.5703125" style="40" customWidth="1"/>
    <col min="15626" max="15626" width="10.7109375" style="40" customWidth="1"/>
    <col min="15627" max="15873" width="9.140625" style="40"/>
    <col min="15874" max="15874" width="24.28515625" style="40" bestFit="1" customWidth="1"/>
    <col min="15875" max="15875" width="58.85546875" style="40" customWidth="1"/>
    <col min="15876" max="15877" width="11.28515625" style="40" customWidth="1"/>
    <col min="15878" max="15878" width="11.140625" style="40" bestFit="1" customWidth="1"/>
    <col min="15879" max="15879" width="10" style="40" customWidth="1"/>
    <col min="15880" max="15881" width="14.5703125" style="40" customWidth="1"/>
    <col min="15882" max="15882" width="10.7109375" style="40" customWidth="1"/>
    <col min="15883" max="16129" width="9.140625" style="40"/>
    <col min="16130" max="16130" width="24.28515625" style="40" bestFit="1" customWidth="1"/>
    <col min="16131" max="16131" width="58.85546875" style="40" customWidth="1"/>
    <col min="16132" max="16133" width="11.28515625" style="40" customWidth="1"/>
    <col min="16134" max="16134" width="11.140625" style="40" bestFit="1" customWidth="1"/>
    <col min="16135" max="16135" width="10" style="40" customWidth="1"/>
    <col min="16136" max="16137" width="14.5703125" style="40" customWidth="1"/>
    <col min="16138" max="16138" width="10.7109375" style="40" customWidth="1"/>
    <col min="16139" max="16384" width="9.140625" style="40"/>
  </cols>
  <sheetData>
    <row r="1" spans="1:10" x14ac:dyDescent="0.25">
      <c r="C1" s="222" t="s">
        <v>69</v>
      </c>
      <c r="D1" s="223"/>
      <c r="E1" s="223"/>
      <c r="F1" s="223"/>
      <c r="G1" s="223"/>
      <c r="H1" s="223"/>
      <c r="I1" s="223"/>
      <c r="J1" s="224"/>
    </row>
    <row r="2" spans="1:10" x14ac:dyDescent="0.25">
      <c r="C2" s="164" t="s">
        <v>70</v>
      </c>
      <c r="D2" s="41" t="s">
        <v>71</v>
      </c>
      <c r="E2" s="227" t="s">
        <v>72</v>
      </c>
      <c r="F2" s="227"/>
      <c r="G2" s="227"/>
      <c r="H2" s="227"/>
      <c r="I2" s="227"/>
      <c r="J2" s="227"/>
    </row>
    <row r="3" spans="1:10" x14ac:dyDescent="0.25">
      <c r="C3" s="228" t="s">
        <v>73</v>
      </c>
      <c r="D3" s="229"/>
      <c r="E3" s="229"/>
      <c r="F3" s="229"/>
      <c r="G3" s="229"/>
      <c r="H3" s="230"/>
      <c r="I3" s="42" t="s">
        <v>74</v>
      </c>
      <c r="J3" s="43">
        <v>41654</v>
      </c>
    </row>
    <row r="4" spans="1:10" ht="15" customHeight="1" x14ac:dyDescent="0.25">
      <c r="C4" s="231" t="s">
        <v>75</v>
      </c>
      <c r="D4" s="232"/>
      <c r="E4" s="232"/>
      <c r="F4" s="232"/>
      <c r="G4" s="232"/>
      <c r="H4" s="233"/>
      <c r="I4" s="42" t="s">
        <v>76</v>
      </c>
      <c r="J4" s="42" t="s">
        <v>77</v>
      </c>
    </row>
    <row r="5" spans="1:10" x14ac:dyDescent="0.25">
      <c r="C5" s="220" t="s">
        <v>78</v>
      </c>
      <c r="D5" s="220"/>
      <c r="E5" s="220"/>
      <c r="F5" s="220"/>
      <c r="G5" s="220"/>
      <c r="H5" s="220"/>
      <c r="I5" s="220"/>
      <c r="J5" s="220"/>
    </row>
    <row r="6" spans="1:10" x14ac:dyDescent="0.25">
      <c r="A6" s="180"/>
      <c r="B6" s="44" t="s">
        <v>79</v>
      </c>
      <c r="C6" s="165" t="s">
        <v>6</v>
      </c>
      <c r="D6" s="45" t="s">
        <v>80</v>
      </c>
      <c r="E6" s="46" t="s">
        <v>81</v>
      </c>
      <c r="F6" s="47" t="s">
        <v>82</v>
      </c>
      <c r="G6" s="47" t="s">
        <v>83</v>
      </c>
      <c r="H6" s="48" t="s">
        <v>84</v>
      </c>
      <c r="I6" s="48" t="s">
        <v>85</v>
      </c>
      <c r="J6" s="45" t="s">
        <v>86</v>
      </c>
    </row>
    <row r="7" spans="1:10" x14ac:dyDescent="0.25">
      <c r="A7" s="180"/>
      <c r="B7" s="44"/>
      <c r="C7" s="166"/>
      <c r="D7" s="49"/>
      <c r="E7" s="50"/>
      <c r="F7" s="51"/>
      <c r="G7" s="51"/>
      <c r="H7" s="48"/>
      <c r="I7" s="48"/>
      <c r="J7" s="52">
        <f>E7*F7*H7+E7*G7*I7</f>
        <v>0</v>
      </c>
    </row>
    <row r="8" spans="1:10" x14ac:dyDescent="0.25">
      <c r="A8" s="180"/>
      <c r="B8" s="44"/>
      <c r="C8" s="219" t="s">
        <v>87</v>
      </c>
      <c r="D8" s="219"/>
      <c r="E8" s="219"/>
      <c r="F8" s="219"/>
      <c r="G8" s="219"/>
      <c r="H8" s="219"/>
      <c r="I8" s="219"/>
      <c r="J8" s="53">
        <f>SUM(J7:J7)</f>
        <v>0</v>
      </c>
    </row>
    <row r="9" spans="1:10" x14ac:dyDescent="0.25">
      <c r="A9" s="180"/>
      <c r="B9" s="44"/>
      <c r="C9" s="220" t="s">
        <v>88</v>
      </c>
      <c r="D9" s="220"/>
      <c r="E9" s="220"/>
      <c r="F9" s="220"/>
      <c r="G9" s="220"/>
      <c r="H9" s="220"/>
      <c r="I9" s="220"/>
      <c r="J9" s="220"/>
    </row>
    <row r="10" spans="1:10" x14ac:dyDescent="0.25">
      <c r="A10" s="180"/>
      <c r="B10" s="44" t="s">
        <v>79</v>
      </c>
      <c r="C10" s="165" t="s">
        <v>6</v>
      </c>
      <c r="D10" s="45" t="s">
        <v>80</v>
      </c>
      <c r="E10" s="46" t="s">
        <v>81</v>
      </c>
      <c r="F10" s="46"/>
      <c r="G10" s="46"/>
      <c r="H10" s="46"/>
      <c r="I10" s="45" t="s">
        <v>89</v>
      </c>
      <c r="J10" s="45" t="s">
        <v>86</v>
      </c>
    </row>
    <row r="11" spans="1:10" x14ac:dyDescent="0.25">
      <c r="A11" s="180" t="s">
        <v>253</v>
      </c>
      <c r="B11" s="44">
        <v>1355</v>
      </c>
      <c r="C11" s="167" t="s">
        <v>90</v>
      </c>
      <c r="D11" s="45" t="s">
        <v>91</v>
      </c>
      <c r="E11" s="54">
        <v>193.6</v>
      </c>
      <c r="F11" s="46"/>
      <c r="G11" s="46"/>
      <c r="H11" s="46"/>
      <c r="I11" s="55">
        <v>15.39</v>
      </c>
      <c r="J11" s="52">
        <f t="shared" ref="J11:J60" si="0">E11*I11</f>
        <v>2979.5039999999999</v>
      </c>
    </row>
    <row r="12" spans="1:10" x14ac:dyDescent="0.25">
      <c r="A12" s="180" t="s">
        <v>253</v>
      </c>
      <c r="B12" s="44">
        <v>5075</v>
      </c>
      <c r="C12" s="167" t="s">
        <v>92</v>
      </c>
      <c r="D12" s="45" t="s">
        <v>93</v>
      </c>
      <c r="E12" s="54">
        <v>8.1999999999999993</v>
      </c>
      <c r="F12" s="46"/>
      <c r="G12" s="46"/>
      <c r="H12" s="46"/>
      <c r="I12" s="55">
        <v>7.45</v>
      </c>
      <c r="J12" s="52">
        <f t="shared" si="0"/>
        <v>61.089999999999996</v>
      </c>
    </row>
    <row r="13" spans="1:10" x14ac:dyDescent="0.25">
      <c r="A13" s="180" t="s">
        <v>253</v>
      </c>
      <c r="B13" s="44">
        <v>4004</v>
      </c>
      <c r="C13" s="167" t="s">
        <v>94</v>
      </c>
      <c r="D13" s="45" t="s">
        <v>95</v>
      </c>
      <c r="E13" s="54">
        <v>0.56000000000000005</v>
      </c>
      <c r="F13" s="46"/>
      <c r="G13" s="46"/>
      <c r="H13" s="46"/>
      <c r="I13" s="55">
        <v>954</v>
      </c>
      <c r="J13" s="52">
        <f t="shared" si="0"/>
        <v>534.24</v>
      </c>
    </row>
    <row r="14" spans="1:10" x14ac:dyDescent="0.25">
      <c r="A14" s="180" t="s">
        <v>253</v>
      </c>
      <c r="B14" s="44">
        <v>4004</v>
      </c>
      <c r="C14" s="167" t="s">
        <v>96</v>
      </c>
      <c r="D14" s="45" t="s">
        <v>95</v>
      </c>
      <c r="E14" s="54">
        <v>0.1</v>
      </c>
      <c r="F14" s="46"/>
      <c r="G14" s="46"/>
      <c r="H14" s="46"/>
      <c r="I14" s="55">
        <v>954</v>
      </c>
      <c r="J14" s="52">
        <f t="shared" si="0"/>
        <v>95.4</v>
      </c>
    </row>
    <row r="15" spans="1:10" x14ac:dyDescent="0.25">
      <c r="A15" s="180" t="s">
        <v>253</v>
      </c>
      <c r="B15" s="44">
        <v>7208</v>
      </c>
      <c r="C15" s="167" t="s">
        <v>97</v>
      </c>
      <c r="D15" s="45" t="s">
        <v>98</v>
      </c>
      <c r="E15" s="54">
        <v>60</v>
      </c>
      <c r="F15" s="46"/>
      <c r="G15" s="46"/>
      <c r="H15" s="46"/>
      <c r="I15" s="55">
        <v>22.76</v>
      </c>
      <c r="J15" s="52">
        <f t="shared" si="0"/>
        <v>1365.6000000000001</v>
      </c>
    </row>
    <row r="16" spans="1:10" ht="30" x14ac:dyDescent="0.25">
      <c r="A16" s="180" t="s">
        <v>253</v>
      </c>
      <c r="B16" s="162">
        <v>1607</v>
      </c>
      <c r="C16" s="168" t="s">
        <v>99</v>
      </c>
      <c r="D16" s="45" t="s">
        <v>98</v>
      </c>
      <c r="E16" s="54">
        <v>40</v>
      </c>
      <c r="F16" s="46"/>
      <c r="G16" s="46"/>
      <c r="H16" s="46"/>
      <c r="I16" s="55">
        <v>0.31</v>
      </c>
      <c r="J16" s="52">
        <f t="shared" si="0"/>
        <v>12.4</v>
      </c>
    </row>
    <row r="17" spans="1:10" x14ac:dyDescent="0.25">
      <c r="A17" s="180" t="s">
        <v>253</v>
      </c>
      <c r="B17" s="44">
        <v>10420</v>
      </c>
      <c r="C17" s="167" t="s">
        <v>100</v>
      </c>
      <c r="D17" s="45" t="s">
        <v>98</v>
      </c>
      <c r="E17" s="54">
        <v>2</v>
      </c>
      <c r="F17" s="46"/>
      <c r="G17" s="46"/>
      <c r="H17" s="46"/>
      <c r="I17" s="55">
        <v>92.5</v>
      </c>
      <c r="J17" s="52">
        <f t="shared" si="0"/>
        <v>185</v>
      </c>
    </row>
    <row r="18" spans="1:10" x14ac:dyDescent="0.25">
      <c r="A18" s="180" t="s">
        <v>253</v>
      </c>
      <c r="B18" s="44">
        <v>11675</v>
      </c>
      <c r="C18" s="167" t="s">
        <v>101</v>
      </c>
      <c r="D18" s="45" t="s">
        <v>98</v>
      </c>
      <c r="E18" s="54">
        <v>2</v>
      </c>
      <c r="F18" s="46"/>
      <c r="G18" s="46"/>
      <c r="H18" s="46"/>
      <c r="I18" s="55">
        <v>18.39</v>
      </c>
      <c r="J18" s="52">
        <f t="shared" si="0"/>
        <v>36.78</v>
      </c>
    </row>
    <row r="19" spans="1:10" x14ac:dyDescent="0.25">
      <c r="A19" s="180" t="s">
        <v>253</v>
      </c>
      <c r="B19" s="44">
        <v>2431</v>
      </c>
      <c r="C19" s="167" t="s">
        <v>102</v>
      </c>
      <c r="D19" s="45" t="s">
        <v>98</v>
      </c>
      <c r="E19" s="54">
        <v>15</v>
      </c>
      <c r="F19" s="46"/>
      <c r="G19" s="46"/>
      <c r="H19" s="46"/>
      <c r="I19" s="55">
        <v>3.63</v>
      </c>
      <c r="J19" s="52">
        <f t="shared" si="0"/>
        <v>54.449999999999996</v>
      </c>
    </row>
    <row r="20" spans="1:10" x14ac:dyDescent="0.25">
      <c r="A20" s="180" t="s">
        <v>253</v>
      </c>
      <c r="B20" s="44">
        <v>5090</v>
      </c>
      <c r="C20" s="167" t="s">
        <v>103</v>
      </c>
      <c r="D20" s="45" t="s">
        <v>98</v>
      </c>
      <c r="E20" s="54">
        <v>5</v>
      </c>
      <c r="F20" s="46"/>
      <c r="G20" s="46"/>
      <c r="H20" s="46"/>
      <c r="I20" s="55">
        <v>10.71</v>
      </c>
      <c r="J20" s="52">
        <f t="shared" si="0"/>
        <v>53.550000000000004</v>
      </c>
    </row>
    <row r="21" spans="1:10" x14ac:dyDescent="0.25">
      <c r="A21" s="180" t="s">
        <v>253</v>
      </c>
      <c r="B21" s="44">
        <v>1379</v>
      </c>
      <c r="C21" s="167" t="s">
        <v>104</v>
      </c>
      <c r="D21" s="45" t="s">
        <v>93</v>
      </c>
      <c r="E21" s="54">
        <v>350</v>
      </c>
      <c r="F21" s="46"/>
      <c r="G21" s="46"/>
      <c r="H21" s="46"/>
      <c r="I21" s="55">
        <v>0.56000000000000005</v>
      </c>
      <c r="J21" s="52">
        <f t="shared" si="0"/>
        <v>196.00000000000003</v>
      </c>
    </row>
    <row r="22" spans="1:10" x14ac:dyDescent="0.25">
      <c r="A22" s="180" t="s">
        <v>253</v>
      </c>
      <c r="B22" s="44">
        <v>370</v>
      </c>
      <c r="C22" s="167" t="s">
        <v>105</v>
      </c>
      <c r="D22" s="45" t="s">
        <v>95</v>
      </c>
      <c r="E22" s="54">
        <v>3</v>
      </c>
      <c r="F22" s="46"/>
      <c r="G22" s="46"/>
      <c r="H22" s="46"/>
      <c r="I22" s="55">
        <v>56.42</v>
      </c>
      <c r="J22" s="52">
        <f t="shared" si="0"/>
        <v>169.26</v>
      </c>
    </row>
    <row r="23" spans="1:10" x14ac:dyDescent="0.25">
      <c r="A23" s="180" t="s">
        <v>253</v>
      </c>
      <c r="B23" s="44">
        <v>4721</v>
      </c>
      <c r="C23" s="167" t="s">
        <v>106</v>
      </c>
      <c r="D23" s="45" t="s">
        <v>95</v>
      </c>
      <c r="E23" s="54">
        <v>2</v>
      </c>
      <c r="F23" s="46"/>
      <c r="G23" s="46"/>
      <c r="H23" s="46"/>
      <c r="I23" s="55">
        <v>50.73</v>
      </c>
      <c r="J23" s="52">
        <f t="shared" si="0"/>
        <v>101.46</v>
      </c>
    </row>
    <row r="24" spans="1:10" x14ac:dyDescent="0.25">
      <c r="A24" s="180" t="s">
        <v>253</v>
      </c>
      <c r="B24" s="44">
        <v>9867</v>
      </c>
      <c r="C24" s="167" t="s">
        <v>107</v>
      </c>
      <c r="D24" s="45" t="s">
        <v>42</v>
      </c>
      <c r="E24" s="54">
        <v>18</v>
      </c>
      <c r="F24" s="46"/>
      <c r="G24" s="46"/>
      <c r="H24" s="46"/>
      <c r="I24" s="55">
        <v>1.66</v>
      </c>
      <c r="J24" s="52">
        <f t="shared" si="0"/>
        <v>29.88</v>
      </c>
    </row>
    <row r="25" spans="1:10" x14ac:dyDescent="0.25">
      <c r="A25" s="180" t="s">
        <v>253</v>
      </c>
      <c r="B25" s="44">
        <v>9836</v>
      </c>
      <c r="C25" s="167" t="s">
        <v>108</v>
      </c>
      <c r="D25" s="45" t="s">
        <v>42</v>
      </c>
      <c r="E25" s="54">
        <v>12</v>
      </c>
      <c r="F25" s="46"/>
      <c r="G25" s="46"/>
      <c r="H25" s="46"/>
      <c r="I25" s="55">
        <v>7.38</v>
      </c>
      <c r="J25" s="52">
        <f t="shared" si="0"/>
        <v>88.56</v>
      </c>
    </row>
    <row r="26" spans="1:10" x14ac:dyDescent="0.25">
      <c r="A26" s="180" t="s">
        <v>253</v>
      </c>
      <c r="B26" s="44">
        <v>9835</v>
      </c>
      <c r="C26" s="167" t="s">
        <v>109</v>
      </c>
      <c r="D26" s="45" t="s">
        <v>42</v>
      </c>
      <c r="E26" s="54">
        <v>6</v>
      </c>
      <c r="F26" s="46"/>
      <c r="G26" s="46"/>
      <c r="H26" s="46"/>
      <c r="I26" s="55">
        <v>2.5499999999999998</v>
      </c>
      <c r="J26" s="52">
        <f t="shared" si="0"/>
        <v>15.299999999999999</v>
      </c>
    </row>
    <row r="27" spans="1:10" x14ac:dyDescent="0.25">
      <c r="A27" s="180" t="s">
        <v>253</v>
      </c>
      <c r="B27" s="44">
        <v>9838</v>
      </c>
      <c r="C27" s="167" t="s">
        <v>110</v>
      </c>
      <c r="D27" s="45" t="s">
        <v>42</v>
      </c>
      <c r="E27" s="54">
        <v>12</v>
      </c>
      <c r="F27" s="46"/>
      <c r="G27" s="46"/>
      <c r="H27" s="46"/>
      <c r="I27" s="55">
        <v>4.83</v>
      </c>
      <c r="J27" s="52">
        <f t="shared" si="0"/>
        <v>57.96</v>
      </c>
    </row>
    <row r="28" spans="1:10" x14ac:dyDescent="0.25">
      <c r="A28" s="180" t="s">
        <v>253</v>
      </c>
      <c r="B28" s="44">
        <v>10426</v>
      </c>
      <c r="C28" s="167" t="s">
        <v>111</v>
      </c>
      <c r="D28" s="45" t="s">
        <v>98</v>
      </c>
      <c r="E28" s="54">
        <v>2</v>
      </c>
      <c r="F28" s="46"/>
      <c r="G28" s="46"/>
      <c r="H28" s="46"/>
      <c r="I28" s="55">
        <v>89.57</v>
      </c>
      <c r="J28" s="52">
        <f t="shared" si="0"/>
        <v>179.14</v>
      </c>
    </row>
    <row r="29" spans="1:10" x14ac:dyDescent="0.25">
      <c r="A29" s="180" t="s">
        <v>253</v>
      </c>
      <c r="B29" s="44">
        <v>10424</v>
      </c>
      <c r="C29" s="167" t="s">
        <v>112</v>
      </c>
      <c r="D29" s="45" t="s">
        <v>98</v>
      </c>
      <c r="E29" s="54">
        <v>1</v>
      </c>
      <c r="F29" s="46"/>
      <c r="G29" s="46"/>
      <c r="H29" s="46"/>
      <c r="I29" s="55">
        <v>168.81</v>
      </c>
      <c r="J29" s="52">
        <f t="shared" si="0"/>
        <v>168.81</v>
      </c>
    </row>
    <row r="30" spans="1:10" x14ac:dyDescent="0.25">
      <c r="A30" s="180" t="s">
        <v>253</v>
      </c>
      <c r="B30" s="44">
        <v>11831</v>
      </c>
      <c r="C30" s="167" t="s">
        <v>113</v>
      </c>
      <c r="D30" s="45" t="s">
        <v>98</v>
      </c>
      <c r="E30" s="54">
        <v>8</v>
      </c>
      <c r="F30" s="46"/>
      <c r="G30" s="46"/>
      <c r="H30" s="46"/>
      <c r="I30" s="55">
        <v>9.08</v>
      </c>
      <c r="J30" s="52">
        <f t="shared" si="0"/>
        <v>72.64</v>
      </c>
    </row>
    <row r="31" spans="1:10" x14ac:dyDescent="0.25">
      <c r="A31" s="180" t="s">
        <v>253</v>
      </c>
      <c r="B31" s="44">
        <v>11865</v>
      </c>
      <c r="C31" s="167" t="s">
        <v>114</v>
      </c>
      <c r="D31" s="45" t="s">
        <v>98</v>
      </c>
      <c r="E31" s="54">
        <v>1</v>
      </c>
      <c r="F31" s="46"/>
      <c r="G31" s="46"/>
      <c r="H31" s="46"/>
      <c r="I31" s="55">
        <v>158.54</v>
      </c>
      <c r="J31" s="52">
        <f t="shared" si="0"/>
        <v>158.54</v>
      </c>
    </row>
    <row r="32" spans="1:10" x14ac:dyDescent="0.25">
      <c r="A32" s="180" t="s">
        <v>253</v>
      </c>
      <c r="B32" s="44">
        <v>3542</v>
      </c>
      <c r="C32" s="167" t="s">
        <v>115</v>
      </c>
      <c r="D32" s="45" t="s">
        <v>98</v>
      </c>
      <c r="E32" s="54">
        <v>18</v>
      </c>
      <c r="F32" s="46"/>
      <c r="G32" s="46"/>
      <c r="H32" s="46"/>
      <c r="I32" s="55">
        <v>0.4</v>
      </c>
      <c r="J32" s="52">
        <f t="shared" si="0"/>
        <v>7.2</v>
      </c>
    </row>
    <row r="33" spans="1:10" x14ac:dyDescent="0.25">
      <c r="A33" s="180" t="s">
        <v>253</v>
      </c>
      <c r="B33" s="44">
        <v>3521</v>
      </c>
      <c r="C33" s="167" t="s">
        <v>116</v>
      </c>
      <c r="D33" s="45" t="s">
        <v>98</v>
      </c>
      <c r="E33" s="54">
        <v>10</v>
      </c>
      <c r="F33" s="46"/>
      <c r="G33" s="46"/>
      <c r="H33" s="46"/>
      <c r="I33" s="55">
        <v>1.0900000000000001</v>
      </c>
      <c r="J33" s="52">
        <f t="shared" si="0"/>
        <v>10.9</v>
      </c>
    </row>
    <row r="34" spans="1:10" x14ac:dyDescent="0.25">
      <c r="A34" s="180" t="s">
        <v>253</v>
      </c>
      <c r="B34" s="44">
        <v>3520</v>
      </c>
      <c r="C34" s="167" t="s">
        <v>117</v>
      </c>
      <c r="D34" s="45" t="s">
        <v>98</v>
      </c>
      <c r="E34" s="54">
        <v>8</v>
      </c>
      <c r="F34" s="46"/>
      <c r="G34" s="46"/>
      <c r="H34" s="46"/>
      <c r="I34" s="55">
        <v>5.74</v>
      </c>
      <c r="J34" s="52">
        <f t="shared" si="0"/>
        <v>45.92</v>
      </c>
    </row>
    <row r="35" spans="1:10" x14ac:dyDescent="0.25">
      <c r="A35" s="180" t="s">
        <v>253</v>
      </c>
      <c r="B35" s="44">
        <v>3540</v>
      </c>
      <c r="C35" s="167" t="s">
        <v>118</v>
      </c>
      <c r="D35" s="45" t="s">
        <v>98</v>
      </c>
      <c r="E35" s="54">
        <v>8</v>
      </c>
      <c r="F35" s="46"/>
      <c r="G35" s="46"/>
      <c r="H35" s="46"/>
      <c r="I35" s="55">
        <v>3.46</v>
      </c>
      <c r="J35" s="52">
        <f t="shared" si="0"/>
        <v>27.68</v>
      </c>
    </row>
    <row r="36" spans="1:10" x14ac:dyDescent="0.25">
      <c r="A36" s="180" t="s">
        <v>253</v>
      </c>
      <c r="B36" s="44">
        <v>3535</v>
      </c>
      <c r="C36" s="167" t="s">
        <v>119</v>
      </c>
      <c r="D36" s="45" t="s">
        <v>98</v>
      </c>
      <c r="E36" s="54">
        <v>8</v>
      </c>
      <c r="F36" s="46"/>
      <c r="G36" s="46"/>
      <c r="H36" s="46"/>
      <c r="I36" s="55">
        <v>2.97</v>
      </c>
      <c r="J36" s="52">
        <f t="shared" si="0"/>
        <v>23.76</v>
      </c>
    </row>
    <row r="37" spans="1:10" x14ac:dyDescent="0.25">
      <c r="A37" s="180" t="s">
        <v>253</v>
      </c>
      <c r="B37" s="44">
        <v>122</v>
      </c>
      <c r="C37" s="167" t="s">
        <v>120</v>
      </c>
      <c r="D37" s="45" t="s">
        <v>121</v>
      </c>
      <c r="E37" s="54">
        <v>0.4</v>
      </c>
      <c r="F37" s="46"/>
      <c r="G37" s="46"/>
      <c r="H37" s="46"/>
      <c r="I37" s="55">
        <v>38.71</v>
      </c>
      <c r="J37" s="52">
        <f t="shared" si="0"/>
        <v>15.484000000000002</v>
      </c>
    </row>
    <row r="38" spans="1:10" x14ac:dyDescent="0.25">
      <c r="A38" s="180" t="s">
        <v>253</v>
      </c>
      <c r="B38" s="44">
        <v>7138</v>
      </c>
      <c r="C38" s="167" t="s">
        <v>122</v>
      </c>
      <c r="D38" s="45" t="s">
        <v>98</v>
      </c>
      <c r="E38" s="54">
        <v>8</v>
      </c>
      <c r="F38" s="46"/>
      <c r="G38" s="46"/>
      <c r="H38" s="46"/>
      <c r="I38" s="55">
        <v>0.63</v>
      </c>
      <c r="J38" s="52">
        <f t="shared" si="0"/>
        <v>5.04</v>
      </c>
    </row>
    <row r="39" spans="1:10" x14ac:dyDescent="0.25">
      <c r="A39" s="180" t="s">
        <v>253</v>
      </c>
      <c r="B39" s="44">
        <v>3251</v>
      </c>
      <c r="C39" s="167" t="s">
        <v>123</v>
      </c>
      <c r="D39" s="45" t="s">
        <v>98</v>
      </c>
      <c r="E39" s="54">
        <v>1</v>
      </c>
      <c r="F39" s="46"/>
      <c r="G39" s="46"/>
      <c r="H39" s="46"/>
      <c r="I39" s="55">
        <v>6.9</v>
      </c>
      <c r="J39" s="52">
        <f t="shared" si="0"/>
        <v>6.9</v>
      </c>
    </row>
    <row r="40" spans="1:10" x14ac:dyDescent="0.25">
      <c r="A40" s="180" t="s">
        <v>253</v>
      </c>
      <c r="B40" s="44">
        <v>20172</v>
      </c>
      <c r="C40" s="167" t="s">
        <v>124</v>
      </c>
      <c r="D40" s="45" t="s">
        <v>98</v>
      </c>
      <c r="E40" s="54">
        <v>4</v>
      </c>
      <c r="F40" s="46"/>
      <c r="G40" s="46"/>
      <c r="H40" s="46"/>
      <c r="I40" s="55">
        <v>30.71</v>
      </c>
      <c r="J40" s="52">
        <f t="shared" si="0"/>
        <v>122.84</v>
      </c>
    </row>
    <row r="41" spans="1:10" x14ac:dyDescent="0.25">
      <c r="A41" s="180" t="s">
        <v>253</v>
      </c>
      <c r="B41" s="44">
        <v>7142</v>
      </c>
      <c r="C41" s="167" t="s">
        <v>125</v>
      </c>
      <c r="D41" s="45" t="s">
        <v>98</v>
      </c>
      <c r="E41" s="54">
        <v>4</v>
      </c>
      <c r="F41" s="46"/>
      <c r="G41" s="46"/>
      <c r="H41" s="46"/>
      <c r="I41" s="55">
        <v>5.82</v>
      </c>
      <c r="J41" s="52">
        <f t="shared" si="0"/>
        <v>23.28</v>
      </c>
    </row>
    <row r="42" spans="1:10" x14ac:dyDescent="0.25">
      <c r="A42" s="180" t="s">
        <v>253</v>
      </c>
      <c r="B42" s="44">
        <v>11823</v>
      </c>
      <c r="C42" s="167" t="s">
        <v>126</v>
      </c>
      <c r="D42" s="45" t="s">
        <v>98</v>
      </c>
      <c r="E42" s="54">
        <v>1</v>
      </c>
      <c r="F42" s="46"/>
      <c r="G42" s="46"/>
      <c r="H42" s="46"/>
      <c r="I42" s="55">
        <v>10.87</v>
      </c>
      <c r="J42" s="52">
        <f t="shared" si="0"/>
        <v>10.87</v>
      </c>
    </row>
    <row r="43" spans="1:10" x14ac:dyDescent="0.25">
      <c r="A43" s="180" t="s">
        <v>253</v>
      </c>
      <c r="B43" s="44">
        <v>6152</v>
      </c>
      <c r="C43" s="167" t="s">
        <v>127</v>
      </c>
      <c r="D43" s="45" t="s">
        <v>98</v>
      </c>
      <c r="E43" s="54">
        <v>5</v>
      </c>
      <c r="F43" s="46"/>
      <c r="G43" s="46"/>
      <c r="H43" s="46"/>
      <c r="I43" s="55">
        <v>2.2000000000000002</v>
      </c>
      <c r="J43" s="52">
        <f t="shared" si="0"/>
        <v>11</v>
      </c>
    </row>
    <row r="44" spans="1:10" x14ac:dyDescent="0.25">
      <c r="A44" s="180" t="s">
        <v>253</v>
      </c>
      <c r="B44" s="44">
        <v>6149</v>
      </c>
      <c r="C44" s="167" t="s">
        <v>128</v>
      </c>
      <c r="D44" s="45" t="s">
        <v>98</v>
      </c>
      <c r="E44" s="54">
        <v>5</v>
      </c>
      <c r="F44" s="46"/>
      <c r="G44" s="46"/>
      <c r="H44" s="46"/>
      <c r="I44" s="55">
        <v>7.71</v>
      </c>
      <c r="J44" s="52">
        <f t="shared" si="0"/>
        <v>38.549999999999997</v>
      </c>
    </row>
    <row r="45" spans="1:10" x14ac:dyDescent="0.25">
      <c r="A45" s="180" t="s">
        <v>253</v>
      </c>
      <c r="B45" s="44">
        <v>7266</v>
      </c>
      <c r="C45" s="167" t="s">
        <v>129</v>
      </c>
      <c r="D45" s="45" t="s">
        <v>98</v>
      </c>
      <c r="E45" s="54">
        <v>0.35</v>
      </c>
      <c r="F45" s="46"/>
      <c r="G45" s="46"/>
      <c r="H45" s="46"/>
      <c r="I45" s="55">
        <v>463.07</v>
      </c>
      <c r="J45" s="52">
        <f t="shared" si="0"/>
        <v>162.0745</v>
      </c>
    </row>
    <row r="46" spans="1:10" x14ac:dyDescent="0.25">
      <c r="A46" s="180" t="s">
        <v>253</v>
      </c>
      <c r="B46" s="44">
        <v>11712</v>
      </c>
      <c r="C46" s="167" t="s">
        <v>130</v>
      </c>
      <c r="D46" s="45" t="s">
        <v>98</v>
      </c>
      <c r="E46" s="54">
        <v>4</v>
      </c>
      <c r="F46" s="46"/>
      <c r="G46" s="46"/>
      <c r="H46" s="46"/>
      <c r="I46" s="55">
        <v>20.61</v>
      </c>
      <c r="J46" s="52">
        <f t="shared" si="0"/>
        <v>82.44</v>
      </c>
    </row>
    <row r="47" spans="1:10" x14ac:dyDescent="0.25">
      <c r="A47" s="180" t="s">
        <v>253</v>
      </c>
      <c r="B47" s="44">
        <v>995</v>
      </c>
      <c r="C47" s="167" t="s">
        <v>131</v>
      </c>
      <c r="D47" s="45" t="s">
        <v>42</v>
      </c>
      <c r="E47" s="54">
        <v>60</v>
      </c>
      <c r="F47" s="46"/>
      <c r="G47" s="46"/>
      <c r="H47" s="46"/>
      <c r="I47" s="55">
        <v>7.55</v>
      </c>
      <c r="J47" s="52">
        <f t="shared" si="0"/>
        <v>453</v>
      </c>
    </row>
    <row r="48" spans="1:10" x14ac:dyDescent="0.25">
      <c r="A48" s="180" t="s">
        <v>253</v>
      </c>
      <c r="B48" s="44">
        <v>1022</v>
      </c>
      <c r="C48" s="167" t="s">
        <v>132</v>
      </c>
      <c r="D48" s="45" t="s">
        <v>42</v>
      </c>
      <c r="E48" s="54">
        <v>200</v>
      </c>
      <c r="F48" s="46"/>
      <c r="G48" s="46"/>
      <c r="H48" s="46"/>
      <c r="I48" s="55">
        <v>1.58</v>
      </c>
      <c r="J48" s="52">
        <f t="shared" si="0"/>
        <v>316</v>
      </c>
    </row>
    <row r="49" spans="1:10" x14ac:dyDescent="0.25">
      <c r="A49" s="180" t="s">
        <v>253</v>
      </c>
      <c r="B49" s="44">
        <v>12388</v>
      </c>
      <c r="C49" s="167" t="s">
        <v>133</v>
      </c>
      <c r="D49" s="45" t="s">
        <v>98</v>
      </c>
      <c r="E49" s="54">
        <v>1</v>
      </c>
      <c r="F49" s="46"/>
      <c r="G49" s="46"/>
      <c r="H49" s="46"/>
      <c r="I49" s="55">
        <v>172.73</v>
      </c>
      <c r="J49" s="52">
        <f t="shared" si="0"/>
        <v>172.73</v>
      </c>
    </row>
    <row r="50" spans="1:10" x14ac:dyDescent="0.25">
      <c r="A50" s="180" t="s">
        <v>253</v>
      </c>
      <c r="B50" s="44">
        <v>1368</v>
      </c>
      <c r="C50" s="167" t="s">
        <v>134</v>
      </c>
      <c r="D50" s="45" t="s">
        <v>98</v>
      </c>
      <c r="E50" s="54">
        <v>2</v>
      </c>
      <c r="F50" s="46"/>
      <c r="G50" s="46"/>
      <c r="H50" s="46"/>
      <c r="I50" s="55">
        <v>35.1</v>
      </c>
      <c r="J50" s="52">
        <f t="shared" si="0"/>
        <v>70.2</v>
      </c>
    </row>
    <row r="51" spans="1:10" x14ac:dyDescent="0.25">
      <c r="A51" s="180" t="s">
        <v>253</v>
      </c>
      <c r="B51" s="44">
        <v>63</v>
      </c>
      <c r="C51" s="167" t="s">
        <v>135</v>
      </c>
      <c r="D51" s="45" t="s">
        <v>98</v>
      </c>
      <c r="E51" s="54">
        <v>1</v>
      </c>
      <c r="F51" s="46"/>
      <c r="G51" s="46"/>
      <c r="H51" s="46"/>
      <c r="I51" s="55">
        <v>98.68</v>
      </c>
      <c r="J51" s="52">
        <f t="shared" si="0"/>
        <v>98.68</v>
      </c>
    </row>
    <row r="52" spans="1:10" x14ac:dyDescent="0.25">
      <c r="A52" s="180" t="s">
        <v>253</v>
      </c>
      <c r="B52" s="44">
        <v>11685</v>
      </c>
      <c r="C52" s="167" t="s">
        <v>136</v>
      </c>
      <c r="D52" s="45" t="s">
        <v>98</v>
      </c>
      <c r="E52" s="54">
        <v>2</v>
      </c>
      <c r="F52" s="46"/>
      <c r="G52" s="46"/>
      <c r="H52" s="46"/>
      <c r="I52" s="55">
        <v>13.94</v>
      </c>
      <c r="J52" s="52">
        <f t="shared" si="0"/>
        <v>27.88</v>
      </c>
    </row>
    <row r="53" spans="1:10" ht="30" x14ac:dyDescent="0.25">
      <c r="A53" s="180" t="s">
        <v>253</v>
      </c>
      <c r="B53" s="162">
        <v>13343</v>
      </c>
      <c r="C53" s="168" t="s">
        <v>137</v>
      </c>
      <c r="D53" s="45" t="s">
        <v>98</v>
      </c>
      <c r="E53" s="54">
        <v>1</v>
      </c>
      <c r="F53" s="46"/>
      <c r="G53" s="46"/>
      <c r="H53" s="46"/>
      <c r="I53" s="55">
        <v>24.52</v>
      </c>
      <c r="J53" s="52">
        <f t="shared" si="0"/>
        <v>24.52</v>
      </c>
    </row>
    <row r="54" spans="1:10" x14ac:dyDescent="0.25">
      <c r="A54" s="180" t="s">
        <v>253</v>
      </c>
      <c r="B54" s="44">
        <v>13844</v>
      </c>
      <c r="C54" s="167" t="s">
        <v>258</v>
      </c>
      <c r="D54" s="45" t="s">
        <v>98</v>
      </c>
      <c r="E54" s="54">
        <v>1</v>
      </c>
      <c r="F54" s="46"/>
      <c r="G54" s="46"/>
      <c r="H54" s="46"/>
      <c r="I54" s="55">
        <v>71.3</v>
      </c>
      <c r="J54" s="52">
        <f t="shared" si="0"/>
        <v>71.3</v>
      </c>
    </row>
    <row r="55" spans="1:10" x14ac:dyDescent="0.25">
      <c r="A55" s="180" t="s">
        <v>253</v>
      </c>
      <c r="B55" s="44">
        <v>7528</v>
      </c>
      <c r="C55" s="167" t="s">
        <v>138</v>
      </c>
      <c r="D55" s="45" t="s">
        <v>98</v>
      </c>
      <c r="E55" s="54">
        <v>20</v>
      </c>
      <c r="F55" s="46"/>
      <c r="G55" s="46"/>
      <c r="H55" s="46"/>
      <c r="I55" s="55">
        <v>5.14</v>
      </c>
      <c r="J55" s="52">
        <f t="shared" si="0"/>
        <v>102.8</v>
      </c>
    </row>
    <row r="56" spans="1:10" x14ac:dyDescent="0.25">
      <c r="A56" s="180" t="s">
        <v>253</v>
      </c>
      <c r="B56" s="44">
        <v>7555</v>
      </c>
      <c r="C56" s="167" t="s">
        <v>139</v>
      </c>
      <c r="D56" s="45" t="s">
        <v>98</v>
      </c>
      <c r="E56" s="54">
        <v>10</v>
      </c>
      <c r="F56" s="46"/>
      <c r="G56" s="46"/>
      <c r="H56" s="46"/>
      <c r="I56" s="55">
        <v>4.83</v>
      </c>
      <c r="J56" s="52">
        <f t="shared" si="0"/>
        <v>48.3</v>
      </c>
    </row>
    <row r="57" spans="1:10" x14ac:dyDescent="0.25">
      <c r="A57" s="180" t="s">
        <v>253</v>
      </c>
      <c r="B57" s="44">
        <v>13329</v>
      </c>
      <c r="C57" s="167" t="s">
        <v>140</v>
      </c>
      <c r="D57" s="45" t="s">
        <v>98</v>
      </c>
      <c r="E57" s="54">
        <v>15</v>
      </c>
      <c r="F57" s="46"/>
      <c r="G57" s="46"/>
      <c r="H57" s="46"/>
      <c r="I57" s="55">
        <v>1.5</v>
      </c>
      <c r="J57" s="52">
        <f t="shared" si="0"/>
        <v>22.5</v>
      </c>
    </row>
    <row r="58" spans="1:10" x14ac:dyDescent="0.25">
      <c r="A58" s="180" t="s">
        <v>253</v>
      </c>
      <c r="B58" s="44">
        <v>3764</v>
      </c>
      <c r="C58" s="167" t="s">
        <v>141</v>
      </c>
      <c r="D58" s="45" t="s">
        <v>98</v>
      </c>
      <c r="E58" s="54">
        <v>15</v>
      </c>
      <c r="F58" s="46"/>
      <c r="G58" s="46"/>
      <c r="H58" s="46"/>
      <c r="I58" s="55">
        <v>0.91</v>
      </c>
      <c r="J58" s="52">
        <f t="shared" si="0"/>
        <v>13.65</v>
      </c>
    </row>
    <row r="59" spans="1:10" x14ac:dyDescent="0.25">
      <c r="A59" s="180" t="s">
        <v>253</v>
      </c>
      <c r="B59" s="44">
        <v>7356</v>
      </c>
      <c r="C59" s="167" t="s">
        <v>142</v>
      </c>
      <c r="D59" s="45" t="s">
        <v>121</v>
      </c>
      <c r="E59" s="54">
        <v>50</v>
      </c>
      <c r="F59" s="46"/>
      <c r="G59" s="46"/>
      <c r="H59" s="46"/>
      <c r="I59" s="55">
        <v>15.58</v>
      </c>
      <c r="J59" s="52">
        <f t="shared" si="0"/>
        <v>779</v>
      </c>
    </row>
    <row r="60" spans="1:10" x14ac:dyDescent="0.25">
      <c r="A60" s="180" t="s">
        <v>253</v>
      </c>
      <c r="B60" s="44">
        <v>6020</v>
      </c>
      <c r="C60" s="167" t="s">
        <v>143</v>
      </c>
      <c r="D60" s="45" t="s">
        <v>98</v>
      </c>
      <c r="E60" s="54">
        <v>6</v>
      </c>
      <c r="F60" s="46"/>
      <c r="G60" s="46"/>
      <c r="H60" s="46"/>
      <c r="I60" s="55">
        <v>20.45</v>
      </c>
      <c r="J60" s="52">
        <f t="shared" si="0"/>
        <v>122.69999999999999</v>
      </c>
    </row>
    <row r="61" spans="1:10" x14ac:dyDescent="0.25">
      <c r="A61" s="180"/>
      <c r="B61" s="44"/>
      <c r="C61" s="219" t="s">
        <v>87</v>
      </c>
      <c r="D61" s="219"/>
      <c r="E61" s="219"/>
      <c r="F61" s="219"/>
      <c r="G61" s="219"/>
      <c r="H61" s="219"/>
      <c r="I61" s="219"/>
      <c r="J61" s="53">
        <f>SUM(J11:J60)</f>
        <v>9532.7624999999989</v>
      </c>
    </row>
    <row r="62" spans="1:10" x14ac:dyDescent="0.25">
      <c r="A62" s="180"/>
      <c r="B62" s="44"/>
      <c r="C62" s="220" t="s">
        <v>144</v>
      </c>
      <c r="D62" s="220"/>
      <c r="E62" s="220"/>
      <c r="F62" s="220"/>
      <c r="G62" s="220"/>
      <c r="H62" s="220"/>
      <c r="I62" s="220"/>
      <c r="J62" s="220"/>
    </row>
    <row r="63" spans="1:10" x14ac:dyDescent="0.25">
      <c r="A63" s="180"/>
      <c r="B63" s="44" t="s">
        <v>79</v>
      </c>
      <c r="C63" s="169" t="s">
        <v>6</v>
      </c>
      <c r="D63" s="57" t="s">
        <v>80</v>
      </c>
      <c r="E63" s="57" t="s">
        <v>81</v>
      </c>
      <c r="F63" s="57"/>
      <c r="G63" s="57"/>
      <c r="H63" s="57"/>
      <c r="I63" s="56" t="s">
        <v>89</v>
      </c>
      <c r="J63" s="55" t="s">
        <v>86</v>
      </c>
    </row>
    <row r="64" spans="1:10" x14ac:dyDescent="0.25">
      <c r="A64" s="180"/>
      <c r="B64" s="44"/>
      <c r="C64" s="170"/>
      <c r="D64" s="56"/>
      <c r="E64" s="58"/>
      <c r="F64" s="57"/>
      <c r="G64" s="57"/>
      <c r="H64" s="57"/>
      <c r="I64" s="59"/>
      <c r="J64" s="53">
        <f>E64*I64</f>
        <v>0</v>
      </c>
    </row>
    <row r="65" spans="1:10" x14ac:dyDescent="0.25">
      <c r="A65" s="180"/>
      <c r="B65" s="44"/>
      <c r="C65" s="219" t="s">
        <v>87</v>
      </c>
      <c r="D65" s="219"/>
      <c r="E65" s="219"/>
      <c r="F65" s="219"/>
      <c r="G65" s="219"/>
      <c r="H65" s="219"/>
      <c r="I65" s="219"/>
      <c r="J65" s="53">
        <f>SUM(J64:J64)</f>
        <v>0</v>
      </c>
    </row>
    <row r="66" spans="1:10" x14ac:dyDescent="0.25">
      <c r="A66" s="180"/>
      <c r="B66" s="44"/>
      <c r="C66" s="220" t="s">
        <v>145</v>
      </c>
      <c r="D66" s="220"/>
      <c r="E66" s="220"/>
      <c r="F66" s="220"/>
      <c r="G66" s="220"/>
      <c r="H66" s="220"/>
      <c r="I66" s="220"/>
      <c r="J66" s="220"/>
    </row>
    <row r="67" spans="1:10" x14ac:dyDescent="0.25">
      <c r="A67" s="180"/>
      <c r="B67" s="44" t="s">
        <v>79</v>
      </c>
      <c r="C67" s="165" t="s">
        <v>6</v>
      </c>
      <c r="D67" s="45" t="s">
        <v>80</v>
      </c>
      <c r="E67" s="46" t="s">
        <v>81</v>
      </c>
      <c r="F67" s="46"/>
      <c r="G67" s="46"/>
      <c r="H67" s="46"/>
      <c r="I67" s="45" t="s">
        <v>89</v>
      </c>
      <c r="J67" s="45" t="s">
        <v>86</v>
      </c>
    </row>
    <row r="68" spans="1:10" x14ac:dyDescent="0.25">
      <c r="A68" s="180" t="s">
        <v>253</v>
      </c>
      <c r="B68" s="44">
        <v>4750</v>
      </c>
      <c r="C68" s="167" t="s">
        <v>146</v>
      </c>
      <c r="D68" s="45" t="s">
        <v>147</v>
      </c>
      <c r="E68" s="60">
        <v>400</v>
      </c>
      <c r="F68" s="46"/>
      <c r="G68" s="46"/>
      <c r="H68" s="46"/>
      <c r="I68" s="55">
        <f>10.35/0.917</f>
        <v>11.286804798255179</v>
      </c>
      <c r="J68" s="52">
        <f>E68*I68</f>
        <v>4514.7219193020719</v>
      </c>
    </row>
    <row r="69" spans="1:10" x14ac:dyDescent="0.25">
      <c r="A69" s="180" t="s">
        <v>253</v>
      </c>
      <c r="B69" s="44">
        <v>6111</v>
      </c>
      <c r="C69" s="167" t="s">
        <v>148</v>
      </c>
      <c r="D69" s="45" t="s">
        <v>147</v>
      </c>
      <c r="E69" s="60">
        <v>1500</v>
      </c>
      <c r="F69" s="46"/>
      <c r="G69" s="46"/>
      <c r="H69" s="46"/>
      <c r="I69" s="55">
        <f>6.31/0.917</f>
        <v>6.8811341330425293</v>
      </c>
      <c r="J69" s="52">
        <f>E69*I69</f>
        <v>10321.701199563793</v>
      </c>
    </row>
    <row r="70" spans="1:10" x14ac:dyDescent="0.25">
      <c r="A70" s="180"/>
      <c r="B70" s="44"/>
      <c r="C70" s="219" t="s">
        <v>87</v>
      </c>
      <c r="D70" s="219"/>
      <c r="E70" s="219"/>
      <c r="F70" s="219"/>
      <c r="G70" s="219"/>
      <c r="H70" s="219"/>
      <c r="I70" s="219"/>
      <c r="J70" s="53">
        <f>SUM(J68:J69)</f>
        <v>14836.423118865865</v>
      </c>
    </row>
    <row r="71" spans="1:10" x14ac:dyDescent="0.25">
      <c r="A71" s="180"/>
      <c r="B71" s="44"/>
      <c r="C71" s="171" t="s">
        <v>149</v>
      </c>
      <c r="D71" s="58">
        <v>100</v>
      </c>
      <c r="E71" s="219" t="s">
        <v>150</v>
      </c>
      <c r="F71" s="219"/>
      <c r="G71" s="219"/>
      <c r="H71" s="219"/>
      <c r="I71" s="219"/>
      <c r="J71" s="53">
        <f>J70+J65+J61+J8</f>
        <v>24369.185618865864</v>
      </c>
    </row>
    <row r="72" spans="1:10" x14ac:dyDescent="0.25">
      <c r="A72" s="180"/>
      <c r="B72" s="44"/>
      <c r="C72" s="225"/>
      <c r="D72" s="225"/>
      <c r="E72" s="225"/>
      <c r="F72" s="225"/>
      <c r="G72" s="225"/>
      <c r="H72" s="225"/>
      <c r="I72" s="225"/>
      <c r="J72" s="61">
        <f>J71/D71</f>
        <v>243.69185618865865</v>
      </c>
    </row>
    <row r="73" spans="1:10" x14ac:dyDescent="0.25">
      <c r="A73" s="180"/>
      <c r="B73" s="44"/>
      <c r="C73" s="225" t="s">
        <v>151</v>
      </c>
      <c r="D73" s="225"/>
      <c r="E73" s="225"/>
      <c r="F73" s="225"/>
      <c r="G73" s="225"/>
      <c r="H73" s="225"/>
      <c r="I73" s="225"/>
      <c r="J73" s="61">
        <v>1.234</v>
      </c>
    </row>
    <row r="74" spans="1:10" x14ac:dyDescent="0.25">
      <c r="A74" s="180"/>
      <c r="B74" s="44"/>
      <c r="C74" s="218" t="s">
        <v>152</v>
      </c>
      <c r="D74" s="218"/>
      <c r="E74" s="218"/>
      <c r="F74" s="218"/>
      <c r="G74" s="218"/>
      <c r="H74" s="218"/>
      <c r="I74" s="218"/>
      <c r="J74" s="61">
        <f>J72*J73</f>
        <v>300.71575053680476</v>
      </c>
    </row>
    <row r="75" spans="1:10" x14ac:dyDescent="0.25">
      <c r="A75" s="180"/>
      <c r="B75" s="44"/>
      <c r="C75" s="172"/>
      <c r="D75" s="62"/>
      <c r="E75" s="63"/>
      <c r="F75" s="62"/>
      <c r="G75" s="62"/>
      <c r="H75" s="62"/>
      <c r="I75" s="62"/>
      <c r="J75" s="62"/>
    </row>
    <row r="76" spans="1:10" x14ac:dyDescent="0.25">
      <c r="A76" s="180"/>
      <c r="B76" s="44"/>
      <c r="C76" s="164" t="s">
        <v>70</v>
      </c>
      <c r="D76" s="41" t="s">
        <v>153</v>
      </c>
      <c r="E76" s="227" t="s">
        <v>72</v>
      </c>
      <c r="F76" s="227"/>
      <c r="G76" s="227"/>
      <c r="H76" s="227"/>
      <c r="I76" s="227"/>
      <c r="J76" s="227"/>
    </row>
    <row r="77" spans="1:10" x14ac:dyDescent="0.25">
      <c r="A77" s="180"/>
      <c r="B77" s="44"/>
      <c r="C77" s="173" t="s">
        <v>73</v>
      </c>
      <c r="D77" s="64"/>
      <c r="E77" s="65"/>
      <c r="F77" s="64"/>
      <c r="G77" s="66"/>
      <c r="H77" s="66"/>
      <c r="I77" s="42" t="s">
        <v>74</v>
      </c>
      <c r="J77" s="42"/>
    </row>
    <row r="78" spans="1:10" x14ac:dyDescent="0.25">
      <c r="A78" s="180"/>
      <c r="B78" s="44"/>
      <c r="C78" s="221" t="s">
        <v>154</v>
      </c>
      <c r="D78" s="221"/>
      <c r="E78" s="221"/>
      <c r="F78" s="221"/>
      <c r="G78" s="221"/>
      <c r="H78" s="221"/>
      <c r="I78" s="42" t="s">
        <v>76</v>
      </c>
      <c r="J78" s="42" t="s">
        <v>26</v>
      </c>
    </row>
    <row r="79" spans="1:10" x14ac:dyDescent="0.25">
      <c r="A79" s="180"/>
      <c r="B79" s="44"/>
      <c r="C79" s="220" t="s">
        <v>78</v>
      </c>
      <c r="D79" s="220"/>
      <c r="E79" s="220"/>
      <c r="F79" s="220"/>
      <c r="G79" s="220"/>
      <c r="H79" s="220"/>
      <c r="I79" s="220"/>
      <c r="J79" s="220"/>
    </row>
    <row r="80" spans="1:10" x14ac:dyDescent="0.25">
      <c r="A80" s="180"/>
      <c r="B80" s="44" t="s">
        <v>79</v>
      </c>
      <c r="C80" s="165" t="s">
        <v>6</v>
      </c>
      <c r="D80" s="45" t="s">
        <v>80</v>
      </c>
      <c r="E80" s="46" t="s">
        <v>81</v>
      </c>
      <c r="F80" s="47" t="s">
        <v>82</v>
      </c>
      <c r="G80" s="47" t="s">
        <v>83</v>
      </c>
      <c r="H80" s="48" t="s">
        <v>84</v>
      </c>
      <c r="I80" s="48" t="s">
        <v>85</v>
      </c>
      <c r="J80" s="45" t="s">
        <v>86</v>
      </c>
    </row>
    <row r="81" spans="1:10" x14ac:dyDescent="0.25">
      <c r="A81" s="180" t="s">
        <v>254</v>
      </c>
      <c r="B81" s="44">
        <v>4415</v>
      </c>
      <c r="C81" s="166" t="s">
        <v>155</v>
      </c>
      <c r="D81" s="49" t="s">
        <v>147</v>
      </c>
      <c r="E81" s="67">
        <f>30*8</f>
        <v>240</v>
      </c>
      <c r="F81" s="51">
        <v>1</v>
      </c>
      <c r="G81" s="51"/>
      <c r="H81" s="48">
        <v>9.9</v>
      </c>
      <c r="I81" s="48"/>
      <c r="J81" s="52">
        <f>E81*F81*H81+E81*G81*I81</f>
        <v>2376</v>
      </c>
    </row>
    <row r="82" spans="1:10" x14ac:dyDescent="0.25">
      <c r="A82" s="180" t="s">
        <v>253</v>
      </c>
      <c r="B82" s="44">
        <v>4222</v>
      </c>
      <c r="C82" s="174" t="s">
        <v>156</v>
      </c>
      <c r="D82" s="45" t="s">
        <v>121</v>
      </c>
      <c r="E82" s="68">
        <v>250</v>
      </c>
      <c r="F82" s="51"/>
      <c r="G82" s="47"/>
      <c r="H82" s="48">
        <v>3.05</v>
      </c>
      <c r="I82" s="48"/>
      <c r="J82" s="52">
        <f>H82*E82</f>
        <v>762.5</v>
      </c>
    </row>
    <row r="83" spans="1:10" x14ac:dyDescent="0.25">
      <c r="A83" s="180"/>
      <c r="B83" s="44"/>
      <c r="C83" s="219" t="s">
        <v>87</v>
      </c>
      <c r="D83" s="219"/>
      <c r="E83" s="219"/>
      <c r="F83" s="219"/>
      <c r="G83" s="219"/>
      <c r="H83" s="219"/>
      <c r="I83" s="219"/>
      <c r="J83" s="53">
        <f>SUM(J81:J82)</f>
        <v>3138.5</v>
      </c>
    </row>
    <row r="84" spans="1:10" x14ac:dyDescent="0.25">
      <c r="A84" s="180"/>
      <c r="B84" s="44"/>
      <c r="C84" s="220" t="s">
        <v>88</v>
      </c>
      <c r="D84" s="220"/>
      <c r="E84" s="220"/>
      <c r="F84" s="220"/>
      <c r="G84" s="220"/>
      <c r="H84" s="220"/>
      <c r="I84" s="220"/>
      <c r="J84" s="220"/>
    </row>
    <row r="85" spans="1:10" x14ac:dyDescent="0.25">
      <c r="A85" s="180"/>
      <c r="B85" s="44" t="s">
        <v>79</v>
      </c>
      <c r="C85" s="165" t="s">
        <v>6</v>
      </c>
      <c r="D85" s="45" t="s">
        <v>80</v>
      </c>
      <c r="E85" s="46" t="s">
        <v>81</v>
      </c>
      <c r="F85" s="46"/>
      <c r="G85" s="46"/>
      <c r="H85" s="46"/>
      <c r="I85" s="45" t="s">
        <v>89</v>
      </c>
      <c r="J85" s="45" t="s">
        <v>86</v>
      </c>
    </row>
    <row r="86" spans="1:10" x14ac:dyDescent="0.25">
      <c r="A86" s="180" t="s">
        <v>254</v>
      </c>
      <c r="B86" s="44">
        <v>10557</v>
      </c>
      <c r="C86" s="175" t="s">
        <v>157</v>
      </c>
      <c r="D86" s="45" t="s">
        <v>26</v>
      </c>
      <c r="E86" s="54">
        <v>1</v>
      </c>
      <c r="F86" s="46"/>
      <c r="G86" s="46"/>
      <c r="H86" s="46"/>
      <c r="I86" s="55">
        <v>250</v>
      </c>
      <c r="J86" s="52">
        <f t="shared" ref="J86:J94" si="1">E86*I86</f>
        <v>250</v>
      </c>
    </row>
    <row r="87" spans="1:10" x14ac:dyDescent="0.25">
      <c r="A87" s="180" t="s">
        <v>253</v>
      </c>
      <c r="B87" s="44">
        <v>14250</v>
      </c>
      <c r="C87" s="167" t="s">
        <v>158</v>
      </c>
      <c r="D87" s="45" t="s">
        <v>159</v>
      </c>
      <c r="E87" s="54">
        <v>400</v>
      </c>
      <c r="F87" s="46"/>
      <c r="G87" s="46"/>
      <c r="H87" s="46"/>
      <c r="I87" s="55">
        <v>0.43</v>
      </c>
      <c r="J87" s="52">
        <f t="shared" si="1"/>
        <v>172</v>
      </c>
    </row>
    <row r="88" spans="1:10" x14ac:dyDescent="0.25">
      <c r="A88" s="180" t="s">
        <v>253</v>
      </c>
      <c r="B88" s="44">
        <v>14583</v>
      </c>
      <c r="C88" s="167" t="s">
        <v>160</v>
      </c>
      <c r="D88" s="45" t="s">
        <v>95</v>
      </c>
      <c r="E88" s="54">
        <v>5</v>
      </c>
      <c r="F88" s="46"/>
      <c r="G88" s="46"/>
      <c r="H88" s="46"/>
      <c r="I88" s="55">
        <v>8.14</v>
      </c>
      <c r="J88" s="52">
        <f t="shared" si="1"/>
        <v>40.700000000000003</v>
      </c>
    </row>
    <row r="89" spans="1:10" x14ac:dyDescent="0.25">
      <c r="A89" s="180" t="s">
        <v>254</v>
      </c>
      <c r="B89" s="44">
        <v>10562</v>
      </c>
      <c r="C89" s="175" t="s">
        <v>161</v>
      </c>
      <c r="D89" s="45" t="s">
        <v>26</v>
      </c>
      <c r="E89" s="54">
        <v>1</v>
      </c>
      <c r="F89" s="46"/>
      <c r="G89" s="46"/>
      <c r="H89" s="46"/>
      <c r="I89" s="55">
        <v>30</v>
      </c>
      <c r="J89" s="52">
        <f t="shared" si="1"/>
        <v>30</v>
      </c>
    </row>
    <row r="90" spans="1:10" x14ac:dyDescent="0.25">
      <c r="A90" s="180" t="s">
        <v>254</v>
      </c>
      <c r="B90" s="44">
        <v>10563</v>
      </c>
      <c r="C90" s="175" t="s">
        <v>162</v>
      </c>
      <c r="D90" s="45" t="s">
        <v>26</v>
      </c>
      <c r="E90" s="54">
        <v>1</v>
      </c>
      <c r="F90" s="46"/>
      <c r="G90" s="46"/>
      <c r="H90" s="46"/>
      <c r="I90" s="55">
        <v>54.65</v>
      </c>
      <c r="J90" s="52">
        <f t="shared" si="1"/>
        <v>54.65</v>
      </c>
    </row>
    <row r="91" spans="1:10" x14ac:dyDescent="0.25">
      <c r="A91" s="180"/>
      <c r="B91" s="44"/>
      <c r="C91" s="168"/>
      <c r="D91" s="45"/>
      <c r="E91" s="54"/>
      <c r="F91" s="46"/>
      <c r="G91" s="46"/>
      <c r="H91" s="46"/>
      <c r="I91" s="55"/>
      <c r="J91" s="52">
        <f t="shared" si="1"/>
        <v>0</v>
      </c>
    </row>
    <row r="92" spans="1:10" x14ac:dyDescent="0.25">
      <c r="A92" s="180"/>
      <c r="B92" s="44"/>
      <c r="C92" s="167"/>
      <c r="D92" s="45"/>
      <c r="E92" s="54"/>
      <c r="F92" s="46"/>
      <c r="G92" s="46"/>
      <c r="H92" s="46"/>
      <c r="I92" s="55"/>
      <c r="J92" s="52">
        <f t="shared" si="1"/>
        <v>0</v>
      </c>
    </row>
    <row r="93" spans="1:10" x14ac:dyDescent="0.25">
      <c r="A93" s="180"/>
      <c r="B93" s="44"/>
      <c r="C93" s="167"/>
      <c r="D93" s="45"/>
      <c r="E93" s="54"/>
      <c r="F93" s="46"/>
      <c r="G93" s="46"/>
      <c r="H93" s="46"/>
      <c r="I93" s="55"/>
      <c r="J93" s="52">
        <f t="shared" si="1"/>
        <v>0</v>
      </c>
    </row>
    <row r="94" spans="1:10" x14ac:dyDescent="0.25">
      <c r="A94" s="180" t="s">
        <v>254</v>
      </c>
      <c r="B94" s="44">
        <v>10516</v>
      </c>
      <c r="C94" s="167" t="s">
        <v>163</v>
      </c>
      <c r="D94" s="45" t="s">
        <v>26</v>
      </c>
      <c r="E94" s="54">
        <v>1</v>
      </c>
      <c r="F94" s="46"/>
      <c r="G94" s="46"/>
      <c r="H94" s="46"/>
      <c r="I94" s="55">
        <v>44.53</v>
      </c>
      <c r="J94" s="52">
        <f t="shared" si="1"/>
        <v>44.53</v>
      </c>
    </row>
    <row r="95" spans="1:10" x14ac:dyDescent="0.25">
      <c r="A95" s="180"/>
      <c r="B95" s="44"/>
      <c r="C95" s="219" t="s">
        <v>87</v>
      </c>
      <c r="D95" s="219"/>
      <c r="E95" s="219"/>
      <c r="F95" s="219"/>
      <c r="G95" s="219"/>
      <c r="H95" s="219"/>
      <c r="I95" s="219"/>
      <c r="J95" s="53">
        <f>SUM(J86:J94)</f>
        <v>591.88</v>
      </c>
    </row>
    <row r="96" spans="1:10" x14ac:dyDescent="0.25">
      <c r="A96" s="180"/>
      <c r="B96" s="44"/>
      <c r="C96" s="220" t="s">
        <v>144</v>
      </c>
      <c r="D96" s="220"/>
      <c r="E96" s="220"/>
      <c r="F96" s="220"/>
      <c r="G96" s="220"/>
      <c r="H96" s="220"/>
      <c r="I96" s="220"/>
      <c r="J96" s="220"/>
    </row>
    <row r="97" spans="1:10" x14ac:dyDescent="0.25">
      <c r="A97" s="180"/>
      <c r="B97" s="44" t="s">
        <v>79</v>
      </c>
      <c r="C97" s="169" t="s">
        <v>6</v>
      </c>
      <c r="D97" s="57" t="s">
        <v>80</v>
      </c>
      <c r="E97" s="57" t="s">
        <v>81</v>
      </c>
      <c r="F97" s="57"/>
      <c r="G97" s="57"/>
      <c r="H97" s="57"/>
      <c r="I97" s="56" t="s">
        <v>89</v>
      </c>
      <c r="J97" s="55" t="s">
        <v>86</v>
      </c>
    </row>
    <row r="98" spans="1:10" x14ac:dyDescent="0.25">
      <c r="A98" s="180"/>
      <c r="B98" s="44"/>
      <c r="C98" s="170"/>
      <c r="D98" s="56"/>
      <c r="E98" s="58"/>
      <c r="F98" s="57"/>
      <c r="G98" s="57"/>
      <c r="H98" s="57"/>
      <c r="I98" s="59"/>
      <c r="J98" s="53">
        <f>E98*I98</f>
        <v>0</v>
      </c>
    </row>
    <row r="99" spans="1:10" x14ac:dyDescent="0.25">
      <c r="A99" s="180"/>
      <c r="B99" s="44"/>
      <c r="C99" s="219" t="s">
        <v>87</v>
      </c>
      <c r="D99" s="219"/>
      <c r="E99" s="219"/>
      <c r="F99" s="219"/>
      <c r="G99" s="219"/>
      <c r="H99" s="219"/>
      <c r="I99" s="219"/>
      <c r="J99" s="53">
        <f>SUM(J98:J98)</f>
        <v>0</v>
      </c>
    </row>
    <row r="100" spans="1:10" x14ac:dyDescent="0.25">
      <c r="A100" s="180"/>
      <c r="B100" s="44"/>
      <c r="C100" s="220" t="s">
        <v>145</v>
      </c>
      <c r="D100" s="220"/>
      <c r="E100" s="220"/>
      <c r="F100" s="220"/>
      <c r="G100" s="220"/>
      <c r="H100" s="220"/>
      <c r="I100" s="220"/>
      <c r="J100" s="220"/>
    </row>
    <row r="101" spans="1:10" x14ac:dyDescent="0.25">
      <c r="A101" s="180"/>
      <c r="B101" s="44" t="s">
        <v>79</v>
      </c>
      <c r="C101" s="165" t="s">
        <v>6</v>
      </c>
      <c r="D101" s="45" t="s">
        <v>80</v>
      </c>
      <c r="E101" s="46" t="s">
        <v>81</v>
      </c>
      <c r="F101" s="46"/>
      <c r="G101" s="46"/>
      <c r="H101" s="46"/>
      <c r="I101" s="45" t="s">
        <v>89</v>
      </c>
      <c r="J101" s="45" t="s">
        <v>86</v>
      </c>
    </row>
    <row r="102" spans="1:10" x14ac:dyDescent="0.25">
      <c r="A102" s="180" t="s">
        <v>253</v>
      </c>
      <c r="B102" s="44">
        <v>2706</v>
      </c>
      <c r="C102" s="167" t="s">
        <v>164</v>
      </c>
      <c r="D102" s="45" t="s">
        <v>147</v>
      </c>
      <c r="E102" s="60">
        <v>64</v>
      </c>
      <c r="F102" s="46"/>
      <c r="G102" s="46"/>
      <c r="H102" s="46"/>
      <c r="I102" s="55">
        <v>56.78</v>
      </c>
      <c r="J102" s="52">
        <f t="shared" ref="J102:J107" si="2">E102*I102</f>
        <v>3633.92</v>
      </c>
    </row>
    <row r="103" spans="1:10" x14ac:dyDescent="0.25">
      <c r="A103" s="180" t="s">
        <v>253</v>
      </c>
      <c r="B103" s="44">
        <v>7592</v>
      </c>
      <c r="C103" s="167" t="s">
        <v>165</v>
      </c>
      <c r="D103" s="45" t="s">
        <v>147</v>
      </c>
      <c r="E103" s="60">
        <v>220</v>
      </c>
      <c r="F103" s="46"/>
      <c r="G103" s="46"/>
      <c r="H103" s="46"/>
      <c r="I103" s="55">
        <v>14.68</v>
      </c>
      <c r="J103" s="52">
        <f t="shared" si="2"/>
        <v>3229.6</v>
      </c>
    </row>
    <row r="104" spans="1:10" x14ac:dyDescent="0.25">
      <c r="A104" s="180" t="s">
        <v>254</v>
      </c>
      <c r="B104" s="163">
        <v>48</v>
      </c>
      <c r="C104" s="175" t="s">
        <v>166</v>
      </c>
      <c r="D104" s="49" t="s">
        <v>147</v>
      </c>
      <c r="E104" s="69">
        <v>220</v>
      </c>
      <c r="F104" s="70"/>
      <c r="G104" s="70"/>
      <c r="H104" s="70"/>
      <c r="I104" s="71">
        <v>6.74</v>
      </c>
      <c r="J104" s="52">
        <f t="shared" si="2"/>
        <v>1482.8</v>
      </c>
    </row>
    <row r="105" spans="1:10" x14ac:dyDescent="0.25">
      <c r="A105" s="180" t="s">
        <v>253</v>
      </c>
      <c r="B105" s="44">
        <v>4083</v>
      </c>
      <c r="C105" s="167" t="s">
        <v>167</v>
      </c>
      <c r="D105" s="45" t="s">
        <v>147</v>
      </c>
      <c r="E105" s="60">
        <v>220</v>
      </c>
      <c r="F105" s="46"/>
      <c r="G105" s="46"/>
      <c r="H105" s="46"/>
      <c r="I105" s="55">
        <v>16.239999999999998</v>
      </c>
      <c r="J105" s="52">
        <f t="shared" si="2"/>
        <v>3572.7999999999997</v>
      </c>
    </row>
    <row r="106" spans="1:10" x14ac:dyDescent="0.25">
      <c r="A106" s="180" t="s">
        <v>253</v>
      </c>
      <c r="B106" s="44">
        <v>2350</v>
      </c>
      <c r="C106" s="167" t="s">
        <v>168</v>
      </c>
      <c r="D106" s="45" t="s">
        <v>147</v>
      </c>
      <c r="E106" s="60">
        <v>220</v>
      </c>
      <c r="F106" s="46"/>
      <c r="G106" s="46"/>
      <c r="H106" s="46"/>
      <c r="I106" s="55">
        <v>9.6999999999999993</v>
      </c>
      <c r="J106" s="52">
        <f t="shared" si="2"/>
        <v>2134</v>
      </c>
    </row>
    <row r="107" spans="1:10" s="72" customFormat="1" x14ac:dyDescent="0.25">
      <c r="A107" s="180" t="s">
        <v>254</v>
      </c>
      <c r="B107" s="163">
        <v>10728</v>
      </c>
      <c r="C107" s="175" t="s">
        <v>169</v>
      </c>
      <c r="D107" s="49" t="s">
        <v>147</v>
      </c>
      <c r="E107" s="69">
        <v>32</v>
      </c>
      <c r="F107" s="70"/>
      <c r="G107" s="70"/>
      <c r="H107" s="70"/>
      <c r="I107" s="71">
        <f>2768.8/220</f>
        <v>12.585454545454546</v>
      </c>
      <c r="J107" s="52">
        <f t="shared" si="2"/>
        <v>402.73454545454547</v>
      </c>
    </row>
    <row r="108" spans="1:10" x14ac:dyDescent="0.25">
      <c r="A108" s="180"/>
      <c r="B108" s="44"/>
      <c r="C108" s="219" t="s">
        <v>87</v>
      </c>
      <c r="D108" s="219"/>
      <c r="E108" s="219"/>
      <c r="F108" s="219"/>
      <c r="G108" s="219"/>
      <c r="H108" s="219"/>
      <c r="I108" s="219"/>
      <c r="J108" s="53">
        <f>SUM(J102:J107)</f>
        <v>14455.854545454544</v>
      </c>
    </row>
    <row r="109" spans="1:10" x14ac:dyDescent="0.25">
      <c r="A109" s="180"/>
      <c r="B109" s="44"/>
      <c r="C109" s="176" t="s">
        <v>170</v>
      </c>
      <c r="D109" s="57"/>
      <c r="E109" s="57"/>
      <c r="F109" s="57"/>
      <c r="G109" s="57"/>
      <c r="H109" s="57"/>
      <c r="I109" s="57"/>
      <c r="J109" s="53">
        <f>J108*0.917</f>
        <v>13256.018618181817</v>
      </c>
    </row>
    <row r="110" spans="1:10" x14ac:dyDescent="0.25">
      <c r="A110" s="180"/>
      <c r="B110" s="44"/>
      <c r="C110" s="171" t="s">
        <v>149</v>
      </c>
      <c r="D110" s="58">
        <v>1</v>
      </c>
      <c r="E110" s="219" t="s">
        <v>150</v>
      </c>
      <c r="F110" s="219"/>
      <c r="G110" s="219"/>
      <c r="H110" s="219"/>
      <c r="I110" s="219"/>
      <c r="J110" s="53">
        <f>J109+J99+J95+J83</f>
        <v>16986.398618181818</v>
      </c>
    </row>
    <row r="111" spans="1:10" x14ac:dyDescent="0.25">
      <c r="A111" s="180"/>
      <c r="B111" s="44"/>
      <c r="C111" s="225"/>
      <c r="D111" s="225"/>
      <c r="E111" s="225"/>
      <c r="F111" s="225"/>
      <c r="G111" s="225"/>
      <c r="H111" s="225"/>
      <c r="I111" s="225"/>
      <c r="J111" s="61">
        <f>J110/D110</f>
        <v>16986.398618181818</v>
      </c>
    </row>
    <row r="112" spans="1:10" x14ac:dyDescent="0.25">
      <c r="A112" s="180"/>
      <c r="B112" s="44"/>
      <c r="C112" s="225" t="s">
        <v>151</v>
      </c>
      <c r="D112" s="225"/>
      <c r="E112" s="225"/>
      <c r="F112" s="225"/>
      <c r="G112" s="225"/>
      <c r="H112" s="225"/>
      <c r="I112" s="225"/>
      <c r="J112" s="61">
        <v>1.234</v>
      </c>
    </row>
    <row r="113" spans="1:10" x14ac:dyDescent="0.25">
      <c r="A113" s="180"/>
      <c r="B113" s="44"/>
      <c r="C113" s="218" t="s">
        <v>152</v>
      </c>
      <c r="D113" s="218"/>
      <c r="E113" s="218"/>
      <c r="F113" s="218"/>
      <c r="G113" s="218"/>
      <c r="H113" s="218"/>
      <c r="I113" s="218"/>
      <c r="J113" s="61">
        <f>J111*J112</f>
        <v>20961.215894836365</v>
      </c>
    </row>
    <row r="114" spans="1:10" x14ac:dyDescent="0.25">
      <c r="A114" s="180"/>
      <c r="B114" s="44"/>
      <c r="C114" s="164" t="s">
        <v>70</v>
      </c>
      <c r="D114" s="41" t="s">
        <v>171</v>
      </c>
      <c r="E114" s="227" t="s">
        <v>72</v>
      </c>
      <c r="F114" s="227"/>
      <c r="G114" s="227"/>
      <c r="H114" s="227"/>
      <c r="I114" s="227"/>
      <c r="J114" s="227"/>
    </row>
    <row r="115" spans="1:10" x14ac:dyDescent="0.25">
      <c r="A115" s="180"/>
      <c r="B115" s="44"/>
      <c r="C115" s="173" t="s">
        <v>73</v>
      </c>
      <c r="D115" s="64"/>
      <c r="E115" s="65"/>
      <c r="F115" s="64"/>
      <c r="G115" s="66"/>
      <c r="H115" s="66"/>
      <c r="I115" s="42" t="s">
        <v>74</v>
      </c>
      <c r="J115" s="42"/>
    </row>
    <row r="116" spans="1:10" x14ac:dyDescent="0.25">
      <c r="A116" s="180"/>
      <c r="B116" s="44"/>
      <c r="C116" s="221" t="s">
        <v>172</v>
      </c>
      <c r="D116" s="221"/>
      <c r="E116" s="221"/>
      <c r="F116" s="221"/>
      <c r="G116" s="221"/>
      <c r="H116" s="221"/>
      <c r="I116" s="42" t="s">
        <v>76</v>
      </c>
      <c r="J116" s="42"/>
    </row>
    <row r="117" spans="1:10" x14ac:dyDescent="0.25">
      <c r="A117" s="180"/>
      <c r="B117" s="44"/>
      <c r="C117" s="220" t="s">
        <v>78</v>
      </c>
      <c r="D117" s="220"/>
      <c r="E117" s="220"/>
      <c r="F117" s="220"/>
      <c r="G117" s="220"/>
      <c r="H117" s="220"/>
      <c r="I117" s="220"/>
      <c r="J117" s="220"/>
    </row>
    <row r="118" spans="1:10" x14ac:dyDescent="0.25">
      <c r="A118" s="180"/>
      <c r="B118" s="44" t="s">
        <v>79</v>
      </c>
      <c r="C118" s="165" t="s">
        <v>6</v>
      </c>
      <c r="D118" s="45" t="s">
        <v>80</v>
      </c>
      <c r="E118" s="46" t="s">
        <v>81</v>
      </c>
      <c r="F118" s="47" t="s">
        <v>82</v>
      </c>
      <c r="G118" s="47" t="s">
        <v>83</v>
      </c>
      <c r="H118" s="48" t="s">
        <v>84</v>
      </c>
      <c r="I118" s="48" t="s">
        <v>85</v>
      </c>
      <c r="J118" s="45" t="s">
        <v>86</v>
      </c>
    </row>
    <row r="119" spans="1:10" x14ac:dyDescent="0.25">
      <c r="A119" s="180" t="s">
        <v>255</v>
      </c>
      <c r="B119" s="44" t="s">
        <v>259</v>
      </c>
      <c r="C119" s="177" t="s">
        <v>173</v>
      </c>
      <c r="D119" s="45" t="s">
        <v>174</v>
      </c>
      <c r="E119" s="73">
        <f>'[2]composição de custos'!$D$11</f>
        <v>39900</v>
      </c>
      <c r="F119" s="51">
        <v>1</v>
      </c>
      <c r="G119" s="47"/>
      <c r="H119" s="48">
        <v>0.32</v>
      </c>
      <c r="I119" s="48"/>
      <c r="J119" s="52">
        <f>E119*F119*H119+E119*G119*I119</f>
        <v>12768</v>
      </c>
    </row>
    <row r="120" spans="1:10" x14ac:dyDescent="0.25">
      <c r="A120" s="180"/>
      <c r="B120" s="44"/>
      <c r="C120" s="177"/>
      <c r="D120" s="45"/>
      <c r="E120" s="46"/>
      <c r="F120" s="51"/>
      <c r="G120" s="47"/>
      <c r="H120" s="48"/>
      <c r="I120" s="48"/>
      <c r="J120" s="52"/>
    </row>
    <row r="121" spans="1:10" x14ac:dyDescent="0.25">
      <c r="A121" s="180"/>
      <c r="B121" s="44"/>
      <c r="C121" s="177"/>
      <c r="D121" s="45"/>
      <c r="E121" s="46"/>
      <c r="F121" s="51"/>
      <c r="G121" s="47"/>
      <c r="H121" s="48"/>
      <c r="I121" s="48"/>
      <c r="J121" s="52"/>
    </row>
    <row r="122" spans="1:10" x14ac:dyDescent="0.25">
      <c r="A122" s="180"/>
      <c r="B122" s="44"/>
      <c r="C122" s="219" t="s">
        <v>87</v>
      </c>
      <c r="D122" s="219"/>
      <c r="E122" s="219"/>
      <c r="F122" s="219"/>
      <c r="G122" s="219"/>
      <c r="H122" s="219"/>
      <c r="I122" s="219"/>
      <c r="J122" s="53">
        <f>SUM(J119:J121)</f>
        <v>12768</v>
      </c>
    </row>
    <row r="123" spans="1:10" x14ac:dyDescent="0.25">
      <c r="A123" s="180"/>
      <c r="B123" s="44"/>
      <c r="C123" s="220" t="s">
        <v>88</v>
      </c>
      <c r="D123" s="220"/>
      <c r="E123" s="220"/>
      <c r="F123" s="220"/>
      <c r="G123" s="220"/>
      <c r="H123" s="220"/>
      <c r="I123" s="220"/>
      <c r="J123" s="220"/>
    </row>
    <row r="124" spans="1:10" x14ac:dyDescent="0.25">
      <c r="A124" s="180"/>
      <c r="B124" s="44" t="s">
        <v>79</v>
      </c>
      <c r="C124" s="165" t="s">
        <v>6</v>
      </c>
      <c r="D124" s="45" t="s">
        <v>80</v>
      </c>
      <c r="E124" s="46" t="s">
        <v>81</v>
      </c>
      <c r="F124" s="46"/>
      <c r="G124" s="46"/>
      <c r="H124" s="46"/>
      <c r="I124" s="45" t="s">
        <v>89</v>
      </c>
      <c r="J124" s="45" t="s">
        <v>86</v>
      </c>
    </row>
    <row r="125" spans="1:10" x14ac:dyDescent="0.25">
      <c r="A125" s="180"/>
      <c r="B125" s="44"/>
      <c r="C125" s="175" t="s">
        <v>175</v>
      </c>
      <c r="D125" s="49" t="s">
        <v>176</v>
      </c>
      <c r="E125" s="73">
        <v>30</v>
      </c>
      <c r="F125" s="74"/>
      <c r="G125" s="74"/>
      <c r="H125" s="74"/>
      <c r="I125" s="71">
        <v>107.94</v>
      </c>
      <c r="J125" s="52">
        <f>E125*I125</f>
        <v>3238.2</v>
      </c>
    </row>
    <row r="126" spans="1:10" x14ac:dyDescent="0.25">
      <c r="A126" s="180"/>
      <c r="B126" s="44"/>
      <c r="C126" s="167"/>
      <c r="D126" s="45"/>
      <c r="E126" s="54"/>
      <c r="F126" s="46"/>
      <c r="G126" s="46"/>
      <c r="H126" s="46"/>
      <c r="I126" s="55"/>
      <c r="J126" s="52">
        <f>E126*I126</f>
        <v>0</v>
      </c>
    </row>
    <row r="127" spans="1:10" x14ac:dyDescent="0.25">
      <c r="A127" s="180"/>
      <c r="B127" s="44"/>
      <c r="C127" s="219" t="s">
        <v>87</v>
      </c>
      <c r="D127" s="219"/>
      <c r="E127" s="219"/>
      <c r="F127" s="219"/>
      <c r="G127" s="219"/>
      <c r="H127" s="219"/>
      <c r="I127" s="219"/>
      <c r="J127" s="53">
        <f>SUM(J125:J126)</f>
        <v>3238.2</v>
      </c>
    </row>
    <row r="128" spans="1:10" x14ac:dyDescent="0.25">
      <c r="A128" s="180"/>
      <c r="B128" s="44"/>
      <c r="C128" s="220" t="s">
        <v>144</v>
      </c>
      <c r="D128" s="220"/>
      <c r="E128" s="220"/>
      <c r="F128" s="220"/>
      <c r="G128" s="220"/>
      <c r="H128" s="220"/>
      <c r="I128" s="220"/>
      <c r="J128" s="220"/>
    </row>
    <row r="129" spans="1:10" x14ac:dyDescent="0.25">
      <c r="A129" s="180"/>
      <c r="B129" s="44" t="s">
        <v>79</v>
      </c>
      <c r="C129" s="169" t="s">
        <v>6</v>
      </c>
      <c r="D129" s="57" t="s">
        <v>80</v>
      </c>
      <c r="E129" s="57" t="s">
        <v>81</v>
      </c>
      <c r="F129" s="57"/>
      <c r="G129" s="57"/>
      <c r="H129" s="57"/>
      <c r="I129" s="56" t="s">
        <v>89</v>
      </c>
      <c r="J129" s="55" t="s">
        <v>86</v>
      </c>
    </row>
    <row r="130" spans="1:10" x14ac:dyDescent="0.25">
      <c r="A130" s="180"/>
      <c r="B130" s="44"/>
      <c r="C130" s="170"/>
      <c r="D130" s="56"/>
      <c r="E130" s="58"/>
      <c r="F130" s="57"/>
      <c r="G130" s="57"/>
      <c r="H130" s="57"/>
      <c r="I130" s="59"/>
      <c r="J130" s="53">
        <f>E130*I130</f>
        <v>0</v>
      </c>
    </row>
    <row r="131" spans="1:10" x14ac:dyDescent="0.25">
      <c r="A131" s="180"/>
      <c r="B131" s="44"/>
      <c r="C131" s="219" t="s">
        <v>87</v>
      </c>
      <c r="D131" s="219"/>
      <c r="E131" s="219"/>
      <c r="F131" s="219"/>
      <c r="G131" s="219"/>
      <c r="H131" s="219"/>
      <c r="I131" s="219"/>
      <c r="J131" s="53">
        <f>SUM(J130:J130)</f>
        <v>0</v>
      </c>
    </row>
    <row r="132" spans="1:10" x14ac:dyDescent="0.25">
      <c r="A132" s="180"/>
      <c r="B132" s="44"/>
      <c r="C132" s="220" t="s">
        <v>145</v>
      </c>
      <c r="D132" s="220"/>
      <c r="E132" s="220"/>
      <c r="F132" s="220"/>
      <c r="G132" s="220"/>
      <c r="H132" s="220"/>
      <c r="I132" s="220"/>
      <c r="J132" s="220"/>
    </row>
    <row r="133" spans="1:10" x14ac:dyDescent="0.25">
      <c r="A133" s="180"/>
      <c r="B133" s="44" t="s">
        <v>79</v>
      </c>
      <c r="C133" s="165" t="s">
        <v>6</v>
      </c>
      <c r="D133" s="45" t="s">
        <v>80</v>
      </c>
      <c r="E133" s="46" t="s">
        <v>81</v>
      </c>
      <c r="F133" s="46"/>
      <c r="G133" s="46"/>
      <c r="H133" s="46"/>
      <c r="I133" s="45" t="s">
        <v>89</v>
      </c>
      <c r="J133" s="45" t="s">
        <v>86</v>
      </c>
    </row>
    <row r="134" spans="1:10" x14ac:dyDescent="0.25">
      <c r="A134" s="180"/>
      <c r="B134" s="44"/>
      <c r="C134" s="167"/>
      <c r="D134" s="45"/>
      <c r="E134" s="60"/>
      <c r="F134" s="46"/>
      <c r="G134" s="46"/>
      <c r="H134" s="46"/>
      <c r="I134" s="55"/>
      <c r="J134" s="52">
        <f>E134*I134</f>
        <v>0</v>
      </c>
    </row>
    <row r="135" spans="1:10" x14ac:dyDescent="0.25">
      <c r="A135" s="180"/>
      <c r="B135" s="44"/>
      <c r="C135" s="167"/>
      <c r="D135" s="45"/>
      <c r="E135" s="60"/>
      <c r="F135" s="46"/>
      <c r="G135" s="46"/>
      <c r="H135" s="46"/>
      <c r="I135" s="55"/>
      <c r="J135" s="52">
        <f>E135*I135</f>
        <v>0</v>
      </c>
    </row>
    <row r="136" spans="1:10" x14ac:dyDescent="0.25">
      <c r="A136" s="180"/>
      <c r="B136" s="44"/>
      <c r="C136" s="219" t="s">
        <v>87</v>
      </c>
      <c r="D136" s="219"/>
      <c r="E136" s="219"/>
      <c r="F136" s="219"/>
      <c r="G136" s="219"/>
      <c r="H136" s="219"/>
      <c r="I136" s="219"/>
      <c r="J136" s="53">
        <f>SUM(J134:J135)</f>
        <v>0</v>
      </c>
    </row>
    <row r="137" spans="1:10" x14ac:dyDescent="0.25">
      <c r="A137" s="180"/>
      <c r="B137" s="44"/>
      <c r="C137" s="171" t="s">
        <v>149</v>
      </c>
      <c r="D137" s="58">
        <v>1</v>
      </c>
      <c r="E137" s="219" t="s">
        <v>150</v>
      </c>
      <c r="F137" s="219"/>
      <c r="G137" s="219"/>
      <c r="H137" s="219"/>
      <c r="I137" s="219"/>
      <c r="J137" s="53">
        <f>J136+J131+J127+J122</f>
        <v>16006.2</v>
      </c>
    </row>
    <row r="138" spans="1:10" x14ac:dyDescent="0.25">
      <c r="A138" s="180"/>
      <c r="B138" s="44"/>
      <c r="C138" s="225"/>
      <c r="D138" s="225"/>
      <c r="E138" s="225"/>
      <c r="F138" s="225"/>
      <c r="G138" s="225"/>
      <c r="H138" s="225"/>
      <c r="I138" s="225"/>
      <c r="J138" s="61">
        <f>J137/D137</f>
        <v>16006.2</v>
      </c>
    </row>
    <row r="139" spans="1:10" x14ac:dyDescent="0.25">
      <c r="A139" s="180"/>
      <c r="B139" s="44"/>
      <c r="C139" s="225" t="s">
        <v>151</v>
      </c>
      <c r="D139" s="225"/>
      <c r="E139" s="225"/>
      <c r="F139" s="225"/>
      <c r="G139" s="225"/>
      <c r="H139" s="225"/>
      <c r="I139" s="225"/>
      <c r="J139" s="61">
        <v>1.234</v>
      </c>
    </row>
    <row r="140" spans="1:10" x14ac:dyDescent="0.25">
      <c r="A140" s="180"/>
      <c r="B140" s="44"/>
      <c r="C140" s="218" t="s">
        <v>152</v>
      </c>
      <c r="D140" s="218"/>
      <c r="E140" s="218"/>
      <c r="F140" s="218"/>
      <c r="G140" s="218"/>
      <c r="H140" s="218"/>
      <c r="I140" s="218"/>
      <c r="J140" s="61">
        <f>J138*J139</f>
        <v>19751.650799999999</v>
      </c>
    </row>
    <row r="141" spans="1:10" x14ac:dyDescent="0.25">
      <c r="A141" s="180"/>
      <c r="B141" s="44"/>
      <c r="C141" s="164" t="s">
        <v>70</v>
      </c>
      <c r="D141" s="41" t="s">
        <v>177</v>
      </c>
      <c r="E141" s="227" t="s">
        <v>72</v>
      </c>
      <c r="F141" s="227"/>
      <c r="G141" s="227"/>
      <c r="H141" s="227"/>
      <c r="I141" s="227"/>
      <c r="J141" s="227"/>
    </row>
    <row r="142" spans="1:10" x14ac:dyDescent="0.25">
      <c r="A142" s="180"/>
      <c r="B142" s="44"/>
      <c r="C142" s="173" t="s">
        <v>73</v>
      </c>
      <c r="D142" s="64"/>
      <c r="E142" s="65"/>
      <c r="F142" s="64"/>
      <c r="G142" s="66"/>
      <c r="H142" s="66"/>
      <c r="I142" s="42" t="s">
        <v>74</v>
      </c>
      <c r="J142" s="42"/>
    </row>
    <row r="143" spans="1:10" x14ac:dyDescent="0.25">
      <c r="A143" s="180"/>
      <c r="B143" s="44"/>
      <c r="C143" s="221" t="s">
        <v>178</v>
      </c>
      <c r="D143" s="221"/>
      <c r="E143" s="221"/>
      <c r="F143" s="221"/>
      <c r="G143" s="221"/>
      <c r="H143" s="221"/>
      <c r="I143" s="42" t="s">
        <v>76</v>
      </c>
      <c r="J143" s="42" t="s">
        <v>179</v>
      </c>
    </row>
    <row r="144" spans="1:10" x14ac:dyDescent="0.25">
      <c r="A144" s="180"/>
      <c r="B144" s="44"/>
      <c r="C144" s="220" t="s">
        <v>78</v>
      </c>
      <c r="D144" s="220"/>
      <c r="E144" s="220"/>
      <c r="F144" s="220"/>
      <c r="G144" s="220"/>
      <c r="H144" s="220"/>
      <c r="I144" s="220"/>
      <c r="J144" s="220"/>
    </row>
    <row r="145" spans="1:10" x14ac:dyDescent="0.25">
      <c r="A145" s="180"/>
      <c r="B145" s="44" t="s">
        <v>79</v>
      </c>
      <c r="C145" s="165" t="s">
        <v>6</v>
      </c>
      <c r="D145" s="45" t="s">
        <v>80</v>
      </c>
      <c r="E145" s="46" t="s">
        <v>81</v>
      </c>
      <c r="F145" s="47" t="s">
        <v>82</v>
      </c>
      <c r="G145" s="47" t="s">
        <v>83</v>
      </c>
      <c r="H145" s="48" t="s">
        <v>84</v>
      </c>
      <c r="I145" s="48" t="s">
        <v>85</v>
      </c>
      <c r="J145" s="45" t="s">
        <v>86</v>
      </c>
    </row>
    <row r="146" spans="1:10" x14ac:dyDescent="0.25">
      <c r="A146" s="180" t="s">
        <v>255</v>
      </c>
      <c r="B146" s="44" t="s">
        <v>257</v>
      </c>
      <c r="C146" s="177" t="s">
        <v>180</v>
      </c>
      <c r="D146" s="45" t="s">
        <v>174</v>
      </c>
      <c r="E146" s="75">
        <f>'[2]composição de custos'!$D$11</f>
        <v>39900</v>
      </c>
      <c r="F146" s="51">
        <v>1</v>
      </c>
      <c r="G146" s="47"/>
      <c r="H146" s="48">
        <v>0.32</v>
      </c>
      <c r="I146" s="48"/>
      <c r="J146" s="52">
        <f>E146*F146*H146+E146*G146*I146</f>
        <v>12768</v>
      </c>
    </row>
    <row r="147" spans="1:10" x14ac:dyDescent="0.25">
      <c r="A147" s="180"/>
      <c r="B147" s="44"/>
      <c r="C147" s="177"/>
      <c r="D147" s="45"/>
      <c r="E147" s="46"/>
      <c r="F147" s="51"/>
      <c r="G147" s="47"/>
      <c r="H147" s="48"/>
      <c r="I147" s="48"/>
      <c r="J147" s="52"/>
    </row>
    <row r="148" spans="1:10" x14ac:dyDescent="0.25">
      <c r="A148" s="180"/>
      <c r="B148" s="44"/>
      <c r="C148" s="177"/>
      <c r="D148" s="45"/>
      <c r="E148" s="46"/>
      <c r="F148" s="51"/>
      <c r="G148" s="47"/>
      <c r="H148" s="48"/>
      <c r="I148" s="48"/>
      <c r="J148" s="52"/>
    </row>
    <row r="149" spans="1:10" x14ac:dyDescent="0.25">
      <c r="A149" s="180"/>
      <c r="B149" s="44"/>
      <c r="C149" s="219" t="s">
        <v>87</v>
      </c>
      <c r="D149" s="219"/>
      <c r="E149" s="219"/>
      <c r="F149" s="219"/>
      <c r="G149" s="219"/>
      <c r="H149" s="219"/>
      <c r="I149" s="219"/>
      <c r="J149" s="53">
        <f>SUM(J146:J148)</f>
        <v>12768</v>
      </c>
    </row>
    <row r="150" spans="1:10" x14ac:dyDescent="0.25">
      <c r="A150" s="180"/>
      <c r="B150" s="44"/>
      <c r="C150" s="220" t="s">
        <v>88</v>
      </c>
      <c r="D150" s="220"/>
      <c r="E150" s="220"/>
      <c r="F150" s="220"/>
      <c r="G150" s="220"/>
      <c r="H150" s="220"/>
      <c r="I150" s="220"/>
      <c r="J150" s="220"/>
    </row>
    <row r="151" spans="1:10" x14ac:dyDescent="0.25">
      <c r="A151" s="180"/>
      <c r="B151" s="44" t="s">
        <v>79</v>
      </c>
      <c r="C151" s="165" t="s">
        <v>6</v>
      </c>
      <c r="D151" s="45" t="s">
        <v>80</v>
      </c>
      <c r="E151" s="46" t="s">
        <v>81</v>
      </c>
      <c r="F151" s="46"/>
      <c r="G151" s="46"/>
      <c r="H151" s="46"/>
      <c r="I151" s="45" t="s">
        <v>89</v>
      </c>
      <c r="J151" s="45" t="s">
        <v>86</v>
      </c>
    </row>
    <row r="152" spans="1:10" x14ac:dyDescent="0.25">
      <c r="A152" s="180"/>
      <c r="B152" s="44"/>
      <c r="C152" s="175" t="s">
        <v>181</v>
      </c>
      <c r="D152" s="49" t="s">
        <v>176</v>
      </c>
      <c r="E152" s="73">
        <v>30</v>
      </c>
      <c r="F152" s="70"/>
      <c r="G152" s="70"/>
      <c r="H152" s="70"/>
      <c r="I152" s="71">
        <v>107.94</v>
      </c>
      <c r="J152" s="52">
        <f>E152*I152</f>
        <v>3238.2</v>
      </c>
    </row>
    <row r="153" spans="1:10" x14ac:dyDescent="0.25">
      <c r="A153" s="180"/>
      <c r="B153" s="44"/>
      <c r="C153" s="167"/>
      <c r="D153" s="45"/>
      <c r="E153" s="54"/>
      <c r="F153" s="46"/>
      <c r="G153" s="46"/>
      <c r="H153" s="46"/>
      <c r="I153" s="55"/>
      <c r="J153" s="52">
        <f>E153*I153</f>
        <v>0</v>
      </c>
    </row>
    <row r="154" spans="1:10" x14ac:dyDescent="0.25">
      <c r="A154" s="180"/>
      <c r="B154" s="44"/>
      <c r="C154" s="219" t="s">
        <v>87</v>
      </c>
      <c r="D154" s="219"/>
      <c r="E154" s="219"/>
      <c r="F154" s="219"/>
      <c r="G154" s="219"/>
      <c r="H154" s="219"/>
      <c r="I154" s="219"/>
      <c r="J154" s="53">
        <f>SUM(J152:J153)</f>
        <v>3238.2</v>
      </c>
    </row>
    <row r="155" spans="1:10" x14ac:dyDescent="0.25">
      <c r="A155" s="180"/>
      <c r="B155" s="44"/>
      <c r="C155" s="220" t="s">
        <v>144</v>
      </c>
      <c r="D155" s="220"/>
      <c r="E155" s="220"/>
      <c r="F155" s="220"/>
      <c r="G155" s="220"/>
      <c r="H155" s="220"/>
      <c r="I155" s="220"/>
      <c r="J155" s="220"/>
    </row>
    <row r="156" spans="1:10" x14ac:dyDescent="0.25">
      <c r="A156" s="180"/>
      <c r="B156" s="44" t="s">
        <v>79</v>
      </c>
      <c r="C156" s="169" t="s">
        <v>6</v>
      </c>
      <c r="D156" s="57" t="s">
        <v>80</v>
      </c>
      <c r="E156" s="57" t="s">
        <v>81</v>
      </c>
      <c r="F156" s="57"/>
      <c r="G156" s="57"/>
      <c r="H156" s="57"/>
      <c r="I156" s="56" t="s">
        <v>89</v>
      </c>
      <c r="J156" s="55" t="s">
        <v>86</v>
      </c>
    </row>
    <row r="157" spans="1:10" x14ac:dyDescent="0.25">
      <c r="A157" s="180"/>
      <c r="B157" s="44"/>
      <c r="C157" s="170"/>
      <c r="D157" s="56"/>
      <c r="E157" s="58"/>
      <c r="F157" s="57"/>
      <c r="G157" s="57"/>
      <c r="H157" s="57"/>
      <c r="I157" s="59"/>
      <c r="J157" s="53">
        <f>E157*I157</f>
        <v>0</v>
      </c>
    </row>
    <row r="158" spans="1:10" x14ac:dyDescent="0.25">
      <c r="A158" s="180"/>
      <c r="B158" s="44"/>
      <c r="C158" s="219" t="s">
        <v>87</v>
      </c>
      <c r="D158" s="219"/>
      <c r="E158" s="219"/>
      <c r="F158" s="219"/>
      <c r="G158" s="219"/>
      <c r="H158" s="219"/>
      <c r="I158" s="219"/>
      <c r="J158" s="53">
        <f>SUM(J157:J157)</f>
        <v>0</v>
      </c>
    </row>
    <row r="159" spans="1:10" x14ac:dyDescent="0.25">
      <c r="A159" s="180"/>
      <c r="B159" s="44"/>
      <c r="C159" s="220" t="s">
        <v>145</v>
      </c>
      <c r="D159" s="220"/>
      <c r="E159" s="220"/>
      <c r="F159" s="220"/>
      <c r="G159" s="220"/>
      <c r="H159" s="220"/>
      <c r="I159" s="220"/>
      <c r="J159" s="220"/>
    </row>
    <row r="160" spans="1:10" x14ac:dyDescent="0.25">
      <c r="A160" s="180"/>
      <c r="B160" s="44" t="s">
        <v>79</v>
      </c>
      <c r="C160" s="165" t="s">
        <v>6</v>
      </c>
      <c r="D160" s="45" t="s">
        <v>80</v>
      </c>
      <c r="E160" s="46" t="s">
        <v>81</v>
      </c>
      <c r="F160" s="46"/>
      <c r="G160" s="46"/>
      <c r="H160" s="46"/>
      <c r="I160" s="45" t="s">
        <v>89</v>
      </c>
      <c r="J160" s="45" t="s">
        <v>86</v>
      </c>
    </row>
    <row r="161" spans="1:10" x14ac:dyDescent="0.25">
      <c r="A161" s="180"/>
      <c r="B161" s="44"/>
      <c r="C161" s="167"/>
      <c r="D161" s="45"/>
      <c r="E161" s="60"/>
      <c r="F161" s="46"/>
      <c r="G161" s="46"/>
      <c r="H161" s="46"/>
      <c r="I161" s="55"/>
      <c r="J161" s="52">
        <f>E161*I161</f>
        <v>0</v>
      </c>
    </row>
    <row r="162" spans="1:10" x14ac:dyDescent="0.25">
      <c r="A162" s="180"/>
      <c r="B162" s="44"/>
      <c r="C162" s="167"/>
      <c r="D162" s="45"/>
      <c r="E162" s="60"/>
      <c r="F162" s="46"/>
      <c r="G162" s="46"/>
      <c r="H162" s="46"/>
      <c r="I162" s="55"/>
      <c r="J162" s="52">
        <f>E162*I162</f>
        <v>0</v>
      </c>
    </row>
    <row r="163" spans="1:10" x14ac:dyDescent="0.25">
      <c r="A163" s="180"/>
      <c r="B163" s="44"/>
      <c r="C163" s="219" t="s">
        <v>87</v>
      </c>
      <c r="D163" s="219"/>
      <c r="E163" s="219"/>
      <c r="F163" s="219"/>
      <c r="G163" s="219"/>
      <c r="H163" s="219"/>
      <c r="I163" s="219"/>
      <c r="J163" s="53">
        <f>SUM(J161:J162)</f>
        <v>0</v>
      </c>
    </row>
    <row r="164" spans="1:10" x14ac:dyDescent="0.25">
      <c r="A164" s="180"/>
      <c r="B164" s="44"/>
      <c r="C164" s="171" t="s">
        <v>149</v>
      </c>
      <c r="D164" s="58">
        <v>1</v>
      </c>
      <c r="E164" s="219" t="s">
        <v>150</v>
      </c>
      <c r="F164" s="219"/>
      <c r="G164" s="219"/>
      <c r="H164" s="219"/>
      <c r="I164" s="219"/>
      <c r="J164" s="53">
        <f>J163+J158+J154+J149</f>
        <v>16006.2</v>
      </c>
    </row>
    <row r="165" spans="1:10" x14ac:dyDescent="0.25">
      <c r="A165" s="180"/>
      <c r="B165" s="44"/>
      <c r="C165" s="225"/>
      <c r="D165" s="225"/>
      <c r="E165" s="225"/>
      <c r="F165" s="225"/>
      <c r="G165" s="225"/>
      <c r="H165" s="225"/>
      <c r="I165" s="225"/>
      <c r="J165" s="61">
        <f>J164/D164</f>
        <v>16006.2</v>
      </c>
    </row>
    <row r="166" spans="1:10" x14ac:dyDescent="0.25">
      <c r="A166" s="180"/>
      <c r="B166" s="44"/>
      <c r="C166" s="225" t="s">
        <v>151</v>
      </c>
      <c r="D166" s="225"/>
      <c r="E166" s="225"/>
      <c r="F166" s="225"/>
      <c r="G166" s="225"/>
      <c r="H166" s="225"/>
      <c r="I166" s="225"/>
      <c r="J166" s="61">
        <v>1.234</v>
      </c>
    </row>
    <row r="167" spans="1:10" x14ac:dyDescent="0.25">
      <c r="A167" s="180"/>
      <c r="B167" s="44"/>
      <c r="C167" s="218" t="s">
        <v>152</v>
      </c>
      <c r="D167" s="218"/>
      <c r="E167" s="218"/>
      <c r="F167" s="218"/>
      <c r="G167" s="218"/>
      <c r="H167" s="218"/>
      <c r="I167" s="218"/>
      <c r="J167" s="61">
        <f>J165*J166</f>
        <v>19751.650799999999</v>
      </c>
    </row>
    <row r="168" spans="1:10" x14ac:dyDescent="0.25">
      <c r="A168" s="180"/>
      <c r="B168" s="44"/>
      <c r="C168" s="164" t="s">
        <v>70</v>
      </c>
      <c r="D168" s="41" t="s">
        <v>182</v>
      </c>
      <c r="E168" s="227" t="s">
        <v>72</v>
      </c>
      <c r="F168" s="227"/>
      <c r="G168" s="227"/>
      <c r="H168" s="227"/>
      <c r="I168" s="227"/>
      <c r="J168" s="227"/>
    </row>
    <row r="169" spans="1:10" x14ac:dyDescent="0.25">
      <c r="A169" s="180"/>
      <c r="B169" s="44"/>
      <c r="C169" s="173" t="s">
        <v>73</v>
      </c>
      <c r="D169" s="64"/>
      <c r="E169" s="65"/>
      <c r="F169" s="64"/>
      <c r="G169" s="66"/>
      <c r="H169" s="66"/>
      <c r="I169" s="42" t="s">
        <v>74</v>
      </c>
      <c r="J169" s="42"/>
    </row>
    <row r="170" spans="1:10" x14ac:dyDescent="0.25">
      <c r="A170" s="180"/>
      <c r="B170" s="44"/>
      <c r="C170" s="221" t="s">
        <v>183</v>
      </c>
      <c r="D170" s="221"/>
      <c r="E170" s="221"/>
      <c r="F170" s="221"/>
      <c r="G170" s="221"/>
      <c r="H170" s="221"/>
      <c r="I170" s="42" t="s">
        <v>76</v>
      </c>
      <c r="J170" s="42" t="s">
        <v>91</v>
      </c>
    </row>
    <row r="171" spans="1:10" x14ac:dyDescent="0.25">
      <c r="A171" s="180"/>
      <c r="B171" s="44"/>
      <c r="C171" s="220" t="s">
        <v>78</v>
      </c>
      <c r="D171" s="220"/>
      <c r="E171" s="220"/>
      <c r="F171" s="220"/>
      <c r="G171" s="220"/>
      <c r="H171" s="220"/>
      <c r="I171" s="220"/>
      <c r="J171" s="220"/>
    </row>
    <row r="172" spans="1:10" x14ac:dyDescent="0.25">
      <c r="A172" s="180"/>
      <c r="B172" s="44" t="s">
        <v>79</v>
      </c>
      <c r="C172" s="165" t="s">
        <v>6</v>
      </c>
      <c r="D172" s="45" t="s">
        <v>80</v>
      </c>
      <c r="E172" s="46" t="s">
        <v>81</v>
      </c>
      <c r="F172" s="47" t="s">
        <v>82</v>
      </c>
      <c r="G172" s="47" t="s">
        <v>83</v>
      </c>
      <c r="H172" s="48" t="s">
        <v>84</v>
      </c>
      <c r="I172" s="48" t="s">
        <v>85</v>
      </c>
      <c r="J172" s="45" t="s">
        <v>86</v>
      </c>
    </row>
    <row r="173" spans="1:10" x14ac:dyDescent="0.25">
      <c r="A173" s="180"/>
      <c r="B173" s="44"/>
      <c r="C173" s="177"/>
      <c r="D173" s="45"/>
      <c r="E173" s="76"/>
      <c r="F173" s="51"/>
      <c r="G173" s="47"/>
      <c r="H173" s="48"/>
      <c r="I173" s="48"/>
      <c r="J173" s="52">
        <f>E173*F173*H173+E173*G173*I173</f>
        <v>0</v>
      </c>
    </row>
    <row r="174" spans="1:10" x14ac:dyDescent="0.25">
      <c r="A174" s="180"/>
      <c r="B174" s="44"/>
      <c r="C174" s="177"/>
      <c r="D174" s="45"/>
      <c r="E174" s="46"/>
      <c r="F174" s="51"/>
      <c r="G174" s="47"/>
      <c r="H174" s="48"/>
      <c r="I174" s="48"/>
      <c r="J174" s="52"/>
    </row>
    <row r="175" spans="1:10" x14ac:dyDescent="0.25">
      <c r="A175" s="180"/>
      <c r="B175" s="44"/>
      <c r="C175" s="177"/>
      <c r="D175" s="45"/>
      <c r="E175" s="46"/>
      <c r="F175" s="51"/>
      <c r="G175" s="47"/>
      <c r="H175" s="48"/>
      <c r="I175" s="48"/>
      <c r="J175" s="52"/>
    </row>
    <row r="176" spans="1:10" x14ac:dyDescent="0.25">
      <c r="A176" s="180"/>
      <c r="B176" s="44"/>
      <c r="C176" s="219" t="s">
        <v>87</v>
      </c>
      <c r="D176" s="219"/>
      <c r="E176" s="219"/>
      <c r="F176" s="219"/>
      <c r="G176" s="219"/>
      <c r="H176" s="219"/>
      <c r="I176" s="219"/>
      <c r="J176" s="53">
        <f>SUM(J173:J175)</f>
        <v>0</v>
      </c>
    </row>
    <row r="177" spans="1:10" x14ac:dyDescent="0.25">
      <c r="A177" s="180"/>
      <c r="B177" s="44"/>
      <c r="C177" s="220" t="s">
        <v>88</v>
      </c>
      <c r="D177" s="220"/>
      <c r="E177" s="220"/>
      <c r="F177" s="220"/>
      <c r="G177" s="220"/>
      <c r="H177" s="220"/>
      <c r="I177" s="220"/>
      <c r="J177" s="220"/>
    </row>
    <row r="178" spans="1:10" x14ac:dyDescent="0.25">
      <c r="A178" s="180"/>
      <c r="B178" s="44" t="s">
        <v>79</v>
      </c>
      <c r="C178" s="165" t="s">
        <v>6</v>
      </c>
      <c r="D178" s="45" t="s">
        <v>80</v>
      </c>
      <c r="E178" s="46" t="s">
        <v>81</v>
      </c>
      <c r="F178" s="46"/>
      <c r="G178" s="46"/>
      <c r="H178" s="46"/>
      <c r="I178" s="45" t="s">
        <v>89</v>
      </c>
      <c r="J178" s="45" t="s">
        <v>86</v>
      </c>
    </row>
    <row r="179" spans="1:10" x14ac:dyDescent="0.25">
      <c r="A179" s="180" t="s">
        <v>256</v>
      </c>
      <c r="B179" s="44">
        <v>13628</v>
      </c>
      <c r="C179" s="167" t="s">
        <v>184</v>
      </c>
      <c r="D179" s="45" t="s">
        <v>42</v>
      </c>
      <c r="E179" s="54">
        <v>3.52</v>
      </c>
      <c r="F179" s="46"/>
      <c r="G179" s="46"/>
      <c r="H179" s="46"/>
      <c r="I179" s="55">
        <v>9.69</v>
      </c>
      <c r="J179" s="52">
        <f>E179*I179</f>
        <v>34.108799999999995</v>
      </c>
    </row>
    <row r="180" spans="1:10" x14ac:dyDescent="0.25">
      <c r="A180" s="180" t="s">
        <v>256</v>
      </c>
      <c r="B180" s="44">
        <v>5070</v>
      </c>
      <c r="C180" s="167" t="s">
        <v>185</v>
      </c>
      <c r="D180" s="45" t="s">
        <v>186</v>
      </c>
      <c r="E180" s="54">
        <v>0.15</v>
      </c>
      <c r="F180" s="46"/>
      <c r="G180" s="46"/>
      <c r="H180" s="46"/>
      <c r="I180" s="55">
        <v>7.12</v>
      </c>
      <c r="J180" s="52">
        <f>E180*I180</f>
        <v>1.0680000000000001</v>
      </c>
    </row>
    <row r="181" spans="1:10" x14ac:dyDescent="0.25">
      <c r="A181" s="180" t="s">
        <v>256</v>
      </c>
      <c r="B181" s="44">
        <v>13629</v>
      </c>
      <c r="C181" s="167" t="s">
        <v>187</v>
      </c>
      <c r="D181" s="45" t="s">
        <v>19</v>
      </c>
      <c r="E181" s="54">
        <v>1</v>
      </c>
      <c r="F181" s="46"/>
      <c r="G181" s="46"/>
      <c r="H181" s="46"/>
      <c r="I181" s="55">
        <v>129.6</v>
      </c>
      <c r="J181" s="52">
        <f>E181*I181</f>
        <v>129.6</v>
      </c>
    </row>
    <row r="182" spans="1:10" x14ac:dyDescent="0.25">
      <c r="A182" s="180"/>
      <c r="B182" s="44"/>
      <c r="C182" s="167"/>
      <c r="D182" s="45"/>
      <c r="E182" s="54"/>
      <c r="F182" s="46"/>
      <c r="G182" s="46"/>
      <c r="H182" s="46"/>
      <c r="I182" s="55"/>
      <c r="J182" s="52"/>
    </row>
    <row r="183" spans="1:10" x14ac:dyDescent="0.25">
      <c r="A183" s="180"/>
      <c r="B183" s="44"/>
      <c r="C183" s="219" t="s">
        <v>87</v>
      </c>
      <c r="D183" s="219"/>
      <c r="E183" s="219"/>
      <c r="F183" s="219"/>
      <c r="G183" s="219"/>
      <c r="H183" s="219"/>
      <c r="I183" s="219"/>
      <c r="J183" s="53">
        <f>SUM(J179:J182)</f>
        <v>164.77679999999998</v>
      </c>
    </row>
    <row r="184" spans="1:10" x14ac:dyDescent="0.25">
      <c r="A184" s="180"/>
      <c r="B184" s="44"/>
      <c r="C184" s="220" t="s">
        <v>144</v>
      </c>
      <c r="D184" s="220"/>
      <c r="E184" s="220"/>
      <c r="F184" s="220"/>
      <c r="G184" s="220"/>
      <c r="H184" s="220"/>
      <c r="I184" s="220"/>
      <c r="J184" s="220"/>
    </row>
    <row r="185" spans="1:10" x14ac:dyDescent="0.25">
      <c r="A185" s="180"/>
      <c r="B185" s="44" t="s">
        <v>79</v>
      </c>
      <c r="C185" s="169" t="s">
        <v>6</v>
      </c>
      <c r="D185" s="57" t="s">
        <v>80</v>
      </c>
      <c r="E185" s="57" t="s">
        <v>81</v>
      </c>
      <c r="F185" s="57"/>
      <c r="G185" s="57"/>
      <c r="H185" s="57"/>
      <c r="I185" s="56" t="s">
        <v>89</v>
      </c>
      <c r="J185" s="55" t="s">
        <v>86</v>
      </c>
    </row>
    <row r="186" spans="1:10" x14ac:dyDescent="0.25">
      <c r="A186" s="180"/>
      <c r="B186" s="44"/>
      <c r="C186" s="170"/>
      <c r="D186" s="56"/>
      <c r="E186" s="58"/>
      <c r="F186" s="57"/>
      <c r="G186" s="57"/>
      <c r="H186" s="57"/>
      <c r="I186" s="59"/>
      <c r="J186" s="53">
        <f>E186*I186</f>
        <v>0</v>
      </c>
    </row>
    <row r="187" spans="1:10" x14ac:dyDescent="0.25">
      <c r="A187" s="180"/>
      <c r="B187" s="44"/>
      <c r="C187" s="219" t="s">
        <v>87</v>
      </c>
      <c r="D187" s="219"/>
      <c r="E187" s="219"/>
      <c r="F187" s="219"/>
      <c r="G187" s="219"/>
      <c r="H187" s="219"/>
      <c r="I187" s="219"/>
      <c r="J187" s="53">
        <f>SUM(J186:J186)</f>
        <v>0</v>
      </c>
    </row>
    <row r="188" spans="1:10" x14ac:dyDescent="0.25">
      <c r="A188" s="180"/>
      <c r="B188" s="44"/>
      <c r="C188" s="220" t="s">
        <v>145</v>
      </c>
      <c r="D188" s="220"/>
      <c r="E188" s="220"/>
      <c r="F188" s="220"/>
      <c r="G188" s="220"/>
      <c r="H188" s="220"/>
      <c r="I188" s="220"/>
      <c r="J188" s="220"/>
    </row>
    <row r="189" spans="1:10" x14ac:dyDescent="0.25">
      <c r="A189" s="180"/>
      <c r="B189" s="44" t="s">
        <v>79</v>
      </c>
      <c r="C189" s="165" t="s">
        <v>6</v>
      </c>
      <c r="D189" s="45" t="s">
        <v>80</v>
      </c>
      <c r="E189" s="46" t="s">
        <v>81</v>
      </c>
      <c r="F189" s="46"/>
      <c r="G189" s="46"/>
      <c r="H189" s="46"/>
      <c r="I189" s="45" t="s">
        <v>89</v>
      </c>
      <c r="J189" s="45" t="s">
        <v>86</v>
      </c>
    </row>
    <row r="190" spans="1:10" x14ac:dyDescent="0.25">
      <c r="A190" s="180" t="s">
        <v>256</v>
      </c>
      <c r="B190" s="44">
        <v>1213</v>
      </c>
      <c r="C190" s="167" t="s">
        <v>188</v>
      </c>
      <c r="D190" s="45" t="s">
        <v>147</v>
      </c>
      <c r="E190" s="60">
        <v>0.4</v>
      </c>
      <c r="F190" s="46"/>
      <c r="G190" s="46"/>
      <c r="H190" s="46"/>
      <c r="I190" s="55">
        <v>10.35</v>
      </c>
      <c r="J190" s="52">
        <f>E190*I190</f>
        <v>4.1399999999999997</v>
      </c>
    </row>
    <row r="191" spans="1:10" x14ac:dyDescent="0.25">
      <c r="A191" s="180" t="s">
        <v>256</v>
      </c>
      <c r="B191" s="44">
        <v>6111</v>
      </c>
      <c r="C191" s="167" t="s">
        <v>148</v>
      </c>
      <c r="D191" s="45" t="s">
        <v>147</v>
      </c>
      <c r="E191" s="60">
        <v>0.4</v>
      </c>
      <c r="F191" s="46"/>
      <c r="G191" s="46"/>
      <c r="H191" s="46"/>
      <c r="I191" s="55">
        <v>6.31</v>
      </c>
      <c r="J191" s="52">
        <f>E191*I191</f>
        <v>2.524</v>
      </c>
    </row>
    <row r="192" spans="1:10" x14ac:dyDescent="0.25">
      <c r="A192" s="180"/>
      <c r="B192" s="44"/>
      <c r="C192" s="219" t="s">
        <v>87</v>
      </c>
      <c r="D192" s="219"/>
      <c r="E192" s="219"/>
      <c r="F192" s="219"/>
      <c r="G192" s="219"/>
      <c r="H192" s="219"/>
      <c r="I192" s="219"/>
      <c r="J192" s="53">
        <f>SUM(J190:J191)</f>
        <v>6.6639999999999997</v>
      </c>
    </row>
    <row r="193" spans="1:10" x14ac:dyDescent="0.25">
      <c r="A193" s="180"/>
      <c r="B193" s="44"/>
      <c r="C193" s="171" t="s">
        <v>149</v>
      </c>
      <c r="D193" s="58">
        <v>1</v>
      </c>
      <c r="E193" s="219" t="s">
        <v>189</v>
      </c>
      <c r="F193" s="219"/>
      <c r="G193" s="219"/>
      <c r="H193" s="219"/>
      <c r="I193" s="219"/>
      <c r="J193" s="61">
        <f>J192*0.917</f>
        <v>6.1108880000000001</v>
      </c>
    </row>
    <row r="194" spans="1:10" x14ac:dyDescent="0.25">
      <c r="A194" s="180"/>
      <c r="B194" s="44"/>
      <c r="C194" s="226" t="s">
        <v>190</v>
      </c>
      <c r="D194" s="226"/>
      <c r="E194" s="226"/>
      <c r="F194" s="226"/>
      <c r="G194" s="226"/>
      <c r="H194" s="226"/>
      <c r="I194" s="226"/>
      <c r="J194" s="77">
        <f>J183+J193</f>
        <v>170.88768799999997</v>
      </c>
    </row>
    <row r="195" spans="1:10" x14ac:dyDescent="0.25">
      <c r="A195" s="180"/>
      <c r="B195" s="44"/>
      <c r="C195" s="225" t="s">
        <v>151</v>
      </c>
      <c r="D195" s="225"/>
      <c r="E195" s="225"/>
      <c r="F195" s="225"/>
      <c r="G195" s="225"/>
      <c r="H195" s="225"/>
      <c r="I195" s="225"/>
      <c r="J195" s="61">
        <v>1.234</v>
      </c>
    </row>
    <row r="196" spans="1:10" x14ac:dyDescent="0.25">
      <c r="A196" s="180"/>
      <c r="B196" s="44"/>
      <c r="C196" s="218" t="s">
        <v>152</v>
      </c>
      <c r="D196" s="218"/>
      <c r="E196" s="218"/>
      <c r="F196" s="218"/>
      <c r="G196" s="218"/>
      <c r="H196" s="218"/>
      <c r="I196" s="218"/>
      <c r="J196" s="61">
        <f>J194*J195</f>
        <v>210.87540699199997</v>
      </c>
    </row>
    <row r="197" spans="1:10" x14ac:dyDescent="0.25">
      <c r="A197" s="180"/>
      <c r="B197" s="44"/>
      <c r="C197" s="164" t="s">
        <v>70</v>
      </c>
      <c r="D197" s="41" t="s">
        <v>191</v>
      </c>
      <c r="E197" s="227" t="s">
        <v>72</v>
      </c>
      <c r="F197" s="227"/>
      <c r="G197" s="227"/>
      <c r="H197" s="227"/>
      <c r="I197" s="227"/>
      <c r="J197" s="227"/>
    </row>
    <row r="198" spans="1:10" x14ac:dyDescent="0.25">
      <c r="A198" s="180"/>
      <c r="B198" s="44"/>
      <c r="C198" s="173" t="s">
        <v>73</v>
      </c>
      <c r="D198" s="64"/>
      <c r="E198" s="65"/>
      <c r="F198" s="64"/>
      <c r="G198" s="66"/>
      <c r="H198" s="66"/>
      <c r="I198" s="42" t="s">
        <v>74</v>
      </c>
      <c r="J198" s="42"/>
    </row>
    <row r="199" spans="1:10" x14ac:dyDescent="0.25">
      <c r="A199" s="180"/>
      <c r="B199" s="44"/>
      <c r="C199" s="221" t="s">
        <v>192</v>
      </c>
      <c r="D199" s="221"/>
      <c r="E199" s="221"/>
      <c r="F199" s="221"/>
      <c r="G199" s="221"/>
      <c r="H199" s="221"/>
      <c r="I199" s="42" t="s">
        <v>76</v>
      </c>
      <c r="J199" s="42" t="s">
        <v>26</v>
      </c>
    </row>
    <row r="200" spans="1:10" x14ac:dyDescent="0.25">
      <c r="A200" s="180"/>
      <c r="B200" s="44"/>
      <c r="C200" s="220" t="s">
        <v>78</v>
      </c>
      <c r="D200" s="220"/>
      <c r="E200" s="220"/>
      <c r="F200" s="220"/>
      <c r="G200" s="220"/>
      <c r="H200" s="220"/>
      <c r="I200" s="220"/>
      <c r="J200" s="220"/>
    </row>
    <row r="201" spans="1:10" x14ac:dyDescent="0.25">
      <c r="A201" s="180"/>
      <c r="B201" s="44" t="s">
        <v>79</v>
      </c>
      <c r="C201" s="165" t="s">
        <v>6</v>
      </c>
      <c r="D201" s="45" t="s">
        <v>80</v>
      </c>
      <c r="E201" s="46" t="s">
        <v>81</v>
      </c>
      <c r="F201" s="47" t="s">
        <v>82</v>
      </c>
      <c r="G201" s="47" t="s">
        <v>83</v>
      </c>
      <c r="H201" s="48" t="s">
        <v>84</v>
      </c>
      <c r="I201" s="48" t="s">
        <v>85</v>
      </c>
      <c r="J201" s="45" t="s">
        <v>86</v>
      </c>
    </row>
    <row r="202" spans="1:10" x14ac:dyDescent="0.25">
      <c r="A202" s="180" t="s">
        <v>254</v>
      </c>
      <c r="B202" s="44">
        <v>4415</v>
      </c>
      <c r="C202" s="166" t="s">
        <v>155</v>
      </c>
      <c r="D202" s="49" t="s">
        <v>147</v>
      </c>
      <c r="E202" s="67">
        <v>240</v>
      </c>
      <c r="F202" s="50">
        <v>1</v>
      </c>
      <c r="G202" s="50"/>
      <c r="H202" s="78">
        <v>9.9</v>
      </c>
      <c r="I202" s="48"/>
      <c r="J202" s="52">
        <f>E202*F202*H202+E202*G202*I202</f>
        <v>2376</v>
      </c>
    </row>
    <row r="203" spans="1:10" x14ac:dyDescent="0.25">
      <c r="A203" s="180" t="s">
        <v>256</v>
      </c>
      <c r="B203" s="44">
        <v>4222</v>
      </c>
      <c r="C203" s="174" t="s">
        <v>193</v>
      </c>
      <c r="D203" s="49" t="s">
        <v>121</v>
      </c>
      <c r="E203" s="67">
        <v>250</v>
      </c>
      <c r="F203" s="50"/>
      <c r="G203" s="79"/>
      <c r="H203" s="78">
        <v>3.05</v>
      </c>
      <c r="I203" s="48"/>
      <c r="J203" s="52">
        <f>H203*E203</f>
        <v>762.5</v>
      </c>
    </row>
    <row r="204" spans="1:10" x14ac:dyDescent="0.25">
      <c r="A204" s="180"/>
      <c r="B204" s="44"/>
      <c r="C204" s="219" t="s">
        <v>87</v>
      </c>
      <c r="D204" s="219"/>
      <c r="E204" s="219"/>
      <c r="F204" s="219"/>
      <c r="G204" s="219"/>
      <c r="H204" s="219"/>
      <c r="I204" s="219"/>
      <c r="J204" s="53">
        <f>SUM(J202:J203)</f>
        <v>3138.5</v>
      </c>
    </row>
    <row r="205" spans="1:10" x14ac:dyDescent="0.25">
      <c r="A205" s="180"/>
      <c r="B205" s="44"/>
      <c r="C205" s="220" t="s">
        <v>88</v>
      </c>
      <c r="D205" s="220"/>
      <c r="E205" s="220"/>
      <c r="F205" s="220"/>
      <c r="G205" s="220"/>
      <c r="H205" s="220"/>
      <c r="I205" s="220"/>
      <c r="J205" s="220"/>
    </row>
    <row r="206" spans="1:10" x14ac:dyDescent="0.25">
      <c r="A206" s="180"/>
      <c r="B206" s="44" t="s">
        <v>79</v>
      </c>
      <c r="C206" s="165" t="s">
        <v>6</v>
      </c>
      <c r="D206" s="45" t="s">
        <v>80</v>
      </c>
      <c r="E206" s="46" t="s">
        <v>81</v>
      </c>
      <c r="F206" s="46"/>
      <c r="G206" s="46"/>
      <c r="H206" s="46"/>
      <c r="I206" s="45" t="s">
        <v>89</v>
      </c>
      <c r="J206" s="45" t="s">
        <v>86</v>
      </c>
    </row>
    <row r="207" spans="1:10" x14ac:dyDescent="0.25">
      <c r="A207" s="180"/>
      <c r="B207" s="44"/>
      <c r="C207" s="167"/>
      <c r="D207" s="45"/>
      <c r="E207" s="54"/>
      <c r="F207" s="46"/>
      <c r="G207" s="46"/>
      <c r="H207" s="46"/>
      <c r="I207" s="55"/>
      <c r="J207" s="52"/>
    </row>
    <row r="208" spans="1:10" x14ac:dyDescent="0.25">
      <c r="A208" s="180"/>
      <c r="B208" s="44"/>
      <c r="C208" s="167"/>
      <c r="D208" s="45"/>
      <c r="E208" s="54"/>
      <c r="F208" s="46"/>
      <c r="G208" s="46"/>
      <c r="H208" s="46"/>
      <c r="I208" s="55"/>
      <c r="J208" s="52"/>
    </row>
    <row r="209" spans="1:10" x14ac:dyDescent="0.25">
      <c r="A209" s="180"/>
      <c r="B209" s="44"/>
      <c r="C209" s="167"/>
      <c r="D209" s="45"/>
      <c r="E209" s="54"/>
      <c r="F209" s="46"/>
      <c r="G209" s="46"/>
      <c r="H209" s="46"/>
      <c r="I209" s="55"/>
      <c r="J209" s="52"/>
    </row>
    <row r="210" spans="1:10" x14ac:dyDescent="0.25">
      <c r="A210" s="180"/>
      <c r="B210" s="44"/>
      <c r="C210" s="167"/>
      <c r="D210" s="45"/>
      <c r="E210" s="54"/>
      <c r="F210" s="46"/>
      <c r="G210" s="46"/>
      <c r="H210" s="46"/>
      <c r="I210" s="55"/>
      <c r="J210" s="52"/>
    </row>
    <row r="211" spans="1:10" x14ac:dyDescent="0.25">
      <c r="A211" s="180"/>
      <c r="B211" s="44"/>
      <c r="C211" s="167"/>
      <c r="D211" s="45"/>
      <c r="E211" s="54"/>
      <c r="F211" s="46"/>
      <c r="G211" s="46"/>
      <c r="H211" s="46"/>
      <c r="I211" s="55"/>
      <c r="J211" s="52"/>
    </row>
    <row r="212" spans="1:10" x14ac:dyDescent="0.25">
      <c r="A212" s="180"/>
      <c r="B212" s="44"/>
      <c r="C212" s="168"/>
      <c r="D212" s="45"/>
      <c r="E212" s="54"/>
      <c r="F212" s="46"/>
      <c r="G212" s="46"/>
      <c r="H212" s="46"/>
      <c r="I212" s="55"/>
      <c r="J212" s="52"/>
    </row>
    <row r="213" spans="1:10" x14ac:dyDescent="0.25">
      <c r="A213" s="180"/>
      <c r="B213" s="44"/>
      <c r="C213" s="167"/>
      <c r="D213" s="45"/>
      <c r="E213" s="54"/>
      <c r="F213" s="46"/>
      <c r="G213" s="46"/>
      <c r="H213" s="46"/>
      <c r="I213" s="55"/>
      <c r="J213" s="52"/>
    </row>
    <row r="214" spans="1:10" x14ac:dyDescent="0.25">
      <c r="A214" s="180"/>
      <c r="B214" s="44"/>
      <c r="C214" s="167"/>
      <c r="D214" s="45"/>
      <c r="E214" s="54"/>
      <c r="F214" s="46"/>
      <c r="G214" s="46"/>
      <c r="H214" s="46"/>
      <c r="I214" s="55"/>
      <c r="J214" s="52"/>
    </row>
    <row r="215" spans="1:10" x14ac:dyDescent="0.25">
      <c r="A215" s="180"/>
      <c r="B215" s="44"/>
      <c r="C215" s="167"/>
      <c r="D215" s="45"/>
      <c r="E215" s="54"/>
      <c r="F215" s="46"/>
      <c r="G215" s="46"/>
      <c r="H215" s="46"/>
      <c r="I215" s="55"/>
      <c r="J215" s="52"/>
    </row>
    <row r="216" spans="1:10" x14ac:dyDescent="0.25">
      <c r="A216" s="180"/>
      <c r="B216" s="44"/>
      <c r="C216" s="167"/>
      <c r="D216" s="45"/>
      <c r="E216" s="54"/>
      <c r="F216" s="46"/>
      <c r="G216" s="46"/>
      <c r="H216" s="46"/>
      <c r="I216" s="55"/>
      <c r="J216" s="52"/>
    </row>
    <row r="217" spans="1:10" x14ac:dyDescent="0.25">
      <c r="A217" s="180"/>
      <c r="B217" s="44"/>
      <c r="C217" s="219" t="s">
        <v>87</v>
      </c>
      <c r="D217" s="219"/>
      <c r="E217" s="219"/>
      <c r="F217" s="219"/>
      <c r="G217" s="219"/>
      <c r="H217" s="219"/>
      <c r="I217" s="219"/>
      <c r="J217" s="53">
        <f>SUM(J207:J216)</f>
        <v>0</v>
      </c>
    </row>
    <row r="218" spans="1:10" x14ac:dyDescent="0.25">
      <c r="A218" s="180"/>
      <c r="B218" s="44"/>
      <c r="C218" s="220" t="s">
        <v>144</v>
      </c>
      <c r="D218" s="220"/>
      <c r="E218" s="220"/>
      <c r="F218" s="220"/>
      <c r="G218" s="220"/>
      <c r="H218" s="220"/>
      <c r="I218" s="220"/>
      <c r="J218" s="220"/>
    </row>
    <row r="219" spans="1:10" x14ac:dyDescent="0.25">
      <c r="A219" s="180"/>
      <c r="B219" s="44" t="s">
        <v>79</v>
      </c>
      <c r="C219" s="169" t="s">
        <v>6</v>
      </c>
      <c r="D219" s="57" t="s">
        <v>80</v>
      </c>
      <c r="E219" s="57" t="s">
        <v>81</v>
      </c>
      <c r="F219" s="57"/>
      <c r="G219" s="57"/>
      <c r="H219" s="57"/>
      <c r="I219" s="56" t="s">
        <v>89</v>
      </c>
      <c r="J219" s="55" t="s">
        <v>86</v>
      </c>
    </row>
    <row r="220" spans="1:10" x14ac:dyDescent="0.25">
      <c r="A220" s="180"/>
      <c r="B220" s="44"/>
      <c r="C220" s="170"/>
      <c r="D220" s="56"/>
      <c r="E220" s="58"/>
      <c r="F220" s="57"/>
      <c r="G220" s="57"/>
      <c r="H220" s="57"/>
      <c r="I220" s="59"/>
      <c r="J220" s="53">
        <f>E220*I220</f>
        <v>0</v>
      </c>
    </row>
    <row r="221" spans="1:10" x14ac:dyDescent="0.25">
      <c r="A221" s="180"/>
      <c r="B221" s="44"/>
      <c r="C221" s="219" t="s">
        <v>87</v>
      </c>
      <c r="D221" s="219"/>
      <c r="E221" s="219"/>
      <c r="F221" s="219"/>
      <c r="G221" s="219"/>
      <c r="H221" s="219"/>
      <c r="I221" s="219"/>
      <c r="J221" s="53">
        <f>SUM(J220:J220)</f>
        <v>0</v>
      </c>
    </row>
    <row r="222" spans="1:10" x14ac:dyDescent="0.25">
      <c r="A222" s="180"/>
      <c r="B222" s="44"/>
      <c r="C222" s="220" t="s">
        <v>145</v>
      </c>
      <c r="D222" s="220"/>
      <c r="E222" s="220"/>
      <c r="F222" s="220"/>
      <c r="G222" s="220"/>
      <c r="H222" s="220"/>
      <c r="I222" s="220"/>
      <c r="J222" s="220"/>
    </row>
    <row r="223" spans="1:10" x14ac:dyDescent="0.25">
      <c r="A223" s="180"/>
      <c r="B223" s="44" t="s">
        <v>79</v>
      </c>
      <c r="C223" s="165" t="s">
        <v>6</v>
      </c>
      <c r="D223" s="45" t="s">
        <v>80</v>
      </c>
      <c r="E223" s="46" t="s">
        <v>81</v>
      </c>
      <c r="F223" s="46"/>
      <c r="G223" s="46"/>
      <c r="H223" s="46"/>
      <c r="I223" s="45" t="s">
        <v>89</v>
      </c>
      <c r="J223" s="45" t="s">
        <v>86</v>
      </c>
    </row>
    <row r="224" spans="1:10" x14ac:dyDescent="0.25">
      <c r="A224" s="180"/>
      <c r="B224" s="44"/>
      <c r="C224" s="167"/>
      <c r="D224" s="45"/>
      <c r="E224" s="60"/>
      <c r="F224" s="46"/>
      <c r="G224" s="46"/>
      <c r="H224" s="46"/>
      <c r="I224" s="55"/>
      <c r="J224" s="52"/>
    </row>
    <row r="225" spans="1:10" x14ac:dyDescent="0.25">
      <c r="A225" s="180"/>
      <c r="B225" s="44"/>
      <c r="C225" s="167"/>
      <c r="D225" s="45"/>
      <c r="E225" s="60"/>
      <c r="F225" s="46"/>
      <c r="G225" s="46"/>
      <c r="H225" s="46"/>
      <c r="I225" s="55"/>
      <c r="J225" s="52"/>
    </row>
    <row r="226" spans="1:10" x14ac:dyDescent="0.25">
      <c r="A226" s="180"/>
      <c r="B226" s="44"/>
      <c r="C226" s="167"/>
      <c r="D226" s="45"/>
      <c r="E226" s="60"/>
      <c r="F226" s="46"/>
      <c r="G226" s="46"/>
      <c r="H226" s="46"/>
      <c r="I226" s="55"/>
      <c r="J226" s="52"/>
    </row>
    <row r="227" spans="1:10" x14ac:dyDescent="0.25">
      <c r="A227" s="180"/>
      <c r="B227" s="44"/>
      <c r="C227" s="167"/>
      <c r="D227" s="45"/>
      <c r="E227" s="60"/>
      <c r="F227" s="46"/>
      <c r="G227" s="46"/>
      <c r="H227" s="46"/>
      <c r="I227" s="55"/>
      <c r="J227" s="52"/>
    </row>
    <row r="228" spans="1:10" x14ac:dyDescent="0.25">
      <c r="A228" s="180"/>
      <c r="B228" s="44"/>
      <c r="C228" s="167"/>
      <c r="D228" s="45"/>
      <c r="E228" s="60"/>
      <c r="F228" s="46"/>
      <c r="G228" s="46"/>
      <c r="H228" s="46"/>
      <c r="I228" s="55"/>
      <c r="J228" s="52"/>
    </row>
    <row r="229" spans="1:10" x14ac:dyDescent="0.25">
      <c r="A229" s="180"/>
      <c r="B229" s="44"/>
      <c r="C229" s="167"/>
      <c r="D229" s="45"/>
      <c r="E229" s="60"/>
      <c r="F229" s="46"/>
      <c r="G229" s="46"/>
      <c r="H229" s="46"/>
      <c r="I229" s="55"/>
      <c r="J229" s="52"/>
    </row>
    <row r="230" spans="1:10" x14ac:dyDescent="0.25">
      <c r="A230" s="180"/>
      <c r="B230" s="44"/>
      <c r="C230" s="219" t="s">
        <v>87</v>
      </c>
      <c r="D230" s="219"/>
      <c r="E230" s="219"/>
      <c r="F230" s="219"/>
      <c r="G230" s="219"/>
      <c r="H230" s="219"/>
      <c r="I230" s="219"/>
      <c r="J230" s="53">
        <f>SUM(J224:J229)</f>
        <v>0</v>
      </c>
    </row>
    <row r="231" spans="1:10" x14ac:dyDescent="0.25">
      <c r="A231" s="180"/>
      <c r="B231" s="44"/>
      <c r="C231" s="176" t="s">
        <v>170</v>
      </c>
      <c r="D231" s="57"/>
      <c r="E231" s="57"/>
      <c r="F231" s="57"/>
      <c r="G231" s="57"/>
      <c r="H231" s="57"/>
      <c r="I231" s="57"/>
      <c r="J231" s="53">
        <f>J230*0.917</f>
        <v>0</v>
      </c>
    </row>
    <row r="232" spans="1:10" x14ac:dyDescent="0.25">
      <c r="A232" s="180"/>
      <c r="B232" s="44"/>
      <c r="C232" s="171" t="s">
        <v>149</v>
      </c>
      <c r="D232" s="58">
        <v>1</v>
      </c>
      <c r="E232" s="219" t="s">
        <v>150</v>
      </c>
      <c r="F232" s="219"/>
      <c r="G232" s="219"/>
      <c r="H232" s="219"/>
      <c r="I232" s="219"/>
      <c r="J232" s="53">
        <f>J231+J221+J217+J204</f>
        <v>3138.5</v>
      </c>
    </row>
    <row r="233" spans="1:10" x14ac:dyDescent="0.25">
      <c r="A233" s="180"/>
      <c r="B233" s="44"/>
      <c r="C233" s="225"/>
      <c r="D233" s="225"/>
      <c r="E233" s="225"/>
      <c r="F233" s="225"/>
      <c r="G233" s="225"/>
      <c r="H233" s="225"/>
      <c r="I233" s="225"/>
      <c r="J233" s="61">
        <f>J232/D232</f>
        <v>3138.5</v>
      </c>
    </row>
    <row r="234" spans="1:10" x14ac:dyDescent="0.25">
      <c r="A234" s="180"/>
      <c r="B234" s="44"/>
      <c r="C234" s="225" t="s">
        <v>151</v>
      </c>
      <c r="D234" s="225"/>
      <c r="E234" s="225"/>
      <c r="F234" s="225"/>
      <c r="G234" s="225"/>
      <c r="H234" s="225"/>
      <c r="I234" s="225"/>
      <c r="J234" s="61">
        <v>1.234</v>
      </c>
    </row>
    <row r="235" spans="1:10" x14ac:dyDescent="0.25">
      <c r="A235" s="180"/>
      <c r="B235" s="44"/>
      <c r="C235" s="218" t="s">
        <v>152</v>
      </c>
      <c r="D235" s="218"/>
      <c r="E235" s="218"/>
      <c r="F235" s="218"/>
      <c r="G235" s="218"/>
      <c r="H235" s="218"/>
      <c r="I235" s="218"/>
      <c r="J235" s="61">
        <f>J233*J234</f>
        <v>3872.9090000000001</v>
      </c>
    </row>
    <row r="236" spans="1:10" x14ac:dyDescent="0.25">
      <c r="C236" s="80"/>
      <c r="D236" s="80"/>
      <c r="E236" s="81"/>
      <c r="F236" s="80"/>
      <c r="G236" s="80"/>
      <c r="H236" s="80"/>
      <c r="I236" s="80"/>
      <c r="J236" s="80"/>
    </row>
  </sheetData>
  <mergeCells count="86">
    <mergeCell ref="C5:J5"/>
    <mergeCell ref="E2:J2"/>
    <mergeCell ref="C3:H3"/>
    <mergeCell ref="C4:H4"/>
    <mergeCell ref="E76:J76"/>
    <mergeCell ref="C8:I8"/>
    <mergeCell ref="C9:J9"/>
    <mergeCell ref="C61:I61"/>
    <mergeCell ref="C62:J62"/>
    <mergeCell ref="C65:I65"/>
    <mergeCell ref="C66:J66"/>
    <mergeCell ref="C70:I70"/>
    <mergeCell ref="E71:I71"/>
    <mergeCell ref="C72:I72"/>
    <mergeCell ref="C73:I73"/>
    <mergeCell ref="C74:I74"/>
    <mergeCell ref="C112:I112"/>
    <mergeCell ref="C78:H78"/>
    <mergeCell ref="C79:J79"/>
    <mergeCell ref="C83:I83"/>
    <mergeCell ref="C84:J84"/>
    <mergeCell ref="C95:I95"/>
    <mergeCell ref="C96:J96"/>
    <mergeCell ref="C99:I99"/>
    <mergeCell ref="C100:J100"/>
    <mergeCell ref="C108:I108"/>
    <mergeCell ref="E110:I110"/>
    <mergeCell ref="C111:I111"/>
    <mergeCell ref="E137:I137"/>
    <mergeCell ref="C113:I113"/>
    <mergeCell ref="E114:J114"/>
    <mergeCell ref="C116:H116"/>
    <mergeCell ref="C117:J117"/>
    <mergeCell ref="C122:I122"/>
    <mergeCell ref="C123:J123"/>
    <mergeCell ref="C127:I127"/>
    <mergeCell ref="C128:J128"/>
    <mergeCell ref="C131:I131"/>
    <mergeCell ref="C132:J132"/>
    <mergeCell ref="C136:I136"/>
    <mergeCell ref="E197:J197"/>
    <mergeCell ref="C159:J159"/>
    <mergeCell ref="C138:I138"/>
    <mergeCell ref="C139:I139"/>
    <mergeCell ref="C140:I140"/>
    <mergeCell ref="E141:J141"/>
    <mergeCell ref="C143:H143"/>
    <mergeCell ref="C144:J144"/>
    <mergeCell ref="C149:I149"/>
    <mergeCell ref="C150:J150"/>
    <mergeCell ref="C154:I154"/>
    <mergeCell ref="C155:J155"/>
    <mergeCell ref="C158:I158"/>
    <mergeCell ref="C176:I176"/>
    <mergeCell ref="C177:J177"/>
    <mergeCell ref="C183:I183"/>
    <mergeCell ref="C195:I195"/>
    <mergeCell ref="C196:I196"/>
    <mergeCell ref="C166:I166"/>
    <mergeCell ref="C167:I167"/>
    <mergeCell ref="E168:J168"/>
    <mergeCell ref="C170:H170"/>
    <mergeCell ref="C171:J171"/>
    <mergeCell ref="C199:H199"/>
    <mergeCell ref="C200:J200"/>
    <mergeCell ref="C1:J1"/>
    <mergeCell ref="C233:I233"/>
    <mergeCell ref="C234:I234"/>
    <mergeCell ref="C205:J205"/>
    <mergeCell ref="C187:I187"/>
    <mergeCell ref="C188:J188"/>
    <mergeCell ref="C192:I192"/>
    <mergeCell ref="E193:I193"/>
    <mergeCell ref="C194:I194"/>
    <mergeCell ref="C204:I204"/>
    <mergeCell ref="C184:J184"/>
    <mergeCell ref="C163:I163"/>
    <mergeCell ref="E164:I164"/>
    <mergeCell ref="C165:I165"/>
    <mergeCell ref="C235:I235"/>
    <mergeCell ref="C217:I217"/>
    <mergeCell ref="C218:J218"/>
    <mergeCell ref="C221:I221"/>
    <mergeCell ref="C222:J222"/>
    <mergeCell ref="C230:I230"/>
    <mergeCell ref="E232:I232"/>
  </mergeCells>
  <pageMargins left="0.51181102362204722" right="0.51181102362204722" top="0.78740157480314965" bottom="0.78740157480314965" header="0.31496062992125984" footer="0.31496062992125984"/>
  <pageSetup paperSize="9" scale="65" orientation="landscape" r:id="rId1"/>
  <rowBreaks count="2" manualBreakCount="2">
    <brk id="74" max="16383" man="1"/>
    <brk id="14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4"/>
  <sheetViews>
    <sheetView view="pageBreakPreview" topLeftCell="A139" zoomScale="110" zoomScaleNormal="100" zoomScaleSheetLayoutView="110" workbookViewId="0">
      <selection activeCell="D150" sqref="D150"/>
    </sheetView>
  </sheetViews>
  <sheetFormatPr defaultRowHeight="15" x14ac:dyDescent="0.25"/>
  <cols>
    <col min="1" max="1" width="7" style="82" customWidth="1"/>
    <col min="2" max="2" width="32.85546875" style="82" customWidth="1"/>
    <col min="3" max="3" width="9.140625" style="82"/>
    <col min="4" max="4" width="10.7109375" style="82" customWidth="1"/>
    <col min="5" max="5" width="10.5703125" style="82" customWidth="1"/>
    <col min="6" max="6" width="16.42578125" style="82" customWidth="1"/>
    <col min="7" max="7" width="11.42578125" style="82" customWidth="1"/>
    <col min="8" max="256" width="9.140625" style="82"/>
    <col min="257" max="257" width="7" style="82" customWidth="1"/>
    <col min="258" max="258" width="32.85546875" style="82" customWidth="1"/>
    <col min="259" max="259" width="9.140625" style="82"/>
    <col min="260" max="260" width="10.7109375" style="82" customWidth="1"/>
    <col min="261" max="261" width="10.5703125" style="82" customWidth="1"/>
    <col min="262" max="262" width="16.42578125" style="82" customWidth="1"/>
    <col min="263" max="263" width="11.42578125" style="82" customWidth="1"/>
    <col min="264" max="512" width="9.140625" style="82"/>
    <col min="513" max="513" width="7" style="82" customWidth="1"/>
    <col min="514" max="514" width="32.85546875" style="82" customWidth="1"/>
    <col min="515" max="515" width="9.140625" style="82"/>
    <col min="516" max="516" width="10.7109375" style="82" customWidth="1"/>
    <col min="517" max="517" width="10.5703125" style="82" customWidth="1"/>
    <col min="518" max="518" width="16.42578125" style="82" customWidth="1"/>
    <col min="519" max="519" width="11.42578125" style="82" customWidth="1"/>
    <col min="520" max="768" width="9.140625" style="82"/>
    <col min="769" max="769" width="7" style="82" customWidth="1"/>
    <col min="770" max="770" width="32.85546875" style="82" customWidth="1"/>
    <col min="771" max="771" width="9.140625" style="82"/>
    <col min="772" max="772" width="10.7109375" style="82" customWidth="1"/>
    <col min="773" max="773" width="10.5703125" style="82" customWidth="1"/>
    <col min="774" max="774" width="16.42578125" style="82" customWidth="1"/>
    <col min="775" max="775" width="11.42578125" style="82" customWidth="1"/>
    <col min="776" max="1024" width="9.140625" style="82"/>
    <col min="1025" max="1025" width="7" style="82" customWidth="1"/>
    <col min="1026" max="1026" width="32.85546875" style="82" customWidth="1"/>
    <col min="1027" max="1027" width="9.140625" style="82"/>
    <col min="1028" max="1028" width="10.7109375" style="82" customWidth="1"/>
    <col min="1029" max="1029" width="10.5703125" style="82" customWidth="1"/>
    <col min="1030" max="1030" width="16.42578125" style="82" customWidth="1"/>
    <col min="1031" max="1031" width="11.42578125" style="82" customWidth="1"/>
    <col min="1032" max="1280" width="9.140625" style="82"/>
    <col min="1281" max="1281" width="7" style="82" customWidth="1"/>
    <col min="1282" max="1282" width="32.85546875" style="82" customWidth="1"/>
    <col min="1283" max="1283" width="9.140625" style="82"/>
    <col min="1284" max="1284" width="10.7109375" style="82" customWidth="1"/>
    <col min="1285" max="1285" width="10.5703125" style="82" customWidth="1"/>
    <col min="1286" max="1286" width="16.42578125" style="82" customWidth="1"/>
    <col min="1287" max="1287" width="11.42578125" style="82" customWidth="1"/>
    <col min="1288" max="1536" width="9.140625" style="82"/>
    <col min="1537" max="1537" width="7" style="82" customWidth="1"/>
    <col min="1538" max="1538" width="32.85546875" style="82" customWidth="1"/>
    <col min="1539" max="1539" width="9.140625" style="82"/>
    <col min="1540" max="1540" width="10.7109375" style="82" customWidth="1"/>
    <col min="1541" max="1541" width="10.5703125" style="82" customWidth="1"/>
    <col min="1542" max="1542" width="16.42578125" style="82" customWidth="1"/>
    <col min="1543" max="1543" width="11.42578125" style="82" customWidth="1"/>
    <col min="1544" max="1792" width="9.140625" style="82"/>
    <col min="1793" max="1793" width="7" style="82" customWidth="1"/>
    <col min="1794" max="1794" width="32.85546875" style="82" customWidth="1"/>
    <col min="1795" max="1795" width="9.140625" style="82"/>
    <col min="1796" max="1796" width="10.7109375" style="82" customWidth="1"/>
    <col min="1797" max="1797" width="10.5703125" style="82" customWidth="1"/>
    <col min="1798" max="1798" width="16.42578125" style="82" customWidth="1"/>
    <col min="1799" max="1799" width="11.42578125" style="82" customWidth="1"/>
    <col min="1800" max="2048" width="9.140625" style="82"/>
    <col min="2049" max="2049" width="7" style="82" customWidth="1"/>
    <col min="2050" max="2050" width="32.85546875" style="82" customWidth="1"/>
    <col min="2051" max="2051" width="9.140625" style="82"/>
    <col min="2052" max="2052" width="10.7109375" style="82" customWidth="1"/>
    <col min="2053" max="2053" width="10.5703125" style="82" customWidth="1"/>
    <col min="2054" max="2054" width="16.42578125" style="82" customWidth="1"/>
    <col min="2055" max="2055" width="11.42578125" style="82" customWidth="1"/>
    <col min="2056" max="2304" width="9.140625" style="82"/>
    <col min="2305" max="2305" width="7" style="82" customWidth="1"/>
    <col min="2306" max="2306" width="32.85546875" style="82" customWidth="1"/>
    <col min="2307" max="2307" width="9.140625" style="82"/>
    <col min="2308" max="2308" width="10.7109375" style="82" customWidth="1"/>
    <col min="2309" max="2309" width="10.5703125" style="82" customWidth="1"/>
    <col min="2310" max="2310" width="16.42578125" style="82" customWidth="1"/>
    <col min="2311" max="2311" width="11.42578125" style="82" customWidth="1"/>
    <col min="2312" max="2560" width="9.140625" style="82"/>
    <col min="2561" max="2561" width="7" style="82" customWidth="1"/>
    <col min="2562" max="2562" width="32.85546875" style="82" customWidth="1"/>
    <col min="2563" max="2563" width="9.140625" style="82"/>
    <col min="2564" max="2564" width="10.7109375" style="82" customWidth="1"/>
    <col min="2565" max="2565" width="10.5703125" style="82" customWidth="1"/>
    <col min="2566" max="2566" width="16.42578125" style="82" customWidth="1"/>
    <col min="2567" max="2567" width="11.42578125" style="82" customWidth="1"/>
    <col min="2568" max="2816" width="9.140625" style="82"/>
    <col min="2817" max="2817" width="7" style="82" customWidth="1"/>
    <col min="2818" max="2818" width="32.85546875" style="82" customWidth="1"/>
    <col min="2819" max="2819" width="9.140625" style="82"/>
    <col min="2820" max="2820" width="10.7109375" style="82" customWidth="1"/>
    <col min="2821" max="2821" width="10.5703125" style="82" customWidth="1"/>
    <col min="2822" max="2822" width="16.42578125" style="82" customWidth="1"/>
    <col min="2823" max="2823" width="11.42578125" style="82" customWidth="1"/>
    <col min="2824" max="3072" width="9.140625" style="82"/>
    <col min="3073" max="3073" width="7" style="82" customWidth="1"/>
    <col min="3074" max="3074" width="32.85546875" style="82" customWidth="1"/>
    <col min="3075" max="3075" width="9.140625" style="82"/>
    <col min="3076" max="3076" width="10.7109375" style="82" customWidth="1"/>
    <col min="3077" max="3077" width="10.5703125" style="82" customWidth="1"/>
    <col min="3078" max="3078" width="16.42578125" style="82" customWidth="1"/>
    <col min="3079" max="3079" width="11.42578125" style="82" customWidth="1"/>
    <col min="3080" max="3328" width="9.140625" style="82"/>
    <col min="3329" max="3329" width="7" style="82" customWidth="1"/>
    <col min="3330" max="3330" width="32.85546875" style="82" customWidth="1"/>
    <col min="3331" max="3331" width="9.140625" style="82"/>
    <col min="3332" max="3332" width="10.7109375" style="82" customWidth="1"/>
    <col min="3333" max="3333" width="10.5703125" style="82" customWidth="1"/>
    <col min="3334" max="3334" width="16.42578125" style="82" customWidth="1"/>
    <col min="3335" max="3335" width="11.42578125" style="82" customWidth="1"/>
    <col min="3336" max="3584" width="9.140625" style="82"/>
    <col min="3585" max="3585" width="7" style="82" customWidth="1"/>
    <col min="3586" max="3586" width="32.85546875" style="82" customWidth="1"/>
    <col min="3587" max="3587" width="9.140625" style="82"/>
    <col min="3588" max="3588" width="10.7109375" style="82" customWidth="1"/>
    <col min="3589" max="3589" width="10.5703125" style="82" customWidth="1"/>
    <col min="3590" max="3590" width="16.42578125" style="82" customWidth="1"/>
    <col min="3591" max="3591" width="11.42578125" style="82" customWidth="1"/>
    <col min="3592" max="3840" width="9.140625" style="82"/>
    <col min="3841" max="3841" width="7" style="82" customWidth="1"/>
    <col min="3842" max="3842" width="32.85546875" style="82" customWidth="1"/>
    <col min="3843" max="3843" width="9.140625" style="82"/>
    <col min="3844" max="3844" width="10.7109375" style="82" customWidth="1"/>
    <col min="3845" max="3845" width="10.5703125" style="82" customWidth="1"/>
    <col min="3846" max="3846" width="16.42578125" style="82" customWidth="1"/>
    <col min="3847" max="3847" width="11.42578125" style="82" customWidth="1"/>
    <col min="3848" max="4096" width="9.140625" style="82"/>
    <col min="4097" max="4097" width="7" style="82" customWidth="1"/>
    <col min="4098" max="4098" width="32.85546875" style="82" customWidth="1"/>
    <col min="4099" max="4099" width="9.140625" style="82"/>
    <col min="4100" max="4100" width="10.7109375" style="82" customWidth="1"/>
    <col min="4101" max="4101" width="10.5703125" style="82" customWidth="1"/>
    <col min="4102" max="4102" width="16.42578125" style="82" customWidth="1"/>
    <col min="4103" max="4103" width="11.42578125" style="82" customWidth="1"/>
    <col min="4104" max="4352" width="9.140625" style="82"/>
    <col min="4353" max="4353" width="7" style="82" customWidth="1"/>
    <col min="4354" max="4354" width="32.85546875" style="82" customWidth="1"/>
    <col min="4355" max="4355" width="9.140625" style="82"/>
    <col min="4356" max="4356" width="10.7109375" style="82" customWidth="1"/>
    <col min="4357" max="4357" width="10.5703125" style="82" customWidth="1"/>
    <col min="4358" max="4358" width="16.42578125" style="82" customWidth="1"/>
    <col min="4359" max="4359" width="11.42578125" style="82" customWidth="1"/>
    <col min="4360" max="4608" width="9.140625" style="82"/>
    <col min="4609" max="4609" width="7" style="82" customWidth="1"/>
    <col min="4610" max="4610" width="32.85546875" style="82" customWidth="1"/>
    <col min="4611" max="4611" width="9.140625" style="82"/>
    <col min="4612" max="4612" width="10.7109375" style="82" customWidth="1"/>
    <col min="4613" max="4613" width="10.5703125" style="82" customWidth="1"/>
    <col min="4614" max="4614" width="16.42578125" style="82" customWidth="1"/>
    <col min="4615" max="4615" width="11.42578125" style="82" customWidth="1"/>
    <col min="4616" max="4864" width="9.140625" style="82"/>
    <col min="4865" max="4865" width="7" style="82" customWidth="1"/>
    <col min="4866" max="4866" width="32.85546875" style="82" customWidth="1"/>
    <col min="4867" max="4867" width="9.140625" style="82"/>
    <col min="4868" max="4868" width="10.7109375" style="82" customWidth="1"/>
    <col min="4869" max="4869" width="10.5703125" style="82" customWidth="1"/>
    <col min="4870" max="4870" width="16.42578125" style="82" customWidth="1"/>
    <col min="4871" max="4871" width="11.42578125" style="82" customWidth="1"/>
    <col min="4872" max="5120" width="9.140625" style="82"/>
    <col min="5121" max="5121" width="7" style="82" customWidth="1"/>
    <col min="5122" max="5122" width="32.85546875" style="82" customWidth="1"/>
    <col min="5123" max="5123" width="9.140625" style="82"/>
    <col min="5124" max="5124" width="10.7109375" style="82" customWidth="1"/>
    <col min="5125" max="5125" width="10.5703125" style="82" customWidth="1"/>
    <col min="5126" max="5126" width="16.42578125" style="82" customWidth="1"/>
    <col min="5127" max="5127" width="11.42578125" style="82" customWidth="1"/>
    <col min="5128" max="5376" width="9.140625" style="82"/>
    <col min="5377" max="5377" width="7" style="82" customWidth="1"/>
    <col min="5378" max="5378" width="32.85546875" style="82" customWidth="1"/>
    <col min="5379" max="5379" width="9.140625" style="82"/>
    <col min="5380" max="5380" width="10.7109375" style="82" customWidth="1"/>
    <col min="5381" max="5381" width="10.5703125" style="82" customWidth="1"/>
    <col min="5382" max="5382" width="16.42578125" style="82" customWidth="1"/>
    <col min="5383" max="5383" width="11.42578125" style="82" customWidth="1"/>
    <col min="5384" max="5632" width="9.140625" style="82"/>
    <col min="5633" max="5633" width="7" style="82" customWidth="1"/>
    <col min="5634" max="5634" width="32.85546875" style="82" customWidth="1"/>
    <col min="5635" max="5635" width="9.140625" style="82"/>
    <col min="5636" max="5636" width="10.7109375" style="82" customWidth="1"/>
    <col min="5637" max="5637" width="10.5703125" style="82" customWidth="1"/>
    <col min="5638" max="5638" width="16.42578125" style="82" customWidth="1"/>
    <col min="5639" max="5639" width="11.42578125" style="82" customWidth="1"/>
    <col min="5640" max="5888" width="9.140625" style="82"/>
    <col min="5889" max="5889" width="7" style="82" customWidth="1"/>
    <col min="5890" max="5890" width="32.85546875" style="82" customWidth="1"/>
    <col min="5891" max="5891" width="9.140625" style="82"/>
    <col min="5892" max="5892" width="10.7109375" style="82" customWidth="1"/>
    <col min="5893" max="5893" width="10.5703125" style="82" customWidth="1"/>
    <col min="5894" max="5894" width="16.42578125" style="82" customWidth="1"/>
    <col min="5895" max="5895" width="11.42578125" style="82" customWidth="1"/>
    <col min="5896" max="6144" width="9.140625" style="82"/>
    <col min="6145" max="6145" width="7" style="82" customWidth="1"/>
    <col min="6146" max="6146" width="32.85546875" style="82" customWidth="1"/>
    <col min="6147" max="6147" width="9.140625" style="82"/>
    <col min="6148" max="6148" width="10.7109375" style="82" customWidth="1"/>
    <col min="6149" max="6149" width="10.5703125" style="82" customWidth="1"/>
    <col min="6150" max="6150" width="16.42578125" style="82" customWidth="1"/>
    <col min="6151" max="6151" width="11.42578125" style="82" customWidth="1"/>
    <col min="6152" max="6400" width="9.140625" style="82"/>
    <col min="6401" max="6401" width="7" style="82" customWidth="1"/>
    <col min="6402" max="6402" width="32.85546875" style="82" customWidth="1"/>
    <col min="6403" max="6403" width="9.140625" style="82"/>
    <col min="6404" max="6404" width="10.7109375" style="82" customWidth="1"/>
    <col min="6405" max="6405" width="10.5703125" style="82" customWidth="1"/>
    <col min="6406" max="6406" width="16.42578125" style="82" customWidth="1"/>
    <col min="6407" max="6407" width="11.42578125" style="82" customWidth="1"/>
    <col min="6408" max="6656" width="9.140625" style="82"/>
    <col min="6657" max="6657" width="7" style="82" customWidth="1"/>
    <col min="6658" max="6658" width="32.85546875" style="82" customWidth="1"/>
    <col min="6659" max="6659" width="9.140625" style="82"/>
    <col min="6660" max="6660" width="10.7109375" style="82" customWidth="1"/>
    <col min="6661" max="6661" width="10.5703125" style="82" customWidth="1"/>
    <col min="6662" max="6662" width="16.42578125" style="82" customWidth="1"/>
    <col min="6663" max="6663" width="11.42578125" style="82" customWidth="1"/>
    <col min="6664" max="6912" width="9.140625" style="82"/>
    <col min="6913" max="6913" width="7" style="82" customWidth="1"/>
    <col min="6914" max="6914" width="32.85546875" style="82" customWidth="1"/>
    <col min="6915" max="6915" width="9.140625" style="82"/>
    <col min="6916" max="6916" width="10.7109375" style="82" customWidth="1"/>
    <col min="6917" max="6917" width="10.5703125" style="82" customWidth="1"/>
    <col min="6918" max="6918" width="16.42578125" style="82" customWidth="1"/>
    <col min="6919" max="6919" width="11.42578125" style="82" customWidth="1"/>
    <col min="6920" max="7168" width="9.140625" style="82"/>
    <col min="7169" max="7169" width="7" style="82" customWidth="1"/>
    <col min="7170" max="7170" width="32.85546875" style="82" customWidth="1"/>
    <col min="7171" max="7171" width="9.140625" style="82"/>
    <col min="7172" max="7172" width="10.7109375" style="82" customWidth="1"/>
    <col min="7173" max="7173" width="10.5703125" style="82" customWidth="1"/>
    <col min="7174" max="7174" width="16.42578125" style="82" customWidth="1"/>
    <col min="7175" max="7175" width="11.42578125" style="82" customWidth="1"/>
    <col min="7176" max="7424" width="9.140625" style="82"/>
    <col min="7425" max="7425" width="7" style="82" customWidth="1"/>
    <col min="7426" max="7426" width="32.85546875" style="82" customWidth="1"/>
    <col min="7427" max="7427" width="9.140625" style="82"/>
    <col min="7428" max="7428" width="10.7109375" style="82" customWidth="1"/>
    <col min="7429" max="7429" width="10.5703125" style="82" customWidth="1"/>
    <col min="7430" max="7430" width="16.42578125" style="82" customWidth="1"/>
    <col min="7431" max="7431" width="11.42578125" style="82" customWidth="1"/>
    <col min="7432" max="7680" width="9.140625" style="82"/>
    <col min="7681" max="7681" width="7" style="82" customWidth="1"/>
    <col min="7682" max="7682" width="32.85546875" style="82" customWidth="1"/>
    <col min="7683" max="7683" width="9.140625" style="82"/>
    <col min="7684" max="7684" width="10.7109375" style="82" customWidth="1"/>
    <col min="7685" max="7685" width="10.5703125" style="82" customWidth="1"/>
    <col min="7686" max="7686" width="16.42578125" style="82" customWidth="1"/>
    <col min="7687" max="7687" width="11.42578125" style="82" customWidth="1"/>
    <col min="7688" max="7936" width="9.140625" style="82"/>
    <col min="7937" max="7937" width="7" style="82" customWidth="1"/>
    <col min="7938" max="7938" width="32.85546875" style="82" customWidth="1"/>
    <col min="7939" max="7939" width="9.140625" style="82"/>
    <col min="7940" max="7940" width="10.7109375" style="82" customWidth="1"/>
    <col min="7941" max="7941" width="10.5703125" style="82" customWidth="1"/>
    <col min="7942" max="7942" width="16.42578125" style="82" customWidth="1"/>
    <col min="7943" max="7943" width="11.42578125" style="82" customWidth="1"/>
    <col min="7944" max="8192" width="9.140625" style="82"/>
    <col min="8193" max="8193" width="7" style="82" customWidth="1"/>
    <col min="8194" max="8194" width="32.85546875" style="82" customWidth="1"/>
    <col min="8195" max="8195" width="9.140625" style="82"/>
    <col min="8196" max="8196" width="10.7109375" style="82" customWidth="1"/>
    <col min="8197" max="8197" width="10.5703125" style="82" customWidth="1"/>
    <col min="8198" max="8198" width="16.42578125" style="82" customWidth="1"/>
    <col min="8199" max="8199" width="11.42578125" style="82" customWidth="1"/>
    <col min="8200" max="8448" width="9.140625" style="82"/>
    <col min="8449" max="8449" width="7" style="82" customWidth="1"/>
    <col min="8450" max="8450" width="32.85546875" style="82" customWidth="1"/>
    <col min="8451" max="8451" width="9.140625" style="82"/>
    <col min="8452" max="8452" width="10.7109375" style="82" customWidth="1"/>
    <col min="8453" max="8453" width="10.5703125" style="82" customWidth="1"/>
    <col min="8454" max="8454" width="16.42578125" style="82" customWidth="1"/>
    <col min="8455" max="8455" width="11.42578125" style="82" customWidth="1"/>
    <col min="8456" max="8704" width="9.140625" style="82"/>
    <col min="8705" max="8705" width="7" style="82" customWidth="1"/>
    <col min="8706" max="8706" width="32.85546875" style="82" customWidth="1"/>
    <col min="8707" max="8707" width="9.140625" style="82"/>
    <col min="8708" max="8708" width="10.7109375" style="82" customWidth="1"/>
    <col min="8709" max="8709" width="10.5703125" style="82" customWidth="1"/>
    <col min="8710" max="8710" width="16.42578125" style="82" customWidth="1"/>
    <col min="8711" max="8711" width="11.42578125" style="82" customWidth="1"/>
    <col min="8712" max="8960" width="9.140625" style="82"/>
    <col min="8961" max="8961" width="7" style="82" customWidth="1"/>
    <col min="8962" max="8962" width="32.85546875" style="82" customWidth="1"/>
    <col min="8963" max="8963" width="9.140625" style="82"/>
    <col min="8964" max="8964" width="10.7109375" style="82" customWidth="1"/>
    <col min="8965" max="8965" width="10.5703125" style="82" customWidth="1"/>
    <col min="8966" max="8966" width="16.42578125" style="82" customWidth="1"/>
    <col min="8967" max="8967" width="11.42578125" style="82" customWidth="1"/>
    <col min="8968" max="9216" width="9.140625" style="82"/>
    <col min="9217" max="9217" width="7" style="82" customWidth="1"/>
    <col min="9218" max="9218" width="32.85546875" style="82" customWidth="1"/>
    <col min="9219" max="9219" width="9.140625" style="82"/>
    <col min="9220" max="9220" width="10.7109375" style="82" customWidth="1"/>
    <col min="9221" max="9221" width="10.5703125" style="82" customWidth="1"/>
    <col min="9222" max="9222" width="16.42578125" style="82" customWidth="1"/>
    <col min="9223" max="9223" width="11.42578125" style="82" customWidth="1"/>
    <col min="9224" max="9472" width="9.140625" style="82"/>
    <col min="9473" max="9473" width="7" style="82" customWidth="1"/>
    <col min="9474" max="9474" width="32.85546875" style="82" customWidth="1"/>
    <col min="9475" max="9475" width="9.140625" style="82"/>
    <col min="9476" max="9476" width="10.7109375" style="82" customWidth="1"/>
    <col min="9477" max="9477" width="10.5703125" style="82" customWidth="1"/>
    <col min="9478" max="9478" width="16.42578125" style="82" customWidth="1"/>
    <col min="9479" max="9479" width="11.42578125" style="82" customWidth="1"/>
    <col min="9480" max="9728" width="9.140625" style="82"/>
    <col min="9729" max="9729" width="7" style="82" customWidth="1"/>
    <col min="9730" max="9730" width="32.85546875" style="82" customWidth="1"/>
    <col min="9731" max="9731" width="9.140625" style="82"/>
    <col min="9732" max="9732" width="10.7109375" style="82" customWidth="1"/>
    <col min="9733" max="9733" width="10.5703125" style="82" customWidth="1"/>
    <col min="9734" max="9734" width="16.42578125" style="82" customWidth="1"/>
    <col min="9735" max="9735" width="11.42578125" style="82" customWidth="1"/>
    <col min="9736" max="9984" width="9.140625" style="82"/>
    <col min="9985" max="9985" width="7" style="82" customWidth="1"/>
    <col min="9986" max="9986" width="32.85546875" style="82" customWidth="1"/>
    <col min="9987" max="9987" width="9.140625" style="82"/>
    <col min="9988" max="9988" width="10.7109375" style="82" customWidth="1"/>
    <col min="9989" max="9989" width="10.5703125" style="82" customWidth="1"/>
    <col min="9990" max="9990" width="16.42578125" style="82" customWidth="1"/>
    <col min="9991" max="9991" width="11.42578125" style="82" customWidth="1"/>
    <col min="9992" max="10240" width="9.140625" style="82"/>
    <col min="10241" max="10241" width="7" style="82" customWidth="1"/>
    <col min="10242" max="10242" width="32.85546875" style="82" customWidth="1"/>
    <col min="10243" max="10243" width="9.140625" style="82"/>
    <col min="10244" max="10244" width="10.7109375" style="82" customWidth="1"/>
    <col min="10245" max="10245" width="10.5703125" style="82" customWidth="1"/>
    <col min="10246" max="10246" width="16.42578125" style="82" customWidth="1"/>
    <col min="10247" max="10247" width="11.42578125" style="82" customWidth="1"/>
    <col min="10248" max="10496" width="9.140625" style="82"/>
    <col min="10497" max="10497" width="7" style="82" customWidth="1"/>
    <col min="10498" max="10498" width="32.85546875" style="82" customWidth="1"/>
    <col min="10499" max="10499" width="9.140625" style="82"/>
    <col min="10500" max="10500" width="10.7109375" style="82" customWidth="1"/>
    <col min="10501" max="10501" width="10.5703125" style="82" customWidth="1"/>
    <col min="10502" max="10502" width="16.42578125" style="82" customWidth="1"/>
    <col min="10503" max="10503" width="11.42578125" style="82" customWidth="1"/>
    <col min="10504" max="10752" width="9.140625" style="82"/>
    <col min="10753" max="10753" width="7" style="82" customWidth="1"/>
    <col min="10754" max="10754" width="32.85546875" style="82" customWidth="1"/>
    <col min="10755" max="10755" width="9.140625" style="82"/>
    <col min="10756" max="10756" width="10.7109375" style="82" customWidth="1"/>
    <col min="10757" max="10757" width="10.5703125" style="82" customWidth="1"/>
    <col min="10758" max="10758" width="16.42578125" style="82" customWidth="1"/>
    <col min="10759" max="10759" width="11.42578125" style="82" customWidth="1"/>
    <col min="10760" max="11008" width="9.140625" style="82"/>
    <col min="11009" max="11009" width="7" style="82" customWidth="1"/>
    <col min="11010" max="11010" width="32.85546875" style="82" customWidth="1"/>
    <col min="11011" max="11011" width="9.140625" style="82"/>
    <col min="11012" max="11012" width="10.7109375" style="82" customWidth="1"/>
    <col min="11013" max="11013" width="10.5703125" style="82" customWidth="1"/>
    <col min="11014" max="11014" width="16.42578125" style="82" customWidth="1"/>
    <col min="11015" max="11015" width="11.42578125" style="82" customWidth="1"/>
    <col min="11016" max="11264" width="9.140625" style="82"/>
    <col min="11265" max="11265" width="7" style="82" customWidth="1"/>
    <col min="11266" max="11266" width="32.85546875" style="82" customWidth="1"/>
    <col min="11267" max="11267" width="9.140625" style="82"/>
    <col min="11268" max="11268" width="10.7109375" style="82" customWidth="1"/>
    <col min="11269" max="11269" width="10.5703125" style="82" customWidth="1"/>
    <col min="11270" max="11270" width="16.42578125" style="82" customWidth="1"/>
    <col min="11271" max="11271" width="11.42578125" style="82" customWidth="1"/>
    <col min="11272" max="11520" width="9.140625" style="82"/>
    <col min="11521" max="11521" width="7" style="82" customWidth="1"/>
    <col min="11522" max="11522" width="32.85546875" style="82" customWidth="1"/>
    <col min="11523" max="11523" width="9.140625" style="82"/>
    <col min="11524" max="11524" width="10.7109375" style="82" customWidth="1"/>
    <col min="11525" max="11525" width="10.5703125" style="82" customWidth="1"/>
    <col min="11526" max="11526" width="16.42578125" style="82" customWidth="1"/>
    <col min="11527" max="11527" width="11.42578125" style="82" customWidth="1"/>
    <col min="11528" max="11776" width="9.140625" style="82"/>
    <col min="11777" max="11777" width="7" style="82" customWidth="1"/>
    <col min="11778" max="11778" width="32.85546875" style="82" customWidth="1"/>
    <col min="11779" max="11779" width="9.140625" style="82"/>
    <col min="11780" max="11780" width="10.7109375" style="82" customWidth="1"/>
    <col min="11781" max="11781" width="10.5703125" style="82" customWidth="1"/>
    <col min="11782" max="11782" width="16.42578125" style="82" customWidth="1"/>
    <col min="11783" max="11783" width="11.42578125" style="82" customWidth="1"/>
    <col min="11784" max="12032" width="9.140625" style="82"/>
    <col min="12033" max="12033" width="7" style="82" customWidth="1"/>
    <col min="12034" max="12034" width="32.85546875" style="82" customWidth="1"/>
    <col min="12035" max="12035" width="9.140625" style="82"/>
    <col min="12036" max="12036" width="10.7109375" style="82" customWidth="1"/>
    <col min="12037" max="12037" width="10.5703125" style="82" customWidth="1"/>
    <col min="12038" max="12038" width="16.42578125" style="82" customWidth="1"/>
    <col min="12039" max="12039" width="11.42578125" style="82" customWidth="1"/>
    <col min="12040" max="12288" width="9.140625" style="82"/>
    <col min="12289" max="12289" width="7" style="82" customWidth="1"/>
    <col min="12290" max="12290" width="32.85546875" style="82" customWidth="1"/>
    <col min="12291" max="12291" width="9.140625" style="82"/>
    <col min="12292" max="12292" width="10.7109375" style="82" customWidth="1"/>
    <col min="12293" max="12293" width="10.5703125" style="82" customWidth="1"/>
    <col min="12294" max="12294" width="16.42578125" style="82" customWidth="1"/>
    <col min="12295" max="12295" width="11.42578125" style="82" customWidth="1"/>
    <col min="12296" max="12544" width="9.140625" style="82"/>
    <col min="12545" max="12545" width="7" style="82" customWidth="1"/>
    <col min="12546" max="12546" width="32.85546875" style="82" customWidth="1"/>
    <col min="12547" max="12547" width="9.140625" style="82"/>
    <col min="12548" max="12548" width="10.7109375" style="82" customWidth="1"/>
    <col min="12549" max="12549" width="10.5703125" style="82" customWidth="1"/>
    <col min="12550" max="12550" width="16.42578125" style="82" customWidth="1"/>
    <col min="12551" max="12551" width="11.42578125" style="82" customWidth="1"/>
    <col min="12552" max="12800" width="9.140625" style="82"/>
    <col min="12801" max="12801" width="7" style="82" customWidth="1"/>
    <col min="12802" max="12802" width="32.85546875" style="82" customWidth="1"/>
    <col min="12803" max="12803" width="9.140625" style="82"/>
    <col min="12804" max="12804" width="10.7109375" style="82" customWidth="1"/>
    <col min="12805" max="12805" width="10.5703125" style="82" customWidth="1"/>
    <col min="12806" max="12806" width="16.42578125" style="82" customWidth="1"/>
    <col min="12807" max="12807" width="11.42578125" style="82" customWidth="1"/>
    <col min="12808" max="13056" width="9.140625" style="82"/>
    <col min="13057" max="13057" width="7" style="82" customWidth="1"/>
    <col min="13058" max="13058" width="32.85546875" style="82" customWidth="1"/>
    <col min="13059" max="13059" width="9.140625" style="82"/>
    <col min="13060" max="13060" width="10.7109375" style="82" customWidth="1"/>
    <col min="13061" max="13061" width="10.5703125" style="82" customWidth="1"/>
    <col min="13062" max="13062" width="16.42578125" style="82" customWidth="1"/>
    <col min="13063" max="13063" width="11.42578125" style="82" customWidth="1"/>
    <col min="13064" max="13312" width="9.140625" style="82"/>
    <col min="13313" max="13313" width="7" style="82" customWidth="1"/>
    <col min="13314" max="13314" width="32.85546875" style="82" customWidth="1"/>
    <col min="13315" max="13315" width="9.140625" style="82"/>
    <col min="13316" max="13316" width="10.7109375" style="82" customWidth="1"/>
    <col min="13317" max="13317" width="10.5703125" style="82" customWidth="1"/>
    <col min="13318" max="13318" width="16.42578125" style="82" customWidth="1"/>
    <col min="13319" max="13319" width="11.42578125" style="82" customWidth="1"/>
    <col min="13320" max="13568" width="9.140625" style="82"/>
    <col min="13569" max="13569" width="7" style="82" customWidth="1"/>
    <col min="13570" max="13570" width="32.85546875" style="82" customWidth="1"/>
    <col min="13571" max="13571" width="9.140625" style="82"/>
    <col min="13572" max="13572" width="10.7109375" style="82" customWidth="1"/>
    <col min="13573" max="13573" width="10.5703125" style="82" customWidth="1"/>
    <col min="13574" max="13574" width="16.42578125" style="82" customWidth="1"/>
    <col min="13575" max="13575" width="11.42578125" style="82" customWidth="1"/>
    <col min="13576" max="13824" width="9.140625" style="82"/>
    <col min="13825" max="13825" width="7" style="82" customWidth="1"/>
    <col min="13826" max="13826" width="32.85546875" style="82" customWidth="1"/>
    <col min="13827" max="13827" width="9.140625" style="82"/>
    <col min="13828" max="13828" width="10.7109375" style="82" customWidth="1"/>
    <col min="13829" max="13829" width="10.5703125" style="82" customWidth="1"/>
    <col min="13830" max="13830" width="16.42578125" style="82" customWidth="1"/>
    <col min="13831" max="13831" width="11.42578125" style="82" customWidth="1"/>
    <col min="13832" max="14080" width="9.140625" style="82"/>
    <col min="14081" max="14081" width="7" style="82" customWidth="1"/>
    <col min="14082" max="14082" width="32.85546875" style="82" customWidth="1"/>
    <col min="14083" max="14083" width="9.140625" style="82"/>
    <col min="14084" max="14084" width="10.7109375" style="82" customWidth="1"/>
    <col min="14085" max="14085" width="10.5703125" style="82" customWidth="1"/>
    <col min="14086" max="14086" width="16.42578125" style="82" customWidth="1"/>
    <col min="14087" max="14087" width="11.42578125" style="82" customWidth="1"/>
    <col min="14088" max="14336" width="9.140625" style="82"/>
    <col min="14337" max="14337" width="7" style="82" customWidth="1"/>
    <col min="14338" max="14338" width="32.85546875" style="82" customWidth="1"/>
    <col min="14339" max="14339" width="9.140625" style="82"/>
    <col min="14340" max="14340" width="10.7109375" style="82" customWidth="1"/>
    <col min="14341" max="14341" width="10.5703125" style="82" customWidth="1"/>
    <col min="14342" max="14342" width="16.42578125" style="82" customWidth="1"/>
    <col min="14343" max="14343" width="11.42578125" style="82" customWidth="1"/>
    <col min="14344" max="14592" width="9.140625" style="82"/>
    <col min="14593" max="14593" width="7" style="82" customWidth="1"/>
    <col min="14594" max="14594" width="32.85546875" style="82" customWidth="1"/>
    <col min="14595" max="14595" width="9.140625" style="82"/>
    <col min="14596" max="14596" width="10.7109375" style="82" customWidth="1"/>
    <col min="14597" max="14597" width="10.5703125" style="82" customWidth="1"/>
    <col min="14598" max="14598" width="16.42578125" style="82" customWidth="1"/>
    <col min="14599" max="14599" width="11.42578125" style="82" customWidth="1"/>
    <col min="14600" max="14848" width="9.140625" style="82"/>
    <col min="14849" max="14849" width="7" style="82" customWidth="1"/>
    <col min="14850" max="14850" width="32.85546875" style="82" customWidth="1"/>
    <col min="14851" max="14851" width="9.140625" style="82"/>
    <col min="14852" max="14852" width="10.7109375" style="82" customWidth="1"/>
    <col min="14853" max="14853" width="10.5703125" style="82" customWidth="1"/>
    <col min="14854" max="14854" width="16.42578125" style="82" customWidth="1"/>
    <col min="14855" max="14855" width="11.42578125" style="82" customWidth="1"/>
    <col min="14856" max="15104" width="9.140625" style="82"/>
    <col min="15105" max="15105" width="7" style="82" customWidth="1"/>
    <col min="15106" max="15106" width="32.85546875" style="82" customWidth="1"/>
    <col min="15107" max="15107" width="9.140625" style="82"/>
    <col min="15108" max="15108" width="10.7109375" style="82" customWidth="1"/>
    <col min="15109" max="15109" width="10.5703125" style="82" customWidth="1"/>
    <col min="15110" max="15110" width="16.42578125" style="82" customWidth="1"/>
    <col min="15111" max="15111" width="11.42578125" style="82" customWidth="1"/>
    <col min="15112" max="15360" width="9.140625" style="82"/>
    <col min="15361" max="15361" width="7" style="82" customWidth="1"/>
    <col min="15362" max="15362" width="32.85546875" style="82" customWidth="1"/>
    <col min="15363" max="15363" width="9.140625" style="82"/>
    <col min="15364" max="15364" width="10.7109375" style="82" customWidth="1"/>
    <col min="15365" max="15365" width="10.5703125" style="82" customWidth="1"/>
    <col min="15366" max="15366" width="16.42578125" style="82" customWidth="1"/>
    <col min="15367" max="15367" width="11.42578125" style="82" customWidth="1"/>
    <col min="15368" max="15616" width="9.140625" style="82"/>
    <col min="15617" max="15617" width="7" style="82" customWidth="1"/>
    <col min="15618" max="15618" width="32.85546875" style="82" customWidth="1"/>
    <col min="15619" max="15619" width="9.140625" style="82"/>
    <col min="15620" max="15620" width="10.7109375" style="82" customWidth="1"/>
    <col min="15621" max="15621" width="10.5703125" style="82" customWidth="1"/>
    <col min="15622" max="15622" width="16.42578125" style="82" customWidth="1"/>
    <col min="15623" max="15623" width="11.42578125" style="82" customWidth="1"/>
    <col min="15624" max="15872" width="9.140625" style="82"/>
    <col min="15873" max="15873" width="7" style="82" customWidth="1"/>
    <col min="15874" max="15874" width="32.85546875" style="82" customWidth="1"/>
    <col min="15875" max="15875" width="9.140625" style="82"/>
    <col min="15876" max="15876" width="10.7109375" style="82" customWidth="1"/>
    <col min="15877" max="15877" width="10.5703125" style="82" customWidth="1"/>
    <col min="15878" max="15878" width="16.42578125" style="82" customWidth="1"/>
    <col min="15879" max="15879" width="11.42578125" style="82" customWidth="1"/>
    <col min="15880" max="16128" width="9.140625" style="82"/>
    <col min="16129" max="16129" width="7" style="82" customWidth="1"/>
    <col min="16130" max="16130" width="32.85546875" style="82" customWidth="1"/>
    <col min="16131" max="16131" width="9.140625" style="82"/>
    <col min="16132" max="16132" width="10.7109375" style="82" customWidth="1"/>
    <col min="16133" max="16133" width="10.5703125" style="82" customWidth="1"/>
    <col min="16134" max="16134" width="16.42578125" style="82" customWidth="1"/>
    <col min="16135" max="16135" width="11.42578125" style="82" customWidth="1"/>
    <col min="16136" max="16384" width="9.140625" style="82"/>
  </cols>
  <sheetData>
    <row r="1" spans="1:7" ht="15.75" x14ac:dyDescent="0.25">
      <c r="A1" s="258" t="s">
        <v>194</v>
      </c>
      <c r="B1" s="258"/>
      <c r="C1" s="258"/>
      <c r="D1" s="258"/>
      <c r="E1" s="258"/>
      <c r="F1" s="258"/>
      <c r="G1" s="258"/>
    </row>
    <row r="2" spans="1:7" ht="15.75" x14ac:dyDescent="0.25">
      <c r="A2" s="258" t="s">
        <v>69</v>
      </c>
      <c r="B2" s="258"/>
      <c r="C2" s="258"/>
      <c r="D2" s="258"/>
      <c r="E2" s="258"/>
      <c r="F2" s="258"/>
      <c r="G2" s="258"/>
    </row>
    <row r="3" spans="1:7" x14ac:dyDescent="0.25">
      <c r="A3" s="258" t="s">
        <v>195</v>
      </c>
      <c r="B3" s="258"/>
      <c r="C3" s="258"/>
      <c r="D3" s="258"/>
      <c r="E3" s="258"/>
      <c r="F3" s="258"/>
      <c r="G3" s="258"/>
    </row>
    <row r="4" spans="1:7" x14ac:dyDescent="0.25">
      <c r="A4" s="258"/>
      <c r="B4" s="258"/>
      <c r="C4" s="258"/>
      <c r="D4" s="258"/>
      <c r="E4" s="258"/>
      <c r="F4" s="258"/>
      <c r="G4" s="258"/>
    </row>
    <row r="5" spans="1:7" x14ac:dyDescent="0.25">
      <c r="A5" s="83"/>
      <c r="B5" s="83"/>
      <c r="C5" s="84" t="s">
        <v>196</v>
      </c>
      <c r="D5" s="85">
        <v>0.23400000000000001</v>
      </c>
      <c r="E5" s="84" t="s">
        <v>197</v>
      </c>
      <c r="F5" s="85">
        <v>0.91700000000000004</v>
      </c>
      <c r="G5" s="83"/>
    </row>
    <row r="6" spans="1:7" x14ac:dyDescent="0.25">
      <c r="A6" s="86">
        <v>1</v>
      </c>
      <c r="B6" s="87" t="s">
        <v>13</v>
      </c>
      <c r="C6" s="88"/>
      <c r="D6" s="88" t="s">
        <v>198</v>
      </c>
      <c r="E6" s="88" t="s">
        <v>199</v>
      </c>
      <c r="F6" s="88"/>
      <c r="G6" s="89"/>
    </row>
    <row r="7" spans="1:7" x14ac:dyDescent="0.25">
      <c r="A7" s="90"/>
      <c r="B7" s="90"/>
      <c r="C7" s="91"/>
      <c r="D7" s="91"/>
      <c r="E7" s="91"/>
      <c r="F7" s="91"/>
      <c r="G7" s="92"/>
    </row>
    <row r="8" spans="1:7" x14ac:dyDescent="0.25">
      <c r="A8" s="86" t="s">
        <v>14</v>
      </c>
      <c r="B8" s="256" t="s">
        <v>200</v>
      </c>
      <c r="C8" s="259" t="s">
        <v>19</v>
      </c>
      <c r="D8" s="249"/>
      <c r="E8" s="250"/>
      <c r="F8" s="251"/>
      <c r="G8" s="93">
        <f>ROUNDUP(F11+F13,2)</f>
        <v>0.23</v>
      </c>
    </row>
    <row r="9" spans="1:7" x14ac:dyDescent="0.25">
      <c r="A9" s="94"/>
      <c r="B9" s="257"/>
      <c r="C9" s="260"/>
      <c r="D9" s="252"/>
      <c r="E9" s="253"/>
      <c r="F9" s="254"/>
      <c r="G9" s="95"/>
    </row>
    <row r="10" spans="1:7" x14ac:dyDescent="0.25">
      <c r="A10" s="94"/>
      <c r="B10" s="96"/>
      <c r="C10" s="97"/>
      <c r="D10" s="98"/>
      <c r="E10" s="98"/>
      <c r="F10" s="98"/>
      <c r="G10" s="99"/>
    </row>
    <row r="11" spans="1:7" ht="45" x14ac:dyDescent="0.25">
      <c r="A11" s="100" t="s">
        <v>201</v>
      </c>
      <c r="B11" s="101" t="s">
        <v>260</v>
      </c>
      <c r="C11" s="102" t="s">
        <v>147</v>
      </c>
      <c r="D11" s="103">
        <f>12/10000</f>
        <v>1.1999999999999999E-3</v>
      </c>
      <c r="E11" s="104">
        <v>152.88</v>
      </c>
      <c r="F11" s="105">
        <f>E11*D11</f>
        <v>0.18345599999999998</v>
      </c>
      <c r="G11" s="106"/>
    </row>
    <row r="12" spans="1:7" x14ac:dyDescent="0.25">
      <c r="A12" s="100"/>
      <c r="C12" s="107"/>
      <c r="D12" s="105"/>
      <c r="E12" s="104"/>
      <c r="F12" s="105"/>
      <c r="G12" s="106"/>
    </row>
    <row r="13" spans="1:7" x14ac:dyDescent="0.25">
      <c r="A13" s="100" t="s">
        <v>202</v>
      </c>
      <c r="B13" s="101" t="s">
        <v>203</v>
      </c>
      <c r="C13" s="108"/>
      <c r="D13" s="105">
        <f>D5</f>
        <v>0.23400000000000001</v>
      </c>
      <c r="E13" s="104">
        <f>F11</f>
        <v>0.18345599999999998</v>
      </c>
      <c r="F13" s="105">
        <f>E13*D13</f>
        <v>4.2928703999999998E-2</v>
      </c>
      <c r="G13" s="106"/>
    </row>
    <row r="14" spans="1:7" x14ac:dyDescent="0.25">
      <c r="A14" s="90"/>
      <c r="B14" s="90"/>
      <c r="C14" s="91"/>
      <c r="D14" s="109"/>
      <c r="E14" s="109"/>
      <c r="F14" s="109"/>
      <c r="G14" s="110"/>
    </row>
    <row r="15" spans="1:7" x14ac:dyDescent="0.25">
      <c r="A15" s="90"/>
      <c r="B15" s="90"/>
      <c r="C15" s="91"/>
      <c r="D15" s="109"/>
      <c r="E15" s="109"/>
      <c r="F15" s="109"/>
      <c r="G15" s="110"/>
    </row>
    <row r="16" spans="1:7" x14ac:dyDescent="0.25">
      <c r="A16" s="86">
        <v>2</v>
      </c>
      <c r="B16" s="111" t="s">
        <v>204</v>
      </c>
      <c r="C16" s="249"/>
      <c r="D16" s="250"/>
      <c r="E16" s="250"/>
      <c r="F16" s="250"/>
      <c r="G16" s="251"/>
    </row>
    <row r="17" spans="1:7" ht="22.5" x14ac:dyDescent="0.25">
      <c r="A17" s="86" t="s">
        <v>0</v>
      </c>
      <c r="B17" s="111" t="s">
        <v>205</v>
      </c>
      <c r="C17" s="252"/>
      <c r="D17" s="253"/>
      <c r="E17" s="253"/>
      <c r="F17" s="253"/>
      <c r="G17" s="254"/>
    </row>
    <row r="18" spans="1:7" x14ac:dyDescent="0.25">
      <c r="A18" s="94"/>
      <c r="B18" s="96"/>
      <c r="C18" s="88"/>
      <c r="D18" s="98"/>
      <c r="E18" s="98"/>
      <c r="F18" s="98"/>
      <c r="G18" s="99"/>
    </row>
    <row r="19" spans="1:7" x14ac:dyDescent="0.25">
      <c r="A19" s="86" t="s">
        <v>206</v>
      </c>
      <c r="B19" s="87" t="s">
        <v>207</v>
      </c>
      <c r="C19" s="112" t="s">
        <v>208</v>
      </c>
      <c r="D19" s="255"/>
      <c r="E19" s="255"/>
      <c r="F19" s="255"/>
      <c r="G19" s="99">
        <f>ROUND(F25+F21+F23+F27,2)</f>
        <v>4.6100000000000003</v>
      </c>
    </row>
    <row r="20" spans="1:7" x14ac:dyDescent="0.25">
      <c r="A20" s="94"/>
      <c r="B20" s="96"/>
      <c r="C20" s="88"/>
      <c r="D20" s="98"/>
      <c r="E20" s="98"/>
      <c r="F20" s="98"/>
      <c r="G20" s="99"/>
    </row>
    <row r="21" spans="1:7" ht="56.25" x14ac:dyDescent="0.25">
      <c r="A21" s="100" t="s">
        <v>201</v>
      </c>
      <c r="B21" s="101" t="s">
        <v>261</v>
      </c>
      <c r="C21" s="108" t="s">
        <v>147</v>
      </c>
      <c r="D21" s="105">
        <f>1/50</f>
        <v>0.02</v>
      </c>
      <c r="E21" s="105">
        <v>171.36</v>
      </c>
      <c r="F21" s="105">
        <f>E21*D21</f>
        <v>3.4272000000000005</v>
      </c>
      <c r="G21" s="99"/>
    </row>
    <row r="22" spans="1:7" x14ac:dyDescent="0.25">
      <c r="A22" s="94"/>
      <c r="B22" s="96"/>
      <c r="C22" s="88"/>
      <c r="D22" s="98"/>
      <c r="E22" s="98"/>
      <c r="F22" s="98"/>
      <c r="G22" s="99"/>
    </row>
    <row r="23" spans="1:7" x14ac:dyDescent="0.25">
      <c r="A23" s="100" t="s">
        <v>202</v>
      </c>
      <c r="B23" s="101" t="s">
        <v>262</v>
      </c>
      <c r="C23" s="108" t="s">
        <v>147</v>
      </c>
      <c r="D23" s="105">
        <f>1/43</f>
        <v>2.3255813953488372E-2</v>
      </c>
      <c r="E23" s="105">
        <f>6.31/0.917</f>
        <v>6.8811341330425293</v>
      </c>
      <c r="F23" s="105">
        <f>E23*D23</f>
        <v>0.16002637518703555</v>
      </c>
      <c r="G23" s="106"/>
    </row>
    <row r="24" spans="1:7" x14ac:dyDescent="0.25">
      <c r="A24" s="94"/>
      <c r="B24" s="96"/>
      <c r="C24" s="88"/>
      <c r="D24" s="98"/>
      <c r="E24" s="98"/>
      <c r="F24" s="98"/>
      <c r="G24" s="99"/>
    </row>
    <row r="25" spans="1:7" x14ac:dyDescent="0.25">
      <c r="A25" s="100" t="s">
        <v>209</v>
      </c>
      <c r="B25" s="113" t="s">
        <v>210</v>
      </c>
      <c r="C25" s="88"/>
      <c r="D25" s="114">
        <f>F5</f>
        <v>0.91700000000000004</v>
      </c>
      <c r="E25" s="105">
        <f>F23</f>
        <v>0.16002637518703555</v>
      </c>
      <c r="F25" s="98">
        <f>E25*D25</f>
        <v>0.1467441860465116</v>
      </c>
      <c r="G25" s="106"/>
    </row>
    <row r="26" spans="1:7" x14ac:dyDescent="0.25">
      <c r="A26" s="100"/>
      <c r="B26" s="101"/>
      <c r="C26" s="88"/>
      <c r="D26" s="114"/>
      <c r="E26" s="105"/>
      <c r="F26" s="98"/>
      <c r="G26" s="106"/>
    </row>
    <row r="27" spans="1:7" x14ac:dyDescent="0.25">
      <c r="A27" s="100" t="s">
        <v>211</v>
      </c>
      <c r="B27" s="101" t="s">
        <v>212</v>
      </c>
      <c r="C27" s="107"/>
      <c r="D27" s="105">
        <f>D5</f>
        <v>0.23400000000000001</v>
      </c>
      <c r="E27" s="104">
        <f>F25+F23+F21</f>
        <v>3.7339705612335479</v>
      </c>
      <c r="F27" s="105">
        <f>E27*D27</f>
        <v>0.8737491113286503</v>
      </c>
      <c r="G27" s="106"/>
    </row>
    <row r="28" spans="1:7" x14ac:dyDescent="0.25">
      <c r="A28" s="94"/>
      <c r="B28" s="96"/>
      <c r="C28" s="88"/>
      <c r="D28" s="98"/>
      <c r="E28" s="98"/>
      <c r="F28" s="98"/>
      <c r="G28" s="99"/>
    </row>
    <row r="29" spans="1:7" x14ac:dyDescent="0.25">
      <c r="A29" s="86" t="s">
        <v>213</v>
      </c>
      <c r="B29" s="87" t="s">
        <v>214</v>
      </c>
      <c r="C29" s="112" t="s">
        <v>208</v>
      </c>
      <c r="D29" s="255"/>
      <c r="E29" s="255"/>
      <c r="F29" s="255"/>
      <c r="G29" s="115">
        <f>F35+F31+F33+F37</f>
        <v>5.8290513173391503</v>
      </c>
    </row>
    <row r="30" spans="1:7" x14ac:dyDescent="0.25">
      <c r="A30" s="94"/>
      <c r="B30" s="96"/>
      <c r="C30" s="88"/>
      <c r="D30" s="98"/>
      <c r="E30" s="98"/>
      <c r="F30" s="98"/>
      <c r="G30" s="99"/>
    </row>
    <row r="31" spans="1:7" ht="56.25" x14ac:dyDescent="0.25">
      <c r="A31" s="100" t="s">
        <v>201</v>
      </c>
      <c r="B31" s="101" t="s">
        <v>261</v>
      </c>
      <c r="C31" s="108" t="s">
        <v>147</v>
      </c>
      <c r="D31" s="105">
        <f>1/40</f>
        <v>2.5000000000000001E-2</v>
      </c>
      <c r="E31" s="105">
        <v>171.36</v>
      </c>
      <c r="F31" s="105">
        <f>E31*D31</f>
        <v>4.2840000000000007</v>
      </c>
      <c r="G31" s="99"/>
    </row>
    <row r="32" spans="1:7" x14ac:dyDescent="0.25">
      <c r="A32" s="94"/>
      <c r="B32" s="96"/>
      <c r="C32" s="88"/>
      <c r="D32" s="98"/>
      <c r="E32" s="98"/>
      <c r="F32" s="98"/>
      <c r="G32" s="99"/>
    </row>
    <row r="33" spans="1:7" x14ac:dyDescent="0.25">
      <c r="A33" s="100" t="s">
        <v>202</v>
      </c>
      <c r="B33" s="101" t="s">
        <v>262</v>
      </c>
      <c r="C33" s="108" t="s">
        <v>147</v>
      </c>
      <c r="D33" s="105">
        <f>1/30</f>
        <v>3.3333333333333333E-2</v>
      </c>
      <c r="E33" s="105">
        <f>6.31/0.917</f>
        <v>6.8811341330425293</v>
      </c>
      <c r="F33" s="105">
        <f>E33*D33</f>
        <v>0.22937113776808429</v>
      </c>
      <c r="G33" s="106"/>
    </row>
    <row r="34" spans="1:7" x14ac:dyDescent="0.25">
      <c r="A34" s="94"/>
      <c r="B34" s="101"/>
      <c r="C34" s="88"/>
      <c r="D34" s="98"/>
      <c r="E34" s="98"/>
      <c r="F34" s="98"/>
      <c r="G34" s="99"/>
    </row>
    <row r="35" spans="1:7" x14ac:dyDescent="0.25">
      <c r="A35" s="100" t="s">
        <v>209</v>
      </c>
      <c r="B35" s="113" t="s">
        <v>215</v>
      </c>
      <c r="C35" s="88"/>
      <c r="D35" s="114">
        <f>F5</f>
        <v>0.91700000000000004</v>
      </c>
      <c r="E35" s="105">
        <f>F33</f>
        <v>0.22937113776808429</v>
      </c>
      <c r="F35" s="105">
        <f>E35*D35</f>
        <v>0.21033333333333332</v>
      </c>
      <c r="G35" s="106"/>
    </row>
    <row r="36" spans="1:7" x14ac:dyDescent="0.25">
      <c r="A36" s="100"/>
      <c r="B36" s="101"/>
      <c r="C36" s="88"/>
      <c r="D36" s="114"/>
      <c r="E36" s="105"/>
      <c r="F36" s="105"/>
      <c r="G36" s="106"/>
    </row>
    <row r="37" spans="1:7" x14ac:dyDescent="0.25">
      <c r="A37" s="100" t="s">
        <v>211</v>
      </c>
      <c r="B37" s="101" t="s">
        <v>212</v>
      </c>
      <c r="C37" s="107"/>
      <c r="D37" s="105">
        <f>D5</f>
        <v>0.23400000000000001</v>
      </c>
      <c r="E37" s="104">
        <f>F35+F33+F31</f>
        <v>4.723704471101418</v>
      </c>
      <c r="F37" s="105">
        <f>E37*D37</f>
        <v>1.1053468462377318</v>
      </c>
      <c r="G37" s="106"/>
    </row>
    <row r="38" spans="1:7" x14ac:dyDescent="0.25">
      <c r="A38" s="94"/>
      <c r="B38" s="96"/>
      <c r="C38" s="88"/>
      <c r="D38" s="98"/>
      <c r="E38" s="98"/>
      <c r="F38" s="98"/>
      <c r="G38" s="99"/>
    </row>
    <row r="39" spans="1:7" x14ac:dyDescent="0.25">
      <c r="A39" s="86">
        <v>3</v>
      </c>
      <c r="B39" s="87" t="s">
        <v>44</v>
      </c>
      <c r="C39" s="116"/>
      <c r="D39" s="117"/>
      <c r="E39" s="117"/>
      <c r="F39" s="117"/>
      <c r="G39" s="118"/>
    </row>
    <row r="40" spans="1:7" x14ac:dyDescent="0.25">
      <c r="A40" s="94"/>
      <c r="B40" s="96"/>
      <c r="C40" s="119"/>
      <c r="D40" s="120"/>
      <c r="E40" s="120"/>
      <c r="F40" s="120"/>
      <c r="G40" s="121"/>
    </row>
    <row r="41" spans="1:7" ht="22.5" x14ac:dyDescent="0.25">
      <c r="A41" s="122" t="s">
        <v>29</v>
      </c>
      <c r="B41" s="87" t="s">
        <v>216</v>
      </c>
      <c r="C41" s="105" t="s">
        <v>95</v>
      </c>
      <c r="D41" s="98"/>
      <c r="E41" s="98"/>
      <c r="F41" s="98"/>
      <c r="G41" s="99">
        <f>ROUND(F43+F46,2)</f>
        <v>2.36</v>
      </c>
    </row>
    <row r="42" spans="1:7" x14ac:dyDescent="0.25">
      <c r="A42" s="94"/>
      <c r="B42" s="96"/>
      <c r="C42" s="98"/>
      <c r="D42" s="98"/>
      <c r="E42" s="98"/>
      <c r="F42" s="98"/>
      <c r="G42" s="98"/>
    </row>
    <row r="43" spans="1:7" ht="45" x14ac:dyDescent="0.25">
      <c r="A43" s="100" t="s">
        <v>201</v>
      </c>
      <c r="B43" s="101" t="s">
        <v>260</v>
      </c>
      <c r="C43" s="102" t="s">
        <v>147</v>
      </c>
      <c r="D43" s="105">
        <f>1/80</f>
        <v>1.2500000000000001E-2</v>
      </c>
      <c r="E43" s="181">
        <v>152.88</v>
      </c>
      <c r="F43" s="105">
        <f>E43*D43</f>
        <v>1.911</v>
      </c>
      <c r="G43" s="105"/>
    </row>
    <row r="44" spans="1:7" x14ac:dyDescent="0.25">
      <c r="A44" s="100"/>
      <c r="B44" s="101"/>
      <c r="C44" s="105"/>
      <c r="D44" s="105"/>
      <c r="E44" s="105"/>
      <c r="F44" s="105"/>
      <c r="G44" s="105"/>
    </row>
    <row r="45" spans="1:7" x14ac:dyDescent="0.25">
      <c r="A45" s="100"/>
      <c r="B45" s="101"/>
      <c r="C45" s="105"/>
      <c r="D45" s="105"/>
      <c r="E45" s="105"/>
      <c r="F45" s="105"/>
      <c r="G45" s="105"/>
    </row>
    <row r="46" spans="1:7" x14ac:dyDescent="0.25">
      <c r="A46" s="100" t="s">
        <v>209</v>
      </c>
      <c r="B46" s="101" t="s">
        <v>212</v>
      </c>
      <c r="C46" s="107"/>
      <c r="D46" s="105">
        <f>D5</f>
        <v>0.23400000000000001</v>
      </c>
      <c r="E46" s="104">
        <f>F43</f>
        <v>1.911</v>
      </c>
      <c r="F46" s="105">
        <f>E46*D46</f>
        <v>0.44717400000000002</v>
      </c>
      <c r="G46" s="105"/>
    </row>
    <row r="47" spans="1:7" x14ac:dyDescent="0.25">
      <c r="A47" s="90"/>
      <c r="B47" s="90"/>
      <c r="C47" s="109"/>
      <c r="D47" s="109"/>
      <c r="E47" s="109"/>
      <c r="F47" s="109"/>
      <c r="G47" s="109"/>
    </row>
    <row r="48" spans="1:7" x14ac:dyDescent="0.25">
      <c r="A48" s="86" t="s">
        <v>217</v>
      </c>
      <c r="B48" s="256" t="s">
        <v>218</v>
      </c>
      <c r="C48" s="248" t="s">
        <v>208</v>
      </c>
      <c r="D48" s="255"/>
      <c r="E48" s="255"/>
      <c r="F48" s="255"/>
      <c r="G48" s="123">
        <f>ROUND(F51+F53+F55,2)</f>
        <v>15.44</v>
      </c>
    </row>
    <row r="49" spans="1:7" x14ac:dyDescent="0.25">
      <c r="A49" s="94"/>
      <c r="B49" s="257"/>
      <c r="C49" s="248"/>
      <c r="D49" s="255"/>
      <c r="E49" s="255"/>
      <c r="F49" s="255"/>
      <c r="G49" s="124"/>
    </row>
    <row r="50" spans="1:7" x14ac:dyDescent="0.25">
      <c r="A50" s="94"/>
      <c r="B50" s="96"/>
      <c r="C50" s="98"/>
      <c r="D50" s="98"/>
      <c r="E50" s="98"/>
      <c r="F50" s="98"/>
      <c r="G50" s="98"/>
    </row>
    <row r="51" spans="1:7" ht="56.25" x14ac:dyDescent="0.25">
      <c r="A51" s="100" t="s">
        <v>201</v>
      </c>
      <c r="B51" s="101" t="s">
        <v>261</v>
      </c>
      <c r="C51" s="105" t="s">
        <v>147</v>
      </c>
      <c r="D51" s="105">
        <f>1/100</f>
        <v>0.01</v>
      </c>
      <c r="E51" s="182">
        <v>171.36</v>
      </c>
      <c r="F51" s="105">
        <f>E51*D51</f>
        <v>1.7136000000000002</v>
      </c>
      <c r="G51" s="98"/>
    </row>
    <row r="52" spans="1:7" x14ac:dyDescent="0.25">
      <c r="A52" s="94"/>
      <c r="B52" s="96"/>
      <c r="C52" s="98"/>
      <c r="D52" s="98"/>
      <c r="E52" s="98"/>
      <c r="F52" s="105"/>
      <c r="G52" s="98"/>
    </row>
    <row r="53" spans="1:7" ht="45" x14ac:dyDescent="0.25">
      <c r="A53" s="100" t="s">
        <v>202</v>
      </c>
      <c r="B53" s="101" t="s">
        <v>263</v>
      </c>
      <c r="C53" s="105" t="s">
        <v>147</v>
      </c>
      <c r="D53" s="105">
        <f>1/5</f>
        <v>0.2</v>
      </c>
      <c r="E53" s="182">
        <v>54</v>
      </c>
      <c r="F53" s="105">
        <f>E53*D53</f>
        <v>10.8</v>
      </c>
      <c r="G53" s="105"/>
    </row>
    <row r="54" spans="1:7" x14ac:dyDescent="0.25">
      <c r="A54" s="100"/>
      <c r="B54" s="100"/>
      <c r="C54" s="105"/>
      <c r="D54" s="105"/>
      <c r="E54" s="105"/>
      <c r="F54" s="105"/>
      <c r="G54" s="105"/>
    </row>
    <row r="55" spans="1:7" x14ac:dyDescent="0.25">
      <c r="A55" s="100" t="s">
        <v>209</v>
      </c>
      <c r="B55" s="101" t="s">
        <v>219</v>
      </c>
      <c r="C55" s="108"/>
      <c r="D55" s="105">
        <f>D5</f>
        <v>0.23400000000000001</v>
      </c>
      <c r="E55" s="104">
        <f>F51+F53</f>
        <v>12.5136</v>
      </c>
      <c r="F55" s="105">
        <f>E55*D55</f>
        <v>2.9281824000000003</v>
      </c>
      <c r="G55" s="105"/>
    </row>
    <row r="56" spans="1:7" x14ac:dyDescent="0.25">
      <c r="A56" s="125"/>
      <c r="B56" s="125"/>
      <c r="C56" s="126"/>
      <c r="D56" s="127"/>
      <c r="E56" s="128"/>
      <c r="F56" s="127"/>
      <c r="G56" s="127"/>
    </row>
    <row r="57" spans="1:7" ht="22.5" x14ac:dyDescent="0.25">
      <c r="A57" s="122">
        <v>4</v>
      </c>
      <c r="B57" s="87" t="s">
        <v>39</v>
      </c>
      <c r="C57" s="105" t="s">
        <v>42</v>
      </c>
      <c r="D57" s="98"/>
      <c r="E57" s="98"/>
      <c r="F57" s="98"/>
      <c r="G57" s="99">
        <f>ROUND(F59+F60+F61+F63,2)</f>
        <v>2.97</v>
      </c>
    </row>
    <row r="58" spans="1:7" x14ac:dyDescent="0.25">
      <c r="A58" s="94"/>
      <c r="B58" s="96"/>
      <c r="C58" s="98"/>
      <c r="D58" s="98"/>
      <c r="E58" s="98"/>
      <c r="F58" s="98"/>
      <c r="G58" s="98"/>
    </row>
    <row r="59" spans="1:7" ht="33.75" x14ac:dyDescent="0.25">
      <c r="A59" s="100" t="s">
        <v>201</v>
      </c>
      <c r="B59" s="101" t="s">
        <v>264</v>
      </c>
      <c r="C59" s="102" t="s">
        <v>147</v>
      </c>
      <c r="D59" s="105">
        <v>1.6E-2</v>
      </c>
      <c r="E59" s="104">
        <v>125.66</v>
      </c>
      <c r="F59" s="105">
        <f>E59*D59</f>
        <v>2.0105599999999999</v>
      </c>
      <c r="G59" s="105"/>
    </row>
    <row r="60" spans="1:7" x14ac:dyDescent="0.25">
      <c r="A60" s="100" t="s">
        <v>202</v>
      </c>
      <c r="B60" s="101" t="s">
        <v>262</v>
      </c>
      <c r="C60" s="105" t="s">
        <v>147</v>
      </c>
      <c r="D60" s="105">
        <v>0.03</v>
      </c>
      <c r="E60" s="105">
        <f>6.31/0.917</f>
        <v>6.8811341330425293</v>
      </c>
      <c r="F60" s="105">
        <f>E60*D60</f>
        <v>0.20643402399127586</v>
      </c>
      <c r="G60" s="105"/>
    </row>
    <row r="61" spans="1:7" x14ac:dyDescent="0.25">
      <c r="A61" s="100" t="s">
        <v>209</v>
      </c>
      <c r="B61" s="113" t="s">
        <v>215</v>
      </c>
      <c r="C61" s="105"/>
      <c r="D61" s="114">
        <f>F5</f>
        <v>0.91700000000000004</v>
      </c>
      <c r="E61" s="105">
        <f>F60</f>
        <v>0.20643402399127586</v>
      </c>
      <c r="F61" s="105">
        <f>D61*E61</f>
        <v>0.18929999999999997</v>
      </c>
      <c r="G61" s="105"/>
    </row>
    <row r="62" spans="1:7" x14ac:dyDescent="0.25">
      <c r="A62" s="100"/>
      <c r="B62" s="113"/>
      <c r="C62" s="105"/>
      <c r="D62" s="105"/>
      <c r="E62" s="105"/>
      <c r="F62" s="105"/>
      <c r="G62" s="105"/>
    </row>
    <row r="63" spans="1:7" x14ac:dyDescent="0.25">
      <c r="A63" s="100" t="s">
        <v>211</v>
      </c>
      <c r="B63" s="101" t="s">
        <v>212</v>
      </c>
      <c r="C63" s="107"/>
      <c r="D63" s="105">
        <f>D13</f>
        <v>0.23400000000000001</v>
      </c>
      <c r="E63" s="104">
        <f>F59+F60+F61</f>
        <v>2.4062940239912756</v>
      </c>
      <c r="F63" s="105">
        <f>E63*D63</f>
        <v>0.56307280161395856</v>
      </c>
      <c r="G63" s="105"/>
    </row>
    <row r="64" spans="1:7" x14ac:dyDescent="0.25">
      <c r="A64" s="90"/>
      <c r="B64" s="90"/>
      <c r="C64" s="109"/>
      <c r="D64" s="109"/>
      <c r="E64" s="109"/>
      <c r="F64" s="109"/>
      <c r="G64" s="109"/>
    </row>
    <row r="65" spans="1:7" x14ac:dyDescent="0.25">
      <c r="A65" s="236">
        <v>5</v>
      </c>
      <c r="B65" s="238" t="s">
        <v>220</v>
      </c>
      <c r="C65" s="248" t="s">
        <v>208</v>
      </c>
      <c r="D65" s="242"/>
      <c r="E65" s="243"/>
      <c r="F65" s="244"/>
      <c r="G65" s="123">
        <f>ROUND(F68+F70+F72+F74+F76+F78+F80+F82,2)</f>
        <v>603.88</v>
      </c>
    </row>
    <row r="66" spans="1:7" x14ac:dyDescent="0.25">
      <c r="A66" s="237"/>
      <c r="B66" s="239"/>
      <c r="C66" s="248"/>
      <c r="D66" s="245"/>
      <c r="E66" s="246"/>
      <c r="F66" s="247"/>
      <c r="G66" s="95"/>
    </row>
    <row r="67" spans="1:7" x14ac:dyDescent="0.25">
      <c r="A67" s="94"/>
      <c r="B67" s="96"/>
      <c r="C67" s="98"/>
      <c r="D67" s="98"/>
      <c r="E67" s="98"/>
      <c r="F67" s="98"/>
      <c r="G67" s="98"/>
    </row>
    <row r="68" spans="1:7" ht="22.5" x14ac:dyDescent="0.25">
      <c r="A68" s="100" t="s">
        <v>201</v>
      </c>
      <c r="B68" s="101" t="s">
        <v>265</v>
      </c>
      <c r="C68" s="105" t="s">
        <v>93</v>
      </c>
      <c r="D68" s="105">
        <v>109.5</v>
      </c>
      <c r="E68" s="105">
        <v>0.56000000000000005</v>
      </c>
      <c r="F68" s="98">
        <f>E68*D68</f>
        <v>61.320000000000007</v>
      </c>
      <c r="G68" s="98"/>
    </row>
    <row r="69" spans="1:7" x14ac:dyDescent="0.25">
      <c r="A69" s="94"/>
      <c r="B69" s="96"/>
      <c r="C69" s="98"/>
      <c r="D69" s="98"/>
      <c r="E69" s="98"/>
      <c r="F69" s="98"/>
      <c r="G69" s="98"/>
    </row>
    <row r="70" spans="1:7" x14ac:dyDescent="0.25">
      <c r="A70" s="100" t="s">
        <v>202</v>
      </c>
      <c r="B70" s="101" t="s">
        <v>266</v>
      </c>
      <c r="C70" s="105" t="s">
        <v>221</v>
      </c>
      <c r="D70" s="105">
        <v>0.5</v>
      </c>
      <c r="E70" s="105">
        <v>55</v>
      </c>
      <c r="F70" s="98">
        <f>E70*D70</f>
        <v>27.5</v>
      </c>
      <c r="G70" s="98"/>
    </row>
    <row r="71" spans="1:7" x14ac:dyDescent="0.25">
      <c r="A71" s="94"/>
      <c r="B71" s="96"/>
      <c r="C71" s="98"/>
      <c r="D71" s="98"/>
      <c r="E71" s="98"/>
      <c r="F71" s="98"/>
      <c r="G71" s="98"/>
    </row>
    <row r="72" spans="1:7" ht="22.5" x14ac:dyDescent="0.25">
      <c r="A72" s="100" t="s">
        <v>209</v>
      </c>
      <c r="B72" s="101" t="s">
        <v>267</v>
      </c>
      <c r="C72" s="105" t="s">
        <v>221</v>
      </c>
      <c r="D72" s="105">
        <v>1</v>
      </c>
      <c r="E72" s="105">
        <v>79.849999999999994</v>
      </c>
      <c r="F72" s="98">
        <f>E72*D72</f>
        <v>79.849999999999994</v>
      </c>
      <c r="G72" s="98"/>
    </row>
    <row r="73" spans="1:7" x14ac:dyDescent="0.25">
      <c r="A73" s="94"/>
      <c r="B73" s="96"/>
      <c r="C73" s="98"/>
      <c r="D73" s="98"/>
      <c r="E73" s="98"/>
      <c r="F73" s="98"/>
      <c r="G73" s="98"/>
    </row>
    <row r="74" spans="1:7" x14ac:dyDescent="0.25">
      <c r="A74" s="100" t="s">
        <v>211</v>
      </c>
      <c r="B74" s="101" t="s">
        <v>268</v>
      </c>
      <c r="C74" s="105" t="s">
        <v>147</v>
      </c>
      <c r="D74" s="105">
        <v>6</v>
      </c>
      <c r="E74" s="105">
        <f>10.35/0.917</f>
        <v>11.286804798255179</v>
      </c>
      <c r="F74" s="183">
        <f>E74*D74</f>
        <v>67.720828789531083</v>
      </c>
      <c r="G74" s="98"/>
    </row>
    <row r="75" spans="1:7" x14ac:dyDescent="0.25">
      <c r="A75" s="94"/>
      <c r="B75" s="96"/>
      <c r="C75" s="98"/>
      <c r="D75" s="98"/>
      <c r="E75" s="98"/>
      <c r="F75" s="98"/>
      <c r="G75" s="98"/>
    </row>
    <row r="76" spans="1:7" x14ac:dyDescent="0.25">
      <c r="A76" s="100" t="s">
        <v>222</v>
      </c>
      <c r="B76" s="101" t="s">
        <v>262</v>
      </c>
      <c r="C76" s="105" t="s">
        <v>147</v>
      </c>
      <c r="D76" s="105">
        <v>4</v>
      </c>
      <c r="E76" s="105">
        <f>6.31/0.917</f>
        <v>6.8811341330425293</v>
      </c>
      <c r="F76" s="98">
        <f>E76*D76</f>
        <v>27.524536532170117</v>
      </c>
      <c r="G76" s="98"/>
    </row>
    <row r="77" spans="1:7" x14ac:dyDescent="0.25">
      <c r="A77" s="94"/>
      <c r="B77" s="96"/>
      <c r="C77" s="98"/>
      <c r="D77" s="98"/>
      <c r="E77" s="98"/>
      <c r="F77" s="98"/>
      <c r="G77" s="98"/>
    </row>
    <row r="78" spans="1:7" x14ac:dyDescent="0.25">
      <c r="A78" s="100" t="s">
        <v>223</v>
      </c>
      <c r="B78" s="113" t="s">
        <v>224</v>
      </c>
      <c r="C78" s="105"/>
      <c r="D78" s="105">
        <f>F5</f>
        <v>0.91700000000000004</v>
      </c>
      <c r="E78" s="105">
        <f>F76+F74</f>
        <v>95.2453653217012</v>
      </c>
      <c r="F78" s="105">
        <f>E78*D78</f>
        <v>87.34</v>
      </c>
      <c r="G78" s="105"/>
    </row>
    <row r="79" spans="1:7" x14ac:dyDescent="0.25">
      <c r="A79" s="100"/>
      <c r="B79" s="101"/>
      <c r="C79" s="88"/>
      <c r="D79" s="114"/>
      <c r="E79" s="105"/>
      <c r="F79" s="98"/>
      <c r="G79" s="105"/>
    </row>
    <row r="80" spans="1:7" ht="45" x14ac:dyDescent="0.25">
      <c r="A80" s="100" t="s">
        <v>225</v>
      </c>
      <c r="B80" s="101" t="s">
        <v>263</v>
      </c>
      <c r="C80" s="105" t="s">
        <v>147</v>
      </c>
      <c r="D80" s="105">
        <v>3.15</v>
      </c>
      <c r="E80" s="105">
        <v>54</v>
      </c>
      <c r="F80" s="105">
        <f>E80*D80</f>
        <v>170.1</v>
      </c>
      <c r="G80" s="105"/>
    </row>
    <row r="81" spans="1:7" x14ac:dyDescent="0.25">
      <c r="A81" s="100"/>
      <c r="B81" s="113"/>
      <c r="C81" s="88"/>
      <c r="D81" s="114"/>
      <c r="E81" s="105"/>
      <c r="F81" s="105"/>
      <c r="G81" s="105"/>
    </row>
    <row r="82" spans="1:7" x14ac:dyDescent="0.25">
      <c r="A82" s="100" t="s">
        <v>147</v>
      </c>
      <c r="B82" s="101" t="s">
        <v>212</v>
      </c>
      <c r="C82" s="108"/>
      <c r="D82" s="105">
        <f>D5</f>
        <v>0.23400000000000001</v>
      </c>
      <c r="E82" s="104">
        <f>F78+F76+F74+F80</f>
        <v>352.68536532170117</v>
      </c>
      <c r="F82" s="98">
        <f>E82*D82</f>
        <v>82.528375485278076</v>
      </c>
      <c r="G82" s="105"/>
    </row>
    <row r="83" spans="1:7" x14ac:dyDescent="0.25">
      <c r="A83" s="129"/>
      <c r="B83" s="129"/>
      <c r="C83" s="130"/>
      <c r="D83" s="130"/>
      <c r="E83" s="130"/>
      <c r="F83" s="130"/>
      <c r="G83" s="130"/>
    </row>
    <row r="84" spans="1:7" x14ac:dyDescent="0.25">
      <c r="A84" s="90"/>
      <c r="B84" s="90"/>
      <c r="C84" s="109"/>
      <c r="D84" s="109"/>
      <c r="E84" s="109"/>
      <c r="F84" s="109"/>
      <c r="G84" s="109"/>
    </row>
    <row r="85" spans="1:7" x14ac:dyDescent="0.25">
      <c r="A85" s="236">
        <v>6</v>
      </c>
      <c r="B85" s="238" t="s">
        <v>226</v>
      </c>
      <c r="C85" s="240" t="s">
        <v>42</v>
      </c>
      <c r="D85" s="242"/>
      <c r="E85" s="243"/>
      <c r="F85" s="244"/>
      <c r="G85" s="234"/>
    </row>
    <row r="86" spans="1:7" x14ac:dyDescent="0.25">
      <c r="A86" s="237"/>
      <c r="B86" s="239"/>
      <c r="C86" s="241"/>
      <c r="D86" s="245"/>
      <c r="E86" s="246"/>
      <c r="F86" s="247"/>
      <c r="G86" s="235"/>
    </row>
    <row r="87" spans="1:7" x14ac:dyDescent="0.25">
      <c r="A87" s="131"/>
      <c r="B87" s="132"/>
      <c r="C87" s="133"/>
      <c r="D87" s="119"/>
      <c r="E87" s="120"/>
      <c r="F87" s="121"/>
      <c r="G87" s="95"/>
    </row>
    <row r="88" spans="1:7" x14ac:dyDescent="0.25">
      <c r="A88" s="122" t="s">
        <v>45</v>
      </c>
      <c r="B88" s="134" t="s">
        <v>227</v>
      </c>
      <c r="C88" s="106" t="s">
        <v>42</v>
      </c>
      <c r="D88" s="98"/>
      <c r="E88" s="98"/>
      <c r="F88" s="98"/>
      <c r="G88" s="99">
        <f>F90+F92+F94+F96+F98+F100+F102+F104</f>
        <v>161.95517952366413</v>
      </c>
    </row>
    <row r="89" spans="1:7" x14ac:dyDescent="0.25">
      <c r="A89" s="135"/>
      <c r="B89" s="136"/>
      <c r="C89" s="98"/>
      <c r="D89" s="98"/>
      <c r="E89" s="98"/>
      <c r="F89" s="98"/>
      <c r="G89" s="98"/>
    </row>
    <row r="90" spans="1:7" ht="22.5" x14ac:dyDescent="0.25">
      <c r="A90" s="137" t="s">
        <v>201</v>
      </c>
      <c r="B90" s="138" t="s">
        <v>269</v>
      </c>
      <c r="C90" s="105" t="s">
        <v>221</v>
      </c>
      <c r="D90" s="105">
        <v>5.0000000000000001E-3</v>
      </c>
      <c r="E90" s="105">
        <v>453.31</v>
      </c>
      <c r="F90" s="98">
        <f>E90*D90</f>
        <v>2.2665500000000001</v>
      </c>
      <c r="G90" s="105"/>
    </row>
    <row r="91" spans="1:7" x14ac:dyDescent="0.25">
      <c r="A91" s="135"/>
      <c r="B91" s="136"/>
      <c r="C91" s="98"/>
      <c r="D91" s="98"/>
      <c r="E91" s="98"/>
      <c r="F91" s="98"/>
      <c r="G91" s="98"/>
    </row>
    <row r="92" spans="1:7" x14ac:dyDescent="0.25">
      <c r="A92" s="137" t="s">
        <v>202</v>
      </c>
      <c r="B92" s="139" t="s">
        <v>266</v>
      </c>
      <c r="C92" s="105" t="s">
        <v>221</v>
      </c>
      <c r="D92" s="105">
        <f>1/5</f>
        <v>0.2</v>
      </c>
      <c r="E92" s="105">
        <v>55</v>
      </c>
      <c r="F92" s="98">
        <f>E92*D92</f>
        <v>11</v>
      </c>
      <c r="G92" s="105"/>
    </row>
    <row r="93" spans="1:7" x14ac:dyDescent="0.25">
      <c r="A93" s="135"/>
      <c r="B93" s="136"/>
      <c r="C93" s="98"/>
      <c r="D93" s="98"/>
      <c r="E93" s="98"/>
      <c r="F93" s="98"/>
      <c r="G93" s="98"/>
    </row>
    <row r="94" spans="1:7" ht="22.5" x14ac:dyDescent="0.25">
      <c r="A94" s="137" t="s">
        <v>209</v>
      </c>
      <c r="B94" s="139" t="s">
        <v>270</v>
      </c>
      <c r="C94" s="105" t="s">
        <v>147</v>
      </c>
      <c r="D94" s="105">
        <v>0.05</v>
      </c>
      <c r="E94" s="105">
        <v>58.3</v>
      </c>
      <c r="F94" s="98">
        <f>E94*D94</f>
        <v>2.915</v>
      </c>
      <c r="G94" s="105"/>
    </row>
    <row r="95" spans="1:7" x14ac:dyDescent="0.25">
      <c r="A95" s="137"/>
      <c r="B95" s="139"/>
      <c r="C95" s="105"/>
      <c r="D95" s="105"/>
      <c r="E95" s="105"/>
      <c r="F95" s="140"/>
      <c r="G95" s="105"/>
    </row>
    <row r="96" spans="1:7" x14ac:dyDescent="0.25">
      <c r="A96" s="137" t="s">
        <v>211</v>
      </c>
      <c r="B96" s="139" t="s">
        <v>268</v>
      </c>
      <c r="C96" s="105" t="s">
        <v>147</v>
      </c>
      <c r="D96" s="105">
        <v>3</v>
      </c>
      <c r="E96" s="105">
        <f>10.35/0.917</f>
        <v>11.286804798255179</v>
      </c>
      <c r="F96" s="98">
        <f>E96*D96</f>
        <v>33.860414394765542</v>
      </c>
      <c r="G96" s="105"/>
    </row>
    <row r="97" spans="1:7" x14ac:dyDescent="0.25">
      <c r="A97" s="135"/>
      <c r="B97" s="136"/>
      <c r="C97" s="98"/>
      <c r="D97" s="98"/>
      <c r="E97" s="98"/>
      <c r="F97" s="98"/>
      <c r="G97" s="98"/>
    </row>
    <row r="98" spans="1:7" x14ac:dyDescent="0.25">
      <c r="A98" s="137" t="s">
        <v>222</v>
      </c>
      <c r="B98" s="101" t="s">
        <v>262</v>
      </c>
      <c r="C98" s="105" t="s">
        <v>147</v>
      </c>
      <c r="D98" s="105">
        <v>3</v>
      </c>
      <c r="E98" s="105">
        <f>6.31/0.917</f>
        <v>6.8811341330425293</v>
      </c>
      <c r="F98" s="98">
        <f>E98*D98</f>
        <v>20.643402399127588</v>
      </c>
      <c r="G98" s="105"/>
    </row>
    <row r="99" spans="1:7" x14ac:dyDescent="0.25">
      <c r="A99" s="135"/>
      <c r="B99" s="136"/>
      <c r="C99" s="98"/>
      <c r="D99" s="98"/>
      <c r="E99" s="98"/>
      <c r="F99" s="98"/>
      <c r="G99" s="98"/>
    </row>
    <row r="100" spans="1:7" x14ac:dyDescent="0.25">
      <c r="A100" s="100" t="s">
        <v>223</v>
      </c>
      <c r="B100" s="113" t="s">
        <v>228</v>
      </c>
      <c r="C100" s="105"/>
      <c r="D100" s="105">
        <f>F5</f>
        <v>0.91700000000000004</v>
      </c>
      <c r="E100" s="105">
        <f>F98+F96</f>
        <v>54.503816793893129</v>
      </c>
      <c r="F100" s="105">
        <f>E100*D100</f>
        <v>49.980000000000004</v>
      </c>
      <c r="G100" s="105"/>
    </row>
    <row r="101" spans="1:7" x14ac:dyDescent="0.25">
      <c r="A101" s="100"/>
      <c r="B101" s="113"/>
      <c r="C101" s="88"/>
      <c r="D101" s="114"/>
      <c r="E101" s="105"/>
      <c r="F101" s="98"/>
      <c r="G101" s="141"/>
    </row>
    <row r="102" spans="1:7" ht="33.75" x14ac:dyDescent="0.25">
      <c r="A102" s="100" t="s">
        <v>225</v>
      </c>
      <c r="B102" s="101" t="s">
        <v>271</v>
      </c>
      <c r="C102" s="105" t="s">
        <v>147</v>
      </c>
      <c r="D102" s="105">
        <f>6/25</f>
        <v>0.24</v>
      </c>
      <c r="E102" s="105">
        <v>54.56</v>
      </c>
      <c r="F102" s="105">
        <f>E102*D102</f>
        <v>13.0944</v>
      </c>
      <c r="G102" s="105"/>
    </row>
    <row r="103" spans="1:7" x14ac:dyDescent="0.25">
      <c r="A103" s="100"/>
      <c r="B103" s="113"/>
      <c r="C103" s="88"/>
      <c r="D103" s="114"/>
      <c r="E103" s="105"/>
      <c r="F103" s="105"/>
      <c r="G103" s="141"/>
    </row>
    <row r="104" spans="1:7" x14ac:dyDescent="0.25">
      <c r="A104" s="100" t="s">
        <v>147</v>
      </c>
      <c r="B104" s="101" t="s">
        <v>212</v>
      </c>
      <c r="C104" s="108"/>
      <c r="D104" s="105">
        <f>D5</f>
        <v>0.23400000000000001</v>
      </c>
      <c r="E104" s="104">
        <f>F100+F98+F96+F94+F102</f>
        <v>120.49321679389314</v>
      </c>
      <c r="F104" s="98">
        <f>E104*D104</f>
        <v>28.195412729770997</v>
      </c>
      <c r="G104" s="141"/>
    </row>
    <row r="105" spans="1:7" x14ac:dyDescent="0.25">
      <c r="A105" s="131"/>
      <c r="B105" s="132"/>
      <c r="C105" s="133"/>
      <c r="D105" s="119"/>
      <c r="E105" s="120"/>
      <c r="F105" s="121"/>
      <c r="G105" s="95"/>
    </row>
    <row r="106" spans="1:7" x14ac:dyDescent="0.25">
      <c r="A106" s="122" t="s">
        <v>47</v>
      </c>
      <c r="B106" s="134" t="s">
        <v>229</v>
      </c>
      <c r="C106" s="106" t="s">
        <v>42</v>
      </c>
      <c r="D106" s="98"/>
      <c r="E106" s="98"/>
      <c r="F106" s="98"/>
      <c r="G106" s="99">
        <f>F108+F110+F112+F114+F116+F118+F120+F122</f>
        <v>166.78453152366413</v>
      </c>
    </row>
    <row r="107" spans="1:7" x14ac:dyDescent="0.25">
      <c r="A107" s="135"/>
      <c r="B107" s="136"/>
      <c r="C107" s="98"/>
      <c r="D107" s="98"/>
      <c r="E107" s="98"/>
      <c r="F107" s="98"/>
      <c r="G107" s="98"/>
    </row>
    <row r="108" spans="1:7" ht="22.5" x14ac:dyDescent="0.25">
      <c r="A108" s="137" t="s">
        <v>201</v>
      </c>
      <c r="B108" s="138" t="s">
        <v>269</v>
      </c>
      <c r="C108" s="105" t="s">
        <v>221</v>
      </c>
      <c r="D108" s="105">
        <v>8.0000000000000002E-3</v>
      </c>
      <c r="E108" s="105">
        <v>453.31</v>
      </c>
      <c r="F108" s="98">
        <f>E108*D108</f>
        <v>3.6264799999999999</v>
      </c>
      <c r="G108" s="105"/>
    </row>
    <row r="109" spans="1:7" x14ac:dyDescent="0.25">
      <c r="A109" s="135"/>
      <c r="B109" s="136"/>
      <c r="C109" s="98"/>
      <c r="D109" s="98"/>
      <c r="E109" s="98"/>
      <c r="F109" s="98"/>
      <c r="G109" s="98"/>
    </row>
    <row r="110" spans="1:7" x14ac:dyDescent="0.25">
      <c r="A110" s="137" t="s">
        <v>202</v>
      </c>
      <c r="B110" s="139" t="s">
        <v>266</v>
      </c>
      <c r="C110" s="105" t="s">
        <v>221</v>
      </c>
      <c r="D110" s="105">
        <f>1/4</f>
        <v>0.25</v>
      </c>
      <c r="E110" s="105">
        <v>55</v>
      </c>
      <c r="F110" s="98">
        <f>E110*D110</f>
        <v>13.75</v>
      </c>
      <c r="G110" s="105"/>
    </row>
    <row r="111" spans="1:7" x14ac:dyDescent="0.25">
      <c r="A111" s="135"/>
      <c r="B111" s="136"/>
      <c r="C111" s="98"/>
      <c r="D111" s="98"/>
      <c r="E111" s="98"/>
      <c r="F111" s="98"/>
      <c r="G111" s="98"/>
    </row>
    <row r="112" spans="1:7" ht="22.5" x14ac:dyDescent="0.25">
      <c r="A112" s="137" t="s">
        <v>209</v>
      </c>
      <c r="B112" s="139" t="s">
        <v>272</v>
      </c>
      <c r="C112" s="105" t="s">
        <v>147</v>
      </c>
      <c r="D112" s="105">
        <v>0.06</v>
      </c>
      <c r="E112" s="105">
        <v>58.3</v>
      </c>
      <c r="F112" s="98">
        <f>E112*D112</f>
        <v>3.4979999999999998</v>
      </c>
      <c r="G112" s="105"/>
    </row>
    <row r="113" spans="1:7" x14ac:dyDescent="0.25">
      <c r="A113" s="137"/>
      <c r="B113" s="139"/>
      <c r="C113" s="105"/>
      <c r="D113" s="105"/>
      <c r="E113" s="105"/>
      <c r="F113" s="140"/>
      <c r="G113" s="105"/>
    </row>
    <row r="114" spans="1:7" x14ac:dyDescent="0.25">
      <c r="A114" s="137" t="s">
        <v>211</v>
      </c>
      <c r="B114" s="139" t="s">
        <v>268</v>
      </c>
      <c r="C114" s="105" t="s">
        <v>147</v>
      </c>
      <c r="D114" s="105">
        <v>3</v>
      </c>
      <c r="E114" s="105">
        <f>10.35/0.917</f>
        <v>11.286804798255179</v>
      </c>
      <c r="F114" s="98">
        <f>E114*D114</f>
        <v>33.860414394765542</v>
      </c>
      <c r="G114" s="105"/>
    </row>
    <row r="115" spans="1:7" x14ac:dyDescent="0.25">
      <c r="A115" s="135"/>
      <c r="B115" s="136"/>
      <c r="C115" s="98"/>
      <c r="D115" s="98"/>
      <c r="E115" s="98"/>
      <c r="F115" s="98"/>
      <c r="G115" s="98"/>
    </row>
    <row r="116" spans="1:7" x14ac:dyDescent="0.25">
      <c r="A116" s="137" t="s">
        <v>222</v>
      </c>
      <c r="B116" s="139" t="s">
        <v>262</v>
      </c>
      <c r="C116" s="105" t="s">
        <v>147</v>
      </c>
      <c r="D116" s="105">
        <v>3</v>
      </c>
      <c r="E116" s="105">
        <f>6.31/0.917</f>
        <v>6.8811341330425293</v>
      </c>
      <c r="F116" s="98">
        <f>E116*D116</f>
        <v>20.643402399127588</v>
      </c>
      <c r="G116" s="105"/>
    </row>
    <row r="117" spans="1:7" x14ac:dyDescent="0.25">
      <c r="A117" s="135"/>
      <c r="B117" s="136"/>
      <c r="C117" s="98"/>
      <c r="D117" s="98"/>
      <c r="E117" s="98"/>
      <c r="F117" s="98"/>
      <c r="G117" s="98"/>
    </row>
    <row r="118" spans="1:7" x14ac:dyDescent="0.25">
      <c r="A118" s="100" t="s">
        <v>223</v>
      </c>
      <c r="B118" s="113" t="s">
        <v>224</v>
      </c>
      <c r="C118" s="105"/>
      <c r="D118" s="105">
        <f>F5</f>
        <v>0.91700000000000004</v>
      </c>
      <c r="E118" s="105">
        <f>F116+F114</f>
        <v>54.503816793893129</v>
      </c>
      <c r="F118" s="105">
        <f>E118*D118</f>
        <v>49.980000000000004</v>
      </c>
      <c r="G118" s="105"/>
    </row>
    <row r="119" spans="1:7" x14ac:dyDescent="0.25">
      <c r="A119" s="100"/>
      <c r="B119" s="113"/>
      <c r="C119" s="88"/>
      <c r="D119" s="114"/>
      <c r="E119" s="105"/>
      <c r="F119" s="98"/>
      <c r="G119" s="141"/>
    </row>
    <row r="120" spans="1:7" ht="33.75" x14ac:dyDescent="0.25">
      <c r="A120" s="100" t="s">
        <v>225</v>
      </c>
      <c r="B120" s="101" t="s">
        <v>271</v>
      </c>
      <c r="C120" s="105" t="s">
        <v>147</v>
      </c>
      <c r="D120" s="105">
        <f>6/25</f>
        <v>0.24</v>
      </c>
      <c r="E120" s="105">
        <v>54.56</v>
      </c>
      <c r="F120" s="105">
        <f>E120*D120</f>
        <v>13.0944</v>
      </c>
      <c r="G120" s="105"/>
    </row>
    <row r="121" spans="1:7" x14ac:dyDescent="0.25">
      <c r="A121" s="100"/>
      <c r="B121" s="113"/>
      <c r="C121" s="88"/>
      <c r="D121" s="114"/>
      <c r="E121" s="105"/>
      <c r="F121" s="105"/>
      <c r="G121" s="141"/>
    </row>
    <row r="122" spans="1:7" x14ac:dyDescent="0.25">
      <c r="A122" s="100" t="s">
        <v>147</v>
      </c>
      <c r="B122" s="101" t="s">
        <v>212</v>
      </c>
      <c r="C122" s="108"/>
      <c r="D122" s="105">
        <f>D5</f>
        <v>0.23400000000000001</v>
      </c>
      <c r="E122" s="104">
        <f>F118+F116+F114+F112+F120</f>
        <v>121.07621679389314</v>
      </c>
      <c r="F122" s="98">
        <f>E122*D122</f>
        <v>28.331834729770996</v>
      </c>
      <c r="G122" s="141"/>
    </row>
    <row r="123" spans="1:7" x14ac:dyDescent="0.25">
      <c r="A123" s="135"/>
      <c r="B123" s="136"/>
      <c r="C123" s="98"/>
      <c r="D123" s="98"/>
      <c r="E123" s="98"/>
      <c r="F123" s="98"/>
      <c r="G123" s="98"/>
    </row>
    <row r="124" spans="1:7" x14ac:dyDescent="0.25">
      <c r="A124" s="122" t="s">
        <v>230</v>
      </c>
      <c r="B124" s="134" t="s">
        <v>231</v>
      </c>
      <c r="C124" s="106" t="s">
        <v>42</v>
      </c>
      <c r="D124" s="98"/>
      <c r="E124" s="98"/>
      <c r="F124" s="98"/>
      <c r="G124" s="99">
        <f>F126+F128+F130+F132+F134+F136+F138+F140</f>
        <v>169.12999552366412</v>
      </c>
    </row>
    <row r="125" spans="1:7" x14ac:dyDescent="0.25">
      <c r="A125" s="135"/>
      <c r="B125" s="136"/>
      <c r="C125" s="98"/>
      <c r="D125" s="98"/>
      <c r="E125" s="98"/>
      <c r="F125" s="98"/>
      <c r="G125" s="98"/>
    </row>
    <row r="126" spans="1:7" ht="22.5" x14ac:dyDescent="0.25">
      <c r="A126" s="137" t="s">
        <v>201</v>
      </c>
      <c r="B126" s="139" t="s">
        <v>269</v>
      </c>
      <c r="C126" s="105" t="s">
        <v>221</v>
      </c>
      <c r="D126" s="105">
        <v>0.01</v>
      </c>
      <c r="E126" s="105">
        <v>453.31</v>
      </c>
      <c r="F126" s="98">
        <f>E126*D126</f>
        <v>4.5331000000000001</v>
      </c>
      <c r="G126" s="105"/>
    </row>
    <row r="127" spans="1:7" x14ac:dyDescent="0.25">
      <c r="A127" s="135"/>
      <c r="B127" s="136"/>
      <c r="C127" s="98"/>
      <c r="D127" s="98"/>
      <c r="E127" s="98"/>
      <c r="F127" s="98"/>
      <c r="G127" s="98"/>
    </row>
    <row r="128" spans="1:7" x14ac:dyDescent="0.25">
      <c r="A128" s="137" t="s">
        <v>202</v>
      </c>
      <c r="B128" s="139" t="s">
        <v>266</v>
      </c>
      <c r="C128" s="105" t="s">
        <v>221</v>
      </c>
      <c r="D128" s="105">
        <f>1/4</f>
        <v>0.25</v>
      </c>
      <c r="E128" s="105">
        <v>55</v>
      </c>
      <c r="F128" s="98">
        <f>E128*D128</f>
        <v>13.75</v>
      </c>
      <c r="G128" s="105"/>
    </row>
    <row r="129" spans="1:7" x14ac:dyDescent="0.25">
      <c r="A129" s="135"/>
      <c r="B129" s="136"/>
      <c r="C129" s="98"/>
      <c r="D129" s="98"/>
      <c r="E129" s="98"/>
      <c r="F129" s="98"/>
      <c r="G129" s="98"/>
    </row>
    <row r="130" spans="1:7" ht="22.5" x14ac:dyDescent="0.25">
      <c r="A130" s="137" t="s">
        <v>209</v>
      </c>
      <c r="B130" s="139" t="s">
        <v>272</v>
      </c>
      <c r="C130" s="105" t="s">
        <v>147</v>
      </c>
      <c r="D130" s="105">
        <v>0.08</v>
      </c>
      <c r="E130" s="105">
        <v>58.3</v>
      </c>
      <c r="F130" s="98">
        <f>E130*D130</f>
        <v>4.6639999999999997</v>
      </c>
      <c r="G130" s="105"/>
    </row>
    <row r="131" spans="1:7" x14ac:dyDescent="0.25">
      <c r="A131" s="137"/>
      <c r="B131" s="139"/>
      <c r="C131" s="105"/>
      <c r="D131" s="105"/>
      <c r="E131" s="105"/>
      <c r="F131" s="140"/>
      <c r="G131" s="105"/>
    </row>
    <row r="132" spans="1:7" x14ac:dyDescent="0.25">
      <c r="A132" s="137" t="s">
        <v>211</v>
      </c>
      <c r="B132" s="139" t="s">
        <v>268</v>
      </c>
      <c r="C132" s="105" t="s">
        <v>147</v>
      </c>
      <c r="D132" s="105">
        <v>3</v>
      </c>
      <c r="E132" s="105">
        <f>10.35/0.917</f>
        <v>11.286804798255179</v>
      </c>
      <c r="F132" s="98">
        <f>E132*D132</f>
        <v>33.860414394765542</v>
      </c>
      <c r="G132" s="105"/>
    </row>
    <row r="133" spans="1:7" x14ac:dyDescent="0.25">
      <c r="A133" s="135"/>
      <c r="B133" s="136"/>
      <c r="C133" s="98"/>
      <c r="D133" s="98"/>
      <c r="E133" s="98"/>
      <c r="F133" s="98"/>
      <c r="G133" s="98"/>
    </row>
    <row r="134" spans="1:7" x14ac:dyDescent="0.25">
      <c r="A134" s="137" t="s">
        <v>222</v>
      </c>
      <c r="B134" s="139" t="s">
        <v>262</v>
      </c>
      <c r="C134" s="105" t="s">
        <v>147</v>
      </c>
      <c r="D134" s="105">
        <v>3</v>
      </c>
      <c r="E134" s="105">
        <f>6.31/0.917</f>
        <v>6.8811341330425293</v>
      </c>
      <c r="F134" s="98">
        <f>E134*D134</f>
        <v>20.643402399127588</v>
      </c>
      <c r="G134" s="105"/>
    </row>
    <row r="135" spans="1:7" x14ac:dyDescent="0.25">
      <c r="A135" s="135"/>
      <c r="B135" s="136"/>
      <c r="C135" s="98"/>
      <c r="D135" s="98"/>
      <c r="E135" s="98"/>
      <c r="F135" s="98"/>
      <c r="G135" s="98"/>
    </row>
    <row r="136" spans="1:7" x14ac:dyDescent="0.25">
      <c r="A136" s="100" t="s">
        <v>223</v>
      </c>
      <c r="B136" s="113" t="s">
        <v>224</v>
      </c>
      <c r="C136" s="105"/>
      <c r="D136" s="105">
        <f>F5</f>
        <v>0.91700000000000004</v>
      </c>
      <c r="E136" s="105">
        <f>F134+F132</f>
        <v>54.503816793893129</v>
      </c>
      <c r="F136" s="105">
        <f>E136*D136</f>
        <v>49.980000000000004</v>
      </c>
      <c r="G136" s="105"/>
    </row>
    <row r="137" spans="1:7" x14ac:dyDescent="0.25">
      <c r="A137" s="100"/>
      <c r="B137" s="113"/>
      <c r="C137" s="88"/>
      <c r="D137" s="114"/>
      <c r="E137" s="105"/>
      <c r="F137" s="98"/>
      <c r="G137" s="141"/>
    </row>
    <row r="138" spans="1:7" ht="33.75" x14ac:dyDescent="0.25">
      <c r="A138" s="100" t="s">
        <v>225</v>
      </c>
      <c r="B138" s="101" t="s">
        <v>271</v>
      </c>
      <c r="C138" s="105" t="s">
        <v>147</v>
      </c>
      <c r="D138" s="105">
        <f>6/25</f>
        <v>0.24</v>
      </c>
      <c r="E138" s="105">
        <v>54.56</v>
      </c>
      <c r="F138" s="105">
        <f>E138*D138</f>
        <v>13.0944</v>
      </c>
      <c r="G138" s="105"/>
    </row>
    <row r="139" spans="1:7" x14ac:dyDescent="0.25">
      <c r="A139" s="100"/>
      <c r="B139" s="113"/>
      <c r="C139" s="88"/>
      <c r="D139" s="114"/>
      <c r="E139" s="105"/>
      <c r="F139" s="105"/>
      <c r="G139" s="141"/>
    </row>
    <row r="140" spans="1:7" x14ac:dyDescent="0.25">
      <c r="A140" s="100" t="s">
        <v>147</v>
      </c>
      <c r="B140" s="101" t="s">
        <v>212</v>
      </c>
      <c r="C140" s="108"/>
      <c r="D140" s="105">
        <f>D5</f>
        <v>0.23400000000000001</v>
      </c>
      <c r="E140" s="104">
        <f>F136+F134+F132+F130+F138</f>
        <v>122.24221679389314</v>
      </c>
      <c r="F140" s="98">
        <f>E140*D140</f>
        <v>28.604678729770995</v>
      </c>
      <c r="G140" s="141"/>
    </row>
    <row r="141" spans="1:7" x14ac:dyDescent="0.25">
      <c r="A141" s="142"/>
      <c r="B141" s="142"/>
      <c r="C141" s="143"/>
      <c r="D141" s="143"/>
      <c r="E141" s="130"/>
      <c r="F141" s="143"/>
      <c r="G141" s="143"/>
    </row>
    <row r="142" spans="1:7" x14ac:dyDescent="0.25">
      <c r="A142" s="236">
        <v>7</v>
      </c>
      <c r="B142" s="238" t="s">
        <v>232</v>
      </c>
      <c r="C142" s="240" t="s">
        <v>42</v>
      </c>
      <c r="D142" s="242"/>
      <c r="E142" s="243"/>
      <c r="F142" s="244"/>
      <c r="G142" s="234"/>
    </row>
    <row r="143" spans="1:7" x14ac:dyDescent="0.25">
      <c r="A143" s="237"/>
      <c r="B143" s="239"/>
      <c r="C143" s="241"/>
      <c r="D143" s="245"/>
      <c r="E143" s="246"/>
      <c r="F143" s="247"/>
      <c r="G143" s="235"/>
    </row>
    <row r="144" spans="1:7" x14ac:dyDescent="0.25">
      <c r="A144" s="131"/>
      <c r="B144" s="132"/>
      <c r="C144" s="133"/>
      <c r="D144" s="119"/>
      <c r="E144" s="120"/>
      <c r="F144" s="121"/>
      <c r="G144" s="95"/>
    </row>
    <row r="145" spans="1:7" x14ac:dyDescent="0.25">
      <c r="A145" s="122" t="s">
        <v>233</v>
      </c>
      <c r="B145" s="134" t="s">
        <v>227</v>
      </c>
      <c r="C145" s="106" t="s">
        <v>42</v>
      </c>
      <c r="D145" s="98"/>
      <c r="E145" s="98"/>
      <c r="F145" s="98"/>
      <c r="G145" s="99">
        <f>F147+F150</f>
        <v>235.292</v>
      </c>
    </row>
    <row r="146" spans="1:7" x14ac:dyDescent="0.25">
      <c r="A146" s="135"/>
      <c r="B146" s="136"/>
      <c r="C146" s="98"/>
      <c r="D146" s="98"/>
      <c r="E146" s="98"/>
      <c r="F146" s="98"/>
      <c r="G146" s="98"/>
    </row>
    <row r="147" spans="1:7" ht="33.75" x14ac:dyDescent="0.25">
      <c r="A147" s="137" t="s">
        <v>201</v>
      </c>
      <c r="B147" s="139" t="s">
        <v>273</v>
      </c>
      <c r="C147" s="105" t="s">
        <v>42</v>
      </c>
      <c r="D147" s="104">
        <v>1</v>
      </c>
      <c r="E147" s="104">
        <v>199.4</v>
      </c>
      <c r="F147" s="98">
        <f>E147*D147</f>
        <v>199.4</v>
      </c>
      <c r="G147" s="105"/>
    </row>
    <row r="148" spans="1:7" x14ac:dyDescent="0.25">
      <c r="A148" s="135"/>
      <c r="B148" s="136"/>
      <c r="C148" s="98"/>
      <c r="D148" s="144"/>
      <c r="E148" s="144"/>
      <c r="F148" s="98"/>
      <c r="G148" s="98"/>
    </row>
    <row r="149" spans="1:7" x14ac:dyDescent="0.25">
      <c r="A149" s="100"/>
      <c r="B149" s="113"/>
      <c r="C149" s="88"/>
      <c r="D149" s="145"/>
      <c r="E149" s="104"/>
      <c r="F149" s="105"/>
      <c r="G149" s="141"/>
    </row>
    <row r="150" spans="1:7" x14ac:dyDescent="0.25">
      <c r="A150" s="100" t="s">
        <v>147</v>
      </c>
      <c r="B150" s="101" t="s">
        <v>212</v>
      </c>
      <c r="C150" s="108"/>
      <c r="D150" s="104">
        <v>0.18</v>
      </c>
      <c r="E150" s="104">
        <f>F147</f>
        <v>199.4</v>
      </c>
      <c r="F150" s="98">
        <f>E150*D150</f>
        <v>35.892000000000003</v>
      </c>
      <c r="G150" s="141"/>
    </row>
    <row r="151" spans="1:7" x14ac:dyDescent="0.25">
      <c r="A151" s="131"/>
      <c r="B151" s="132"/>
      <c r="C151" s="133"/>
      <c r="D151" s="146"/>
      <c r="E151" s="147"/>
      <c r="F151" s="121"/>
      <c r="G151" s="95"/>
    </row>
    <row r="152" spans="1:7" x14ac:dyDescent="0.25">
      <c r="A152" s="122" t="s">
        <v>234</v>
      </c>
      <c r="B152" s="134" t="s">
        <v>229</v>
      </c>
      <c r="C152" s="106" t="s">
        <v>42</v>
      </c>
      <c r="D152" s="144"/>
      <c r="E152" s="144"/>
      <c r="F152" s="98"/>
      <c r="G152" s="99">
        <f>F154+F157</f>
        <v>450.12279999999998</v>
      </c>
    </row>
    <row r="153" spans="1:7" x14ac:dyDescent="0.25">
      <c r="A153" s="135"/>
      <c r="B153" s="136"/>
      <c r="C153" s="98"/>
      <c r="D153" s="144"/>
      <c r="E153" s="144"/>
      <c r="F153" s="98"/>
      <c r="G153" s="98"/>
    </row>
    <row r="154" spans="1:7" ht="33.75" x14ac:dyDescent="0.25">
      <c r="A154" s="137" t="s">
        <v>201</v>
      </c>
      <c r="B154" s="139" t="s">
        <v>274</v>
      </c>
      <c r="C154" s="105" t="s">
        <v>42</v>
      </c>
      <c r="D154" s="104">
        <v>1</v>
      </c>
      <c r="E154" s="104">
        <v>381.46</v>
      </c>
      <c r="F154" s="98">
        <f>E154*D154</f>
        <v>381.46</v>
      </c>
      <c r="G154" s="105"/>
    </row>
    <row r="155" spans="1:7" x14ac:dyDescent="0.25">
      <c r="A155" s="135"/>
      <c r="B155" s="136"/>
      <c r="C155" s="98"/>
      <c r="D155" s="144"/>
      <c r="E155" s="144"/>
      <c r="F155" s="98"/>
      <c r="G155" s="98"/>
    </row>
    <row r="156" spans="1:7" x14ac:dyDescent="0.25">
      <c r="A156" s="100"/>
      <c r="B156" s="113"/>
      <c r="C156" s="88"/>
      <c r="D156" s="145"/>
      <c r="E156" s="104"/>
      <c r="F156" s="105"/>
      <c r="G156" s="141"/>
    </row>
    <row r="157" spans="1:7" x14ac:dyDescent="0.25">
      <c r="A157" s="100" t="s">
        <v>147</v>
      </c>
      <c r="B157" s="101" t="s">
        <v>212</v>
      </c>
      <c r="C157" s="108"/>
      <c r="D157" s="104">
        <v>0.18</v>
      </c>
      <c r="E157" s="104">
        <f>F154</f>
        <v>381.46</v>
      </c>
      <c r="F157" s="98">
        <f>E157*D157</f>
        <v>68.66279999999999</v>
      </c>
      <c r="G157" s="141"/>
    </row>
    <row r="158" spans="1:7" x14ac:dyDescent="0.25">
      <c r="A158" s="135"/>
      <c r="B158" s="136"/>
      <c r="C158" s="98"/>
      <c r="D158" s="144"/>
      <c r="E158" s="144"/>
      <c r="F158" s="98"/>
      <c r="G158" s="98"/>
    </row>
    <row r="159" spans="1:7" x14ac:dyDescent="0.25">
      <c r="A159" s="122" t="s">
        <v>235</v>
      </c>
      <c r="B159" s="134" t="s">
        <v>231</v>
      </c>
      <c r="C159" s="106" t="s">
        <v>42</v>
      </c>
      <c r="D159" s="144"/>
      <c r="E159" s="144"/>
      <c r="F159" s="98"/>
      <c r="G159" s="99">
        <f>F161+F164</f>
        <v>569.23199999999997</v>
      </c>
    </row>
    <row r="160" spans="1:7" x14ac:dyDescent="0.25">
      <c r="A160" s="135"/>
      <c r="B160" s="136"/>
      <c r="C160" s="98"/>
      <c r="D160" s="144"/>
      <c r="E160" s="144"/>
      <c r="F160" s="98"/>
      <c r="G160" s="98"/>
    </row>
    <row r="161" spans="1:7" ht="33.75" x14ac:dyDescent="0.25">
      <c r="A161" s="137" t="s">
        <v>201</v>
      </c>
      <c r="B161" s="139" t="s">
        <v>275</v>
      </c>
      <c r="C161" s="105" t="s">
        <v>42</v>
      </c>
      <c r="D161" s="104">
        <v>1</v>
      </c>
      <c r="E161" s="104">
        <v>482.4</v>
      </c>
      <c r="F161" s="98">
        <f>E161*D161</f>
        <v>482.4</v>
      </c>
      <c r="G161" s="105"/>
    </row>
    <row r="162" spans="1:7" x14ac:dyDescent="0.25">
      <c r="A162" s="135"/>
      <c r="B162" s="136"/>
      <c r="C162" s="98"/>
      <c r="D162" s="98"/>
      <c r="E162" s="98"/>
      <c r="F162" s="98"/>
      <c r="G162" s="98"/>
    </row>
    <row r="163" spans="1:7" x14ac:dyDescent="0.25">
      <c r="A163" s="100"/>
      <c r="B163" s="113"/>
      <c r="C163" s="88"/>
      <c r="D163" s="114"/>
      <c r="E163" s="105"/>
      <c r="F163" s="105"/>
      <c r="G163" s="141"/>
    </row>
    <row r="164" spans="1:7" x14ac:dyDescent="0.25">
      <c r="A164" s="100" t="s">
        <v>147</v>
      </c>
      <c r="B164" s="101" t="s">
        <v>212</v>
      </c>
      <c r="C164" s="108"/>
      <c r="D164" s="104">
        <v>0.18</v>
      </c>
      <c r="E164" s="104">
        <f>F161</f>
        <v>482.4</v>
      </c>
      <c r="F164" s="98">
        <f>E164*D164</f>
        <v>86.831999999999994</v>
      </c>
      <c r="G164" s="141"/>
    </row>
  </sheetData>
  <mergeCells count="26">
    <mergeCell ref="A1:G1"/>
    <mergeCell ref="A2:G2"/>
    <mergeCell ref="A3:G4"/>
    <mergeCell ref="B8:B9"/>
    <mergeCell ref="C8:C9"/>
    <mergeCell ref="D8:F9"/>
    <mergeCell ref="C16:G17"/>
    <mergeCell ref="D19:F19"/>
    <mergeCell ref="D29:F29"/>
    <mergeCell ref="B48:B49"/>
    <mergeCell ref="C48:C49"/>
    <mergeCell ref="D48:F49"/>
    <mergeCell ref="A65:A66"/>
    <mergeCell ref="B65:B66"/>
    <mergeCell ref="C65:C66"/>
    <mergeCell ref="D65:F66"/>
    <mergeCell ref="A85:A86"/>
    <mergeCell ref="B85:B86"/>
    <mergeCell ref="C85:C86"/>
    <mergeCell ref="D85:F86"/>
    <mergeCell ref="G85:G86"/>
    <mergeCell ref="A142:A143"/>
    <mergeCell ref="B142:B143"/>
    <mergeCell ref="C142:C143"/>
    <mergeCell ref="D142:F143"/>
    <mergeCell ref="G142:G143"/>
  </mergeCells>
  <pageMargins left="0.51181102362204722" right="0.51181102362204722" top="0.78740157480314965" bottom="0.78740157480314965" header="0.31496062992125984" footer="0.31496062992125984"/>
  <pageSetup paperSize="9" scale="91" orientation="portrait" r:id="rId1"/>
  <rowBreaks count="3" manualBreakCount="3">
    <brk id="38" max="16383" man="1"/>
    <brk id="82" max="16383" man="1"/>
    <brk id="1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view="pageBreakPreview" zoomScale="80" zoomScaleNormal="100" zoomScaleSheetLayoutView="80" workbookViewId="0">
      <selection activeCell="I31" sqref="I31"/>
    </sheetView>
  </sheetViews>
  <sheetFormatPr defaultRowHeight="15" x14ac:dyDescent="0.25"/>
  <cols>
    <col min="2" max="2" width="22.7109375" customWidth="1"/>
    <col min="3" max="3" width="41.140625" customWidth="1"/>
    <col min="258" max="258" width="22.7109375" customWidth="1"/>
    <col min="259" max="259" width="41.140625" customWidth="1"/>
    <col min="514" max="514" width="22.7109375" customWidth="1"/>
    <col min="515" max="515" width="41.140625" customWidth="1"/>
    <col min="770" max="770" width="22.7109375" customWidth="1"/>
    <col min="771" max="771" width="41.140625" customWidth="1"/>
    <col min="1026" max="1026" width="22.7109375" customWidth="1"/>
    <col min="1027" max="1027" width="41.140625" customWidth="1"/>
    <col min="1282" max="1282" width="22.7109375" customWidth="1"/>
    <col min="1283" max="1283" width="41.140625" customWidth="1"/>
    <col min="1538" max="1538" width="22.7109375" customWidth="1"/>
    <col min="1539" max="1539" width="41.140625" customWidth="1"/>
    <col min="1794" max="1794" width="22.7109375" customWidth="1"/>
    <col min="1795" max="1795" width="41.140625" customWidth="1"/>
    <col min="2050" max="2050" width="22.7109375" customWidth="1"/>
    <col min="2051" max="2051" width="41.140625" customWidth="1"/>
    <col min="2306" max="2306" width="22.7109375" customWidth="1"/>
    <col min="2307" max="2307" width="41.140625" customWidth="1"/>
    <col min="2562" max="2562" width="22.7109375" customWidth="1"/>
    <col min="2563" max="2563" width="41.140625" customWidth="1"/>
    <col min="2818" max="2818" width="22.7109375" customWidth="1"/>
    <col min="2819" max="2819" width="41.140625" customWidth="1"/>
    <col min="3074" max="3074" width="22.7109375" customWidth="1"/>
    <col min="3075" max="3075" width="41.140625" customWidth="1"/>
    <col min="3330" max="3330" width="22.7109375" customWidth="1"/>
    <col min="3331" max="3331" width="41.140625" customWidth="1"/>
    <col min="3586" max="3586" width="22.7109375" customWidth="1"/>
    <col min="3587" max="3587" width="41.140625" customWidth="1"/>
    <col min="3842" max="3842" width="22.7109375" customWidth="1"/>
    <col min="3843" max="3843" width="41.140625" customWidth="1"/>
    <col min="4098" max="4098" width="22.7109375" customWidth="1"/>
    <col min="4099" max="4099" width="41.140625" customWidth="1"/>
    <col min="4354" max="4354" width="22.7109375" customWidth="1"/>
    <col min="4355" max="4355" width="41.140625" customWidth="1"/>
    <col min="4610" max="4610" width="22.7109375" customWidth="1"/>
    <col min="4611" max="4611" width="41.140625" customWidth="1"/>
    <col min="4866" max="4866" width="22.7109375" customWidth="1"/>
    <col min="4867" max="4867" width="41.140625" customWidth="1"/>
    <col min="5122" max="5122" width="22.7109375" customWidth="1"/>
    <col min="5123" max="5123" width="41.140625" customWidth="1"/>
    <col min="5378" max="5378" width="22.7109375" customWidth="1"/>
    <col min="5379" max="5379" width="41.140625" customWidth="1"/>
    <col min="5634" max="5634" width="22.7109375" customWidth="1"/>
    <col min="5635" max="5635" width="41.140625" customWidth="1"/>
    <col min="5890" max="5890" width="22.7109375" customWidth="1"/>
    <col min="5891" max="5891" width="41.140625" customWidth="1"/>
    <col min="6146" max="6146" width="22.7109375" customWidth="1"/>
    <col min="6147" max="6147" width="41.140625" customWidth="1"/>
    <col min="6402" max="6402" width="22.7109375" customWidth="1"/>
    <col min="6403" max="6403" width="41.140625" customWidth="1"/>
    <col min="6658" max="6658" width="22.7109375" customWidth="1"/>
    <col min="6659" max="6659" width="41.140625" customWidth="1"/>
    <col min="6914" max="6914" width="22.7109375" customWidth="1"/>
    <col min="6915" max="6915" width="41.140625" customWidth="1"/>
    <col min="7170" max="7170" width="22.7109375" customWidth="1"/>
    <col min="7171" max="7171" width="41.140625" customWidth="1"/>
    <col min="7426" max="7426" width="22.7109375" customWidth="1"/>
    <col min="7427" max="7427" width="41.140625" customWidth="1"/>
    <col min="7682" max="7682" width="22.7109375" customWidth="1"/>
    <col min="7683" max="7683" width="41.140625" customWidth="1"/>
    <col min="7938" max="7938" width="22.7109375" customWidth="1"/>
    <col min="7939" max="7939" width="41.140625" customWidth="1"/>
    <col min="8194" max="8194" width="22.7109375" customWidth="1"/>
    <col min="8195" max="8195" width="41.140625" customWidth="1"/>
    <col min="8450" max="8450" width="22.7109375" customWidth="1"/>
    <col min="8451" max="8451" width="41.140625" customWidth="1"/>
    <col min="8706" max="8706" width="22.7109375" customWidth="1"/>
    <col min="8707" max="8707" width="41.140625" customWidth="1"/>
    <col min="8962" max="8962" width="22.7109375" customWidth="1"/>
    <col min="8963" max="8963" width="41.140625" customWidth="1"/>
    <col min="9218" max="9218" width="22.7109375" customWidth="1"/>
    <col min="9219" max="9219" width="41.140625" customWidth="1"/>
    <col min="9474" max="9474" width="22.7109375" customWidth="1"/>
    <col min="9475" max="9475" width="41.140625" customWidth="1"/>
    <col min="9730" max="9730" width="22.7109375" customWidth="1"/>
    <col min="9731" max="9731" width="41.140625" customWidth="1"/>
    <col min="9986" max="9986" width="22.7109375" customWidth="1"/>
    <col min="9987" max="9987" width="41.140625" customWidth="1"/>
    <col min="10242" max="10242" width="22.7109375" customWidth="1"/>
    <col min="10243" max="10243" width="41.140625" customWidth="1"/>
    <col min="10498" max="10498" width="22.7109375" customWidth="1"/>
    <col min="10499" max="10499" width="41.140625" customWidth="1"/>
    <col min="10754" max="10754" width="22.7109375" customWidth="1"/>
    <col min="10755" max="10755" width="41.140625" customWidth="1"/>
    <col min="11010" max="11010" width="22.7109375" customWidth="1"/>
    <col min="11011" max="11011" width="41.140625" customWidth="1"/>
    <col min="11266" max="11266" width="22.7109375" customWidth="1"/>
    <col min="11267" max="11267" width="41.140625" customWidth="1"/>
    <col min="11522" max="11522" width="22.7109375" customWidth="1"/>
    <col min="11523" max="11523" width="41.140625" customWidth="1"/>
    <col min="11778" max="11778" width="22.7109375" customWidth="1"/>
    <col min="11779" max="11779" width="41.140625" customWidth="1"/>
    <col min="12034" max="12034" width="22.7109375" customWidth="1"/>
    <col min="12035" max="12035" width="41.140625" customWidth="1"/>
    <col min="12290" max="12290" width="22.7109375" customWidth="1"/>
    <col min="12291" max="12291" width="41.140625" customWidth="1"/>
    <col min="12546" max="12546" width="22.7109375" customWidth="1"/>
    <col min="12547" max="12547" width="41.140625" customWidth="1"/>
    <col min="12802" max="12802" width="22.7109375" customWidth="1"/>
    <col min="12803" max="12803" width="41.140625" customWidth="1"/>
    <col min="13058" max="13058" width="22.7109375" customWidth="1"/>
    <col min="13059" max="13059" width="41.140625" customWidth="1"/>
    <col min="13314" max="13314" width="22.7109375" customWidth="1"/>
    <col min="13315" max="13315" width="41.140625" customWidth="1"/>
    <col min="13570" max="13570" width="22.7109375" customWidth="1"/>
    <col min="13571" max="13571" width="41.140625" customWidth="1"/>
    <col min="13826" max="13826" width="22.7109375" customWidth="1"/>
    <col min="13827" max="13827" width="41.140625" customWidth="1"/>
    <col min="14082" max="14082" width="22.7109375" customWidth="1"/>
    <col min="14083" max="14083" width="41.140625" customWidth="1"/>
    <col min="14338" max="14338" width="22.7109375" customWidth="1"/>
    <col min="14339" max="14339" width="41.140625" customWidth="1"/>
    <col min="14594" max="14594" width="22.7109375" customWidth="1"/>
    <col min="14595" max="14595" width="41.140625" customWidth="1"/>
    <col min="14850" max="14850" width="22.7109375" customWidth="1"/>
    <col min="14851" max="14851" width="41.140625" customWidth="1"/>
    <col min="15106" max="15106" width="22.7109375" customWidth="1"/>
    <col min="15107" max="15107" width="41.140625" customWidth="1"/>
    <col min="15362" max="15362" width="22.7109375" customWidth="1"/>
    <col min="15363" max="15363" width="41.140625" customWidth="1"/>
    <col min="15618" max="15618" width="22.7109375" customWidth="1"/>
    <col min="15619" max="15619" width="41.140625" customWidth="1"/>
    <col min="15874" max="15874" width="22.7109375" customWidth="1"/>
    <col min="15875" max="15875" width="41.140625" customWidth="1"/>
    <col min="16130" max="16130" width="22.7109375" customWidth="1"/>
    <col min="16131" max="16131" width="41.140625" customWidth="1"/>
  </cols>
  <sheetData>
    <row r="1" spans="1:10" x14ac:dyDescent="0.25">
      <c r="A1" s="148" t="s">
        <v>237</v>
      </c>
      <c r="B1" s="149"/>
      <c r="C1" s="149"/>
      <c r="D1" s="150"/>
      <c r="E1" s="151"/>
      <c r="F1" s="151"/>
      <c r="G1" s="1"/>
      <c r="H1" s="1"/>
      <c r="I1" s="1"/>
      <c r="J1" s="1"/>
    </row>
    <row r="2" spans="1:10" x14ac:dyDescent="0.25">
      <c r="A2" s="261"/>
      <c r="B2" s="261"/>
      <c r="C2" s="261"/>
      <c r="D2" s="261"/>
      <c r="E2" s="261"/>
      <c r="F2" s="261"/>
      <c r="G2" s="261"/>
      <c r="H2" s="261"/>
      <c r="I2" s="261"/>
      <c r="J2" s="261"/>
    </row>
    <row r="3" spans="1:10" x14ac:dyDescent="0.25">
      <c r="A3" s="3"/>
      <c r="B3" s="152"/>
      <c r="C3" s="152"/>
      <c r="D3" s="152"/>
      <c r="E3" s="2"/>
      <c r="F3" s="151"/>
      <c r="G3" s="1"/>
      <c r="H3" s="1"/>
      <c r="I3" s="1"/>
      <c r="J3" s="1"/>
    </row>
    <row r="4" spans="1:10" x14ac:dyDescent="0.25">
      <c r="A4" s="3"/>
      <c r="B4" s="151"/>
      <c r="C4" s="151"/>
      <c r="D4" s="151"/>
      <c r="E4" s="151"/>
      <c r="F4" s="151"/>
      <c r="G4" s="1"/>
      <c r="H4" s="1"/>
      <c r="I4" s="1"/>
      <c r="J4" s="1"/>
    </row>
    <row r="5" spans="1:10" x14ac:dyDescent="0.25">
      <c r="A5" s="151"/>
      <c r="B5" s="151"/>
      <c r="C5" s="151"/>
      <c r="D5" s="151"/>
      <c r="E5" s="151"/>
      <c r="F5" s="151"/>
      <c r="G5" s="1"/>
      <c r="H5" s="1"/>
      <c r="I5" s="1"/>
      <c r="J5" s="1"/>
    </row>
    <row r="6" spans="1:10" ht="19.5" x14ac:dyDescent="0.25">
      <c r="A6" s="262" t="s">
        <v>238</v>
      </c>
      <c r="B6" s="262"/>
      <c r="C6" s="262"/>
      <c r="D6" s="262"/>
      <c r="E6" s="262"/>
      <c r="F6" s="262"/>
      <c r="G6" s="262"/>
      <c r="H6" s="262"/>
      <c r="I6" s="262"/>
      <c r="J6" s="262"/>
    </row>
    <row r="7" spans="1:10" ht="23.25" x14ac:dyDescent="0.25">
      <c r="A7" s="153"/>
      <c r="B7" s="153"/>
      <c r="C7" s="153"/>
      <c r="D7" s="153"/>
      <c r="E7" s="153"/>
      <c r="F7" s="153"/>
      <c r="G7" s="1"/>
      <c r="H7" s="1"/>
      <c r="I7" s="1"/>
      <c r="J7" s="1"/>
    </row>
    <row r="8" spans="1:10" x14ac:dyDescent="0.25">
      <c r="A8" s="154" t="s">
        <v>239</v>
      </c>
      <c r="B8" s="154"/>
      <c r="C8" s="155" t="s">
        <v>240</v>
      </c>
      <c r="D8" s="154"/>
      <c r="E8" s="156"/>
      <c r="F8" s="156"/>
      <c r="G8" s="1"/>
      <c r="H8" s="1"/>
      <c r="I8" s="1"/>
      <c r="J8" s="1"/>
    </row>
    <row r="9" spans="1:10" x14ac:dyDescent="0.25">
      <c r="A9" s="157" t="s">
        <v>241</v>
      </c>
      <c r="B9" s="157"/>
      <c r="C9" s="158" t="s">
        <v>242</v>
      </c>
      <c r="D9" s="157"/>
      <c r="E9" s="1"/>
      <c r="F9" s="1"/>
      <c r="G9" s="1"/>
      <c r="H9" s="1"/>
      <c r="I9" s="1"/>
      <c r="J9" s="1"/>
    </row>
    <row r="10" spans="1:10" x14ac:dyDescent="0.25">
      <c r="A10" s="157"/>
      <c r="B10" s="157"/>
      <c r="C10" s="158"/>
      <c r="D10" s="157"/>
      <c r="E10" s="1"/>
      <c r="F10" s="1"/>
      <c r="G10" s="1"/>
      <c r="H10" s="1"/>
      <c r="I10" s="1"/>
      <c r="J10" s="1"/>
    </row>
    <row r="11" spans="1:10" x14ac:dyDescent="0.25">
      <c r="A11" s="157" t="s">
        <v>243</v>
      </c>
      <c r="B11" s="157"/>
      <c r="C11" s="159">
        <v>478</v>
      </c>
      <c r="D11" s="157" t="s">
        <v>244</v>
      </c>
      <c r="E11" s="1"/>
      <c r="F11" s="1"/>
      <c r="G11" s="1"/>
      <c r="H11" s="1"/>
      <c r="I11" s="1"/>
      <c r="J11" s="1"/>
    </row>
    <row r="12" spans="1:10" x14ac:dyDescent="0.25">
      <c r="A12" s="157" t="s">
        <v>245</v>
      </c>
      <c r="B12" s="157"/>
      <c r="C12" s="159">
        <v>92</v>
      </c>
      <c r="D12" s="157" t="s">
        <v>244</v>
      </c>
      <c r="E12" s="1"/>
      <c r="F12" s="1"/>
      <c r="G12" s="1"/>
      <c r="H12" s="1"/>
      <c r="I12" s="1"/>
      <c r="J12" s="1"/>
    </row>
    <row r="13" spans="1:10" x14ac:dyDescent="0.25">
      <c r="A13" s="157"/>
      <c r="B13" s="157"/>
      <c r="C13" s="160"/>
      <c r="D13" s="157"/>
      <c r="E13" s="1"/>
      <c r="F13" s="1"/>
      <c r="G13" s="1"/>
      <c r="H13" s="1"/>
      <c r="I13" s="1"/>
      <c r="J13" s="1"/>
    </row>
    <row r="14" spans="1:10" x14ac:dyDescent="0.25">
      <c r="A14" s="157" t="s">
        <v>246</v>
      </c>
      <c r="B14" s="157"/>
      <c r="C14" s="161">
        <f>C11+C12</f>
        <v>570</v>
      </c>
      <c r="D14" s="157" t="s">
        <v>244</v>
      </c>
      <c r="E14" s="1"/>
      <c r="F14" s="1"/>
      <c r="G14" s="1"/>
      <c r="H14" s="1"/>
      <c r="I14" s="1"/>
      <c r="J14" s="1"/>
    </row>
    <row r="15" spans="1:10" x14ac:dyDescent="0.25">
      <c r="A15" s="157"/>
      <c r="B15" s="157"/>
      <c r="C15" s="157"/>
      <c r="D15" s="157"/>
      <c r="E15" s="1"/>
      <c r="F15" s="1"/>
      <c r="G15" s="1"/>
      <c r="H15" s="1"/>
      <c r="I15" s="1"/>
      <c r="J15" s="1"/>
    </row>
    <row r="16" spans="1:10" x14ac:dyDescent="0.25">
      <c r="A16" s="157" t="s">
        <v>247</v>
      </c>
      <c r="B16" s="157"/>
      <c r="C16" s="157"/>
      <c r="D16" s="157"/>
      <c r="E16" s="157" t="s">
        <v>248</v>
      </c>
      <c r="F16" s="157"/>
      <c r="G16" s="157"/>
      <c r="H16" s="159">
        <v>19</v>
      </c>
      <c r="I16" s="157" t="s">
        <v>249</v>
      </c>
      <c r="J16" s="1"/>
    </row>
    <row r="17" spans="1:10" x14ac:dyDescent="0.25">
      <c r="A17" s="1"/>
      <c r="B17" s="1"/>
      <c r="C17" s="1"/>
      <c r="D17" s="1"/>
      <c r="E17" s="157" t="s">
        <v>248</v>
      </c>
      <c r="F17" s="157"/>
      <c r="G17" s="157"/>
      <c r="H17" s="159">
        <v>19</v>
      </c>
      <c r="I17" s="157" t="s">
        <v>250</v>
      </c>
      <c r="J17" s="1"/>
    </row>
    <row r="18" spans="1:10" x14ac:dyDescent="0.25">
      <c r="A18" s="1"/>
      <c r="B18" s="1"/>
      <c r="C18" s="1"/>
      <c r="D18" s="1"/>
      <c r="E18" s="157" t="s">
        <v>248</v>
      </c>
      <c r="F18" s="157"/>
      <c r="G18" s="157"/>
      <c r="H18" s="159">
        <v>19</v>
      </c>
      <c r="I18" s="157" t="s">
        <v>249</v>
      </c>
      <c r="J18" s="1"/>
    </row>
    <row r="19" spans="1:10" x14ac:dyDescent="0.25">
      <c r="A19" s="1"/>
      <c r="B19" s="1"/>
      <c r="C19" s="1"/>
      <c r="D19" s="1"/>
      <c r="E19" s="157" t="s">
        <v>251</v>
      </c>
      <c r="F19" s="157"/>
      <c r="G19" s="157"/>
      <c r="H19" s="159">
        <v>13</v>
      </c>
      <c r="I19" s="157" t="s">
        <v>249</v>
      </c>
      <c r="J19" s="1"/>
    </row>
    <row r="20" spans="1:10" x14ac:dyDescent="0.25">
      <c r="A20" s="1"/>
      <c r="B20" s="1"/>
      <c r="C20" s="1"/>
      <c r="D20" s="1"/>
      <c r="E20" s="157"/>
      <c r="F20" s="157"/>
      <c r="G20" s="157"/>
      <c r="H20" s="159"/>
      <c r="I20" s="157"/>
      <c r="J20" s="1"/>
    </row>
    <row r="21" spans="1:10" x14ac:dyDescent="0.25">
      <c r="A21" s="1"/>
      <c r="B21" s="1"/>
      <c r="C21" s="1"/>
      <c r="D21" s="1"/>
      <c r="E21" s="157"/>
      <c r="F21" s="157"/>
      <c r="G21" s="157"/>
      <c r="H21" s="159"/>
      <c r="I21" s="157"/>
      <c r="J21" s="1"/>
    </row>
    <row r="22" spans="1:10" x14ac:dyDescent="0.25">
      <c r="A22" s="1"/>
      <c r="B22" s="1"/>
      <c r="C22" s="1"/>
      <c r="D22" s="1"/>
      <c r="E22" s="157"/>
      <c r="F22" s="157"/>
      <c r="G22" s="157"/>
      <c r="H22" s="160"/>
      <c r="I22" s="157"/>
      <c r="J22" s="1"/>
    </row>
    <row r="23" spans="1:10" x14ac:dyDescent="0.25">
      <c r="A23" s="1"/>
      <c r="B23" s="1"/>
      <c r="C23" s="1"/>
      <c r="D23" s="1"/>
      <c r="E23" s="158" t="s">
        <v>236</v>
      </c>
      <c r="F23" s="157"/>
      <c r="G23" s="157"/>
      <c r="H23" s="161">
        <f>SUM(H16:H22)</f>
        <v>70</v>
      </c>
      <c r="I23" s="157" t="s">
        <v>249</v>
      </c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75" x14ac:dyDescent="0.25">
      <c r="A26" s="150" t="str">
        <f>"Momento de transporte  =  "&amp;TEXT(H23,"0,00")&amp;"  x  "&amp;TEXT(C14,"0,00")&amp;"            =&gt;"</f>
        <v>Momento de transporte  =  70,00  x  570,00            =&gt;</v>
      </c>
      <c r="B26" s="1"/>
      <c r="C26" s="1"/>
      <c r="D26" s="1"/>
      <c r="E26" s="1"/>
      <c r="F26" s="263">
        <f>ROUND(C14*H23,2)</f>
        <v>39900</v>
      </c>
      <c r="G26" s="264"/>
      <c r="H26" s="150" t="s">
        <v>252</v>
      </c>
      <c r="I26" s="1"/>
      <c r="J26" s="1"/>
    </row>
  </sheetData>
  <mergeCells count="3">
    <mergeCell ref="A2:J2"/>
    <mergeCell ref="A6:J6"/>
    <mergeCell ref="F26:G26"/>
  </mergeCells>
  <pageMargins left="0.51181102362204722" right="0.51181102362204722" top="0.78740157480314965" bottom="0.78740157480314965" header="0.31496062992125984" footer="0.31496062992125984"/>
  <pageSetup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BreakPreview" topLeftCell="A13" zoomScale="98" zoomScaleNormal="100" zoomScaleSheetLayoutView="98" workbookViewId="0">
      <selection activeCell="C30" sqref="C30"/>
    </sheetView>
  </sheetViews>
  <sheetFormatPr defaultRowHeight="15" x14ac:dyDescent="0.25"/>
  <cols>
    <col min="1" max="2" width="7" customWidth="1"/>
    <col min="3" max="3" width="30.42578125" customWidth="1"/>
    <col min="4" max="4" width="12.28515625" customWidth="1"/>
    <col min="5" max="5" width="11.140625" customWidth="1"/>
    <col min="6" max="6" width="8.7109375" customWidth="1"/>
    <col min="7" max="7" width="10" customWidth="1"/>
    <col min="245" max="246" width="7" customWidth="1"/>
    <col min="247" max="247" width="30.42578125" customWidth="1"/>
    <col min="248" max="248" width="12.28515625" customWidth="1"/>
    <col min="249" max="249" width="11.140625" customWidth="1"/>
    <col min="250" max="250" width="8.7109375" customWidth="1"/>
    <col min="251" max="251" width="10" customWidth="1"/>
    <col min="501" max="502" width="7" customWidth="1"/>
    <col min="503" max="503" width="30.42578125" customWidth="1"/>
    <col min="504" max="504" width="12.28515625" customWidth="1"/>
    <col min="505" max="505" width="11.140625" customWidth="1"/>
    <col min="506" max="506" width="8.7109375" customWidth="1"/>
    <col min="507" max="507" width="10" customWidth="1"/>
    <col min="757" max="758" width="7" customWidth="1"/>
    <col min="759" max="759" width="30.42578125" customWidth="1"/>
    <col min="760" max="760" width="12.28515625" customWidth="1"/>
    <col min="761" max="761" width="11.140625" customWidth="1"/>
    <col min="762" max="762" width="8.7109375" customWidth="1"/>
    <col min="763" max="763" width="10" customWidth="1"/>
    <col min="1013" max="1014" width="7" customWidth="1"/>
    <col min="1015" max="1015" width="30.42578125" customWidth="1"/>
    <col min="1016" max="1016" width="12.28515625" customWidth="1"/>
    <col min="1017" max="1017" width="11.140625" customWidth="1"/>
    <col min="1018" max="1018" width="8.7109375" customWidth="1"/>
    <col min="1019" max="1019" width="10" customWidth="1"/>
    <col min="1269" max="1270" width="7" customWidth="1"/>
    <col min="1271" max="1271" width="30.42578125" customWidth="1"/>
    <col min="1272" max="1272" width="12.28515625" customWidth="1"/>
    <col min="1273" max="1273" width="11.140625" customWidth="1"/>
    <col min="1274" max="1274" width="8.7109375" customWidth="1"/>
    <col min="1275" max="1275" width="10" customWidth="1"/>
    <col min="1525" max="1526" width="7" customWidth="1"/>
    <col min="1527" max="1527" width="30.42578125" customWidth="1"/>
    <col min="1528" max="1528" width="12.28515625" customWidth="1"/>
    <col min="1529" max="1529" width="11.140625" customWidth="1"/>
    <col min="1530" max="1530" width="8.7109375" customWidth="1"/>
    <col min="1531" max="1531" width="10" customWidth="1"/>
    <col min="1781" max="1782" width="7" customWidth="1"/>
    <col min="1783" max="1783" width="30.42578125" customWidth="1"/>
    <col min="1784" max="1784" width="12.28515625" customWidth="1"/>
    <col min="1785" max="1785" width="11.140625" customWidth="1"/>
    <col min="1786" max="1786" width="8.7109375" customWidth="1"/>
    <col min="1787" max="1787" width="10" customWidth="1"/>
    <col min="2037" max="2038" width="7" customWidth="1"/>
    <col min="2039" max="2039" width="30.42578125" customWidth="1"/>
    <col min="2040" max="2040" width="12.28515625" customWidth="1"/>
    <col min="2041" max="2041" width="11.140625" customWidth="1"/>
    <col min="2042" max="2042" width="8.7109375" customWidth="1"/>
    <col min="2043" max="2043" width="10" customWidth="1"/>
    <col min="2293" max="2294" width="7" customWidth="1"/>
    <col min="2295" max="2295" width="30.42578125" customWidth="1"/>
    <col min="2296" max="2296" width="12.28515625" customWidth="1"/>
    <col min="2297" max="2297" width="11.140625" customWidth="1"/>
    <col min="2298" max="2298" width="8.7109375" customWidth="1"/>
    <col min="2299" max="2299" width="10" customWidth="1"/>
    <col min="2549" max="2550" width="7" customWidth="1"/>
    <col min="2551" max="2551" width="30.42578125" customWidth="1"/>
    <col min="2552" max="2552" width="12.28515625" customWidth="1"/>
    <col min="2553" max="2553" width="11.140625" customWidth="1"/>
    <col min="2554" max="2554" width="8.7109375" customWidth="1"/>
    <col min="2555" max="2555" width="10" customWidth="1"/>
    <col min="2805" max="2806" width="7" customWidth="1"/>
    <col min="2807" max="2807" width="30.42578125" customWidth="1"/>
    <col min="2808" max="2808" width="12.28515625" customWidth="1"/>
    <col min="2809" max="2809" width="11.140625" customWidth="1"/>
    <col min="2810" max="2810" width="8.7109375" customWidth="1"/>
    <col min="2811" max="2811" width="10" customWidth="1"/>
    <col min="3061" max="3062" width="7" customWidth="1"/>
    <col min="3063" max="3063" width="30.42578125" customWidth="1"/>
    <col min="3064" max="3064" width="12.28515625" customWidth="1"/>
    <col min="3065" max="3065" width="11.140625" customWidth="1"/>
    <col min="3066" max="3066" width="8.7109375" customWidth="1"/>
    <col min="3067" max="3067" width="10" customWidth="1"/>
    <col min="3317" max="3318" width="7" customWidth="1"/>
    <col min="3319" max="3319" width="30.42578125" customWidth="1"/>
    <col min="3320" max="3320" width="12.28515625" customWidth="1"/>
    <col min="3321" max="3321" width="11.140625" customWidth="1"/>
    <col min="3322" max="3322" width="8.7109375" customWidth="1"/>
    <col min="3323" max="3323" width="10" customWidth="1"/>
    <col min="3573" max="3574" width="7" customWidth="1"/>
    <col min="3575" max="3575" width="30.42578125" customWidth="1"/>
    <col min="3576" max="3576" width="12.28515625" customWidth="1"/>
    <col min="3577" max="3577" width="11.140625" customWidth="1"/>
    <col min="3578" max="3578" width="8.7109375" customWidth="1"/>
    <col min="3579" max="3579" width="10" customWidth="1"/>
    <col min="3829" max="3830" width="7" customWidth="1"/>
    <col min="3831" max="3831" width="30.42578125" customWidth="1"/>
    <col min="3832" max="3832" width="12.28515625" customWidth="1"/>
    <col min="3833" max="3833" width="11.140625" customWidth="1"/>
    <col min="3834" max="3834" width="8.7109375" customWidth="1"/>
    <col min="3835" max="3835" width="10" customWidth="1"/>
    <col min="4085" max="4086" width="7" customWidth="1"/>
    <col min="4087" max="4087" width="30.42578125" customWidth="1"/>
    <col min="4088" max="4088" width="12.28515625" customWidth="1"/>
    <col min="4089" max="4089" width="11.140625" customWidth="1"/>
    <col min="4090" max="4090" width="8.7109375" customWidth="1"/>
    <col min="4091" max="4091" width="10" customWidth="1"/>
    <col min="4341" max="4342" width="7" customWidth="1"/>
    <col min="4343" max="4343" width="30.42578125" customWidth="1"/>
    <col min="4344" max="4344" width="12.28515625" customWidth="1"/>
    <col min="4345" max="4345" width="11.140625" customWidth="1"/>
    <col min="4346" max="4346" width="8.7109375" customWidth="1"/>
    <col min="4347" max="4347" width="10" customWidth="1"/>
    <col min="4597" max="4598" width="7" customWidth="1"/>
    <col min="4599" max="4599" width="30.42578125" customWidth="1"/>
    <col min="4600" max="4600" width="12.28515625" customWidth="1"/>
    <col min="4601" max="4601" width="11.140625" customWidth="1"/>
    <col min="4602" max="4602" width="8.7109375" customWidth="1"/>
    <col min="4603" max="4603" width="10" customWidth="1"/>
    <col min="4853" max="4854" width="7" customWidth="1"/>
    <col min="4855" max="4855" width="30.42578125" customWidth="1"/>
    <col min="4856" max="4856" width="12.28515625" customWidth="1"/>
    <col min="4857" max="4857" width="11.140625" customWidth="1"/>
    <col min="4858" max="4858" width="8.7109375" customWidth="1"/>
    <col min="4859" max="4859" width="10" customWidth="1"/>
    <col min="5109" max="5110" width="7" customWidth="1"/>
    <col min="5111" max="5111" width="30.42578125" customWidth="1"/>
    <col min="5112" max="5112" width="12.28515625" customWidth="1"/>
    <col min="5113" max="5113" width="11.140625" customWidth="1"/>
    <col min="5114" max="5114" width="8.7109375" customWidth="1"/>
    <col min="5115" max="5115" width="10" customWidth="1"/>
    <col min="5365" max="5366" width="7" customWidth="1"/>
    <col min="5367" max="5367" width="30.42578125" customWidth="1"/>
    <col min="5368" max="5368" width="12.28515625" customWidth="1"/>
    <col min="5369" max="5369" width="11.140625" customWidth="1"/>
    <col min="5370" max="5370" width="8.7109375" customWidth="1"/>
    <col min="5371" max="5371" width="10" customWidth="1"/>
    <col min="5621" max="5622" width="7" customWidth="1"/>
    <col min="5623" max="5623" width="30.42578125" customWidth="1"/>
    <col min="5624" max="5624" width="12.28515625" customWidth="1"/>
    <col min="5625" max="5625" width="11.140625" customWidth="1"/>
    <col min="5626" max="5626" width="8.7109375" customWidth="1"/>
    <col min="5627" max="5627" width="10" customWidth="1"/>
    <col min="5877" max="5878" width="7" customWidth="1"/>
    <col min="5879" max="5879" width="30.42578125" customWidth="1"/>
    <col min="5880" max="5880" width="12.28515625" customWidth="1"/>
    <col min="5881" max="5881" width="11.140625" customWidth="1"/>
    <col min="5882" max="5882" width="8.7109375" customWidth="1"/>
    <col min="5883" max="5883" width="10" customWidth="1"/>
    <col min="6133" max="6134" width="7" customWidth="1"/>
    <col min="6135" max="6135" width="30.42578125" customWidth="1"/>
    <col min="6136" max="6136" width="12.28515625" customWidth="1"/>
    <col min="6137" max="6137" width="11.140625" customWidth="1"/>
    <col min="6138" max="6138" width="8.7109375" customWidth="1"/>
    <col min="6139" max="6139" width="10" customWidth="1"/>
    <col min="6389" max="6390" width="7" customWidth="1"/>
    <col min="6391" max="6391" width="30.42578125" customWidth="1"/>
    <col min="6392" max="6392" width="12.28515625" customWidth="1"/>
    <col min="6393" max="6393" width="11.140625" customWidth="1"/>
    <col min="6394" max="6394" width="8.7109375" customWidth="1"/>
    <col min="6395" max="6395" width="10" customWidth="1"/>
    <col min="6645" max="6646" width="7" customWidth="1"/>
    <col min="6647" max="6647" width="30.42578125" customWidth="1"/>
    <col min="6648" max="6648" width="12.28515625" customWidth="1"/>
    <col min="6649" max="6649" width="11.140625" customWidth="1"/>
    <col min="6650" max="6650" width="8.7109375" customWidth="1"/>
    <col min="6651" max="6651" width="10" customWidth="1"/>
    <col min="6901" max="6902" width="7" customWidth="1"/>
    <col min="6903" max="6903" width="30.42578125" customWidth="1"/>
    <col min="6904" max="6904" width="12.28515625" customWidth="1"/>
    <col min="6905" max="6905" width="11.140625" customWidth="1"/>
    <col min="6906" max="6906" width="8.7109375" customWidth="1"/>
    <col min="6907" max="6907" width="10" customWidth="1"/>
    <col min="7157" max="7158" width="7" customWidth="1"/>
    <col min="7159" max="7159" width="30.42578125" customWidth="1"/>
    <col min="7160" max="7160" width="12.28515625" customWidth="1"/>
    <col min="7161" max="7161" width="11.140625" customWidth="1"/>
    <col min="7162" max="7162" width="8.7109375" customWidth="1"/>
    <col min="7163" max="7163" width="10" customWidth="1"/>
    <col min="7413" max="7414" width="7" customWidth="1"/>
    <col min="7415" max="7415" width="30.42578125" customWidth="1"/>
    <col min="7416" max="7416" width="12.28515625" customWidth="1"/>
    <col min="7417" max="7417" width="11.140625" customWidth="1"/>
    <col min="7418" max="7418" width="8.7109375" customWidth="1"/>
    <col min="7419" max="7419" width="10" customWidth="1"/>
    <col min="7669" max="7670" width="7" customWidth="1"/>
    <col min="7671" max="7671" width="30.42578125" customWidth="1"/>
    <col min="7672" max="7672" width="12.28515625" customWidth="1"/>
    <col min="7673" max="7673" width="11.140625" customWidth="1"/>
    <col min="7674" max="7674" width="8.7109375" customWidth="1"/>
    <col min="7675" max="7675" width="10" customWidth="1"/>
    <col min="7925" max="7926" width="7" customWidth="1"/>
    <col min="7927" max="7927" width="30.42578125" customWidth="1"/>
    <col min="7928" max="7928" width="12.28515625" customWidth="1"/>
    <col min="7929" max="7929" width="11.140625" customWidth="1"/>
    <col min="7930" max="7930" width="8.7109375" customWidth="1"/>
    <col min="7931" max="7931" width="10" customWidth="1"/>
    <col min="8181" max="8182" width="7" customWidth="1"/>
    <col min="8183" max="8183" width="30.42578125" customWidth="1"/>
    <col min="8184" max="8184" width="12.28515625" customWidth="1"/>
    <col min="8185" max="8185" width="11.140625" customWidth="1"/>
    <col min="8186" max="8186" width="8.7109375" customWidth="1"/>
    <col min="8187" max="8187" width="10" customWidth="1"/>
    <col min="8437" max="8438" width="7" customWidth="1"/>
    <col min="8439" max="8439" width="30.42578125" customWidth="1"/>
    <col min="8440" max="8440" width="12.28515625" customWidth="1"/>
    <col min="8441" max="8441" width="11.140625" customWidth="1"/>
    <col min="8442" max="8442" width="8.7109375" customWidth="1"/>
    <col min="8443" max="8443" width="10" customWidth="1"/>
    <col min="8693" max="8694" width="7" customWidth="1"/>
    <col min="8695" max="8695" width="30.42578125" customWidth="1"/>
    <col min="8696" max="8696" width="12.28515625" customWidth="1"/>
    <col min="8697" max="8697" width="11.140625" customWidth="1"/>
    <col min="8698" max="8698" width="8.7109375" customWidth="1"/>
    <col min="8699" max="8699" width="10" customWidth="1"/>
    <col min="8949" max="8950" width="7" customWidth="1"/>
    <col min="8951" max="8951" width="30.42578125" customWidth="1"/>
    <col min="8952" max="8952" width="12.28515625" customWidth="1"/>
    <col min="8953" max="8953" width="11.140625" customWidth="1"/>
    <col min="8954" max="8954" width="8.7109375" customWidth="1"/>
    <col min="8955" max="8955" width="10" customWidth="1"/>
    <col min="9205" max="9206" width="7" customWidth="1"/>
    <col min="9207" max="9207" width="30.42578125" customWidth="1"/>
    <col min="9208" max="9208" width="12.28515625" customWidth="1"/>
    <col min="9209" max="9209" width="11.140625" customWidth="1"/>
    <col min="9210" max="9210" width="8.7109375" customWidth="1"/>
    <col min="9211" max="9211" width="10" customWidth="1"/>
    <col min="9461" max="9462" width="7" customWidth="1"/>
    <col min="9463" max="9463" width="30.42578125" customWidth="1"/>
    <col min="9464" max="9464" width="12.28515625" customWidth="1"/>
    <col min="9465" max="9465" width="11.140625" customWidth="1"/>
    <col min="9466" max="9466" width="8.7109375" customWidth="1"/>
    <col min="9467" max="9467" width="10" customWidth="1"/>
    <col min="9717" max="9718" width="7" customWidth="1"/>
    <col min="9719" max="9719" width="30.42578125" customWidth="1"/>
    <col min="9720" max="9720" width="12.28515625" customWidth="1"/>
    <col min="9721" max="9721" width="11.140625" customWidth="1"/>
    <col min="9722" max="9722" width="8.7109375" customWidth="1"/>
    <col min="9723" max="9723" width="10" customWidth="1"/>
    <col min="9973" max="9974" width="7" customWidth="1"/>
    <col min="9975" max="9975" width="30.42578125" customWidth="1"/>
    <col min="9976" max="9976" width="12.28515625" customWidth="1"/>
    <col min="9977" max="9977" width="11.140625" customWidth="1"/>
    <col min="9978" max="9978" width="8.7109375" customWidth="1"/>
    <col min="9979" max="9979" width="10" customWidth="1"/>
    <col min="10229" max="10230" width="7" customWidth="1"/>
    <col min="10231" max="10231" width="30.42578125" customWidth="1"/>
    <col min="10232" max="10232" width="12.28515625" customWidth="1"/>
    <col min="10233" max="10233" width="11.140625" customWidth="1"/>
    <col min="10234" max="10234" width="8.7109375" customWidth="1"/>
    <col min="10235" max="10235" width="10" customWidth="1"/>
    <col min="10485" max="10486" width="7" customWidth="1"/>
    <col min="10487" max="10487" width="30.42578125" customWidth="1"/>
    <col min="10488" max="10488" width="12.28515625" customWidth="1"/>
    <col min="10489" max="10489" width="11.140625" customWidth="1"/>
    <col min="10490" max="10490" width="8.7109375" customWidth="1"/>
    <col min="10491" max="10491" width="10" customWidth="1"/>
    <col min="10741" max="10742" width="7" customWidth="1"/>
    <col min="10743" max="10743" width="30.42578125" customWidth="1"/>
    <col min="10744" max="10744" width="12.28515625" customWidth="1"/>
    <col min="10745" max="10745" width="11.140625" customWidth="1"/>
    <col min="10746" max="10746" width="8.7109375" customWidth="1"/>
    <col min="10747" max="10747" width="10" customWidth="1"/>
    <col min="10997" max="10998" width="7" customWidth="1"/>
    <col min="10999" max="10999" width="30.42578125" customWidth="1"/>
    <col min="11000" max="11000" width="12.28515625" customWidth="1"/>
    <col min="11001" max="11001" width="11.140625" customWidth="1"/>
    <col min="11002" max="11002" width="8.7109375" customWidth="1"/>
    <col min="11003" max="11003" width="10" customWidth="1"/>
    <col min="11253" max="11254" width="7" customWidth="1"/>
    <col min="11255" max="11255" width="30.42578125" customWidth="1"/>
    <col min="11256" max="11256" width="12.28515625" customWidth="1"/>
    <col min="11257" max="11257" width="11.140625" customWidth="1"/>
    <col min="11258" max="11258" width="8.7109375" customWidth="1"/>
    <col min="11259" max="11259" width="10" customWidth="1"/>
    <col min="11509" max="11510" width="7" customWidth="1"/>
    <col min="11511" max="11511" width="30.42578125" customWidth="1"/>
    <col min="11512" max="11512" width="12.28515625" customWidth="1"/>
    <col min="11513" max="11513" width="11.140625" customWidth="1"/>
    <col min="11514" max="11514" width="8.7109375" customWidth="1"/>
    <col min="11515" max="11515" width="10" customWidth="1"/>
    <col min="11765" max="11766" width="7" customWidth="1"/>
    <col min="11767" max="11767" width="30.42578125" customWidth="1"/>
    <col min="11768" max="11768" width="12.28515625" customWidth="1"/>
    <col min="11769" max="11769" width="11.140625" customWidth="1"/>
    <col min="11770" max="11770" width="8.7109375" customWidth="1"/>
    <col min="11771" max="11771" width="10" customWidth="1"/>
    <col min="12021" max="12022" width="7" customWidth="1"/>
    <col min="12023" max="12023" width="30.42578125" customWidth="1"/>
    <col min="12024" max="12024" width="12.28515625" customWidth="1"/>
    <col min="12025" max="12025" width="11.140625" customWidth="1"/>
    <col min="12026" max="12026" width="8.7109375" customWidth="1"/>
    <col min="12027" max="12027" width="10" customWidth="1"/>
    <col min="12277" max="12278" width="7" customWidth="1"/>
    <col min="12279" max="12279" width="30.42578125" customWidth="1"/>
    <col min="12280" max="12280" width="12.28515625" customWidth="1"/>
    <col min="12281" max="12281" width="11.140625" customWidth="1"/>
    <col min="12282" max="12282" width="8.7109375" customWidth="1"/>
    <col min="12283" max="12283" width="10" customWidth="1"/>
    <col min="12533" max="12534" width="7" customWidth="1"/>
    <col min="12535" max="12535" width="30.42578125" customWidth="1"/>
    <col min="12536" max="12536" width="12.28515625" customWidth="1"/>
    <col min="12537" max="12537" width="11.140625" customWidth="1"/>
    <col min="12538" max="12538" width="8.7109375" customWidth="1"/>
    <col min="12539" max="12539" width="10" customWidth="1"/>
    <col min="12789" max="12790" width="7" customWidth="1"/>
    <col min="12791" max="12791" width="30.42578125" customWidth="1"/>
    <col min="12792" max="12792" width="12.28515625" customWidth="1"/>
    <col min="12793" max="12793" width="11.140625" customWidth="1"/>
    <col min="12794" max="12794" width="8.7109375" customWidth="1"/>
    <col min="12795" max="12795" width="10" customWidth="1"/>
    <col min="13045" max="13046" width="7" customWidth="1"/>
    <col min="13047" max="13047" width="30.42578125" customWidth="1"/>
    <col min="13048" max="13048" width="12.28515625" customWidth="1"/>
    <col min="13049" max="13049" width="11.140625" customWidth="1"/>
    <col min="13050" max="13050" width="8.7109375" customWidth="1"/>
    <col min="13051" max="13051" width="10" customWidth="1"/>
    <col min="13301" max="13302" width="7" customWidth="1"/>
    <col min="13303" max="13303" width="30.42578125" customWidth="1"/>
    <col min="13304" max="13304" width="12.28515625" customWidth="1"/>
    <col min="13305" max="13305" width="11.140625" customWidth="1"/>
    <col min="13306" max="13306" width="8.7109375" customWidth="1"/>
    <col min="13307" max="13307" width="10" customWidth="1"/>
    <col min="13557" max="13558" width="7" customWidth="1"/>
    <col min="13559" max="13559" width="30.42578125" customWidth="1"/>
    <col min="13560" max="13560" width="12.28515625" customWidth="1"/>
    <col min="13561" max="13561" width="11.140625" customWidth="1"/>
    <col min="13562" max="13562" width="8.7109375" customWidth="1"/>
    <col min="13563" max="13563" width="10" customWidth="1"/>
    <col min="13813" max="13814" width="7" customWidth="1"/>
    <col min="13815" max="13815" width="30.42578125" customWidth="1"/>
    <col min="13816" max="13816" width="12.28515625" customWidth="1"/>
    <col min="13817" max="13817" width="11.140625" customWidth="1"/>
    <col min="13818" max="13818" width="8.7109375" customWidth="1"/>
    <col min="13819" max="13819" width="10" customWidth="1"/>
    <col min="14069" max="14070" width="7" customWidth="1"/>
    <col min="14071" max="14071" width="30.42578125" customWidth="1"/>
    <col min="14072" max="14072" width="12.28515625" customWidth="1"/>
    <col min="14073" max="14073" width="11.140625" customWidth="1"/>
    <col min="14074" max="14074" width="8.7109375" customWidth="1"/>
    <col min="14075" max="14075" width="10" customWidth="1"/>
    <col min="14325" max="14326" width="7" customWidth="1"/>
    <col min="14327" max="14327" width="30.42578125" customWidth="1"/>
    <col min="14328" max="14328" width="12.28515625" customWidth="1"/>
    <col min="14329" max="14329" width="11.140625" customWidth="1"/>
    <col min="14330" max="14330" width="8.7109375" customWidth="1"/>
    <col min="14331" max="14331" width="10" customWidth="1"/>
    <col min="14581" max="14582" width="7" customWidth="1"/>
    <col min="14583" max="14583" width="30.42578125" customWidth="1"/>
    <col min="14584" max="14584" width="12.28515625" customWidth="1"/>
    <col min="14585" max="14585" width="11.140625" customWidth="1"/>
    <col min="14586" max="14586" width="8.7109375" customWidth="1"/>
    <col min="14587" max="14587" width="10" customWidth="1"/>
    <col min="14837" max="14838" width="7" customWidth="1"/>
    <col min="14839" max="14839" width="30.42578125" customWidth="1"/>
    <col min="14840" max="14840" width="12.28515625" customWidth="1"/>
    <col min="14841" max="14841" width="11.140625" customWidth="1"/>
    <col min="14842" max="14842" width="8.7109375" customWidth="1"/>
    <col min="14843" max="14843" width="10" customWidth="1"/>
    <col min="15093" max="15094" width="7" customWidth="1"/>
    <col min="15095" max="15095" width="30.42578125" customWidth="1"/>
    <col min="15096" max="15096" width="12.28515625" customWidth="1"/>
    <col min="15097" max="15097" width="11.140625" customWidth="1"/>
    <col min="15098" max="15098" width="8.7109375" customWidth="1"/>
    <col min="15099" max="15099" width="10" customWidth="1"/>
    <col min="15349" max="15350" width="7" customWidth="1"/>
    <col min="15351" max="15351" width="30.42578125" customWidth="1"/>
    <col min="15352" max="15352" width="12.28515625" customWidth="1"/>
    <col min="15353" max="15353" width="11.140625" customWidth="1"/>
    <col min="15354" max="15354" width="8.7109375" customWidth="1"/>
    <col min="15355" max="15355" width="10" customWidth="1"/>
    <col min="15605" max="15606" width="7" customWidth="1"/>
    <col min="15607" max="15607" width="30.42578125" customWidth="1"/>
    <col min="15608" max="15608" width="12.28515625" customWidth="1"/>
    <col min="15609" max="15609" width="11.140625" customWidth="1"/>
    <col min="15610" max="15610" width="8.7109375" customWidth="1"/>
    <col min="15611" max="15611" width="10" customWidth="1"/>
    <col min="15861" max="15862" width="7" customWidth="1"/>
    <col min="15863" max="15863" width="30.42578125" customWidth="1"/>
    <col min="15864" max="15864" width="12.28515625" customWidth="1"/>
    <col min="15865" max="15865" width="11.140625" customWidth="1"/>
    <col min="15866" max="15866" width="8.7109375" customWidth="1"/>
    <col min="15867" max="15867" width="10" customWidth="1"/>
    <col min="16117" max="16118" width="7" customWidth="1"/>
    <col min="16119" max="16119" width="30.42578125" customWidth="1"/>
    <col min="16120" max="16120" width="12.28515625" customWidth="1"/>
    <col min="16121" max="16121" width="11.140625" customWidth="1"/>
    <col min="16122" max="16122" width="8.7109375" customWidth="1"/>
    <col min="16123" max="16123" width="10" customWidth="1"/>
  </cols>
  <sheetData>
    <row r="1" spans="1:7" ht="15.75" x14ac:dyDescent="0.25">
      <c r="A1" s="1"/>
      <c r="B1" s="202"/>
      <c r="C1" s="191"/>
      <c r="D1" s="191"/>
      <c r="E1" s="191"/>
      <c r="F1" s="1"/>
      <c r="G1" s="1"/>
    </row>
    <row r="2" spans="1:7" ht="15.75" x14ac:dyDescent="0.25">
      <c r="A2" s="1"/>
      <c r="B2" s="202"/>
      <c r="C2" s="191"/>
      <c r="D2" s="191"/>
      <c r="E2" s="191"/>
      <c r="F2" s="1"/>
      <c r="G2" s="1"/>
    </row>
    <row r="3" spans="1:7" ht="15.75" x14ac:dyDescent="0.25">
      <c r="A3" s="1"/>
      <c r="B3" s="202"/>
      <c r="C3" s="191"/>
      <c r="D3" s="191"/>
      <c r="E3" s="191"/>
      <c r="F3" s="1"/>
      <c r="G3" s="1"/>
    </row>
    <row r="4" spans="1:7" ht="15.75" x14ac:dyDescent="0.25">
      <c r="A4" s="1"/>
      <c r="B4" s="265" t="s">
        <v>292</v>
      </c>
      <c r="C4" s="265"/>
      <c r="D4" s="265"/>
      <c r="E4" s="265"/>
      <c r="F4" s="1"/>
      <c r="G4" s="1"/>
    </row>
    <row r="5" spans="1:7" x14ac:dyDescent="0.25">
      <c r="A5" s="1"/>
      <c r="B5" s="266" t="s">
        <v>291</v>
      </c>
      <c r="C5" s="266"/>
      <c r="D5" s="266"/>
      <c r="E5" s="266"/>
      <c r="F5" s="1"/>
      <c r="G5" s="1"/>
    </row>
    <row r="6" spans="1:7" x14ac:dyDescent="0.25">
      <c r="A6" s="1"/>
      <c r="B6" s="267"/>
      <c r="C6" s="267"/>
      <c r="D6" s="267"/>
      <c r="E6" s="267"/>
      <c r="F6" s="1"/>
      <c r="G6" s="1"/>
    </row>
    <row r="7" spans="1:7" x14ac:dyDescent="0.25">
      <c r="A7" s="1"/>
      <c r="B7" s="192"/>
      <c r="C7" s="191"/>
      <c r="D7" s="191"/>
      <c r="E7" s="191"/>
      <c r="F7" s="1"/>
      <c r="G7" s="1"/>
    </row>
    <row r="8" spans="1:7" ht="30" x14ac:dyDescent="0.25">
      <c r="A8" s="1"/>
      <c r="B8" s="200" t="s">
        <v>290</v>
      </c>
      <c r="C8" s="200" t="s">
        <v>289</v>
      </c>
      <c r="D8" s="199" t="s">
        <v>288</v>
      </c>
      <c r="E8" s="199" t="s">
        <v>287</v>
      </c>
      <c r="F8" s="1"/>
      <c r="G8" s="1"/>
    </row>
    <row r="9" spans="1:7" x14ac:dyDescent="0.25">
      <c r="A9" s="1"/>
      <c r="B9" s="201"/>
      <c r="C9" s="194"/>
      <c r="D9" s="191"/>
      <c r="E9" s="191"/>
      <c r="F9" s="1"/>
      <c r="G9" s="1"/>
    </row>
    <row r="10" spans="1:7" x14ac:dyDescent="0.25">
      <c r="A10" s="1"/>
      <c r="B10" s="201">
        <v>1</v>
      </c>
      <c r="C10" s="194" t="s">
        <v>286</v>
      </c>
      <c r="D10" s="193"/>
      <c r="E10" s="193">
        <v>2.3800000000000002E-2</v>
      </c>
      <c r="F10" s="1"/>
      <c r="G10" s="1"/>
    </row>
    <row r="11" spans="1:7" x14ac:dyDescent="0.25">
      <c r="A11" s="1"/>
      <c r="B11" s="192"/>
      <c r="C11" s="191"/>
      <c r="D11" s="195"/>
      <c r="E11" s="195"/>
      <c r="F11" s="1"/>
      <c r="G11" s="1"/>
    </row>
    <row r="12" spans="1:7" x14ac:dyDescent="0.25">
      <c r="A12" s="1"/>
      <c r="B12" s="201">
        <v>2</v>
      </c>
      <c r="C12" s="194" t="s">
        <v>285</v>
      </c>
      <c r="D12" s="193">
        <f>SUM(D13:D15)</f>
        <v>7.1500000000000008E-2</v>
      </c>
      <c r="E12" s="193">
        <v>8.8200000000000001E-2</v>
      </c>
      <c r="F12" s="1"/>
      <c r="G12" s="1"/>
    </row>
    <row r="13" spans="1:7" x14ac:dyDescent="0.25">
      <c r="A13" s="1"/>
      <c r="B13" s="198" t="s">
        <v>0</v>
      </c>
      <c r="C13" s="191" t="s">
        <v>284</v>
      </c>
      <c r="D13" s="195">
        <v>3.5000000000000003E-2</v>
      </c>
      <c r="E13" s="195">
        <v>4.3200000000000002E-2</v>
      </c>
      <c r="F13" s="1"/>
      <c r="G13" s="1"/>
    </row>
    <row r="14" spans="1:7" x14ac:dyDescent="0.25">
      <c r="A14" s="1"/>
      <c r="B14" s="198" t="s">
        <v>1</v>
      </c>
      <c r="C14" s="191" t="s">
        <v>283</v>
      </c>
      <c r="D14" s="195">
        <v>6.4999999999999997E-3</v>
      </c>
      <c r="E14" s="195">
        <v>8.0000000000000002E-3</v>
      </c>
      <c r="F14" s="1"/>
      <c r="G14" s="1"/>
    </row>
    <row r="15" spans="1:7" x14ac:dyDescent="0.25">
      <c r="A15" s="1"/>
      <c r="B15" s="198" t="s">
        <v>282</v>
      </c>
      <c r="C15" s="191" t="s">
        <v>281</v>
      </c>
      <c r="D15" s="195">
        <v>0.03</v>
      </c>
      <c r="E15" s="195">
        <v>3.6999999999999998E-2</v>
      </c>
      <c r="F15" s="1"/>
      <c r="G15" s="1"/>
    </row>
    <row r="16" spans="1:7" x14ac:dyDescent="0.25">
      <c r="A16" s="1"/>
      <c r="B16" s="197"/>
      <c r="C16" s="191"/>
      <c r="D16" s="195"/>
      <c r="E16" s="195"/>
      <c r="F16" s="1"/>
      <c r="G16" s="1"/>
    </row>
    <row r="17" spans="1:7" x14ac:dyDescent="0.25">
      <c r="A17" s="1"/>
      <c r="B17" s="196" t="s">
        <v>280</v>
      </c>
      <c r="C17" s="194" t="s">
        <v>279</v>
      </c>
      <c r="D17" s="195"/>
      <c r="E17" s="193">
        <v>1.7399999999999999E-2</v>
      </c>
      <c r="F17" s="1"/>
      <c r="G17" s="1"/>
    </row>
    <row r="18" spans="1:7" x14ac:dyDescent="0.25">
      <c r="A18" s="1"/>
      <c r="B18" s="192"/>
      <c r="C18" s="191"/>
      <c r="D18" s="195"/>
      <c r="E18" s="195"/>
      <c r="F18" s="1"/>
      <c r="G18" s="1"/>
    </row>
    <row r="19" spans="1:7" x14ac:dyDescent="0.25">
      <c r="A19" s="1"/>
      <c r="B19" s="201">
        <v>4</v>
      </c>
      <c r="C19" s="194" t="s">
        <v>278</v>
      </c>
      <c r="D19" s="195"/>
      <c r="E19" s="193">
        <v>1.2E-2</v>
      </c>
      <c r="F19" s="1"/>
      <c r="G19" s="1"/>
    </row>
    <row r="20" spans="1:7" x14ac:dyDescent="0.25">
      <c r="A20" s="1"/>
      <c r="B20" s="192"/>
      <c r="C20" s="191"/>
      <c r="D20" s="195"/>
      <c r="E20" s="195"/>
      <c r="F20" s="1"/>
      <c r="G20" s="1"/>
    </row>
    <row r="21" spans="1:7" x14ac:dyDescent="0.25">
      <c r="A21" s="1"/>
      <c r="B21" s="201">
        <v>5</v>
      </c>
      <c r="C21" s="194" t="s">
        <v>277</v>
      </c>
      <c r="D21" s="193">
        <v>7.4999999999999997E-2</v>
      </c>
      <c r="E21" s="193">
        <f>D21*(1+E23)</f>
        <v>9.2548330404217949E-2</v>
      </c>
      <c r="F21" s="1"/>
      <c r="G21" s="1"/>
    </row>
    <row r="22" spans="1:7" x14ac:dyDescent="0.25">
      <c r="A22" s="1"/>
      <c r="B22" s="192"/>
      <c r="C22" s="191"/>
      <c r="D22" s="190"/>
      <c r="E22" s="190"/>
      <c r="F22" s="1"/>
      <c r="G22" s="1"/>
    </row>
    <row r="23" spans="1:7" x14ac:dyDescent="0.25">
      <c r="A23" s="1"/>
      <c r="B23" s="189"/>
      <c r="C23" s="188" t="s">
        <v>276</v>
      </c>
      <c r="D23" s="187"/>
      <c r="E23" s="186">
        <f>((1+E10+E17+E19)/(1-(D12+D21))-1)</f>
        <v>0.23397773872290606</v>
      </c>
      <c r="F23" s="1"/>
      <c r="G23" s="1"/>
    </row>
    <row r="24" spans="1:7" x14ac:dyDescent="0.25">
      <c r="A24" s="1"/>
      <c r="B24" s="184"/>
      <c r="C24" s="1"/>
      <c r="D24" s="185"/>
      <c r="E24" s="185"/>
      <c r="F24" s="1"/>
      <c r="G24" s="1"/>
    </row>
    <row r="25" spans="1:7" x14ac:dyDescent="0.25">
      <c r="A25" s="1"/>
      <c r="C25" t="s">
        <v>297</v>
      </c>
      <c r="F25" s="1"/>
      <c r="G25" s="1"/>
    </row>
    <row r="26" spans="1:7" x14ac:dyDescent="0.25">
      <c r="A26" s="1"/>
      <c r="F26" s="1"/>
      <c r="G26" s="1"/>
    </row>
    <row r="27" spans="1:7" x14ac:dyDescent="0.25">
      <c r="A27" s="1"/>
      <c r="C27" t="s">
        <v>298</v>
      </c>
      <c r="F27" s="1"/>
      <c r="G27" s="1"/>
    </row>
    <row r="28" spans="1:7" x14ac:dyDescent="0.25">
      <c r="A28" s="1"/>
      <c r="C28" t="s">
        <v>299</v>
      </c>
      <c r="F28" s="1"/>
      <c r="G28" s="1"/>
    </row>
    <row r="29" spans="1:7" x14ac:dyDescent="0.25">
      <c r="A29" s="1"/>
      <c r="F29" s="1"/>
      <c r="G29" s="1"/>
    </row>
    <row r="30" spans="1:7" x14ac:dyDescent="0.25">
      <c r="B30" t="s">
        <v>294</v>
      </c>
      <c r="C30">
        <f>((1+0.0238+0.0174+0.012)/(1-(0.0715+0.075))-1)*100</f>
        <v>23.397773872290585</v>
      </c>
      <c r="D30" t="s">
        <v>295</v>
      </c>
    </row>
    <row r="31" spans="1:7" x14ac:dyDescent="0.25">
      <c r="B31" s="205" t="s">
        <v>294</v>
      </c>
      <c r="C31" s="205">
        <v>23.4</v>
      </c>
      <c r="D31" s="205" t="s">
        <v>296</v>
      </c>
    </row>
  </sheetData>
  <mergeCells count="3">
    <mergeCell ref="B4:E4"/>
    <mergeCell ref="B5:E5"/>
    <mergeCell ref="B6:E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BreakPreview" zoomScaleNormal="100" zoomScaleSheetLayoutView="100" workbookViewId="0">
      <selection activeCell="E23" sqref="E23"/>
    </sheetView>
  </sheetViews>
  <sheetFormatPr defaultRowHeight="15" x14ac:dyDescent="0.25"/>
  <cols>
    <col min="1" max="2" width="7" customWidth="1"/>
    <col min="3" max="3" width="30.42578125" customWidth="1"/>
    <col min="4" max="4" width="12.28515625" customWidth="1"/>
    <col min="5" max="5" width="11.140625" customWidth="1"/>
    <col min="6" max="6" width="8.7109375" customWidth="1"/>
    <col min="256" max="258" width="7" customWidth="1"/>
    <col min="259" max="259" width="30.42578125" customWidth="1"/>
    <col min="260" max="260" width="12.28515625" customWidth="1"/>
    <col min="261" max="261" width="11.140625" customWidth="1"/>
    <col min="262" max="262" width="8.7109375" customWidth="1"/>
    <col min="512" max="514" width="7" customWidth="1"/>
    <col min="515" max="515" width="30.42578125" customWidth="1"/>
    <col min="516" max="516" width="12.28515625" customWidth="1"/>
    <col min="517" max="517" width="11.140625" customWidth="1"/>
    <col min="518" max="518" width="8.7109375" customWidth="1"/>
    <col min="768" max="770" width="7" customWidth="1"/>
    <col min="771" max="771" width="30.42578125" customWidth="1"/>
    <col min="772" max="772" width="12.28515625" customWidth="1"/>
    <col min="773" max="773" width="11.140625" customWidth="1"/>
    <col min="774" max="774" width="8.7109375" customWidth="1"/>
    <col min="1024" max="1026" width="7" customWidth="1"/>
    <col min="1027" max="1027" width="30.42578125" customWidth="1"/>
    <col min="1028" max="1028" width="12.28515625" customWidth="1"/>
    <col min="1029" max="1029" width="11.140625" customWidth="1"/>
    <col min="1030" max="1030" width="8.7109375" customWidth="1"/>
    <col min="1280" max="1282" width="7" customWidth="1"/>
    <col min="1283" max="1283" width="30.42578125" customWidth="1"/>
    <col min="1284" max="1284" width="12.28515625" customWidth="1"/>
    <col min="1285" max="1285" width="11.140625" customWidth="1"/>
    <col min="1286" max="1286" width="8.7109375" customWidth="1"/>
    <col min="1536" max="1538" width="7" customWidth="1"/>
    <col min="1539" max="1539" width="30.42578125" customWidth="1"/>
    <col min="1540" max="1540" width="12.28515625" customWidth="1"/>
    <col min="1541" max="1541" width="11.140625" customWidth="1"/>
    <col min="1542" max="1542" width="8.7109375" customWidth="1"/>
    <col min="1792" max="1794" width="7" customWidth="1"/>
    <col min="1795" max="1795" width="30.42578125" customWidth="1"/>
    <col min="1796" max="1796" width="12.28515625" customWidth="1"/>
    <col min="1797" max="1797" width="11.140625" customWidth="1"/>
    <col min="1798" max="1798" width="8.7109375" customWidth="1"/>
    <col min="2048" max="2050" width="7" customWidth="1"/>
    <col min="2051" max="2051" width="30.42578125" customWidth="1"/>
    <col min="2052" max="2052" width="12.28515625" customWidth="1"/>
    <col min="2053" max="2053" width="11.140625" customWidth="1"/>
    <col min="2054" max="2054" width="8.7109375" customWidth="1"/>
    <col min="2304" max="2306" width="7" customWidth="1"/>
    <col min="2307" max="2307" width="30.42578125" customWidth="1"/>
    <col min="2308" max="2308" width="12.28515625" customWidth="1"/>
    <col min="2309" max="2309" width="11.140625" customWidth="1"/>
    <col min="2310" max="2310" width="8.7109375" customWidth="1"/>
    <col min="2560" max="2562" width="7" customWidth="1"/>
    <col min="2563" max="2563" width="30.42578125" customWidth="1"/>
    <col min="2564" max="2564" width="12.28515625" customWidth="1"/>
    <col min="2565" max="2565" width="11.140625" customWidth="1"/>
    <col min="2566" max="2566" width="8.7109375" customWidth="1"/>
    <col min="2816" max="2818" width="7" customWidth="1"/>
    <col min="2819" max="2819" width="30.42578125" customWidth="1"/>
    <col min="2820" max="2820" width="12.28515625" customWidth="1"/>
    <col min="2821" max="2821" width="11.140625" customWidth="1"/>
    <col min="2822" max="2822" width="8.7109375" customWidth="1"/>
    <col min="3072" max="3074" width="7" customWidth="1"/>
    <col min="3075" max="3075" width="30.42578125" customWidth="1"/>
    <col min="3076" max="3076" width="12.28515625" customWidth="1"/>
    <col min="3077" max="3077" width="11.140625" customWidth="1"/>
    <col min="3078" max="3078" width="8.7109375" customWidth="1"/>
    <col min="3328" max="3330" width="7" customWidth="1"/>
    <col min="3331" max="3331" width="30.42578125" customWidth="1"/>
    <col min="3332" max="3332" width="12.28515625" customWidth="1"/>
    <col min="3333" max="3333" width="11.140625" customWidth="1"/>
    <col min="3334" max="3334" width="8.7109375" customWidth="1"/>
    <col min="3584" max="3586" width="7" customWidth="1"/>
    <col min="3587" max="3587" width="30.42578125" customWidth="1"/>
    <col min="3588" max="3588" width="12.28515625" customWidth="1"/>
    <col min="3589" max="3589" width="11.140625" customWidth="1"/>
    <col min="3590" max="3590" width="8.7109375" customWidth="1"/>
    <col min="3840" max="3842" width="7" customWidth="1"/>
    <col min="3843" max="3843" width="30.42578125" customWidth="1"/>
    <col min="3844" max="3844" width="12.28515625" customWidth="1"/>
    <col min="3845" max="3845" width="11.140625" customWidth="1"/>
    <col min="3846" max="3846" width="8.7109375" customWidth="1"/>
    <col min="4096" max="4098" width="7" customWidth="1"/>
    <col min="4099" max="4099" width="30.42578125" customWidth="1"/>
    <col min="4100" max="4100" width="12.28515625" customWidth="1"/>
    <col min="4101" max="4101" width="11.140625" customWidth="1"/>
    <col min="4102" max="4102" width="8.7109375" customWidth="1"/>
    <col min="4352" max="4354" width="7" customWidth="1"/>
    <col min="4355" max="4355" width="30.42578125" customWidth="1"/>
    <col min="4356" max="4356" width="12.28515625" customWidth="1"/>
    <col min="4357" max="4357" width="11.140625" customWidth="1"/>
    <col min="4358" max="4358" width="8.7109375" customWidth="1"/>
    <col min="4608" max="4610" width="7" customWidth="1"/>
    <col min="4611" max="4611" width="30.42578125" customWidth="1"/>
    <col min="4612" max="4612" width="12.28515625" customWidth="1"/>
    <col min="4613" max="4613" width="11.140625" customWidth="1"/>
    <col min="4614" max="4614" width="8.7109375" customWidth="1"/>
    <col min="4864" max="4866" width="7" customWidth="1"/>
    <col min="4867" max="4867" width="30.42578125" customWidth="1"/>
    <col min="4868" max="4868" width="12.28515625" customWidth="1"/>
    <col min="4869" max="4869" width="11.140625" customWidth="1"/>
    <col min="4870" max="4870" width="8.7109375" customWidth="1"/>
    <col min="5120" max="5122" width="7" customWidth="1"/>
    <col min="5123" max="5123" width="30.42578125" customWidth="1"/>
    <col min="5124" max="5124" width="12.28515625" customWidth="1"/>
    <col min="5125" max="5125" width="11.140625" customWidth="1"/>
    <col min="5126" max="5126" width="8.7109375" customWidth="1"/>
    <col min="5376" max="5378" width="7" customWidth="1"/>
    <col min="5379" max="5379" width="30.42578125" customWidth="1"/>
    <col min="5380" max="5380" width="12.28515625" customWidth="1"/>
    <col min="5381" max="5381" width="11.140625" customWidth="1"/>
    <col min="5382" max="5382" width="8.7109375" customWidth="1"/>
    <col min="5632" max="5634" width="7" customWidth="1"/>
    <col min="5635" max="5635" width="30.42578125" customWidth="1"/>
    <col min="5636" max="5636" width="12.28515625" customWidth="1"/>
    <col min="5637" max="5637" width="11.140625" customWidth="1"/>
    <col min="5638" max="5638" width="8.7109375" customWidth="1"/>
    <col min="5888" max="5890" width="7" customWidth="1"/>
    <col min="5891" max="5891" width="30.42578125" customWidth="1"/>
    <col min="5892" max="5892" width="12.28515625" customWidth="1"/>
    <col min="5893" max="5893" width="11.140625" customWidth="1"/>
    <col min="5894" max="5894" width="8.7109375" customWidth="1"/>
    <col min="6144" max="6146" width="7" customWidth="1"/>
    <col min="6147" max="6147" width="30.42578125" customWidth="1"/>
    <col min="6148" max="6148" width="12.28515625" customWidth="1"/>
    <col min="6149" max="6149" width="11.140625" customWidth="1"/>
    <col min="6150" max="6150" width="8.7109375" customWidth="1"/>
    <col min="6400" max="6402" width="7" customWidth="1"/>
    <col min="6403" max="6403" width="30.42578125" customWidth="1"/>
    <col min="6404" max="6404" width="12.28515625" customWidth="1"/>
    <col min="6405" max="6405" width="11.140625" customWidth="1"/>
    <col min="6406" max="6406" width="8.7109375" customWidth="1"/>
    <col min="6656" max="6658" width="7" customWidth="1"/>
    <col min="6659" max="6659" width="30.42578125" customWidth="1"/>
    <col min="6660" max="6660" width="12.28515625" customWidth="1"/>
    <col min="6661" max="6661" width="11.140625" customWidth="1"/>
    <col min="6662" max="6662" width="8.7109375" customWidth="1"/>
    <col min="6912" max="6914" width="7" customWidth="1"/>
    <col min="6915" max="6915" width="30.42578125" customWidth="1"/>
    <col min="6916" max="6916" width="12.28515625" customWidth="1"/>
    <col min="6917" max="6917" width="11.140625" customWidth="1"/>
    <col min="6918" max="6918" width="8.7109375" customWidth="1"/>
    <col min="7168" max="7170" width="7" customWidth="1"/>
    <col min="7171" max="7171" width="30.42578125" customWidth="1"/>
    <col min="7172" max="7172" width="12.28515625" customWidth="1"/>
    <col min="7173" max="7173" width="11.140625" customWidth="1"/>
    <col min="7174" max="7174" width="8.7109375" customWidth="1"/>
    <col min="7424" max="7426" width="7" customWidth="1"/>
    <col min="7427" max="7427" width="30.42578125" customWidth="1"/>
    <col min="7428" max="7428" width="12.28515625" customWidth="1"/>
    <col min="7429" max="7429" width="11.140625" customWidth="1"/>
    <col min="7430" max="7430" width="8.7109375" customWidth="1"/>
    <col min="7680" max="7682" width="7" customWidth="1"/>
    <col min="7683" max="7683" width="30.42578125" customWidth="1"/>
    <col min="7684" max="7684" width="12.28515625" customWidth="1"/>
    <col min="7685" max="7685" width="11.140625" customWidth="1"/>
    <col min="7686" max="7686" width="8.7109375" customWidth="1"/>
    <col min="7936" max="7938" width="7" customWidth="1"/>
    <col min="7939" max="7939" width="30.42578125" customWidth="1"/>
    <col min="7940" max="7940" width="12.28515625" customWidth="1"/>
    <col min="7941" max="7941" width="11.140625" customWidth="1"/>
    <col min="7942" max="7942" width="8.7109375" customWidth="1"/>
    <col min="8192" max="8194" width="7" customWidth="1"/>
    <col min="8195" max="8195" width="30.42578125" customWidth="1"/>
    <col min="8196" max="8196" width="12.28515625" customWidth="1"/>
    <col min="8197" max="8197" width="11.140625" customWidth="1"/>
    <col min="8198" max="8198" width="8.7109375" customWidth="1"/>
    <col min="8448" max="8450" width="7" customWidth="1"/>
    <col min="8451" max="8451" width="30.42578125" customWidth="1"/>
    <col min="8452" max="8452" width="12.28515625" customWidth="1"/>
    <col min="8453" max="8453" width="11.140625" customWidth="1"/>
    <col min="8454" max="8454" width="8.7109375" customWidth="1"/>
    <col min="8704" max="8706" width="7" customWidth="1"/>
    <col min="8707" max="8707" width="30.42578125" customWidth="1"/>
    <col min="8708" max="8708" width="12.28515625" customWidth="1"/>
    <col min="8709" max="8709" width="11.140625" customWidth="1"/>
    <col min="8710" max="8710" width="8.7109375" customWidth="1"/>
    <col min="8960" max="8962" width="7" customWidth="1"/>
    <col min="8963" max="8963" width="30.42578125" customWidth="1"/>
    <col min="8964" max="8964" width="12.28515625" customWidth="1"/>
    <col min="8965" max="8965" width="11.140625" customWidth="1"/>
    <col min="8966" max="8966" width="8.7109375" customWidth="1"/>
    <col min="9216" max="9218" width="7" customWidth="1"/>
    <col min="9219" max="9219" width="30.42578125" customWidth="1"/>
    <col min="9220" max="9220" width="12.28515625" customWidth="1"/>
    <col min="9221" max="9221" width="11.140625" customWidth="1"/>
    <col min="9222" max="9222" width="8.7109375" customWidth="1"/>
    <col min="9472" max="9474" width="7" customWidth="1"/>
    <col min="9475" max="9475" width="30.42578125" customWidth="1"/>
    <col min="9476" max="9476" width="12.28515625" customWidth="1"/>
    <col min="9477" max="9477" width="11.140625" customWidth="1"/>
    <col min="9478" max="9478" width="8.7109375" customWidth="1"/>
    <col min="9728" max="9730" width="7" customWidth="1"/>
    <col min="9731" max="9731" width="30.42578125" customWidth="1"/>
    <col min="9732" max="9732" width="12.28515625" customWidth="1"/>
    <col min="9733" max="9733" width="11.140625" customWidth="1"/>
    <col min="9734" max="9734" width="8.7109375" customWidth="1"/>
    <col min="9984" max="9986" width="7" customWidth="1"/>
    <col min="9987" max="9987" width="30.42578125" customWidth="1"/>
    <col min="9988" max="9988" width="12.28515625" customWidth="1"/>
    <col min="9989" max="9989" width="11.140625" customWidth="1"/>
    <col min="9990" max="9990" width="8.7109375" customWidth="1"/>
    <col min="10240" max="10242" width="7" customWidth="1"/>
    <col min="10243" max="10243" width="30.42578125" customWidth="1"/>
    <col min="10244" max="10244" width="12.28515625" customWidth="1"/>
    <col min="10245" max="10245" width="11.140625" customWidth="1"/>
    <col min="10246" max="10246" width="8.7109375" customWidth="1"/>
    <col min="10496" max="10498" width="7" customWidth="1"/>
    <col min="10499" max="10499" width="30.42578125" customWidth="1"/>
    <col min="10500" max="10500" width="12.28515625" customWidth="1"/>
    <col min="10501" max="10501" width="11.140625" customWidth="1"/>
    <col min="10502" max="10502" width="8.7109375" customWidth="1"/>
    <col min="10752" max="10754" width="7" customWidth="1"/>
    <col min="10755" max="10755" width="30.42578125" customWidth="1"/>
    <col min="10756" max="10756" width="12.28515625" customWidth="1"/>
    <col min="10757" max="10757" width="11.140625" customWidth="1"/>
    <col min="10758" max="10758" width="8.7109375" customWidth="1"/>
    <col min="11008" max="11010" width="7" customWidth="1"/>
    <col min="11011" max="11011" width="30.42578125" customWidth="1"/>
    <col min="11012" max="11012" width="12.28515625" customWidth="1"/>
    <col min="11013" max="11013" width="11.140625" customWidth="1"/>
    <col min="11014" max="11014" width="8.7109375" customWidth="1"/>
    <col min="11264" max="11266" width="7" customWidth="1"/>
    <col min="11267" max="11267" width="30.42578125" customWidth="1"/>
    <col min="11268" max="11268" width="12.28515625" customWidth="1"/>
    <col min="11269" max="11269" width="11.140625" customWidth="1"/>
    <col min="11270" max="11270" width="8.7109375" customWidth="1"/>
    <col min="11520" max="11522" width="7" customWidth="1"/>
    <col min="11523" max="11523" width="30.42578125" customWidth="1"/>
    <col min="11524" max="11524" width="12.28515625" customWidth="1"/>
    <col min="11525" max="11525" width="11.140625" customWidth="1"/>
    <col min="11526" max="11526" width="8.7109375" customWidth="1"/>
    <col min="11776" max="11778" width="7" customWidth="1"/>
    <col min="11779" max="11779" width="30.42578125" customWidth="1"/>
    <col min="11780" max="11780" width="12.28515625" customWidth="1"/>
    <col min="11781" max="11781" width="11.140625" customWidth="1"/>
    <col min="11782" max="11782" width="8.7109375" customWidth="1"/>
    <col min="12032" max="12034" width="7" customWidth="1"/>
    <col min="12035" max="12035" width="30.42578125" customWidth="1"/>
    <col min="12036" max="12036" width="12.28515625" customWidth="1"/>
    <col min="12037" max="12037" width="11.140625" customWidth="1"/>
    <col min="12038" max="12038" width="8.7109375" customWidth="1"/>
    <col min="12288" max="12290" width="7" customWidth="1"/>
    <col min="12291" max="12291" width="30.42578125" customWidth="1"/>
    <col min="12292" max="12292" width="12.28515625" customWidth="1"/>
    <col min="12293" max="12293" width="11.140625" customWidth="1"/>
    <col min="12294" max="12294" width="8.7109375" customWidth="1"/>
    <col min="12544" max="12546" width="7" customWidth="1"/>
    <col min="12547" max="12547" width="30.42578125" customWidth="1"/>
    <col min="12548" max="12548" width="12.28515625" customWidth="1"/>
    <col min="12549" max="12549" width="11.140625" customWidth="1"/>
    <col min="12550" max="12550" width="8.7109375" customWidth="1"/>
    <col min="12800" max="12802" width="7" customWidth="1"/>
    <col min="12803" max="12803" width="30.42578125" customWidth="1"/>
    <col min="12804" max="12804" width="12.28515625" customWidth="1"/>
    <col min="12805" max="12805" width="11.140625" customWidth="1"/>
    <col min="12806" max="12806" width="8.7109375" customWidth="1"/>
    <col min="13056" max="13058" width="7" customWidth="1"/>
    <col min="13059" max="13059" width="30.42578125" customWidth="1"/>
    <col min="13060" max="13060" width="12.28515625" customWidth="1"/>
    <col min="13061" max="13061" width="11.140625" customWidth="1"/>
    <col min="13062" max="13062" width="8.7109375" customWidth="1"/>
    <col min="13312" max="13314" width="7" customWidth="1"/>
    <col min="13315" max="13315" width="30.42578125" customWidth="1"/>
    <col min="13316" max="13316" width="12.28515625" customWidth="1"/>
    <col min="13317" max="13317" width="11.140625" customWidth="1"/>
    <col min="13318" max="13318" width="8.7109375" customWidth="1"/>
    <col min="13568" max="13570" width="7" customWidth="1"/>
    <col min="13571" max="13571" width="30.42578125" customWidth="1"/>
    <col min="13572" max="13572" width="12.28515625" customWidth="1"/>
    <col min="13573" max="13573" width="11.140625" customWidth="1"/>
    <col min="13574" max="13574" width="8.7109375" customWidth="1"/>
    <col min="13824" max="13826" width="7" customWidth="1"/>
    <col min="13827" max="13827" width="30.42578125" customWidth="1"/>
    <col min="13828" max="13828" width="12.28515625" customWidth="1"/>
    <col min="13829" max="13829" width="11.140625" customWidth="1"/>
    <col min="13830" max="13830" width="8.7109375" customWidth="1"/>
    <col min="14080" max="14082" width="7" customWidth="1"/>
    <col min="14083" max="14083" width="30.42578125" customWidth="1"/>
    <col min="14084" max="14084" width="12.28515625" customWidth="1"/>
    <col min="14085" max="14085" width="11.140625" customWidth="1"/>
    <col min="14086" max="14086" width="8.7109375" customWidth="1"/>
    <col min="14336" max="14338" width="7" customWidth="1"/>
    <col min="14339" max="14339" width="30.42578125" customWidth="1"/>
    <col min="14340" max="14340" width="12.28515625" customWidth="1"/>
    <col min="14341" max="14341" width="11.140625" customWidth="1"/>
    <col min="14342" max="14342" width="8.7109375" customWidth="1"/>
    <col min="14592" max="14594" width="7" customWidth="1"/>
    <col min="14595" max="14595" width="30.42578125" customWidth="1"/>
    <col min="14596" max="14596" width="12.28515625" customWidth="1"/>
    <col min="14597" max="14597" width="11.140625" customWidth="1"/>
    <col min="14598" max="14598" width="8.7109375" customWidth="1"/>
    <col min="14848" max="14850" width="7" customWidth="1"/>
    <col min="14851" max="14851" width="30.42578125" customWidth="1"/>
    <col min="14852" max="14852" width="12.28515625" customWidth="1"/>
    <col min="14853" max="14853" width="11.140625" customWidth="1"/>
    <col min="14854" max="14854" width="8.7109375" customWidth="1"/>
    <col min="15104" max="15106" width="7" customWidth="1"/>
    <col min="15107" max="15107" width="30.42578125" customWidth="1"/>
    <col min="15108" max="15108" width="12.28515625" customWidth="1"/>
    <col min="15109" max="15109" width="11.140625" customWidth="1"/>
    <col min="15110" max="15110" width="8.7109375" customWidth="1"/>
    <col min="15360" max="15362" width="7" customWidth="1"/>
    <col min="15363" max="15363" width="30.42578125" customWidth="1"/>
    <col min="15364" max="15364" width="12.28515625" customWidth="1"/>
    <col min="15365" max="15365" width="11.140625" customWidth="1"/>
    <col min="15366" max="15366" width="8.7109375" customWidth="1"/>
    <col min="15616" max="15618" width="7" customWidth="1"/>
    <col min="15619" max="15619" width="30.42578125" customWidth="1"/>
    <col min="15620" max="15620" width="12.28515625" customWidth="1"/>
    <col min="15621" max="15621" width="11.140625" customWidth="1"/>
    <col min="15622" max="15622" width="8.7109375" customWidth="1"/>
    <col min="15872" max="15874" width="7" customWidth="1"/>
    <col min="15875" max="15875" width="30.42578125" customWidth="1"/>
    <col min="15876" max="15876" width="12.28515625" customWidth="1"/>
    <col min="15877" max="15877" width="11.140625" customWidth="1"/>
    <col min="15878" max="15878" width="8.7109375" customWidth="1"/>
    <col min="16128" max="16130" width="7" customWidth="1"/>
    <col min="16131" max="16131" width="30.42578125" customWidth="1"/>
    <col min="16132" max="16132" width="12.28515625" customWidth="1"/>
    <col min="16133" max="16133" width="11.140625" customWidth="1"/>
    <col min="16134" max="16134" width="8.7109375" customWidth="1"/>
  </cols>
  <sheetData>
    <row r="1" spans="1:6" ht="15.75" x14ac:dyDescent="0.25">
      <c r="A1" s="1"/>
      <c r="B1" s="203"/>
      <c r="C1" s="191"/>
      <c r="D1" s="191"/>
      <c r="E1" s="191"/>
      <c r="F1" s="1"/>
    </row>
    <row r="2" spans="1:6" ht="15.75" x14ac:dyDescent="0.25">
      <c r="A2" s="1"/>
      <c r="B2" s="203"/>
      <c r="C2" s="191"/>
      <c r="D2" s="191"/>
      <c r="E2" s="191"/>
      <c r="F2" s="1"/>
    </row>
    <row r="3" spans="1:6" ht="15.75" x14ac:dyDescent="0.25">
      <c r="A3" s="1"/>
      <c r="B3" s="203"/>
      <c r="C3" s="191"/>
      <c r="D3" s="191"/>
      <c r="E3" s="191"/>
      <c r="F3" s="1"/>
    </row>
    <row r="4" spans="1:6" ht="15.75" x14ac:dyDescent="0.25">
      <c r="A4" s="1"/>
      <c r="B4" s="265" t="s">
        <v>292</v>
      </c>
      <c r="C4" s="265"/>
      <c r="D4" s="265"/>
      <c r="E4" s="265"/>
      <c r="F4" s="1"/>
    </row>
    <row r="5" spans="1:6" x14ac:dyDescent="0.25">
      <c r="A5" s="1"/>
      <c r="B5" s="266" t="s">
        <v>300</v>
      </c>
      <c r="C5" s="266"/>
      <c r="D5" s="266"/>
      <c r="E5" s="266"/>
      <c r="F5" s="1"/>
    </row>
    <row r="6" spans="1:6" x14ac:dyDescent="0.25">
      <c r="A6" s="1"/>
      <c r="B6" s="267"/>
      <c r="C6" s="267"/>
      <c r="D6" s="267"/>
      <c r="E6" s="267"/>
      <c r="F6" s="1"/>
    </row>
    <row r="7" spans="1:6" x14ac:dyDescent="0.25">
      <c r="A7" s="1"/>
      <c r="B7" s="192"/>
      <c r="C7" s="191"/>
      <c r="D7" s="191"/>
      <c r="E7" s="191"/>
      <c r="F7" s="1"/>
    </row>
    <row r="8" spans="1:6" ht="30" x14ac:dyDescent="0.25">
      <c r="A8" s="1"/>
      <c r="B8" s="200" t="s">
        <v>290</v>
      </c>
      <c r="C8" s="200" t="s">
        <v>289</v>
      </c>
      <c r="D8" s="199" t="s">
        <v>288</v>
      </c>
      <c r="E8" s="199" t="s">
        <v>287</v>
      </c>
      <c r="F8" s="1"/>
    </row>
    <row r="9" spans="1:6" x14ac:dyDescent="0.25">
      <c r="A9" s="1"/>
      <c r="B9" s="204"/>
      <c r="C9" s="194"/>
      <c r="D9" s="191"/>
      <c r="E9" s="191"/>
      <c r="F9" s="1"/>
    </row>
    <row r="10" spans="1:6" x14ac:dyDescent="0.25">
      <c r="A10" s="1"/>
      <c r="B10" s="204">
        <v>1</v>
      </c>
      <c r="C10" s="194" t="s">
        <v>286</v>
      </c>
      <c r="D10" s="193"/>
      <c r="E10" s="193">
        <v>0.06</v>
      </c>
      <c r="F10" s="1"/>
    </row>
    <row r="11" spans="1:6" x14ac:dyDescent="0.25">
      <c r="A11" s="1"/>
      <c r="B11" s="192"/>
      <c r="C11" s="191"/>
      <c r="D11" s="195"/>
      <c r="E11" s="195"/>
      <c r="F11" s="1"/>
    </row>
    <row r="12" spans="1:6" x14ac:dyDescent="0.25">
      <c r="A12" s="1"/>
      <c r="B12" s="204">
        <v>2</v>
      </c>
      <c r="C12" s="194" t="s">
        <v>285</v>
      </c>
      <c r="D12" s="193">
        <f>SUM(D13:D15)</f>
        <v>3.6499999999999998E-2</v>
      </c>
      <c r="E12" s="193">
        <f>D12*(1+$E$23)-0.01%</f>
        <v>4.2969999999999994E-2</v>
      </c>
      <c r="F12" s="1"/>
    </row>
    <row r="13" spans="1:6" x14ac:dyDescent="0.25">
      <c r="A13" s="1"/>
      <c r="B13" s="198" t="s">
        <v>0</v>
      </c>
      <c r="C13" s="191" t="s">
        <v>284</v>
      </c>
      <c r="D13" s="195">
        <v>0</v>
      </c>
      <c r="E13" s="195">
        <f>D13*(1+$E$23)</f>
        <v>0</v>
      </c>
      <c r="F13" s="1"/>
    </row>
    <row r="14" spans="1:6" x14ac:dyDescent="0.25">
      <c r="A14" s="1"/>
      <c r="B14" s="198" t="s">
        <v>1</v>
      </c>
      <c r="C14" s="191" t="s">
        <v>283</v>
      </c>
      <c r="D14" s="195">
        <v>6.4999999999999997E-3</v>
      </c>
      <c r="E14" s="195">
        <f>D14*(1+$E$23)-0.01%</f>
        <v>7.5699999999999986E-3</v>
      </c>
      <c r="F14" s="1"/>
    </row>
    <row r="15" spans="1:6" x14ac:dyDescent="0.25">
      <c r="A15" s="1"/>
      <c r="B15" s="198" t="s">
        <v>282</v>
      </c>
      <c r="C15" s="191" t="s">
        <v>281</v>
      </c>
      <c r="D15" s="195">
        <v>0.03</v>
      </c>
      <c r="E15" s="195">
        <f>D15*(1+$E$23)</f>
        <v>3.5399999999999994E-2</v>
      </c>
      <c r="F15" s="1"/>
    </row>
    <row r="16" spans="1:6" x14ac:dyDescent="0.25">
      <c r="A16" s="1"/>
      <c r="B16" s="197"/>
      <c r="C16" s="191"/>
      <c r="D16" s="195"/>
      <c r="E16" s="195"/>
      <c r="F16" s="1"/>
    </row>
    <row r="17" spans="1:6" x14ac:dyDescent="0.25">
      <c r="A17" s="1"/>
      <c r="B17" s="196" t="s">
        <v>280</v>
      </c>
      <c r="C17" s="194" t="s">
        <v>279</v>
      </c>
      <c r="D17" s="195"/>
      <c r="E17" s="193">
        <v>0.01</v>
      </c>
      <c r="F17" s="1"/>
    </row>
    <row r="18" spans="1:6" x14ac:dyDescent="0.25">
      <c r="A18" s="1"/>
      <c r="B18" s="192"/>
      <c r="C18" s="191"/>
      <c r="D18" s="195"/>
      <c r="E18" s="195"/>
      <c r="F18" s="1"/>
    </row>
    <row r="19" spans="1:6" x14ac:dyDescent="0.25">
      <c r="A19" s="1"/>
      <c r="B19" s="204">
        <v>4</v>
      </c>
      <c r="C19" s="194" t="s">
        <v>278</v>
      </c>
      <c r="D19" s="195"/>
      <c r="E19" s="193">
        <v>9.4000000000000004E-3</v>
      </c>
      <c r="F19" s="1"/>
    </row>
    <row r="20" spans="1:6" x14ac:dyDescent="0.25">
      <c r="A20" s="1"/>
      <c r="B20" s="192"/>
      <c r="C20" s="191"/>
      <c r="D20" s="195"/>
      <c r="E20" s="195"/>
      <c r="F20" s="1"/>
    </row>
    <row r="21" spans="1:6" x14ac:dyDescent="0.25">
      <c r="A21" s="1"/>
      <c r="B21" s="204">
        <v>5</v>
      </c>
      <c r="C21" s="194" t="s">
        <v>277</v>
      </c>
      <c r="D21" s="193">
        <v>4.8800000000000003E-2</v>
      </c>
      <c r="E21" s="193">
        <f>D21*($E$23+1)</f>
        <v>5.7584000000000003E-2</v>
      </c>
      <c r="F21" s="1"/>
    </row>
    <row r="22" spans="1:6" x14ac:dyDescent="0.25">
      <c r="A22" s="1"/>
      <c r="B22" s="192"/>
      <c r="C22" s="191"/>
      <c r="D22" s="190"/>
      <c r="E22" s="190"/>
      <c r="F22" s="1"/>
    </row>
    <row r="23" spans="1:6" x14ac:dyDescent="0.25">
      <c r="A23" s="1"/>
      <c r="B23" s="189"/>
      <c r="C23" s="188" t="s">
        <v>276</v>
      </c>
      <c r="D23" s="187"/>
      <c r="E23" s="186">
        <f>ROUND((((1+E10+E17+E19)/(1-(D12+D21))-1)),2)</f>
        <v>0.18</v>
      </c>
      <c r="F23" s="1"/>
    </row>
    <row r="24" spans="1:6" x14ac:dyDescent="0.25">
      <c r="A24" s="1"/>
      <c r="B24" s="184"/>
      <c r="C24" s="1"/>
      <c r="D24" s="185"/>
      <c r="E24" s="185"/>
      <c r="F24" s="1"/>
    </row>
    <row r="25" spans="1:6" x14ac:dyDescent="0.25">
      <c r="A25" s="1"/>
      <c r="B25" s="206" t="s">
        <v>301</v>
      </c>
      <c r="C25" s="1"/>
      <c r="D25" s="185"/>
      <c r="E25" s="185"/>
      <c r="F25" s="1"/>
    </row>
    <row r="26" spans="1:6" x14ac:dyDescent="0.25">
      <c r="A26" s="1"/>
      <c r="B26" s="184"/>
      <c r="C26" s="1"/>
      <c r="D26" s="1">
        <f>((1+0.06+0.01+0.0094)/(1-(0.0365+0.0488))-1)*100</f>
        <v>18.005903574942629</v>
      </c>
      <c r="E26" s="1" t="s">
        <v>302</v>
      </c>
      <c r="F26" s="1"/>
    </row>
    <row r="27" spans="1:6" x14ac:dyDescent="0.25">
      <c r="A27" s="1"/>
      <c r="B27" s="184"/>
      <c r="C27" s="1"/>
      <c r="D27" s="207">
        <v>0.18</v>
      </c>
      <c r="E27" s="1" t="s">
        <v>303</v>
      </c>
      <c r="F27" s="1"/>
    </row>
    <row r="28" spans="1:6" x14ac:dyDescent="0.25">
      <c r="A28" s="1"/>
      <c r="B28" s="184"/>
      <c r="C28" s="1"/>
      <c r="D28" s="1"/>
      <c r="E28" s="1"/>
      <c r="F28" s="1"/>
    </row>
    <row r="29" spans="1:6" x14ac:dyDescent="0.25">
      <c r="A29" s="1"/>
      <c r="B29" s="184"/>
      <c r="C29" s="1"/>
      <c r="D29" s="1"/>
      <c r="E29" s="1"/>
      <c r="F29" s="1"/>
    </row>
  </sheetData>
  <mergeCells count="3">
    <mergeCell ref="B4:E4"/>
    <mergeCell ref="B5:E5"/>
    <mergeCell ref="B6:E6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3</vt:i4>
      </vt:variant>
    </vt:vector>
  </HeadingPairs>
  <TitlesOfParts>
    <vt:vector size="10" baseType="lpstr">
      <vt:lpstr>Orçamentária_MIR</vt:lpstr>
      <vt:lpstr>Custos unit</vt:lpstr>
      <vt:lpstr>Custos unit_implant. serviços</vt:lpstr>
      <vt:lpstr>momento de transporte</vt:lpstr>
      <vt:lpstr>BDI_serviços</vt:lpstr>
      <vt:lpstr>BDI_fornecimentos</vt:lpstr>
      <vt:lpstr>Plan1</vt:lpstr>
      <vt:lpstr>BDI_fornecimentos!Area_de_impressao</vt:lpstr>
      <vt:lpstr>'Custos unit'!Area_de_impressao</vt:lpstr>
      <vt:lpstr>'momento de transporte'!Area_de_impressao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Clooer Costa de Oliveira</dc:creator>
  <cp:lastModifiedBy>Joselandia Rodrigues Bezerra Cordeiro</cp:lastModifiedBy>
  <cp:lastPrinted>2014-05-08T12:31:13Z</cp:lastPrinted>
  <dcterms:created xsi:type="dcterms:W3CDTF">2014-03-20T19:06:52Z</dcterms:created>
  <dcterms:modified xsi:type="dcterms:W3CDTF">2014-11-24T18:26:53Z</dcterms:modified>
</cp:coreProperties>
</file>