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rinterSettings/printerSettings1.bin" ContentType="application/vnd.openxmlformats-officedocument.spreadsheetml.printerSettings"/>
  <Override PartName="/xl/drawings/drawing5.xml" ContentType="application/vnd.openxmlformats-officedocument.drawing+xml"/>
  <Override PartName="/xl/printerSettings/printerSettings2.bin" ContentType="application/vnd.openxmlformats-officedocument.spreadsheetml.printerSettings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/>
  <mc:AlternateContent xmlns:mc="http://schemas.openxmlformats.org/markup-compatibility/2006">
    <mc:Choice Requires="x15">
      <x15ac:absPath xmlns:x15ac="http://schemas.microsoft.com/office/spreadsheetml/2010/11/ac" url="\\SRV045sr\GRD-UEP\LICITAÇÕES_2020\3. SRP-Pavimentação Paralelepípedo\"/>
    </mc:Choice>
  </mc:AlternateContent>
  <xr:revisionPtr revIDLastSave="0" documentId="13_ncr:1_{B3796C55-3B92-4D3E-A043-12E14B4D1143}" xr6:coauthVersionLast="45" xr6:coauthVersionMax="45" xr10:uidLastSave="{00000000-0000-0000-0000-000000000000}"/>
  <bookViews>
    <workbookView xWindow="-120" yWindow="-120" windowWidth="29040" windowHeight="15840" tabRatio="895" xr2:uid="{00000000-000D-0000-FFFF-FFFF00000000}"/>
  </bookViews>
  <sheets>
    <sheet name="Planilha Resumo" sheetId="7" r:id="rId1"/>
    <sheet name="Orçamento Módulo Mínimo" sheetId="1" r:id="rId2"/>
    <sheet name="Orçamento Módulo Total" sheetId="13" r:id="rId3"/>
    <sheet name="CRONOGRAMA" sheetId="14" r:id="rId4"/>
    <sheet name="CPUs" sheetId="4" r:id="rId5"/>
    <sheet name="Cotações" sheetId="11" r:id="rId6"/>
    <sheet name="BDI" sheetId="5" r:id="rId7"/>
    <sheet name="Encargos Sociais" sheetId="12" r:id="rId8"/>
    <sheet name="Curva ABC" sheetId="9" r:id="rId9"/>
  </sheets>
  <definedNames>
    <definedName name="_xlnm.Print_Area" localSheetId="5">Cotações!$A$1:$G$16</definedName>
    <definedName name="_xlnm.Print_Area" localSheetId="4">CPUs!$A$1:$J$120</definedName>
    <definedName name="_xlnm.Print_Area" localSheetId="3">CRONOGRAMA!$A$1:$J$45</definedName>
    <definedName name="_xlnm.Print_Area" localSheetId="8">'Curva ABC'!$A$1:$G$23</definedName>
    <definedName name="_xlnm.Print_Area" localSheetId="1">'Orçamento Módulo Mínimo'!$A$1:$I$31</definedName>
    <definedName name="_xlnm.Print_Area" localSheetId="2">'Orçamento Módulo Total'!$A$1:$I$31</definedName>
    <definedName name="_xlnm.Print_Area" localSheetId="0">'Planilha Resumo'!$A$1:$F$19</definedName>
    <definedName name="JR_PAGE_ANCHOR_0_1" localSheetId="3">#REF!</definedName>
    <definedName name="JR_PAGE_ANCHOR_0_1">#REF!</definedName>
    <definedName name="_xlnm.Print_Titles" localSheetId="4">CPUs!$1:$4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9" l="1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F4" i="9"/>
  <c r="F5" i="9" s="1"/>
  <c r="F6" i="9" s="1"/>
  <c r="F7" i="9" s="1"/>
  <c r="F8" i="9" s="1"/>
  <c r="F9" i="9" s="1"/>
  <c r="F10" i="9" s="1"/>
  <c r="F11" i="9" s="1"/>
  <c r="F12" i="9" s="1"/>
  <c r="F13" i="9" s="1"/>
  <c r="F14" i="9" s="1"/>
  <c r="F15" i="9" s="1"/>
  <c r="F16" i="9" s="1"/>
  <c r="F17" i="9" s="1"/>
  <c r="F18" i="9" s="1"/>
  <c r="F19" i="9" s="1"/>
  <c r="F20" i="9" s="1"/>
  <c r="F21" i="9" s="1"/>
  <c r="F22" i="9" s="1"/>
  <c r="F23" i="9" s="1"/>
  <c r="E4" i="9"/>
  <c r="F44" i="12"/>
  <c r="E44" i="12"/>
  <c r="D44" i="12"/>
  <c r="C44" i="12"/>
  <c r="F40" i="12"/>
  <c r="E40" i="12"/>
  <c r="D40" i="12"/>
  <c r="C40" i="12"/>
  <c r="F33" i="12"/>
  <c r="F46" i="12" s="1"/>
  <c r="E33" i="12"/>
  <c r="E46" i="12" s="1"/>
  <c r="D33" i="12"/>
  <c r="D46" i="12" s="1"/>
  <c r="C33" i="12"/>
  <c r="C46" i="12" s="1"/>
  <c r="E16" i="5"/>
  <c r="E21" i="5" s="1"/>
  <c r="G12" i="11"/>
  <c r="I68" i="4" s="1"/>
  <c r="J68" i="4" s="1"/>
  <c r="J104" i="4"/>
  <c r="J105" i="4" s="1"/>
  <c r="J103" i="4"/>
  <c r="J93" i="4"/>
  <c r="J92" i="4"/>
  <c r="J91" i="4"/>
  <c r="J90" i="4"/>
  <c r="J82" i="4"/>
  <c r="J81" i="4"/>
  <c r="J80" i="4"/>
  <c r="J79" i="4"/>
  <c r="J78" i="4"/>
  <c r="J77" i="4"/>
  <c r="J83" i="4" s="1"/>
  <c r="J76" i="4"/>
  <c r="J67" i="4"/>
  <c r="J66" i="4"/>
  <c r="J65" i="4"/>
  <c r="J64" i="4"/>
  <c r="J63" i="4"/>
  <c r="J57" i="4"/>
  <c r="J56" i="4"/>
  <c r="J55" i="4"/>
  <c r="J54" i="4"/>
  <c r="J53" i="4"/>
  <c r="J52" i="4"/>
  <c r="J58" i="4" s="1"/>
  <c r="J44" i="4"/>
  <c r="J43" i="4"/>
  <c r="J42" i="4"/>
  <c r="J41" i="4"/>
  <c r="J40" i="4"/>
  <c r="J45" i="4" s="1"/>
  <c r="J39" i="4"/>
  <c r="J33" i="4"/>
  <c r="J32" i="4"/>
  <c r="J31" i="4"/>
  <c r="J23" i="4"/>
  <c r="J22" i="4"/>
  <c r="J21" i="4"/>
  <c r="J24" i="4" s="1"/>
  <c r="J14" i="4"/>
  <c r="J13" i="4"/>
  <c r="J12" i="4"/>
  <c r="J11" i="4"/>
  <c r="J10" i="4"/>
  <c r="J15" i="4" s="1"/>
  <c r="J9" i="4"/>
  <c r="J8" i="4"/>
  <c r="I2" i="4"/>
  <c r="G2" i="4"/>
  <c r="E2" i="4"/>
  <c r="I41" i="14"/>
  <c r="I39" i="14"/>
  <c r="I37" i="14"/>
  <c r="I35" i="14"/>
  <c r="I33" i="14"/>
  <c r="I31" i="14"/>
  <c r="I29" i="14"/>
  <c r="B18" i="14"/>
  <c r="B16" i="14"/>
  <c r="B14" i="14"/>
  <c r="B12" i="14"/>
  <c r="B10" i="14"/>
  <c r="B8" i="14"/>
  <c r="B6" i="14"/>
  <c r="H30" i="13"/>
  <c r="G29" i="13"/>
  <c r="H29" i="13" s="1"/>
  <c r="H25" i="13"/>
  <c r="F25" i="13"/>
  <c r="I25" i="13" s="1"/>
  <c r="H24" i="13"/>
  <c r="H21" i="13"/>
  <c r="H20" i="13"/>
  <c r="H19" i="13"/>
  <c r="H18" i="13"/>
  <c r="H17" i="13"/>
  <c r="H16" i="13"/>
  <c r="H15" i="13"/>
  <c r="L12" i="13"/>
  <c r="L13" i="13" s="1"/>
  <c r="F12" i="13"/>
  <c r="L10" i="13"/>
  <c r="G9" i="13"/>
  <c r="H9" i="13" s="1"/>
  <c r="C3" i="13"/>
  <c r="J36" i="1"/>
  <c r="E16" i="7" s="1"/>
  <c r="H30" i="1"/>
  <c r="F30" i="1"/>
  <c r="I30" i="1" s="1"/>
  <c r="G29" i="1"/>
  <c r="H29" i="1" s="1"/>
  <c r="F29" i="1"/>
  <c r="I29" i="1" s="1"/>
  <c r="I28" i="1" s="1"/>
  <c r="H25" i="1"/>
  <c r="F25" i="1"/>
  <c r="I25" i="1" s="1"/>
  <c r="H24" i="1"/>
  <c r="F24" i="1"/>
  <c r="I24" i="1" s="1"/>
  <c r="H21" i="1"/>
  <c r="H20" i="1"/>
  <c r="H19" i="1"/>
  <c r="I19" i="1" s="1"/>
  <c r="F19" i="1"/>
  <c r="H18" i="1"/>
  <c r="H17" i="1"/>
  <c r="F17" i="1"/>
  <c r="I17" i="1" s="1"/>
  <c r="I16" i="1"/>
  <c r="H16" i="1"/>
  <c r="F16" i="1"/>
  <c r="H15" i="1"/>
  <c r="I15" i="1" s="1"/>
  <c r="F15" i="1"/>
  <c r="G11" i="1"/>
  <c r="H11" i="1" s="1"/>
  <c r="I11" i="1" s="1"/>
  <c r="F7" i="1"/>
  <c r="F14" i="1" s="1"/>
  <c r="J26" i="4" l="1"/>
  <c r="G11" i="13"/>
  <c r="H11" i="13" s="1"/>
  <c r="G10" i="1"/>
  <c r="H10" i="1" s="1"/>
  <c r="I10" i="1" s="1"/>
  <c r="J33" i="1" s="1"/>
  <c r="E12" i="7" s="1"/>
  <c r="J25" i="4"/>
  <c r="J59" i="4"/>
  <c r="J60" i="4"/>
  <c r="J84" i="4"/>
  <c r="G27" i="13"/>
  <c r="H27" i="13" s="1"/>
  <c r="J85" i="4"/>
  <c r="I14" i="1"/>
  <c r="F19" i="13"/>
  <c r="I19" i="13" s="1"/>
  <c r="F15" i="13"/>
  <c r="I15" i="13" s="1"/>
  <c r="F10" i="13"/>
  <c r="F9" i="13"/>
  <c r="F16" i="13"/>
  <c r="I16" i="13" s="1"/>
  <c r="F7" i="13"/>
  <c r="F30" i="13"/>
  <c r="I30" i="13" s="1"/>
  <c r="F24" i="13"/>
  <c r="I24" i="13" s="1"/>
  <c r="J36" i="13" s="1"/>
  <c r="F17" i="13"/>
  <c r="I17" i="13" s="1"/>
  <c r="J69" i="4"/>
  <c r="J95" i="4"/>
  <c r="G14" i="1"/>
  <c r="H14" i="1" s="1"/>
  <c r="F18" i="1"/>
  <c r="I18" i="1" s="1"/>
  <c r="J35" i="1" s="1"/>
  <c r="E14" i="7" s="1"/>
  <c r="G14" i="13"/>
  <c r="H14" i="13" s="1"/>
  <c r="F27" i="13"/>
  <c r="I27" i="13" s="1"/>
  <c r="I26" i="13" s="1"/>
  <c r="G10" i="13"/>
  <c r="H10" i="13" s="1"/>
  <c r="D13" i="7"/>
  <c r="G27" i="1"/>
  <c r="H27" i="1" s="1"/>
  <c r="I27" i="1" s="1"/>
  <c r="I26" i="1" s="1"/>
  <c r="F11" i="13"/>
  <c r="F18" i="13"/>
  <c r="I18" i="13" s="1"/>
  <c r="J16" i="4"/>
  <c r="J17" i="4" s="1"/>
  <c r="G9" i="1"/>
  <c r="H9" i="1" s="1"/>
  <c r="G12" i="1"/>
  <c r="H12" i="1" s="1"/>
  <c r="I12" i="1" s="1"/>
  <c r="J37" i="1" s="1"/>
  <c r="E13" i="7" s="1"/>
  <c r="J46" i="4"/>
  <c r="J47" i="4" s="1"/>
  <c r="G12" i="13"/>
  <c r="H12" i="13" s="1"/>
  <c r="I12" i="13" s="1"/>
  <c r="J37" i="13" s="1"/>
  <c r="G7" i="13"/>
  <c r="H7" i="13" s="1"/>
  <c r="J106" i="4"/>
  <c r="J107" i="4" s="1"/>
  <c r="G7" i="1"/>
  <c r="H7" i="1" s="1"/>
  <c r="I7" i="1" s="1"/>
  <c r="F21" i="1"/>
  <c r="I21" i="1" s="1"/>
  <c r="F23" i="1"/>
  <c r="J34" i="4"/>
  <c r="J35" i="4" s="1"/>
  <c r="J94" i="4"/>
  <c r="F20" i="1"/>
  <c r="I20" i="1" s="1"/>
  <c r="F13" i="7" l="1"/>
  <c r="C12" i="14" s="1"/>
  <c r="C36" i="14" s="1"/>
  <c r="I9" i="13"/>
  <c r="D10" i="7"/>
  <c r="I13" i="1"/>
  <c r="J71" i="4"/>
  <c r="G23" i="13"/>
  <c r="H23" i="13" s="1"/>
  <c r="G23" i="1"/>
  <c r="H23" i="1" s="1"/>
  <c r="I23" i="1" s="1"/>
  <c r="J70" i="4"/>
  <c r="I10" i="13"/>
  <c r="D12" i="7"/>
  <c r="F12" i="7" s="1"/>
  <c r="C10" i="14" s="1"/>
  <c r="F14" i="13"/>
  <c r="I14" i="13" s="1"/>
  <c r="F20" i="13"/>
  <c r="I20" i="13" s="1"/>
  <c r="J35" i="13" s="1"/>
  <c r="F29" i="13"/>
  <c r="I29" i="13" s="1"/>
  <c r="I28" i="13" s="1"/>
  <c r="F23" i="13"/>
  <c r="I23" i="13" s="1"/>
  <c r="I22" i="13" s="1"/>
  <c r="F21" i="13"/>
  <c r="I21" i="13" s="1"/>
  <c r="I7" i="13"/>
  <c r="D11" i="7"/>
  <c r="D15" i="7" s="1"/>
  <c r="J38" i="1"/>
  <c r="E11" i="7" s="1"/>
  <c r="I6" i="1"/>
  <c r="I9" i="1"/>
  <c r="E10" i="7"/>
  <c r="F10" i="7" s="1"/>
  <c r="I11" i="13"/>
  <c r="H36" i="14" l="1"/>
  <c r="F36" i="14"/>
  <c r="G36" i="14"/>
  <c r="F13" i="14"/>
  <c r="G13" i="14"/>
  <c r="E13" i="14"/>
  <c r="J13" i="14"/>
  <c r="E36" i="14"/>
  <c r="I13" i="14"/>
  <c r="D36" i="14"/>
  <c r="H13" i="14"/>
  <c r="I22" i="1"/>
  <c r="J32" i="1"/>
  <c r="E15" i="7" s="1"/>
  <c r="F15" i="7" s="1"/>
  <c r="C16" i="14" s="1"/>
  <c r="G34" i="14"/>
  <c r="C34" i="14"/>
  <c r="I11" i="14"/>
  <c r="E11" i="14"/>
  <c r="F34" i="14"/>
  <c r="H11" i="14"/>
  <c r="E34" i="14"/>
  <c r="G11" i="14"/>
  <c r="H34" i="14"/>
  <c r="D34" i="14"/>
  <c r="J11" i="14"/>
  <c r="F11" i="14"/>
  <c r="D16" i="7"/>
  <c r="F16" i="7" s="1"/>
  <c r="C18" i="14" s="1"/>
  <c r="D14" i="7"/>
  <c r="F14" i="7" s="1"/>
  <c r="C14" i="14" s="1"/>
  <c r="J33" i="13"/>
  <c r="J34" i="1"/>
  <c r="I8" i="1"/>
  <c r="J38" i="13"/>
  <c r="I6" i="13"/>
  <c r="I31" i="1"/>
  <c r="I40" i="1" s="1"/>
  <c r="J32" i="13"/>
  <c r="I13" i="13"/>
  <c r="J34" i="13"/>
  <c r="I8" i="13"/>
  <c r="C6" i="14"/>
  <c r="F11" i="7"/>
  <c r="C8" i="14" s="1"/>
  <c r="I36" i="14"/>
  <c r="E21" i="7" l="1"/>
  <c r="G42" i="14"/>
  <c r="C42" i="14"/>
  <c r="I19" i="14"/>
  <c r="E19" i="14"/>
  <c r="F42" i="14"/>
  <c r="H19" i="14"/>
  <c r="E42" i="14"/>
  <c r="G19" i="14"/>
  <c r="H42" i="14"/>
  <c r="D42" i="14"/>
  <c r="J19" i="14"/>
  <c r="F19" i="14"/>
  <c r="I34" i="14"/>
  <c r="G30" i="14"/>
  <c r="C30" i="14"/>
  <c r="I7" i="14"/>
  <c r="E7" i="14"/>
  <c r="F30" i="14"/>
  <c r="H7" i="14"/>
  <c r="E30" i="14"/>
  <c r="C20" i="14"/>
  <c r="G7" i="14"/>
  <c r="H30" i="14"/>
  <c r="D30" i="14"/>
  <c r="J7" i="14"/>
  <c r="F7" i="14"/>
  <c r="G32" i="14"/>
  <c r="C32" i="14"/>
  <c r="I9" i="14"/>
  <c r="E9" i="14"/>
  <c r="F32" i="14"/>
  <c r="H9" i="14"/>
  <c r="E32" i="14"/>
  <c r="G9" i="14"/>
  <c r="H32" i="14"/>
  <c r="D32" i="14"/>
  <c r="J9" i="14"/>
  <c r="F9" i="14"/>
  <c r="G40" i="14"/>
  <c r="C40" i="14"/>
  <c r="I17" i="14"/>
  <c r="E17" i="14"/>
  <c r="F40" i="14"/>
  <c r="H17" i="14"/>
  <c r="E40" i="14"/>
  <c r="G17" i="14"/>
  <c r="H40" i="14"/>
  <c r="D40" i="14"/>
  <c r="J17" i="14"/>
  <c r="F17" i="14"/>
  <c r="I31" i="13"/>
  <c r="F17" i="7"/>
  <c r="G38" i="14"/>
  <c r="C38" i="14"/>
  <c r="I15" i="14"/>
  <c r="E15" i="14"/>
  <c r="F38" i="14"/>
  <c r="H15" i="14"/>
  <c r="E38" i="14"/>
  <c r="G15" i="14"/>
  <c r="H38" i="14"/>
  <c r="D38" i="14"/>
  <c r="J15" i="14"/>
  <c r="F15" i="14"/>
  <c r="I40" i="14" l="1"/>
  <c r="D43" i="14"/>
  <c r="H20" i="14"/>
  <c r="C43" i="14"/>
  <c r="I32" i="14"/>
  <c r="E24" i="7"/>
  <c r="E28" i="7" s="1"/>
  <c r="I40" i="13"/>
  <c r="H43" i="14"/>
  <c r="F43" i="14"/>
  <c r="G43" i="14"/>
  <c r="I30" i="14"/>
  <c r="G20" i="14"/>
  <c r="E20" i="14"/>
  <c r="E21" i="14" s="1"/>
  <c r="I42" i="14"/>
  <c r="I38" i="14"/>
  <c r="F20" i="14"/>
  <c r="J20" i="14"/>
  <c r="E43" i="14"/>
  <c r="I20" i="14"/>
  <c r="F21" i="14" l="1"/>
  <c r="G21" i="14" s="1"/>
  <c r="H21" i="14" s="1"/>
  <c r="I21" i="14" s="1"/>
  <c r="J21" i="14" s="1"/>
  <c r="C44" i="14" s="1"/>
  <c r="D44" i="14" s="1"/>
  <c r="E44" i="14" s="1"/>
  <c r="F44" i="14" s="1"/>
  <c r="G44" i="14" s="1"/>
  <c r="H44" i="14" s="1"/>
  <c r="I43" i="14"/>
</calcChain>
</file>

<file path=xl/sharedStrings.xml><?xml version="1.0" encoding="utf-8"?>
<sst xmlns="http://schemas.openxmlformats.org/spreadsheetml/2006/main" count="981" uniqueCount="388">
  <si>
    <t>Objeto: Execução dos serviços de pavimentação em paralelepípedo em granito, num total de  289.992,00m² de área, de vias urbanas e rurais em municípios diversos localizados na área de atuação da 5ª Superintendência Regional da Codevasf</t>
  </si>
  <si>
    <t>Preço Data base: SINAPI -Maio/2020; ORSE - Março/2020</t>
  </si>
  <si>
    <t>QUADRO RESUMO</t>
  </si>
  <si>
    <t>ITEM</t>
  </si>
  <si>
    <t>DESCRIÇÃO</t>
  </si>
  <si>
    <t>Unidade</t>
  </si>
  <si>
    <t>Total</t>
  </si>
  <si>
    <t>CUSTOS TOTAIS (R$)</t>
  </si>
  <si>
    <t xml:space="preserve">Preço por unitário c/BDI </t>
  </si>
  <si>
    <t>R$ Total</t>
  </si>
  <si>
    <t>1.0</t>
  </si>
  <si>
    <t>Placa da Obra</t>
  </si>
  <si>
    <t>m²</t>
  </si>
  <si>
    <t>1.1</t>
  </si>
  <si>
    <t>Projeto Executivo</t>
  </si>
  <si>
    <t>1.2</t>
  </si>
  <si>
    <t>Mobilização e Desmobilização</t>
  </si>
  <si>
    <t>Undidade</t>
  </si>
  <si>
    <t>1.3</t>
  </si>
  <si>
    <t>Administração da Obra</t>
  </si>
  <si>
    <t>1.4</t>
  </si>
  <si>
    <t xml:space="preserve">Serviços de Terraplenagem </t>
  </si>
  <si>
    <t>1.5</t>
  </si>
  <si>
    <t>Pavimentação em paralelepípedo granítico</t>
  </si>
  <si>
    <t>1.6</t>
  </si>
  <si>
    <t xml:space="preserve">Meio fio </t>
  </si>
  <si>
    <t>m</t>
  </si>
  <si>
    <t xml:space="preserve">VALOR TOTAL DO SRP </t>
  </si>
  <si>
    <t>R$ 97,42/m²</t>
  </si>
  <si>
    <t xml:space="preserve">Ministério do Desenvolvimento Regional – MDR
Companhia de Desenvolvimento dos Vales do São Francisco e do Parnaíba
5ª GRD/UEP - 5ª Superintendência Regional </t>
  </si>
  <si>
    <t>Bancos</t>
  </si>
  <si>
    <t>B.D.I.</t>
  </si>
  <si>
    <t>Encargos Sociais</t>
  </si>
  <si>
    <t>Serviços</t>
  </si>
  <si>
    <t>PAVIMENTAÇÃO EM PARALELO GRANÍTICO</t>
  </si>
  <si>
    <t xml:space="preserve">SINAPI - 05/2020 - Alagoas
ORSE - 03/2020 - Sergipe
</t>
  </si>
  <si>
    <t xml:space="preserve">Não Desonerado: 
Horista: 117,03%
</t>
  </si>
  <si>
    <t>COMPRIMENTO: 400,00 m / LARGURA: 6,00 m - (MÓDULO MÍNIMO)</t>
  </si>
  <si>
    <t>Planilha Orçamentária - Módulo Mínimo</t>
  </si>
  <si>
    <t>Item</t>
  </si>
  <si>
    <t>Código</t>
  </si>
  <si>
    <t>Banco</t>
  </si>
  <si>
    <t>Descrição</t>
  </si>
  <si>
    <t>Und</t>
  </si>
  <si>
    <t>Quant.</t>
  </si>
  <si>
    <t>Valor Unit sem BDI</t>
  </si>
  <si>
    <t>Valor Unit com BDI</t>
  </si>
  <si>
    <t xml:space="preserve">grupo </t>
  </si>
  <si>
    <t xml:space="preserve"> 1 </t>
  </si>
  <si>
    <t>DESENVOLVIMENTO DO PROJETO BÁSICO E EXECUTIVO</t>
  </si>
  <si>
    <t xml:space="preserve"> 1.1 </t>
  </si>
  <si>
    <t>CPU 09</t>
  </si>
  <si>
    <t>CODEVASF</t>
  </si>
  <si>
    <t>DESENVOLVIMENTO DE PROJETO EXECUTIVO</t>
  </si>
  <si>
    <t>SERVIÇOS PRELIMINARES</t>
  </si>
  <si>
    <t>2.1</t>
  </si>
  <si>
    <t>CPU 01</t>
  </si>
  <si>
    <t>2.2</t>
  </si>
  <si>
    <t>CPU 02</t>
  </si>
  <si>
    <t>MOBILIZAÇÃO</t>
  </si>
  <si>
    <t>und</t>
  </si>
  <si>
    <t>2.3</t>
  </si>
  <si>
    <t>CPU 03</t>
  </si>
  <si>
    <t>DESMOBILIZAÇÃO</t>
  </si>
  <si>
    <t>2.4</t>
  </si>
  <si>
    <t>CPU 04</t>
  </si>
  <si>
    <t>ADMINISTRAÇÃO LOCAL</t>
  </si>
  <si>
    <t>TERRAPLANAGEM</t>
  </si>
  <si>
    <t>3.1</t>
  </si>
  <si>
    <t>CPU 05</t>
  </si>
  <si>
    <t>SERVICOS TOPOGRAFICOS PARA PAVIMENTACAO, INCLUSIVE NOTA DE SERVICOS, ACOMPANHAMENTO E GREIDE</t>
  </si>
  <si>
    <t>3.2</t>
  </si>
  <si>
    <t xml:space="preserve"> 74205/001 </t>
  </si>
  <si>
    <t>SINAPI</t>
  </si>
  <si>
    <t>ESCAVACAO MECANICA DE MATERIAL 1A. CATEGORIA, PROVENIENTE DE CORTE DE SUBLEITO (C/TRATOR ESTEIRAS  160HP)</t>
  </si>
  <si>
    <t>m³</t>
  </si>
  <si>
    <t>3.3</t>
  </si>
  <si>
    <t xml:space="preserve"> 74010/001 </t>
  </si>
  <si>
    <t>CARGA E DESCARGA MECANICA DE SOLO UTILIZANDO CAMINHAO BASCULANTE 6,0M3/16T E PA CARREGADEIRA SOBRE PNEUS 128 HP, CAPACIDADE DA CAÇAMBA 1,7 A 2,8 M3, PESO OPERACIONAL 11632 KG</t>
  </si>
  <si>
    <t>3.4</t>
  </si>
  <si>
    <t xml:space="preserve"> 97912 </t>
  </si>
  <si>
    <t>TRANSPORTE COM CAMINHÃO BASCULANTE DE 6 M3, EM VIA URBANA EM LEITO NATURAL (UNIDADE: M3XKM). AF_01/2018</t>
  </si>
  <si>
    <t>M3XKM</t>
  </si>
  <si>
    <t>3.5</t>
  </si>
  <si>
    <t>ESPALHAMENTO DE MATERIAL COM TRATOR DE ESTEIRAS.BOTA-FORA</t>
  </si>
  <si>
    <t>3.6</t>
  </si>
  <si>
    <t>EXECUÇÃO E COMPACTAÇÃO DE ATERRO COM SOLO PREDOMINENTEMENTE ARGILOSO - EXCLUSIVE ESCAVAÇÃO, CARGA, TRANSPORTE E SOLO.</t>
  </si>
  <si>
    <t>3.7</t>
  </si>
  <si>
    <t>ORSE</t>
  </si>
  <si>
    <t>REGULARIZAÇÃO MECANIZADA DE ÁREAS.</t>
  </si>
  <si>
    <t>3.8</t>
  </si>
  <si>
    <t>REGULARIZAÇÃO DE SUPERFÍCIES COM MOTONIVELADORA. AF_11/2019</t>
  </si>
  <si>
    <t>PAVIMENTO EM PARALELO GRANÍTICO</t>
  </si>
  <si>
    <t>4.1</t>
  </si>
  <si>
    <t>CPU 06</t>
  </si>
  <si>
    <t>PAVIMENTO EM PARALELEPIPEDO SOBRE COLCHAO DE AREIA REJUNTADO COM ARGAMASSA DE CIMENTO E AREIA NO TRAÇO 1:3 (com frete)</t>
  </si>
  <si>
    <t>4.2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</si>
  <si>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</si>
  <si>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</si>
  <si>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>4.3</t>
  </si>
  <si>
    <t>CAIACAO EM MEIO FIO</t>
  </si>
  <si>
    <t>5.</t>
  </si>
  <si>
    <t>SINALIZAÇÃO VIÁRIA</t>
  </si>
  <si>
    <t>5.1</t>
  </si>
  <si>
    <t>CPU 07</t>
  </si>
  <si>
    <t>SINALIZAÇÃO NOTURNA COM TELA TAPUME PVC, BALDE PLÁSTICO FIAÇÃO E LÂMPADA, REUTILIZAÇÃO 7 VEZES</t>
  </si>
  <si>
    <t>6.</t>
  </si>
  <si>
    <t>SERVIÇOS COMPLEMENTARES</t>
  </si>
  <si>
    <t>6.1</t>
  </si>
  <si>
    <t>CPU 08</t>
  </si>
  <si>
    <t>LIMPEZAÇÃO DE RUAS (varrição e remoção de entulhos)</t>
  </si>
  <si>
    <t>6.2</t>
  </si>
  <si>
    <t>ATERRO MANUAL DE ÁREAS, SEM AQUISIÇÃO DE MATERIAL, COM ESPALHAMENTO E COMPACTAÇÃO(PARA ESCORAMENTO DO MEIO FIO)</t>
  </si>
  <si>
    <t xml:space="preserve">Total Geral    </t>
  </si>
  <si>
    <t>Grupo 1</t>
  </si>
  <si>
    <t>parale</t>
  </si>
  <si>
    <t>Grupo 2</t>
  </si>
  <si>
    <t>mob e des</t>
  </si>
  <si>
    <t>Grupo 3</t>
  </si>
  <si>
    <t>pla</t>
  </si>
  <si>
    <t>Grupo 4</t>
  </si>
  <si>
    <t>terrapl</t>
  </si>
  <si>
    <t>Grupo 5</t>
  </si>
  <si>
    <t>meio</t>
  </si>
  <si>
    <t>Grupo 6</t>
  </si>
  <si>
    <t>adm</t>
  </si>
  <si>
    <t>Grupo 7</t>
  </si>
  <si>
    <t>proj ex</t>
  </si>
  <si>
    <t>R$/M²</t>
  </si>
  <si>
    <t xml:space="preserve">SINAPI - 03/2020 - Alagoas
ORSE - 12/2019 - Sergipe
</t>
  </si>
  <si>
    <t xml:space="preserve">COMPRIMENTO: </t>
  </si>
  <si>
    <t xml:space="preserve">m / LARGURA: 6,00 m </t>
  </si>
  <si>
    <t>m2</t>
  </si>
  <si>
    <t>PAVIMENTO EM PARALELEPIPEDO SOBRE COLCHAO DE AREIA REJUNTADO COM ARGAMASSA DE CIMENTO E AREIA NO TRAÇO 1:3(com frete)</t>
  </si>
  <si>
    <t>Minitério do Desenvolvimento Regional - MDR</t>
  </si>
  <si>
    <t>Companhia de Desenvolvimento dos Vales do São Francisco e do Parnaiba - 5ª Superintendência Regional</t>
  </si>
  <si>
    <t>CRONOGRAMA FÍSICO FINANCEIRO</t>
  </si>
  <si>
    <t>EXECUÇÃO DE PAVIMENTAÇÃO EM PARALELEPÍPEDO</t>
  </si>
  <si>
    <t xml:space="preserve"> </t>
  </si>
  <si>
    <r>
      <rPr>
        <sz val="10"/>
        <rFont val="Calibri"/>
        <family val="2"/>
      </rPr>
      <t>DESCRIÇÃO</t>
    </r>
  </si>
  <si>
    <r>
      <rPr>
        <sz val="10"/>
        <rFont val="Calibri"/>
        <family val="2"/>
      </rPr>
      <t>VALOR (R$)</t>
    </r>
  </si>
  <si>
    <r>
      <rPr>
        <sz val="10"/>
        <rFont val="Calibri"/>
        <family val="2"/>
      </rPr>
      <t>MÊS 1</t>
    </r>
  </si>
  <si>
    <r>
      <rPr>
        <sz val="10"/>
        <rFont val="Calibri"/>
        <family val="2"/>
      </rPr>
      <t>MÊS 2</t>
    </r>
  </si>
  <si>
    <r>
      <rPr>
        <sz val="10"/>
        <rFont val="Calibri"/>
        <family val="2"/>
      </rPr>
      <t>MÊS 3</t>
    </r>
  </si>
  <si>
    <r>
      <rPr>
        <sz val="10"/>
        <rFont val="Calibri"/>
        <family val="2"/>
      </rPr>
      <t>MÊS 4</t>
    </r>
  </si>
  <si>
    <r>
      <rPr>
        <sz val="10"/>
        <rFont val="Calibri"/>
        <family val="2"/>
      </rPr>
      <t>MÊS 5</t>
    </r>
  </si>
  <si>
    <r>
      <rPr>
        <sz val="10"/>
        <rFont val="Calibri"/>
        <family val="2"/>
      </rPr>
      <t>MÊS 6</t>
    </r>
  </si>
  <si>
    <t>%</t>
  </si>
  <si>
    <t>R$</t>
  </si>
  <si>
    <t>MÊS 7</t>
  </si>
  <si>
    <t>MÊS 8</t>
  </si>
  <si>
    <t>MÊS 9</t>
  </si>
  <si>
    <t>MÊS 10</t>
  </si>
  <si>
    <t>MÊS 11</t>
  </si>
  <si>
    <t>MÊS 12</t>
  </si>
  <si>
    <r>
      <rPr>
        <sz val="10"/>
        <rFont val="Calibri"/>
        <family val="2"/>
      </rPr>
      <t>Total parcela</t>
    </r>
  </si>
  <si>
    <t>Composições Analíticas com Preço Unitário</t>
  </si>
  <si>
    <t>Composições Principais</t>
  </si>
  <si>
    <t>Tipo</t>
  </si>
  <si>
    <t>Valor Unit</t>
  </si>
  <si>
    <t>Composição</t>
  </si>
  <si>
    <t>CANT - CANTEIRO DE OBRAS</t>
  </si>
  <si>
    <t>Composição Auxiliar</t>
  </si>
  <si>
    <t xml:space="preserve"> 94962 </t>
  </si>
  <si>
    <t>CONCRETO MAGRO PARA LASTRO, TRAÇO 1:4,5:4,5 (CIMENTO/ AREIA MÉDIA/ BRITA 1)  - PREPARO MECÂNICO COM BETONEIRA 400 L. AF_07/2016</t>
  </si>
  <si>
    <t>FUES - FUNDAÇÕES E ESTRUTURAS</t>
  </si>
  <si>
    <t xml:space="preserve"> 88262 </t>
  </si>
  <si>
    <t>CARPINTEIRO DE FORMAS COM ENCARGOS COMPLEMENTARES</t>
  </si>
  <si>
    <t>SEDI - SERVIÇOS DIVERSOS</t>
  </si>
  <si>
    <t>H</t>
  </si>
  <si>
    <t xml:space="preserve"> 88316 </t>
  </si>
  <si>
    <t>SERVENTE COM ENCARGOS COMPLEMENTARES</t>
  </si>
  <si>
    <t>Insumo</t>
  </si>
  <si>
    <t>PLACA DE OBRA (PARA CONSTRUCAO CIVIL) EM CHAPA GALVANIZADA *N. 22*, DE *2,0 X 1,125* M</t>
  </si>
  <si>
    <t>Material</t>
  </si>
  <si>
    <t xml:space="preserve"> 00004491 </t>
  </si>
  <si>
    <t>PONTALETE DE MADEIRA NAO APARELHADA *7,5 X 7,5* CM (3 X 3 ") PINUS, MISTA OU EQUIVALENTE DA REGIAO</t>
  </si>
  <si>
    <t>M</t>
  </si>
  <si>
    <t xml:space="preserve"> 00005075 </t>
  </si>
  <si>
    <t>PREGO DE ACO POLIDO COM CABECA 18 X 30 (2 3/4 X 10)</t>
  </si>
  <si>
    <t>KG</t>
  </si>
  <si>
    <t xml:space="preserve"> 00004417 </t>
  </si>
  <si>
    <t>SARRAFO DE MADEIRA NAO APARELHADA *2,5 X 7* CM, MACARANDUBA, ANGELIM OU EQUIVALENTE DA REGIAO</t>
  </si>
  <si>
    <t>valor s/BDI</t>
  </si>
  <si>
    <t>valor BDI</t>
  </si>
  <si>
    <t>Valor com BDI =&gt;</t>
  </si>
  <si>
    <t>Mobilização</t>
  </si>
  <si>
    <t xml:space="preserve"> 73340 </t>
  </si>
  <si>
    <t>CAMINHÃO TOCO, PBT 14.300 KG, CARGA ÚTIL MÁX. 9.710 KG, DIST. ENTRE EIXOS 3,56 M, POTÊNCIA 185 CV, INCLUSIVE CARROCERIA FIXA ABERTA DE MADEIRA P/ TRANSPORTE GERAL DE CARGA SECA, DIMEN. APROX. 2,50 X 6,50 X 0,50 M - MATERIAIS NA OPERAÇÃO. AF_06/2014</t>
  </si>
  <si>
    <t>CHOR - CUSTOS HORÁRIOS DE MÁQUINAS E EQUIPAMENTOS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</si>
  <si>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</si>
  <si>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</si>
  <si>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>CHP</t>
  </si>
  <si>
    <t xml:space="preserve"> 5896 </t>
  </si>
  <si>
    <t>Veículo tipo sedan ou pick-up capacidade 0,6 ton</t>
  </si>
  <si>
    <t>Equipamento</t>
  </si>
  <si>
    <t>h</t>
  </si>
  <si>
    <t>Desmobilização</t>
  </si>
  <si>
    <t>Administração Local</t>
  </si>
  <si>
    <t>global</t>
  </si>
  <si>
    <t>ENGENHEIRO CIVIL DE OBRA JUNIOR COM ENCARGOS COMPLEMENTARES</t>
  </si>
  <si>
    <t>mês</t>
  </si>
  <si>
    <t>ENCARREGADO GERAL COM ENCARGOS COMPLEMENTARES</t>
  </si>
  <si>
    <t>INSUMO</t>
  </si>
  <si>
    <t>LOCACAO DE CONTAINER 2,30 X 6,00 M, ALT. 2,50 M, COM 1 SANITARIO, PARA ESCRITORIO, COMPLETO, SEM DIVISORIAS INTERNAS</t>
  </si>
  <si>
    <t>Mobilização / Instalações Provisórias / Desmobilização</t>
  </si>
  <si>
    <t>consultiva</t>
  </si>
  <si>
    <t>Veículo Saveiro Robust 1.6 Total Flex 8V</t>
  </si>
  <si>
    <t>Administração</t>
  </si>
  <si>
    <t xml:space="preserve"> 00014250 </t>
  </si>
  <si>
    <t>ENERGIA ELETRICA COMERCIAL, BAIXA TENSAO, RELATIVA AO CONSUMO DE ATE 100 KWH, INCLUINDO ICMS, PIS/PASEP E COFINS</t>
  </si>
  <si>
    <t>KW/H</t>
  </si>
  <si>
    <t xml:space="preserve"> 00014583 </t>
  </si>
  <si>
    <t>TARIFA "A" ENTRE  0 E 20M3 FORNECIMENTO D'AGUA</t>
  </si>
  <si>
    <t>SERT - SERVIÇOS TÉCNICOS</t>
  </si>
  <si>
    <t xml:space="preserve"> 92145 </t>
  </si>
  <si>
    <t>CAMINHONETE CABINE SIMPLES COM MOTOR 1.6 FLEX, CÂMBIO MANUAL, POTÊNCIA 101/104 CV, 2 PORTAS - CHP DIURNO. AF_11/2015</t>
  </si>
  <si>
    <t>AUXILIAR DE TOPÓGRAFO COM ENCARGOS COMPLEMENTARES</t>
  </si>
  <si>
    <t xml:space="preserve"> 88288 </t>
  </si>
  <si>
    <t>NIVELADOR COM ENCARGOS COMPLEMENTARES</t>
  </si>
  <si>
    <t xml:space="preserve"> 88597 </t>
  </si>
  <si>
    <t>DESENHISTA DETALHISTA COM ENCARGOS COMPLEMENTARES</t>
  </si>
  <si>
    <t xml:space="preserve"> 00006204 </t>
  </si>
  <si>
    <t>SARRAFO DE MADEIRA NAO APARELHADA *2,5 X 15* CM, MACARANDUBA, ANGELIM OU EQUIVALENTE DA REGIAO</t>
  </si>
  <si>
    <t>PAVIMENTO EM PARALELEPIPEDO SOBRE COLCHAO DE AREIA REJUNTADO COM ARGAMASSA DE CIMENTO E AREIA NO TRAÇO 1:3 (PEDRAS PEQUENAS 30 A 35 PECAS POR M2)</t>
  </si>
  <si>
    <t>PAVI - PAVIMENTAÇÃO</t>
  </si>
  <si>
    <t xml:space="preserve"> 88260 </t>
  </si>
  <si>
    <t>CALCETEIRO COM ENCARGOS COMPLEMENTARES</t>
  </si>
  <si>
    <t xml:space="preserve"> 00001379 </t>
  </si>
  <si>
    <t>CIMENTO PORTLAND COMPOSTO CP II-32</t>
  </si>
  <si>
    <t>COTAÇÃO</t>
  </si>
  <si>
    <t>PARALELEPIPEDO GRANITICO OU BASALTICO, PARA PAVIMENTACAO, COM FRETE,  *30 A 35* PECAS POR M2</t>
  </si>
  <si>
    <t>MIL</t>
  </si>
  <si>
    <t>Sinalização noturna com tela tapume pvc, balde plástico fiação e lâmpada, reutilização 7 vezes</t>
  </si>
  <si>
    <t>Serviços de Proteção e Segurança</t>
  </si>
  <si>
    <t xml:space="preserve"> 5158 </t>
  </si>
  <si>
    <t>Sinalização Diurna com Tela tapume em pvc - 10 usos</t>
  </si>
  <si>
    <t xml:space="preserve"> 88264 </t>
  </si>
  <si>
    <t>ELETRICISTA COM ENCARGOS COMPLEMENTARES</t>
  </si>
  <si>
    <t xml:space="preserve"> 1925 </t>
  </si>
  <si>
    <t>Bocal baquelite para lâmpada com rabicho</t>
  </si>
  <si>
    <t>un</t>
  </si>
  <si>
    <t xml:space="preserve"> 4675 </t>
  </si>
  <si>
    <t>Lâmpada fluorescente eletronica PL  15W / 127v (compacta integrada)</t>
  </si>
  <si>
    <t xml:space="preserve"> 00000939 </t>
  </si>
  <si>
    <t>FIO DE COBRE, SOLIDO, CLASSE 1, ISOLACAO EM PVC/A, ANTICHAMA BWF-B, 450/750V, SECAO NOMINAL 2,5 MM2</t>
  </si>
  <si>
    <t>BALDE VERMELHO PARA SINALIZACAO DE VIAS</t>
  </si>
  <si>
    <t>UN</t>
  </si>
  <si>
    <t>Limpeza de ruas (varrição e remoção de entulhos)</t>
  </si>
  <si>
    <t>M²</t>
  </si>
  <si>
    <t xml:space="preserve">CARGA E DESCARGA MECANIZADAS DE ENTULHO EM CAMINHAO BASCULANTE 6 M3 </t>
  </si>
  <si>
    <t>M³</t>
  </si>
  <si>
    <t>TRANSPORTE DE ENTULHO COM CAMINHAO BASCULANTE 6 M3, RODOVIA PAVIMENTAD M3 , DMT 0,5 A 1,0 KM</t>
  </si>
  <si>
    <t>7.1</t>
  </si>
  <si>
    <t>DESENVOLVIMENTO DO PROJETO EXECUTIVO</t>
  </si>
  <si>
    <t xml:space="preserve">Projeto de Pavimentação até 2.500,00 m2  </t>
  </si>
  <si>
    <t>Projeto de Terraplenagems e Geométricos de Vias com Indicação de Jazida com área de 14.000,01 a 70.000,00 m2</t>
  </si>
  <si>
    <t>Ministério da Integração Nacional - MI</t>
  </si>
  <si>
    <t>Companhia de Desenvolvimento dos Vales do São Francisco e do Parnaíba</t>
  </si>
  <si>
    <t>5ª Superintendência Regional</t>
  </si>
  <si>
    <t>Gerência Regional de Infraestrutura</t>
  </si>
  <si>
    <t>COTAÇÕES</t>
  </si>
  <si>
    <t>Empresa</t>
  </si>
  <si>
    <t>Costrutora Lima</t>
  </si>
  <si>
    <t>Cooperativa</t>
  </si>
  <si>
    <t>Construtec</t>
  </si>
  <si>
    <t>Média</t>
  </si>
  <si>
    <t>Paralelepidedo granitico (mil)</t>
  </si>
  <si>
    <t>BDI</t>
  </si>
  <si>
    <t>DETALHAMENTO BDI - SERVIÇOS</t>
  </si>
  <si>
    <t>PARCIAL</t>
  </si>
  <si>
    <t>ITEM FORM</t>
  </si>
  <si>
    <t>TOTAL</t>
  </si>
  <si>
    <t>ADMINISTRAÇÃO CENTRAL RATEIO</t>
  </si>
  <si>
    <t>AC</t>
  </si>
  <si>
    <t>DESPESAS FINANCEIRAS</t>
  </si>
  <si>
    <t>DF</t>
  </si>
  <si>
    <t>RISCO, SEGURO E GARANTIA</t>
  </si>
  <si>
    <t>R</t>
  </si>
  <si>
    <t>EXPECTATIVA DE LUCRO</t>
  </si>
  <si>
    <t>L</t>
  </si>
  <si>
    <t>TRIBUTOS</t>
  </si>
  <si>
    <t>I</t>
  </si>
  <si>
    <t>05.01</t>
  </si>
  <si>
    <t>PIS</t>
  </si>
  <si>
    <t>05.02</t>
  </si>
  <si>
    <t>COFINS</t>
  </si>
  <si>
    <t>05.03</t>
  </si>
  <si>
    <t>ISS</t>
  </si>
  <si>
    <t>05.04</t>
  </si>
  <si>
    <t>Contribuição sobre receita bruta**</t>
  </si>
  <si>
    <t>Considerações:</t>
  </si>
  <si>
    <t>Acórdão  Nº 2622/2013 – TCU – Plenário de 25/9/2013</t>
  </si>
  <si>
    <t>(*) BDI (%) = ((((1+AC+R)*(1+DF)*(1+L))/(1-I))-1)</t>
  </si>
  <si>
    <t>Acórdão nº 2369/2011-TCU-Plenário-DOU nº174 em 20 de setembro de 2011</t>
  </si>
  <si>
    <t>(**) Contribuição sobre a receita bruta devido a Desoneração em folha</t>
  </si>
  <si>
    <t xml:space="preserve">Ministério do Desenvolvimento Regional – MDR
  Companhia de Desenvolvimento dos Vales do São Francisco e do Parnaíba
  5ª GRD/UEP - 5ª Superintendência Regional 
</t>
  </si>
  <si>
    <t>DETALHAMENTO DOS ENCARGOS SOCIAIS (%)</t>
  </si>
  <si>
    <t>COM DESONERAÇÃO</t>
  </si>
  <si>
    <t>SEM DESONERAÇÃO</t>
  </si>
  <si>
    <t>HORISTA</t>
  </si>
  <si>
    <t>MENSALISTA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</si>
  <si>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</si>
  <si>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</si>
  <si>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</si>
  <si>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</si>
  <si>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</si>
  <si>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</si>
  <si>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</si>
  <si>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</si>
  <si>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</si>
  <si>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</si>
  <si>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</si>
  <si>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</si>
  <si>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</si>
  <si>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</si>
  <si>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</si>
  <si>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</si>
  <si>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</si>
  <si>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</si>
  <si>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</si>
  <si>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</si>
  <si>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</si>
  <si>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</si>
  <si>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</si>
  <si>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-</t>
  </si>
  <si>
    <t>B2</t>
  </si>
  <si>
    <t>Feriados</t>
  </si>
  <si>
    <t>B3</t>
  </si>
  <si>
    <t>Auxílio-enfermidade</t>
  </si>
  <si>
    <t>B4</t>
  </si>
  <si>
    <t>13° salário</t>
  </si>
  <si>
    <t>B5</t>
  </si>
  <si>
    <t>Licença-paternidade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</si>
  <si>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</si>
  <si>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</si>
  <si>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</si>
  <si>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</si>
  <si>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</si>
  <si>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</si>
  <si>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</si>
  <si>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</si>
  <si>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</si>
  <si>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</si>
  <si>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</si>
  <si>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 xml:space="preserve">Total 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</si>
  <si>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</si>
  <si>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</si>
  <si>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</si>
  <si>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</si>
  <si>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</si>
  <si>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</si>
  <si>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</si>
  <si>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</si>
  <si>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</si>
  <si>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</si>
  <si>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</si>
  <si>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</si>
  <si>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</si>
  <si>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</si>
  <si>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A sobre B</t>
  </si>
  <si>
    <t>D2</t>
  </si>
  <si>
    <t>Reincidência de Grupo A sobre Aviso Prévio Trabalhado e Reincidência do FGTS sobre Aviso Prévio Indenizado</t>
  </si>
  <si>
    <t>D</t>
  </si>
  <si>
    <t>T O T A L (%)</t>
  </si>
  <si>
    <t>ORÇAMENTO CRURVA - ABC</t>
  </si>
  <si>
    <t>Acumulado</t>
  </si>
  <si>
    <t>CL</t>
  </si>
  <si>
    <t>PAVIMENTO EM PARALELEPIPEDO SOBRE COLCHAO DE AREIA REJUNTADO COM ARGAMASSA DE CIMENTO E AREIA NO TRAÇO 1:3</t>
  </si>
  <si>
    <t>REGULARIZAÇÃO E COMPACTAÇÃO DE SUBLEITO DE SOLO PREDOMINANTEMENTE ARGILOSO. AF_11/2019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</si>
  <si>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</si>
  <si>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</si>
  <si>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</si>
  <si>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</si>
  <si>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</si>
  <si>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</si>
  <si>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</si>
  <si>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</si>
  <si>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</si>
  <si>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</si>
  <si>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</si>
  <si>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</si>
  <si>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</si>
  <si>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</si>
  <si>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 xml:space="preserve">Placa </t>
  </si>
  <si>
    <t>PLACA  EM CHAPA DE ACO GALVANIZADO</t>
  </si>
  <si>
    <t>AREIA FINA (com frete)</t>
  </si>
  <si>
    <t>AREIA GROSSA(com frete)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</si>
</sst>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* #,##0.000000000_-;\-&quot;R$&quot;* #,##0.000000000_-;_-&quot;R$&quot;* &quot;-&quot;??_-;_-@_-"/>
    <numFmt numFmtId="165" formatCode="#,##0.00\ ;&quot; (&quot;#,##0.00\);&quot; -&quot;#\ ;@\ "/>
    <numFmt numFmtId="166" formatCode="_(* #,##0.00_);_(* \(#,##0.00\);_(* &quot;-&quot;??_);_(@_)"/>
    <numFmt numFmtId="167" formatCode="_-&quot;R$&quot;* #,##0.00000_-;\-&quot;R$&quot;* #,##0.00000_-;_-&quot;R$&quot;* &quot;-&quot;??_-;_-@_-"/>
    <numFmt numFmtId="168" formatCode="#,##0.00000"/>
    <numFmt numFmtId="169" formatCode="00"/>
    <numFmt numFmtId="170" formatCode="_(* #,##0.00_);_(* \(#,##0.00\);_(* \-??_);_(@_)"/>
    <numFmt numFmtId="171" formatCode="#,##0.0000000"/>
    <numFmt numFmtId="172" formatCode="0.000"/>
    <numFmt numFmtId="173" formatCode="0.000000%"/>
  </numFmts>
  <fonts count="49">
    <font>
      <sz val="11"/>
      <name val="Arial"/>
      <charset val="134"/>
    </font>
    <font>
      <b/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Arial Narrow"/>
      <family val="2"/>
    </font>
    <font>
      <sz val="14"/>
      <name val="Arial 14"/>
      <charset val="1"/>
    </font>
    <font>
      <b/>
      <sz val="9"/>
      <name val="Arial 14"/>
      <charset val="134"/>
    </font>
    <font>
      <sz val="9"/>
      <name val="Arial 14"/>
      <charset val="1"/>
    </font>
    <font>
      <sz val="9"/>
      <name val="Arial"/>
      <family val="2"/>
    </font>
    <font>
      <b/>
      <sz val="10"/>
      <name val="Arial"/>
      <family val="2"/>
    </font>
    <font>
      <b/>
      <sz val="9"/>
      <name val="Times New Roman"/>
      <family val="1"/>
    </font>
    <font>
      <b/>
      <sz val="8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indexed="10"/>
      <name val="Times New Roman"/>
      <family val="1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10"/>
      <color rgb="FF000000"/>
      <name val="SansSerif"/>
      <charset val="2"/>
    </font>
    <font>
      <sz val="9"/>
      <color rgb="FF000000"/>
      <name val="SansSerif"/>
      <charset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SansSerif"/>
      <charset val="2"/>
    </font>
    <font>
      <b/>
      <sz val="10"/>
      <color rgb="FF000000"/>
      <name val="Arial"/>
      <family val="2"/>
    </font>
    <font>
      <b/>
      <sz val="8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sz val="8"/>
      <name val="Times New Roman"/>
      <family val="1"/>
    </font>
    <font>
      <sz val="11"/>
      <name val="Arial"/>
      <family val="2"/>
    </font>
    <font>
      <sz val="12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45"/>
      </patternFill>
    </fill>
    <fill>
      <patternFill patternType="solid">
        <fgColor rgb="FFD1E8FF"/>
        <bgColor indexed="64"/>
      </patternFill>
    </fill>
    <fill>
      <patternFill patternType="solid">
        <fgColor rgb="FFD8ECF6"/>
        <bgColor indexed="64"/>
      </patternFill>
    </fill>
    <fill>
      <patternFill patternType="solid">
        <fgColor rgb="FFDFF0D8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 tint="0.59999389629810485"/>
        <bgColor indexed="64"/>
      </patternFill>
    </fill>
  </fills>
  <borders count="6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/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46" fillId="0" borderId="0"/>
    <xf numFmtId="0" fontId="9" fillId="0" borderId="0"/>
    <xf numFmtId="0" fontId="46" fillId="0" borderId="0"/>
    <xf numFmtId="0" fontId="47" fillId="0" borderId="0"/>
    <xf numFmtId="9" fontId="23" fillId="0" borderId="0" applyFont="0" applyFill="0" applyBorder="0" applyAlignment="0" applyProtection="0"/>
    <xf numFmtId="0" fontId="9" fillId="0" borderId="0"/>
    <xf numFmtId="0" fontId="23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6" fontId="9" fillId="0" borderId="0" applyFont="0" applyFill="0" applyBorder="0" applyAlignment="0" applyProtection="0"/>
  </cellStyleXfs>
  <cellXfs count="319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2" xfId="0" applyBorder="1"/>
    <xf numFmtId="0" fontId="0" fillId="0" borderId="3" xfId="0" applyBorder="1"/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0" fontId="0" fillId="0" borderId="9" xfId="0" applyBorder="1"/>
    <xf numFmtId="43" fontId="0" fillId="0" borderId="0" xfId="0" applyNumberFormat="1"/>
    <xf numFmtId="0" fontId="47" fillId="0" borderId="0" xfId="7"/>
    <xf numFmtId="0" fontId="7" fillId="0" borderId="6" xfId="9" applyFont="1" applyBorder="1" applyAlignment="1">
      <alignment horizontal="center" vertical="center"/>
    </xf>
    <xf numFmtId="0" fontId="7" fillId="0" borderId="7" xfId="9" applyFont="1" applyBorder="1" applyAlignment="1">
      <alignment horizontal="center" vertical="center"/>
    </xf>
    <xf numFmtId="0" fontId="7" fillId="0" borderId="9" xfId="9" applyFont="1" applyBorder="1" applyAlignment="1">
      <alignment horizontal="center" vertical="center"/>
    </xf>
    <xf numFmtId="0" fontId="8" fillId="0" borderId="13" xfId="9" applyFont="1" applyBorder="1" applyAlignment="1">
      <alignment horizontal="center"/>
    </xf>
    <xf numFmtId="0" fontId="8" fillId="0" borderId="13" xfId="9" applyFont="1" applyBorder="1"/>
    <xf numFmtId="165" fontId="8" fillId="4" borderId="13" xfId="9" applyNumberFormat="1" applyFont="1" applyFill="1" applyBorder="1" applyAlignment="1">
      <alignment horizontal="center" vertical="center"/>
    </xf>
    <xf numFmtId="0" fontId="8" fillId="0" borderId="14" xfId="9" applyFont="1" applyBorder="1" applyAlignment="1">
      <alignment horizontal="center"/>
    </xf>
    <xf numFmtId="0" fontId="8" fillId="0" borderId="14" xfId="9" applyFont="1" applyBorder="1"/>
    <xf numFmtId="165" fontId="8" fillId="4" borderId="14" xfId="9" applyNumberFormat="1" applyFont="1" applyFill="1" applyBorder="1" applyAlignment="1">
      <alignment horizontal="center" vertical="center"/>
    </xf>
    <xf numFmtId="0" fontId="8" fillId="0" borderId="15" xfId="9" applyFont="1" applyBorder="1" applyAlignment="1">
      <alignment horizontal="center"/>
    </xf>
    <xf numFmtId="0" fontId="8" fillId="0" borderId="15" xfId="9" applyFont="1" applyBorder="1"/>
    <xf numFmtId="165" fontId="8" fillId="4" borderId="15" xfId="9" applyNumberFormat="1" applyFont="1" applyFill="1" applyBorder="1" applyAlignment="1">
      <alignment horizontal="center" vertical="center"/>
    </xf>
    <xf numFmtId="0" fontId="7" fillId="0" borderId="9" xfId="9" applyFont="1" applyBorder="1" applyAlignment="1">
      <alignment vertical="center"/>
    </xf>
    <xf numFmtId="165" fontId="7" fillId="5" borderId="9" xfId="9" applyNumberFormat="1" applyFont="1" applyFill="1" applyBorder="1" applyAlignment="1">
      <alignment horizontal="center" vertical="center"/>
    </xf>
    <xf numFmtId="0" fontId="8" fillId="0" borderId="15" xfId="9" applyFont="1" applyBorder="1" applyAlignment="1">
      <alignment horizontal="center" vertical="center"/>
    </xf>
    <xf numFmtId="0" fontId="8" fillId="0" borderId="15" xfId="9" applyFont="1" applyBorder="1" applyAlignment="1">
      <alignment horizontal="justify" vertical="center" wrapText="1"/>
    </xf>
    <xf numFmtId="0" fontId="9" fillId="0" borderId="0" xfId="5"/>
    <xf numFmtId="0" fontId="9" fillId="0" borderId="0" xfId="5" applyProtection="1">
      <protection hidden="1"/>
    </xf>
    <xf numFmtId="0" fontId="8" fillId="0" borderId="0" xfId="6" applyFont="1" applyProtection="1">
      <protection hidden="1"/>
    </xf>
    <xf numFmtId="0" fontId="10" fillId="0" borderId="0" xfId="5" applyFont="1"/>
    <xf numFmtId="170" fontId="11" fillId="0" borderId="2" xfId="4" applyNumberFormat="1" applyFont="1" applyBorder="1" applyAlignment="1" applyProtection="1">
      <alignment horizontal="center"/>
      <protection hidden="1"/>
    </xf>
    <xf numFmtId="170" fontId="12" fillId="0" borderId="2" xfId="4" applyNumberFormat="1" applyFont="1" applyBorder="1" applyAlignment="1" applyProtection="1">
      <alignment horizontal="left"/>
      <protection hidden="1"/>
    </xf>
    <xf numFmtId="170" fontId="13" fillId="0" borderId="2" xfId="4" applyNumberFormat="1" applyFont="1" applyBorder="1" applyAlignment="1" applyProtection="1">
      <alignment horizontal="center"/>
      <protection hidden="1"/>
    </xf>
    <xf numFmtId="0" fontId="14" fillId="0" borderId="2" xfId="5" applyFont="1" applyBorder="1"/>
    <xf numFmtId="170" fontId="11" fillId="0" borderId="0" xfId="4" applyNumberFormat="1" applyFont="1" applyAlignment="1" applyProtection="1">
      <alignment horizontal="center"/>
      <protection hidden="1"/>
    </xf>
    <xf numFmtId="170" fontId="12" fillId="0" borderId="0" xfId="4" applyNumberFormat="1" applyFont="1" applyAlignment="1" applyProtection="1">
      <alignment horizontal="left" vertical="center"/>
      <protection hidden="1"/>
    </xf>
    <xf numFmtId="170" fontId="13" fillId="0" borderId="0" xfId="4" applyNumberFormat="1" applyFont="1" applyAlignment="1" applyProtection="1">
      <alignment horizontal="center"/>
      <protection hidden="1"/>
    </xf>
    <xf numFmtId="0" fontId="14" fillId="0" borderId="0" xfId="5" applyFont="1"/>
    <xf numFmtId="170" fontId="12" fillId="0" borderId="0" xfId="4" applyNumberFormat="1" applyFont="1" applyAlignment="1" applyProtection="1">
      <alignment horizontal="left" vertical="top"/>
      <protection hidden="1"/>
    </xf>
    <xf numFmtId="0" fontId="9" fillId="0" borderId="5" xfId="5" applyBorder="1"/>
    <xf numFmtId="0" fontId="16" fillId="6" borderId="17" xfId="5" applyFont="1" applyFill="1" applyBorder="1" applyAlignment="1">
      <alignment horizontal="center" vertical="center"/>
    </xf>
    <xf numFmtId="0" fontId="16" fillId="6" borderId="18" xfId="5" applyFont="1" applyFill="1" applyBorder="1" applyAlignment="1">
      <alignment horizontal="center" vertical="center"/>
    </xf>
    <xf numFmtId="0" fontId="17" fillId="6" borderId="18" xfId="5" applyFont="1" applyFill="1" applyBorder="1" applyAlignment="1">
      <alignment horizontal="center" vertical="center"/>
    </xf>
    <xf numFmtId="0" fontId="16" fillId="6" borderId="19" xfId="5" applyFont="1" applyFill="1" applyBorder="1" applyAlignment="1">
      <alignment horizontal="center" vertical="center"/>
    </xf>
    <xf numFmtId="170" fontId="8" fillId="0" borderId="0" xfId="6" applyNumberFormat="1" applyFont="1" applyAlignment="1" applyProtection="1">
      <alignment horizontal="center"/>
      <protection hidden="1"/>
    </xf>
    <xf numFmtId="169" fontId="7" fillId="0" borderId="20" xfId="5" applyNumberFormat="1" applyFont="1" applyBorder="1" applyAlignment="1">
      <alignment horizontal="left" vertical="center" indent="1"/>
    </xf>
    <xf numFmtId="0" fontId="7" fillId="0" borderId="21" xfId="5" applyFont="1" applyBorder="1" applyAlignment="1">
      <alignment vertical="center"/>
    </xf>
    <xf numFmtId="39" fontId="7" fillId="0" borderId="22" xfId="14" applyNumberFormat="1" applyFont="1" applyFill="1" applyBorder="1" applyAlignment="1" applyProtection="1">
      <alignment vertical="center"/>
    </xf>
    <xf numFmtId="39" fontId="7" fillId="0" borderId="23" xfId="14" applyNumberFormat="1" applyFont="1" applyFill="1" applyBorder="1" applyAlignment="1" applyProtection="1">
      <alignment horizontal="center" vertical="center"/>
    </xf>
    <xf numFmtId="0" fontId="18" fillId="0" borderId="24" xfId="0" applyFont="1" applyBorder="1" applyAlignment="1">
      <alignment horizontal="right" vertical="center"/>
    </xf>
    <xf numFmtId="166" fontId="8" fillId="0" borderId="0" xfId="6" applyNumberFormat="1" applyFont="1" applyProtection="1">
      <protection hidden="1"/>
    </xf>
    <xf numFmtId="169" fontId="7" fillId="0" borderId="25" xfId="5" applyNumberFormat="1" applyFont="1" applyBorder="1" applyAlignment="1">
      <alignment horizontal="left" vertical="center" indent="1"/>
    </xf>
    <xf numFmtId="0" fontId="7" fillId="0" borderId="26" xfId="5" applyFont="1" applyBorder="1" applyAlignment="1">
      <alignment vertical="center"/>
    </xf>
    <xf numFmtId="39" fontId="7" fillId="0" borderId="23" xfId="14" applyNumberFormat="1" applyFont="1" applyFill="1" applyBorder="1" applyAlignment="1" applyProtection="1">
      <alignment vertical="center"/>
    </xf>
    <xf numFmtId="0" fontId="7" fillId="0" borderId="27" xfId="5" applyFont="1" applyBorder="1" applyAlignment="1">
      <alignment vertical="center"/>
    </xf>
    <xf numFmtId="39" fontId="18" fillId="0" borderId="24" xfId="0" applyNumberFormat="1" applyFont="1" applyBorder="1" applyAlignment="1">
      <alignment horizontal="right" vertical="center"/>
    </xf>
    <xf numFmtId="169" fontId="8" fillId="0" borderId="25" xfId="5" applyNumberFormat="1" applyFont="1" applyBorder="1" applyAlignment="1">
      <alignment horizontal="left" vertical="center" indent="1"/>
    </xf>
    <xf numFmtId="0" fontId="8" fillId="0" borderId="26" xfId="5" applyFont="1" applyBorder="1" applyAlignment="1">
      <alignment horizontal="left" vertical="center" indent="2"/>
    </xf>
    <xf numFmtId="39" fontId="8" fillId="0" borderId="23" xfId="14" applyNumberFormat="1" applyFont="1" applyFill="1" applyBorder="1" applyAlignment="1" applyProtection="1">
      <alignment vertical="center"/>
    </xf>
    <xf numFmtId="39" fontId="7" fillId="0" borderId="28" xfId="14" applyNumberFormat="1" applyFont="1" applyFill="1" applyBorder="1" applyAlignment="1" applyProtection="1">
      <alignment vertical="center"/>
    </xf>
    <xf numFmtId="0" fontId="7" fillId="7" borderId="29" xfId="5" applyFont="1" applyFill="1" applyBorder="1" applyAlignment="1">
      <alignment vertical="center"/>
    </xf>
    <xf numFmtId="0" fontId="7" fillId="7" borderId="30" xfId="5" applyFont="1" applyFill="1" applyBorder="1" applyAlignment="1">
      <alignment vertical="center"/>
    </xf>
    <xf numFmtId="170" fontId="19" fillId="7" borderId="30" xfId="14" applyNumberFormat="1" applyFont="1" applyFill="1" applyBorder="1" applyAlignment="1" applyProtection="1">
      <alignment vertical="center"/>
    </xf>
    <xf numFmtId="170" fontId="19" fillId="7" borderId="31" xfId="14" applyNumberFormat="1" applyFont="1" applyFill="1" applyBorder="1" applyAlignment="1" applyProtection="1">
      <alignment vertical="center"/>
    </xf>
    <xf numFmtId="170" fontId="7" fillId="7" borderId="32" xfId="14" applyNumberFormat="1" applyFont="1" applyFill="1" applyBorder="1" applyAlignment="1">
      <alignment vertical="center"/>
    </xf>
    <xf numFmtId="0" fontId="20" fillId="0" borderId="0" xfId="5" applyFont="1" applyAlignment="1">
      <alignment horizontal="left"/>
    </xf>
    <xf numFmtId="0" fontId="9" fillId="0" borderId="0" xfId="5" applyAlignment="1">
      <alignment horizontal="left"/>
    </xf>
    <xf numFmtId="4" fontId="9" fillId="0" borderId="0" xfId="5" applyNumberFormat="1"/>
    <xf numFmtId="170" fontId="8" fillId="0" borderId="0" xfId="6" applyNumberFormat="1" applyFont="1" applyProtection="1">
      <protection hidden="1"/>
    </xf>
    <xf numFmtId="9" fontId="0" fillId="0" borderId="0" xfId="12" applyFont="1" applyFill="1" applyBorder="1" applyAlignment="1" applyProtection="1"/>
    <xf numFmtId="0" fontId="9" fillId="0" borderId="0" xfId="0" applyFont="1" applyProtection="1">
      <protection hidden="1"/>
    </xf>
    <xf numFmtId="0" fontId="14" fillId="0" borderId="2" xfId="0" applyFont="1" applyBorder="1"/>
    <xf numFmtId="170" fontId="12" fillId="0" borderId="0" xfId="4" applyNumberFormat="1" applyFont="1" applyAlignment="1" applyProtection="1">
      <alignment horizontal="left"/>
      <protection hidden="1"/>
    </xf>
    <xf numFmtId="0" fontId="14" fillId="0" borderId="0" xfId="0" applyFont="1"/>
    <xf numFmtId="0" fontId="0" fillId="0" borderId="5" xfId="0" applyBorder="1"/>
    <xf numFmtId="0" fontId="0" fillId="8" borderId="10" xfId="0" applyFill="1" applyBorder="1" applyAlignment="1">
      <alignment vertical="center"/>
    </xf>
    <xf numFmtId="0" fontId="0" fillId="8" borderId="11" xfId="0" applyFill="1" applyBorder="1"/>
    <xf numFmtId="0" fontId="0" fillId="8" borderId="10" xfId="0" applyFill="1" applyBorder="1" applyAlignment="1">
      <alignment horizontal="center" vertical="center" wrapText="1"/>
    </xf>
    <xf numFmtId="0" fontId="0" fillId="8" borderId="10" xfId="0" applyFill="1" applyBorder="1" applyAlignment="1">
      <alignment vertical="center" wrapText="1"/>
    </xf>
    <xf numFmtId="0" fontId="0" fillId="8" borderId="10" xfId="0" applyFill="1" applyBorder="1"/>
    <xf numFmtId="0" fontId="0" fillId="8" borderId="0" xfId="0" applyFill="1" applyAlignment="1">
      <alignment horizontal="center" vertical="center"/>
    </xf>
    <xf numFmtId="0" fontId="0" fillId="0" borderId="10" xfId="0" applyBorder="1"/>
    <xf numFmtId="0" fontId="0" fillId="0" borderId="11" xfId="0" applyBorder="1"/>
    <xf numFmtId="43" fontId="0" fillId="8" borderId="10" xfId="1" applyFont="1" applyFill="1" applyBorder="1" applyAlignment="1">
      <alignment horizontal="left" vertical="center" wrapText="1"/>
    </xf>
    <xf numFmtId="43" fontId="0" fillId="8" borderId="0" xfId="0" applyNumberFormat="1" applyFill="1"/>
    <xf numFmtId="43" fontId="0" fillId="0" borderId="10" xfId="1" applyFont="1" applyBorder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1" fillId="9" borderId="33" xfId="0" applyFont="1" applyFill="1" applyBorder="1" applyAlignment="1">
      <alignment horizontal="left" vertical="top" wrapText="1"/>
    </xf>
    <xf numFmtId="0" fontId="21" fillId="9" borderId="33" xfId="0" applyFont="1" applyFill="1" applyBorder="1" applyAlignment="1">
      <alignment horizontal="right" vertical="top" wrapText="1"/>
    </xf>
    <xf numFmtId="0" fontId="1" fillId="2" borderId="3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right" vertical="top" wrapText="1"/>
    </xf>
    <xf numFmtId="0" fontId="1" fillId="2" borderId="33" xfId="0" applyFont="1" applyFill="1" applyBorder="1" applyAlignment="1">
      <alignment horizontal="center" vertical="top" wrapText="1"/>
    </xf>
    <xf numFmtId="0" fontId="4" fillId="10" borderId="33" xfId="0" applyFont="1" applyFill="1" applyBorder="1" applyAlignment="1">
      <alignment horizontal="left" vertical="top" wrapText="1"/>
    </xf>
    <xf numFmtId="0" fontId="4" fillId="10" borderId="33" xfId="0" applyFont="1" applyFill="1" applyBorder="1" applyAlignment="1">
      <alignment horizontal="right" vertical="top" wrapText="1"/>
    </xf>
    <xf numFmtId="0" fontId="4" fillId="10" borderId="33" xfId="0" applyFont="1" applyFill="1" applyBorder="1" applyAlignment="1">
      <alignment horizontal="center" vertical="top" wrapText="1"/>
    </xf>
    <xf numFmtId="171" fontId="4" fillId="10" borderId="33" xfId="0" applyNumberFormat="1" applyFont="1" applyFill="1" applyBorder="1" applyAlignment="1">
      <alignment horizontal="right" vertical="top" wrapText="1"/>
    </xf>
    <xf numFmtId="0" fontId="5" fillId="3" borderId="33" xfId="0" applyFont="1" applyFill="1" applyBorder="1" applyAlignment="1">
      <alignment horizontal="left" vertical="top" wrapText="1"/>
    </xf>
    <xf numFmtId="0" fontId="5" fillId="3" borderId="33" xfId="0" applyFont="1" applyFill="1" applyBorder="1" applyAlignment="1">
      <alignment horizontal="right" vertical="top" wrapText="1"/>
    </xf>
    <xf numFmtId="0" fontId="5" fillId="3" borderId="33" xfId="0" applyFont="1" applyFill="1" applyBorder="1" applyAlignment="1">
      <alignment horizontal="center" vertical="top" wrapText="1"/>
    </xf>
    <xf numFmtId="171" fontId="5" fillId="3" borderId="33" xfId="0" applyNumberFormat="1" applyFont="1" applyFill="1" applyBorder="1" applyAlignment="1">
      <alignment horizontal="right" vertical="top" wrapText="1"/>
    </xf>
    <xf numFmtId="0" fontId="5" fillId="3" borderId="0" xfId="0" applyFont="1" applyFill="1" applyBorder="1" applyAlignment="1">
      <alignment horizontal="left" vertical="top" wrapText="1"/>
    </xf>
    <xf numFmtId="0" fontId="5" fillId="3" borderId="0" xfId="0" applyFont="1" applyFill="1" applyBorder="1" applyAlignment="1">
      <alignment horizontal="right" vertical="top" wrapText="1"/>
    </xf>
    <xf numFmtId="0" fontId="5" fillId="3" borderId="0" xfId="0" applyFont="1" applyFill="1" applyBorder="1" applyAlignment="1">
      <alignment horizontal="center" vertical="top" wrapText="1"/>
    </xf>
    <xf numFmtId="171" fontId="5" fillId="3" borderId="0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horizontal="right" vertical="top" wrapText="1"/>
    </xf>
    <xf numFmtId="4" fontId="5" fillId="2" borderId="0" xfId="0" applyNumberFormat="1" applyFont="1" applyFill="1" applyAlignment="1">
      <alignment horizontal="right" vertical="top" wrapText="1"/>
    </xf>
    <xf numFmtId="0" fontId="4" fillId="10" borderId="34" xfId="0" applyFont="1" applyFill="1" applyBorder="1" applyAlignment="1">
      <alignment horizontal="left" vertical="top" wrapText="1"/>
    </xf>
    <xf numFmtId="0" fontId="22" fillId="3" borderId="33" xfId="0" applyFont="1" applyFill="1" applyBorder="1" applyAlignment="1">
      <alignment horizontal="left" vertical="top" wrapText="1"/>
    </xf>
    <xf numFmtId="4" fontId="21" fillId="9" borderId="33" xfId="0" applyNumberFormat="1" applyFont="1" applyFill="1" applyBorder="1" applyAlignment="1">
      <alignment horizontal="right" vertical="top" wrapText="1"/>
    </xf>
    <xf numFmtId="4" fontId="4" fillId="10" borderId="33" xfId="0" applyNumberFormat="1" applyFont="1" applyFill="1" applyBorder="1" applyAlignment="1">
      <alignment horizontal="right" vertical="top" wrapText="1"/>
    </xf>
    <xf numFmtId="4" fontId="5" fillId="3" borderId="33" xfId="0" applyNumberFormat="1" applyFont="1" applyFill="1" applyBorder="1" applyAlignment="1">
      <alignment horizontal="right" vertical="top" wrapText="1"/>
    </xf>
    <xf numFmtId="4" fontId="5" fillId="3" borderId="0" xfId="0" applyNumberFormat="1" applyFont="1" applyFill="1" applyBorder="1" applyAlignment="1">
      <alignment horizontal="right" vertical="top" wrapText="1"/>
    </xf>
    <xf numFmtId="168" fontId="4" fillId="10" borderId="33" xfId="0" applyNumberFormat="1" applyFont="1" applyFill="1" applyBorder="1" applyAlignment="1">
      <alignment horizontal="right" vertical="top" wrapText="1"/>
    </xf>
    <xf numFmtId="168" fontId="5" fillId="3" borderId="33" xfId="0" applyNumberFormat="1" applyFont="1" applyFill="1" applyBorder="1" applyAlignment="1">
      <alignment horizontal="right" vertical="top" wrapText="1"/>
    </xf>
    <xf numFmtId="0" fontId="23" fillId="0" borderId="0" xfId="10"/>
    <xf numFmtId="0" fontId="23" fillId="0" borderId="35" xfId="10" applyBorder="1"/>
    <xf numFmtId="0" fontId="23" fillId="0" borderId="36" xfId="10" applyBorder="1"/>
    <xf numFmtId="0" fontId="24" fillId="0" borderId="36" xfId="10" applyFont="1" applyBorder="1" applyAlignment="1"/>
    <xf numFmtId="0" fontId="23" fillId="0" borderId="36" xfId="10" applyBorder="1" applyAlignment="1"/>
    <xf numFmtId="0" fontId="23" fillId="0" borderId="37" xfId="10" applyBorder="1"/>
    <xf numFmtId="0" fontId="23" fillId="0" borderId="0" xfId="10" applyBorder="1"/>
    <xf numFmtId="0" fontId="24" fillId="0" borderId="0" xfId="10" applyFont="1" applyBorder="1" applyAlignment="1"/>
    <xf numFmtId="0" fontId="23" fillId="0" borderId="0" xfId="10" applyBorder="1" applyAlignment="1"/>
    <xf numFmtId="0" fontId="28" fillId="11" borderId="42" xfId="10" applyFont="1" applyFill="1" applyBorder="1" applyAlignment="1">
      <alignment horizontal="center" vertical="center" wrapText="1"/>
    </xf>
    <xf numFmtId="0" fontId="29" fillId="11" borderId="42" xfId="10" applyFont="1" applyFill="1" applyBorder="1" applyAlignment="1">
      <alignment horizontal="center" vertical="center" wrapText="1"/>
    </xf>
    <xf numFmtId="4" fontId="31" fillId="0" borderId="44" xfId="10" applyNumberFormat="1" applyFont="1" applyBorder="1" applyAlignment="1">
      <alignment horizontal="center" vertical="center" wrapText="1"/>
    </xf>
    <xf numFmtId="9" fontId="32" fillId="0" borderId="44" xfId="8" applyFont="1" applyFill="1" applyBorder="1" applyAlignment="1" applyProtection="1">
      <alignment wrapText="1"/>
      <protection locked="0"/>
    </xf>
    <xf numFmtId="0" fontId="31" fillId="0" borderId="43" xfId="10" applyFont="1" applyBorder="1" applyAlignment="1" applyProtection="1">
      <alignment horizontal="center" vertical="center" wrapText="1"/>
      <protection locked="0"/>
    </xf>
    <xf numFmtId="4" fontId="33" fillId="12" borderId="42" xfId="10" applyNumberFormat="1" applyFont="1" applyFill="1" applyBorder="1" applyAlignment="1" applyProtection="1">
      <alignment wrapText="1"/>
      <protection locked="0"/>
    </xf>
    <xf numFmtId="9" fontId="33" fillId="0" borderId="44" xfId="8" applyFont="1" applyFill="1" applyBorder="1" applyAlignment="1" applyProtection="1">
      <alignment horizontal="right" vertical="center" wrapText="1"/>
    </xf>
    <xf numFmtId="4" fontId="33" fillId="11" borderId="43" xfId="10" applyNumberFormat="1" applyFont="1" applyFill="1" applyBorder="1" applyAlignment="1">
      <alignment horizontal="right" vertical="center" wrapText="1"/>
    </xf>
    <xf numFmtId="10" fontId="33" fillId="0" borderId="44" xfId="8" applyNumberFormat="1" applyFont="1" applyFill="1" applyBorder="1" applyAlignment="1" applyProtection="1">
      <alignment horizontal="right" vertical="center" wrapText="1"/>
    </xf>
    <xf numFmtId="0" fontId="32" fillId="13" borderId="45" xfId="10" applyFont="1" applyFill="1" applyBorder="1" applyAlignment="1" applyProtection="1">
      <alignment wrapText="1"/>
      <protection locked="0"/>
    </xf>
    <xf numFmtId="0" fontId="32" fillId="13" borderId="46" xfId="10" applyFont="1" applyFill="1" applyBorder="1" applyAlignment="1" applyProtection="1">
      <alignment wrapText="1"/>
      <protection locked="0"/>
    </xf>
    <xf numFmtId="4" fontId="34" fillId="13" borderId="48" xfId="10" applyNumberFormat="1" applyFont="1" applyFill="1" applyBorder="1" applyAlignment="1">
      <alignment horizontal="right" vertical="center" wrapText="1"/>
    </xf>
    <xf numFmtId="4" fontId="35" fillId="13" borderId="44" xfId="10" applyNumberFormat="1" applyFont="1" applyFill="1" applyBorder="1" applyAlignment="1">
      <alignment horizontal="right" vertical="center" wrapText="1"/>
    </xf>
    <xf numFmtId="0" fontId="32" fillId="13" borderId="49" xfId="10" applyFont="1" applyFill="1" applyBorder="1" applyAlignment="1" applyProtection="1">
      <alignment wrapText="1"/>
      <protection locked="0"/>
    </xf>
    <xf numFmtId="0" fontId="32" fillId="13" borderId="50" xfId="10" applyFont="1" applyFill="1" applyBorder="1" applyAlignment="1" applyProtection="1">
      <alignment wrapText="1"/>
      <protection locked="0"/>
    </xf>
    <xf numFmtId="0" fontId="34" fillId="13" borderId="47" xfId="10" applyFont="1" applyFill="1" applyBorder="1" applyAlignment="1" applyProtection="1">
      <alignment horizontal="right" vertical="center" wrapText="1"/>
      <protection locked="0"/>
    </xf>
    <xf numFmtId="4" fontId="35" fillId="13" borderId="43" xfId="10" applyNumberFormat="1" applyFont="1" applyFill="1" applyBorder="1" applyAlignment="1">
      <alignment horizontal="right" vertical="center" wrapText="1"/>
    </xf>
    <xf numFmtId="0" fontId="28" fillId="11" borderId="51" xfId="10" applyFont="1" applyFill="1" applyBorder="1" applyAlignment="1">
      <alignment horizontal="center" vertical="center" wrapText="1"/>
    </xf>
    <xf numFmtId="0" fontId="28" fillId="11" borderId="52" xfId="10" applyFont="1" applyFill="1" applyBorder="1" applyAlignment="1">
      <alignment horizontal="center" vertical="center" wrapText="1"/>
    </xf>
    <xf numFmtId="9" fontId="32" fillId="0" borderId="9" xfId="8" applyFont="1" applyFill="1" applyBorder="1" applyAlignment="1" applyProtection="1">
      <alignment wrapText="1"/>
      <protection locked="0"/>
    </xf>
    <xf numFmtId="9" fontId="32" fillId="0" borderId="48" xfId="8" applyFont="1" applyFill="1" applyBorder="1" applyAlignment="1" applyProtection="1">
      <alignment wrapText="1"/>
      <protection locked="0"/>
    </xf>
    <xf numFmtId="4" fontId="33" fillId="12" borderId="9" xfId="10" applyNumberFormat="1" applyFont="1" applyFill="1" applyBorder="1" applyAlignment="1" applyProtection="1">
      <alignment wrapText="1"/>
      <protection locked="0"/>
    </xf>
    <xf numFmtId="4" fontId="33" fillId="12" borderId="54" xfId="10" applyNumberFormat="1" applyFont="1" applyFill="1" applyBorder="1" applyAlignment="1" applyProtection="1">
      <alignment wrapText="1"/>
      <protection locked="0"/>
    </xf>
    <xf numFmtId="9" fontId="33" fillId="0" borderId="9" xfId="8" applyFont="1" applyFill="1" applyBorder="1" applyAlignment="1" applyProtection="1">
      <alignment horizontal="right" vertical="center" wrapText="1"/>
    </xf>
    <xf numFmtId="9" fontId="33" fillId="0" borderId="48" xfId="8" applyFont="1" applyFill="1" applyBorder="1" applyAlignment="1" applyProtection="1">
      <alignment horizontal="right" vertical="center" wrapText="1"/>
    </xf>
    <xf numFmtId="4" fontId="33" fillId="11" borderId="9" xfId="10" applyNumberFormat="1" applyFont="1" applyFill="1" applyBorder="1" applyAlignment="1">
      <alignment horizontal="right" vertical="center" wrapText="1"/>
    </xf>
    <xf numFmtId="4" fontId="33" fillId="11" borderId="47" xfId="10" applyNumberFormat="1" applyFont="1" applyFill="1" applyBorder="1" applyAlignment="1">
      <alignment horizontal="right" vertical="center" wrapText="1"/>
    </xf>
    <xf numFmtId="10" fontId="33" fillId="0" borderId="9" xfId="8" applyNumberFormat="1" applyFont="1" applyFill="1" applyBorder="1" applyAlignment="1" applyProtection="1">
      <alignment horizontal="right" vertical="center" wrapText="1"/>
    </xf>
    <xf numFmtId="10" fontId="33" fillId="0" borderId="48" xfId="8" applyNumberFormat="1" applyFont="1" applyFill="1" applyBorder="1" applyAlignment="1" applyProtection="1">
      <alignment horizontal="right" vertical="center" wrapText="1"/>
    </xf>
    <xf numFmtId="4" fontId="35" fillId="13" borderId="9" xfId="10" applyNumberFormat="1" applyFont="1" applyFill="1" applyBorder="1" applyAlignment="1">
      <alignment horizontal="right" vertical="center" wrapText="1"/>
    </xf>
    <xf numFmtId="4" fontId="35" fillId="13" borderId="48" xfId="10" applyNumberFormat="1" applyFont="1" applyFill="1" applyBorder="1" applyAlignment="1">
      <alignment horizontal="right" vertical="center" wrapText="1"/>
    </xf>
    <xf numFmtId="4" fontId="35" fillId="13" borderId="47" xfId="10" applyNumberFormat="1" applyFont="1" applyFill="1" applyBorder="1" applyAlignment="1">
      <alignment horizontal="right" vertical="center" wrapText="1"/>
    </xf>
    <xf numFmtId="0" fontId="23" fillId="0" borderId="55" xfId="10" applyBorder="1" applyAlignment="1"/>
    <xf numFmtId="0" fontId="23" fillId="0" borderId="56" xfId="10" applyBorder="1" applyAlignment="1"/>
    <xf numFmtId="0" fontId="29" fillId="11" borderId="59" xfId="10" applyFont="1" applyFill="1" applyBorder="1" applyAlignment="1">
      <alignment horizontal="center" vertical="center" wrapText="1"/>
    </xf>
    <xf numFmtId="0" fontId="29" fillId="11" borderId="60" xfId="10" applyFont="1" applyFill="1" applyBorder="1" applyAlignment="1">
      <alignment horizontal="center" vertical="center" wrapText="1"/>
    </xf>
    <xf numFmtId="9" fontId="32" fillId="0" borderId="61" xfId="8" applyFont="1" applyFill="1" applyBorder="1" applyAlignment="1" applyProtection="1">
      <alignment wrapText="1"/>
      <protection locked="0"/>
    </xf>
    <xf numFmtId="4" fontId="33" fillId="12" borderId="60" xfId="10" applyNumberFormat="1" applyFont="1" applyFill="1" applyBorder="1" applyAlignment="1" applyProtection="1">
      <alignment wrapText="1"/>
      <protection locked="0"/>
    </xf>
    <xf numFmtId="9" fontId="33" fillId="0" borderId="61" xfId="8" applyFont="1" applyFill="1" applyBorder="1" applyAlignment="1" applyProtection="1">
      <alignment horizontal="right" vertical="center" wrapText="1"/>
    </xf>
    <xf numFmtId="4" fontId="33" fillId="11" borderId="62" xfId="10" applyNumberFormat="1" applyFont="1" applyFill="1" applyBorder="1" applyAlignment="1">
      <alignment horizontal="right" vertical="center" wrapText="1"/>
    </xf>
    <xf numFmtId="10" fontId="33" fillId="0" borderId="61" xfId="8" applyNumberFormat="1" applyFont="1" applyFill="1" applyBorder="1" applyAlignment="1" applyProtection="1">
      <alignment horizontal="right" vertical="center" wrapText="1"/>
    </xf>
    <xf numFmtId="9" fontId="32" fillId="0" borderId="45" xfId="8" applyFont="1" applyFill="1" applyBorder="1" applyAlignment="1" applyProtection="1">
      <alignment wrapText="1"/>
      <protection locked="0"/>
    </xf>
    <xf numFmtId="9" fontId="33" fillId="0" borderId="53" xfId="8" applyFont="1" applyFill="1" applyBorder="1" applyAlignment="1" applyProtection="1">
      <alignment horizontal="right" vertical="center" wrapText="1"/>
    </xf>
    <xf numFmtId="9" fontId="33" fillId="0" borderId="62" xfId="8" applyFont="1" applyFill="1" applyBorder="1" applyAlignment="1" applyProtection="1">
      <alignment horizontal="right" vertical="center" wrapText="1"/>
    </xf>
    <xf numFmtId="4" fontId="35" fillId="13" borderId="61" xfId="10" applyNumberFormat="1" applyFont="1" applyFill="1" applyBorder="1" applyAlignment="1">
      <alignment horizontal="right" vertical="center" wrapText="1"/>
    </xf>
    <xf numFmtId="4" fontId="35" fillId="13" borderId="62" xfId="10" applyNumberFormat="1" applyFont="1" applyFill="1" applyBorder="1" applyAlignment="1">
      <alignment horizontal="right" vertical="center" wrapText="1"/>
    </xf>
    <xf numFmtId="4" fontId="23" fillId="0" borderId="0" xfId="10" applyNumberFormat="1"/>
    <xf numFmtId="9" fontId="35" fillId="0" borderId="44" xfId="8" applyFont="1" applyFill="1" applyBorder="1" applyAlignment="1" applyProtection="1">
      <alignment horizontal="right" vertical="center" wrapText="1"/>
    </xf>
    <xf numFmtId="173" fontId="0" fillId="0" borderId="0" xfId="8" applyNumberFormat="1" applyFont="1"/>
    <xf numFmtId="43" fontId="35" fillId="0" borderId="44" xfId="1" applyFont="1" applyFill="1" applyBorder="1" applyAlignment="1" applyProtection="1">
      <alignment horizontal="right" vertical="center" wrapText="1"/>
    </xf>
    <xf numFmtId="43" fontId="23" fillId="0" borderId="0" xfId="10" applyNumberFormat="1"/>
    <xf numFmtId="9" fontId="35" fillId="0" borderId="44" xfId="1" applyNumberFormat="1" applyFont="1" applyFill="1" applyBorder="1" applyAlignment="1" applyProtection="1">
      <alignment horizontal="right" vertical="center" wrapText="1"/>
    </xf>
    <xf numFmtId="4" fontId="35" fillId="0" borderId="43" xfId="10" applyNumberFormat="1" applyFont="1" applyBorder="1" applyAlignment="1">
      <alignment horizontal="right" vertical="center" wrapText="1"/>
    </xf>
    <xf numFmtId="0" fontId="35" fillId="13" borderId="43" xfId="10" applyFont="1" applyFill="1" applyBorder="1" applyAlignment="1" applyProtection="1">
      <alignment horizontal="right" vertical="center" wrapText="1"/>
      <protection locked="0"/>
    </xf>
    <xf numFmtId="43" fontId="0" fillId="0" borderId="0" xfId="1" applyNumberFormat="1" applyFont="1"/>
    <xf numFmtId="0" fontId="36" fillId="0" borderId="0" xfId="0" applyFont="1" applyAlignment="1">
      <alignment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10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43" fontId="2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43" fontId="2" fillId="2" borderId="0" xfId="1" applyNumberFormat="1" applyFont="1" applyFill="1" applyAlignment="1">
      <alignment horizontal="left" vertical="top" wrapText="1"/>
    </xf>
    <xf numFmtId="43" fontId="1" fillId="2" borderId="33" xfId="0" applyNumberFormat="1" applyFont="1" applyFill="1" applyBorder="1" applyAlignment="1">
      <alignment horizontal="right" vertical="top" wrapText="1"/>
    </xf>
    <xf numFmtId="43" fontId="21" fillId="9" borderId="33" xfId="0" applyNumberFormat="1" applyFont="1" applyFill="1" applyBorder="1" applyAlignment="1">
      <alignment horizontal="right" vertical="top" wrapText="1"/>
    </xf>
    <xf numFmtId="0" fontId="4" fillId="3" borderId="33" xfId="0" applyFont="1" applyFill="1" applyBorder="1" applyAlignment="1">
      <alignment horizontal="left" vertical="top" wrapText="1"/>
    </xf>
    <xf numFmtId="0" fontId="4" fillId="3" borderId="33" xfId="0" applyFont="1" applyFill="1" applyBorder="1" applyAlignment="1">
      <alignment horizontal="right" vertical="top" wrapText="1"/>
    </xf>
    <xf numFmtId="0" fontId="37" fillId="3" borderId="33" xfId="0" applyFont="1" applyFill="1" applyBorder="1" applyAlignment="1">
      <alignment horizontal="center" vertical="top" wrapText="1"/>
    </xf>
    <xf numFmtId="43" fontId="4" fillId="3" borderId="33" xfId="0" applyNumberFormat="1" applyFont="1" applyFill="1" applyBorder="1" applyAlignment="1">
      <alignment horizontal="right" vertical="top" wrapText="1"/>
    </xf>
    <xf numFmtId="0" fontId="38" fillId="9" borderId="33" xfId="0" applyFont="1" applyFill="1" applyBorder="1" applyAlignment="1">
      <alignment horizontal="left" vertical="top" wrapText="1"/>
    </xf>
    <xf numFmtId="0" fontId="39" fillId="9" borderId="33" xfId="0" applyFont="1" applyFill="1" applyBorder="1" applyAlignment="1">
      <alignment horizontal="left" vertical="top" wrapText="1"/>
    </xf>
    <xf numFmtId="0" fontId="5" fillId="0" borderId="33" xfId="0" applyFont="1" applyFill="1" applyBorder="1" applyAlignment="1">
      <alignment horizontal="right" vertical="top" wrapText="1"/>
    </xf>
    <xf numFmtId="0" fontId="5" fillId="0" borderId="33" xfId="0" applyFont="1" applyFill="1" applyBorder="1" applyAlignment="1">
      <alignment horizontal="left" vertical="top" wrapText="1"/>
    </xf>
    <xf numFmtId="0" fontId="0" fillId="0" borderId="33" xfId="0" applyFont="1" applyFill="1" applyBorder="1" applyAlignment="1">
      <alignment horizontal="center" vertical="top" wrapText="1"/>
    </xf>
    <xf numFmtId="43" fontId="5" fillId="0" borderId="33" xfId="0" applyNumberFormat="1" applyFont="1" applyFill="1" applyBorder="1" applyAlignment="1">
      <alignment horizontal="right" vertical="top" wrapText="1"/>
    </xf>
    <xf numFmtId="0" fontId="0" fillId="14" borderId="0" xfId="0" applyFill="1"/>
    <xf numFmtId="4" fontId="4" fillId="3" borderId="33" xfId="0" applyNumberFormat="1" applyFont="1" applyFill="1" applyBorder="1" applyAlignment="1">
      <alignment horizontal="right" vertical="top" wrapText="1"/>
    </xf>
    <xf numFmtId="43" fontId="0" fillId="0" borderId="0" xfId="1" applyFont="1"/>
    <xf numFmtId="4" fontId="0" fillId="0" borderId="0" xfId="0" applyNumberFormat="1"/>
    <xf numFmtId="44" fontId="3" fillId="14" borderId="0" xfId="3" applyFont="1" applyFill="1" applyAlignment="1"/>
    <xf numFmtId="172" fontId="0" fillId="0" borderId="0" xfId="0" applyNumberFormat="1"/>
    <xf numFmtId="167" fontId="0" fillId="0" borderId="0" xfId="0" applyNumberFormat="1"/>
    <xf numFmtId="164" fontId="0" fillId="0" borderId="0" xfId="0" applyNumberFormat="1"/>
    <xf numFmtId="0" fontId="40" fillId="0" borderId="0" xfId="0" applyFont="1"/>
    <xf numFmtId="0" fontId="42" fillId="0" borderId="0" xfId="0" applyFont="1" applyAlignment="1" applyProtection="1">
      <alignment vertical="center"/>
      <protection locked="0"/>
    </xf>
    <xf numFmtId="0" fontId="27" fillId="0" borderId="9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0" fontId="43" fillId="0" borderId="9" xfId="0" applyFont="1" applyBorder="1" applyAlignment="1">
      <alignment wrapText="1"/>
    </xf>
    <xf numFmtId="0" fontId="43" fillId="0" borderId="9" xfId="0" applyFont="1" applyBorder="1" applyAlignment="1">
      <alignment horizontal="center" wrapText="1"/>
    </xf>
    <xf numFmtId="4" fontId="44" fillId="0" borderId="9" xfId="0" applyNumberFormat="1" applyFont="1" applyBorder="1" applyAlignment="1">
      <alignment horizontal="center" vertical="center"/>
    </xf>
    <xf numFmtId="44" fontId="44" fillId="0" borderId="9" xfId="3" applyFont="1" applyBorder="1" applyAlignment="1">
      <alignment horizontal="center"/>
    </xf>
    <xf numFmtId="4" fontId="44" fillId="0" borderId="9" xfId="0" applyNumberFormat="1" applyFont="1" applyBorder="1" applyAlignment="1">
      <alignment horizontal="center"/>
    </xf>
    <xf numFmtId="44" fontId="41" fillId="3" borderId="9" xfId="3" applyFont="1" applyFill="1" applyBorder="1" applyAlignment="1">
      <alignment horizontal="center"/>
    </xf>
    <xf numFmtId="0" fontId="45" fillId="0" borderId="0" xfId="0" applyFont="1"/>
    <xf numFmtId="0" fontId="43" fillId="0" borderId="0" xfId="0" applyFont="1"/>
    <xf numFmtId="0" fontId="5" fillId="3" borderId="33" xfId="0" applyFont="1" applyFill="1" applyBorder="1" applyAlignment="1">
      <alignment horizontal="left" vertical="top" wrapText="1"/>
    </xf>
    <xf numFmtId="44" fontId="48" fillId="0" borderId="0" xfId="0" applyNumberFormat="1" applyFont="1"/>
    <xf numFmtId="0" fontId="48" fillId="0" borderId="0" xfId="0" applyFont="1"/>
    <xf numFmtId="0" fontId="40" fillId="0" borderId="1" xfId="0" applyFont="1" applyBorder="1" applyAlignment="1">
      <alignment horizontal="center"/>
    </xf>
    <xf numFmtId="0" fontId="40" fillId="0" borderId="2" xfId="0" applyFont="1" applyBorder="1" applyAlignment="1">
      <alignment horizontal="center"/>
    </xf>
    <xf numFmtId="0" fontId="40" fillId="0" borderId="3" xfId="0" applyFont="1" applyBorder="1" applyAlignment="1">
      <alignment horizontal="center"/>
    </xf>
    <xf numFmtId="0" fontId="40" fillId="0" borderId="10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40" fillId="0" borderId="11" xfId="0" applyFont="1" applyBorder="1" applyAlignment="1">
      <alignment horizontal="center"/>
    </xf>
    <xf numFmtId="0" fontId="40" fillId="0" borderId="4" xfId="0" applyFont="1" applyBorder="1" applyAlignment="1">
      <alignment horizontal="center"/>
    </xf>
    <xf numFmtId="0" fontId="40" fillId="0" borderId="5" xfId="0" applyFont="1" applyBorder="1" applyAlignment="1">
      <alignment horizontal="center"/>
    </xf>
    <xf numFmtId="0" fontId="40" fillId="0" borderId="12" xfId="0" applyFont="1" applyBorder="1" applyAlignment="1">
      <alignment horizontal="center"/>
    </xf>
    <xf numFmtId="0" fontId="41" fillId="15" borderId="9" xfId="0" applyFont="1" applyFill="1" applyBorder="1" applyAlignment="1" applyProtection="1">
      <alignment horizontal="center" vertical="center"/>
      <protection locked="0"/>
    </xf>
    <xf numFmtId="0" fontId="41" fillId="0" borderId="6" xfId="0" applyFont="1" applyBorder="1" applyAlignment="1" applyProtection="1">
      <alignment horizontal="left" vertical="center" wrapText="1"/>
      <protection locked="0"/>
    </xf>
    <xf numFmtId="0" fontId="41" fillId="0" borderId="7" xfId="0" applyFont="1" applyBorder="1" applyAlignment="1" applyProtection="1">
      <alignment horizontal="left" vertical="center" wrapText="1"/>
      <protection locked="0"/>
    </xf>
    <xf numFmtId="0" fontId="41" fillId="0" borderId="8" xfId="0" applyFont="1" applyBorder="1" applyAlignment="1" applyProtection="1">
      <alignment horizontal="left" vertical="center" wrapText="1"/>
      <protection locked="0"/>
    </xf>
    <xf numFmtId="0" fontId="41" fillId="0" borderId="6" xfId="0" applyFont="1" applyBorder="1" applyAlignment="1">
      <alignment horizontal="left" vertical="center"/>
    </xf>
    <xf numFmtId="0" fontId="41" fillId="0" borderId="7" xfId="0" applyFont="1" applyBorder="1" applyAlignment="1">
      <alignment horizontal="left" vertical="center"/>
    </xf>
    <xf numFmtId="0" fontId="41" fillId="0" borderId="8" xfId="0" applyFont="1" applyBorder="1" applyAlignment="1">
      <alignment horizontal="left" vertical="center"/>
    </xf>
    <xf numFmtId="0" fontId="27" fillId="0" borderId="6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6" xfId="0" applyFont="1" applyBorder="1" applyAlignment="1">
      <alignment horizontal="right" vertical="center"/>
    </xf>
    <xf numFmtId="0" fontId="27" fillId="0" borderId="7" xfId="0" applyFont="1" applyBorder="1" applyAlignment="1">
      <alignment horizontal="right" vertical="center"/>
    </xf>
    <xf numFmtId="0" fontId="27" fillId="0" borderId="8" xfId="0" applyFont="1" applyBorder="1" applyAlignment="1">
      <alignment horizontal="right" vertical="center"/>
    </xf>
    <xf numFmtId="0" fontId="27" fillId="0" borderId="64" xfId="0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/>
    </xf>
    <xf numFmtId="0" fontId="3" fillId="14" borderId="63" xfId="0" applyFont="1" applyFill="1" applyBorder="1" applyAlignment="1">
      <alignment horizontal="right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0" fillId="0" borderId="0" xfId="0"/>
    <xf numFmtId="0" fontId="2" fillId="2" borderId="0" xfId="0" applyFont="1" applyFill="1" applyAlignment="1">
      <alignment horizontal="center" vertical="top" wrapText="1"/>
    </xf>
    <xf numFmtId="4" fontId="31" fillId="0" borderId="44" xfId="10" applyNumberFormat="1" applyFont="1" applyBorder="1" applyAlignment="1">
      <alignment horizontal="right" vertical="center" wrapText="1"/>
    </xf>
    <xf numFmtId="4" fontId="31" fillId="0" borderId="42" xfId="10" applyNumberFormat="1" applyFont="1" applyBorder="1" applyAlignment="1">
      <alignment horizontal="right" vertical="center" wrapText="1"/>
    </xf>
    <xf numFmtId="4" fontId="34" fillId="13" borderId="47" xfId="10" applyNumberFormat="1" applyFont="1" applyFill="1" applyBorder="1" applyAlignment="1">
      <alignment horizontal="right" vertical="center" wrapText="1"/>
    </xf>
    <xf numFmtId="0" fontId="34" fillId="13" borderId="47" xfId="10" applyFont="1" applyFill="1" applyBorder="1" applyAlignment="1" applyProtection="1">
      <alignment horizontal="right" vertical="center" wrapText="1"/>
      <protection locked="0"/>
    </xf>
    <xf numFmtId="0" fontId="30" fillId="0" borderId="43" xfId="10" applyFont="1" applyBorder="1" applyAlignment="1">
      <alignment horizontal="center" vertical="center" wrapText="1"/>
    </xf>
    <xf numFmtId="0" fontId="30" fillId="0" borderId="43" xfId="10" applyFont="1" applyBorder="1" applyAlignment="1" applyProtection="1">
      <alignment horizontal="center" vertical="center" wrapText="1"/>
      <protection locked="0"/>
    </xf>
    <xf numFmtId="0" fontId="31" fillId="0" borderId="43" xfId="10" applyFont="1" applyBorder="1" applyAlignment="1">
      <alignment horizontal="left" vertical="center" wrapText="1"/>
    </xf>
    <xf numFmtId="0" fontId="31" fillId="0" borderId="43" xfId="10" applyFont="1" applyBorder="1" applyAlignment="1" applyProtection="1">
      <alignment horizontal="left" vertical="center" wrapText="1"/>
      <protection locked="0"/>
    </xf>
    <xf numFmtId="0" fontId="31" fillId="0" borderId="53" xfId="10" applyFont="1" applyBorder="1" applyAlignment="1">
      <alignment horizontal="left" vertical="center" wrapText="1"/>
    </xf>
    <xf numFmtId="0" fontId="31" fillId="0" borderId="53" xfId="10" applyFont="1" applyBorder="1" applyAlignment="1" applyProtection="1">
      <alignment horizontal="left" vertical="center" wrapText="1"/>
      <protection locked="0"/>
    </xf>
    <xf numFmtId="0" fontId="25" fillId="0" borderId="38" xfId="10" applyFont="1" applyBorder="1" applyAlignment="1" applyProtection="1">
      <alignment horizontal="center" vertical="center" wrapText="1"/>
      <protection locked="0"/>
    </xf>
    <xf numFmtId="0" fontId="26" fillId="0" borderId="39" xfId="10" applyFont="1" applyBorder="1" applyAlignment="1" applyProtection="1">
      <alignment horizontal="center" vertical="center" wrapText="1"/>
      <protection locked="0"/>
    </xf>
    <xf numFmtId="0" fontId="26" fillId="0" borderId="57" xfId="10" applyFont="1" applyBorder="1" applyAlignment="1" applyProtection="1">
      <alignment horizontal="center" vertical="center" wrapText="1"/>
      <protection locked="0"/>
    </xf>
    <xf numFmtId="0" fontId="27" fillId="0" borderId="40" xfId="10" applyFont="1" applyBorder="1" applyAlignment="1" applyProtection="1">
      <alignment horizontal="center" vertical="center" wrapText="1"/>
      <protection locked="0"/>
    </xf>
    <xf numFmtId="0" fontId="27" fillId="0" borderId="41" xfId="10" applyFont="1" applyBorder="1" applyAlignment="1" applyProtection="1">
      <alignment horizontal="center" vertical="center" wrapText="1"/>
      <protection locked="0"/>
    </xf>
    <xf numFmtId="0" fontId="27" fillId="0" borderId="58" xfId="10" applyFont="1" applyBorder="1" applyAlignment="1" applyProtection="1">
      <alignment horizontal="center" vertical="center" wrapText="1"/>
      <protection locked="0"/>
    </xf>
    <xf numFmtId="4" fontId="31" fillId="0" borderId="43" xfId="10" applyNumberFormat="1" applyFont="1" applyBorder="1" applyAlignment="1">
      <alignment horizontal="right" vertical="center" wrapText="1"/>
    </xf>
    <xf numFmtId="0" fontId="31" fillId="0" borderId="43" xfId="10" applyFont="1" applyBorder="1" applyAlignment="1" applyProtection="1">
      <alignment horizontal="right" vertical="center" wrapText="1"/>
      <protection locked="0"/>
    </xf>
    <xf numFmtId="0" fontId="5" fillId="3" borderId="3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21" fillId="9" borderId="33" xfId="0" applyFont="1" applyFill="1" applyBorder="1" applyAlignment="1">
      <alignment horizontal="left" vertical="top" wrapText="1"/>
    </xf>
    <xf numFmtId="0" fontId="1" fillId="2" borderId="33" xfId="0" applyFont="1" applyFill="1" applyBorder="1" applyAlignment="1">
      <alignment horizontal="left" vertical="top" wrapText="1"/>
    </xf>
    <xf numFmtId="0" fontId="4" fillId="10" borderId="33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10" fontId="2" fillId="2" borderId="0" xfId="2" applyNumberFormat="1" applyFont="1" applyFill="1" applyAlignment="1">
      <alignment horizontal="left" vertical="top" wrapText="1"/>
    </xf>
    <xf numFmtId="0" fontId="8" fillId="0" borderId="6" xfId="6" applyFont="1" applyBorder="1" applyAlignment="1" applyProtection="1">
      <alignment horizontal="center" vertical="center"/>
      <protection hidden="1"/>
    </xf>
    <xf numFmtId="0" fontId="8" fillId="0" borderId="7" xfId="6" applyFont="1" applyBorder="1" applyAlignment="1" applyProtection="1">
      <alignment horizontal="center" vertical="center"/>
      <protection hidden="1"/>
    </xf>
    <xf numFmtId="0" fontId="8" fillId="0" borderId="8" xfId="6" applyFont="1" applyBorder="1" applyAlignment="1" applyProtection="1">
      <alignment horizontal="center" vertical="center"/>
      <protection hidden="1"/>
    </xf>
    <xf numFmtId="0" fontId="0" fillId="8" borderId="10" xfId="0" applyFill="1" applyBorder="1" applyAlignment="1">
      <alignment horizontal="left" wrapText="1"/>
    </xf>
    <xf numFmtId="0" fontId="0" fillId="8" borderId="11" xfId="0" applyFill="1" applyBorder="1" applyAlignment="1">
      <alignment horizontal="left" wrapText="1"/>
    </xf>
    <xf numFmtId="0" fontId="7" fillId="0" borderId="6" xfId="6" applyFont="1" applyBorder="1" applyAlignment="1" applyProtection="1">
      <alignment horizontal="center" vertical="center"/>
      <protection hidden="1"/>
    </xf>
    <xf numFmtId="0" fontId="7" fillId="0" borderId="7" xfId="6" applyFont="1" applyBorder="1" applyAlignment="1" applyProtection="1">
      <alignment horizontal="center" vertical="center"/>
      <protection hidden="1"/>
    </xf>
    <xf numFmtId="0" fontId="7" fillId="0" borderId="8" xfId="6" applyFont="1" applyBorder="1" applyAlignment="1" applyProtection="1">
      <alignment horizontal="center" vertical="center"/>
      <protection hidden="1"/>
    </xf>
    <xf numFmtId="0" fontId="8" fillId="0" borderId="2" xfId="6" applyFont="1" applyBorder="1" applyAlignment="1" applyProtection="1">
      <alignment horizontal="center"/>
      <protection hidden="1"/>
    </xf>
    <xf numFmtId="0" fontId="15" fillId="0" borderId="16" xfId="5" applyFont="1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3" xfId="7" applyFont="1" applyBorder="1" applyAlignment="1">
      <alignment horizontal="center" vertical="center"/>
    </xf>
    <xf numFmtId="0" fontId="3" fillId="0" borderId="10" xfId="7" applyFont="1" applyBorder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3" fillId="0" borderId="11" xfId="7" applyFont="1" applyBorder="1" applyAlignment="1">
      <alignment horizontal="center" vertical="center"/>
    </xf>
    <xf numFmtId="0" fontId="3" fillId="0" borderId="4" xfId="7" applyFont="1" applyBorder="1" applyAlignment="1">
      <alignment horizontal="center" vertical="center"/>
    </xf>
    <xf numFmtId="0" fontId="3" fillId="0" borderId="5" xfId="7" applyFont="1" applyBorder="1" applyAlignment="1">
      <alignment horizontal="center" vertical="center"/>
    </xf>
    <xf numFmtId="0" fontId="3" fillId="0" borderId="12" xfId="7" applyFont="1" applyBorder="1" applyAlignment="1">
      <alignment horizontal="center" vertical="center"/>
    </xf>
    <xf numFmtId="0" fontId="7" fillId="0" borderId="9" xfId="9" applyFont="1" applyBorder="1" applyAlignment="1">
      <alignment horizontal="center" vertical="center"/>
    </xf>
    <xf numFmtId="0" fontId="7" fillId="0" borderId="6" xfId="9" applyFont="1" applyBorder="1" applyAlignment="1">
      <alignment horizontal="center" vertical="center"/>
    </xf>
    <xf numFmtId="0" fontId="7" fillId="0" borderId="7" xfId="9" applyFont="1" applyBorder="1" applyAlignment="1">
      <alignment horizontal="center" vertical="center"/>
    </xf>
    <xf numFmtId="0" fontId="7" fillId="0" borderId="8" xfId="9" applyFont="1" applyBorder="1" applyAlignment="1">
      <alignment horizontal="center" vertical="center"/>
    </xf>
    <xf numFmtId="0" fontId="8" fillId="0" borderId="6" xfId="9" applyFont="1" applyBorder="1" applyAlignment="1">
      <alignment horizontal="center"/>
    </xf>
    <xf numFmtId="0" fontId="8" fillId="0" borderId="7" xfId="9" applyFont="1" applyBorder="1" applyAlignment="1">
      <alignment horizontal="center"/>
    </xf>
    <xf numFmtId="0" fontId="8" fillId="0" borderId="8" xfId="9" applyFont="1" applyBorder="1" applyAlignment="1">
      <alignment horizontal="center"/>
    </xf>
    <xf numFmtId="0" fontId="6" fillId="0" borderId="6" xfId="9" applyFont="1" applyBorder="1" applyAlignment="1">
      <alignment horizontal="center" vertical="center"/>
    </xf>
    <xf numFmtId="0" fontId="6" fillId="0" borderId="7" xfId="9" applyFont="1" applyBorder="1" applyAlignment="1">
      <alignment horizontal="center" vertical="center"/>
    </xf>
    <xf numFmtId="0" fontId="6" fillId="0" borderId="8" xfId="9" applyFont="1" applyBorder="1" applyAlignment="1">
      <alignment horizontal="center" vertical="center"/>
    </xf>
    <xf numFmtId="165" fontId="7" fillId="0" borderId="9" xfId="9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5">
    <cellStyle name="Moeda" xfId="3" builtinId="4"/>
    <cellStyle name="Normal" xfId="0" builtinId="0"/>
    <cellStyle name="Normal 2" xfId="5" xr:uid="{00000000-0005-0000-0000-00000F000000}"/>
    <cellStyle name="Normal 2 2" xfId="9" xr:uid="{00000000-0005-0000-0000-000036000000}"/>
    <cellStyle name="Normal 2 3" xfId="7" xr:uid="{00000000-0005-0000-0000-000021000000}"/>
    <cellStyle name="Normal 3" xfId="10" xr:uid="{00000000-0005-0000-0000-000037000000}"/>
    <cellStyle name="Normal 4 2" xfId="11" xr:uid="{00000000-0005-0000-0000-000038000000}"/>
    <cellStyle name="Normal_Construction Assemblies A-E" xfId="6" xr:uid="{00000000-0005-0000-0000-00001D000000}"/>
    <cellStyle name="Normal_orçcomp" xfId="4" xr:uid="{00000000-0005-0000-0000-00000E000000}"/>
    <cellStyle name="Porcentagem" xfId="2" builtinId="5"/>
    <cellStyle name="Porcentagem 2" xfId="12" xr:uid="{00000000-0005-0000-0000-000039000000}"/>
    <cellStyle name="Porcentagem 3" xfId="13" xr:uid="{00000000-0005-0000-0000-00003A000000}"/>
    <cellStyle name="Porcentagem 4" xfId="8" xr:uid="{00000000-0005-0000-0000-000025000000}"/>
    <cellStyle name="Vírgula" xfId="1" builtinId="3"/>
    <cellStyle name="Vírgula 2" xfId="14" xr:uid="{00000000-0005-0000-0000-00003B000000}"/>
  </cellStyles>
  <dxfs count="0"/>
  <tableStyles count="1" defaultTableStyle="TableStyleMedium9" defaultPivotStyle="PivotStyleLight16">
    <tableStyle name="Estilo de Tabela 1" pivot="0" count="0" xr9:uid="{00000000-0011-0000-FFFF-FFFF00000000}"/>
  </tableStyles>
  <colors>
    <mruColors>
      <color rgb="FF99CCFF"/>
      <color rgb="FFD1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585594</xdr:colOff>
      <xdr:row>2</xdr:row>
      <xdr:rowOff>152400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6891020" cy="514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900" b="1"/>
            <a:t>		</a:t>
          </a:r>
          <a:r>
            <a:rPr lang="pt-BR" sz="1000" b="1"/>
            <a:t>Ministério do Desenvolvimento Regional – MDR</a:t>
          </a:r>
        </a:p>
        <a:p>
          <a:pPr>
            <a:lnSpc>
              <a:spcPts val="900"/>
            </a:lnSpc>
          </a:pPr>
          <a:r>
            <a:rPr lang="pt-BR" sz="1000" b="1"/>
            <a:t>		Companhia de Desenvolvimento dos Vales do São Francisco e do Parnaíba</a:t>
          </a:r>
        </a:p>
        <a:p>
          <a:pPr>
            <a:lnSpc>
              <a:spcPts val="900"/>
            </a:lnSpc>
          </a:pPr>
          <a:r>
            <a:rPr lang="pt-BR" sz="1000" b="1"/>
            <a:t>		5ª GRD/UEP - 5ª Superintendência Regional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981075</xdr:colOff>
          <xdr:row>2</xdr:row>
          <xdr:rowOff>28575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2667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333500" cy="26670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104775</xdr:colOff>
          <xdr:row>0</xdr:row>
          <xdr:rowOff>142875</xdr:rowOff>
        </xdr:from>
        <xdr:to>
          <xdr:col>2</xdr:col>
          <xdr:colOff>514350</xdr:colOff>
          <xdr:row>0</xdr:row>
          <xdr:rowOff>523875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2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104776</xdr:rowOff>
    </xdr:from>
    <xdr:to>
      <xdr:col>2</xdr:col>
      <xdr:colOff>484016</xdr:colOff>
      <xdr:row>2</xdr:row>
      <xdr:rowOff>180976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04775"/>
          <a:ext cx="2398395" cy="457200"/>
        </a:xfrm>
        <a:prstGeom prst="rect">
          <a:avLst/>
        </a:prstGeom>
      </xdr:spPr>
    </xdr:pic>
    <xdr:clientData/>
  </xdr:twoCellAnchor>
  <xdr:oneCellAnchor>
    <xdr:from>
      <xdr:col>0</xdr:col>
      <xdr:colOff>38101</xdr:colOff>
      <xdr:row>23</xdr:row>
      <xdr:rowOff>104775</xdr:rowOff>
    </xdr:from>
    <xdr:ext cx="2495550" cy="475691"/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6391275"/>
          <a:ext cx="2495550" cy="47561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438150</xdr:colOff>
          <xdr:row>1</xdr:row>
          <xdr:rowOff>47625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133350</xdr:rowOff>
        </xdr:from>
        <xdr:to>
          <xdr:col>1</xdr:col>
          <xdr:colOff>0</xdr:colOff>
          <xdr:row>2</xdr:row>
          <xdr:rowOff>0</xdr:rowOff>
        </xdr:to>
        <xdr:sp macro="" textlink="">
          <xdr:nvSpPr>
            <xdr:cNvPr id="15361" name="Picture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5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69</xdr:row>
      <xdr:rowOff>0</xdr:rowOff>
    </xdr:from>
    <xdr:to>
      <xdr:col>0</xdr:col>
      <xdr:colOff>160020</xdr:colOff>
      <xdr:row>69</xdr:row>
      <xdr:rowOff>152400</xdr:rowOff>
    </xdr:to>
    <xdr:sp macro="" textlink="">
      <xdr:nvSpPr>
        <xdr:cNvPr id="4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spect="1" noChangeArrowheads="1"/>
        </xdr:cNvSpPr>
      </xdr:nvSpPr>
      <xdr:spPr>
        <a:xfrm>
          <a:off x="0" y="11172825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133350</xdr:rowOff>
        </xdr:from>
        <xdr:to>
          <xdr:col>1</xdr:col>
          <xdr:colOff>0</xdr:colOff>
          <xdr:row>2</xdr:row>
          <xdr:rowOff>0</xdr:rowOff>
        </xdr:to>
        <xdr:sp macro="" textlink="">
          <xdr:nvSpPr>
            <xdr:cNvPr id="12290" name="Picture 1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6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8</xdr:row>
      <xdr:rowOff>0</xdr:rowOff>
    </xdr:from>
    <xdr:to>
      <xdr:col>0</xdr:col>
      <xdr:colOff>160020</xdr:colOff>
      <xdr:row>8</xdr:row>
      <xdr:rowOff>152400</xdr:rowOff>
    </xdr:to>
    <xdr:sp macro="" textlink="">
      <xdr:nvSpPr>
        <xdr:cNvPr id="6" name="AutoShape 3" descr="http://187.17.2.135/orse/imagens/insumo.gif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Aspect="1" noChangeArrowheads="1"/>
        </xdr:cNvSpPr>
      </xdr:nvSpPr>
      <xdr:spPr>
        <a:xfrm>
          <a:off x="0" y="1628775"/>
          <a:ext cx="1600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28575</xdr:rowOff>
        </xdr:from>
        <xdr:to>
          <xdr:col>1</xdr:col>
          <xdr:colOff>276225</xdr:colOff>
          <xdr:row>1</xdr:row>
          <xdr:rowOff>180975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7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76200</xdr:rowOff>
    </xdr:from>
    <xdr:to>
      <xdr:col>1</xdr:col>
      <xdr:colOff>1350059</xdr:colOff>
      <xdr:row>1</xdr:row>
      <xdr:rowOff>453373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266700"/>
          <a:ext cx="1978660" cy="376555"/>
        </a:xfrm>
        <a:prstGeom prst="rect">
          <a:avLst/>
        </a:prstGeom>
      </xdr:spPr>
    </xdr:pic>
    <xdr:clientData/>
  </xdr:twoCellAnchor>
  <xdr:twoCellAnchor>
    <xdr:from>
      <xdr:col>1</xdr:col>
      <xdr:colOff>1476375</xdr:colOff>
      <xdr:row>0</xdr:row>
      <xdr:rowOff>190499</xdr:rowOff>
    </xdr:from>
    <xdr:to>
      <xdr:col>2</xdr:col>
      <xdr:colOff>476250</xdr:colOff>
      <xdr:row>1</xdr:row>
      <xdr:rowOff>676275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2190750" y="189865"/>
          <a:ext cx="3524250" cy="6769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>
            <a:lnSpc>
              <a:spcPts val="900"/>
            </a:lnSpc>
          </a:pPr>
          <a:r>
            <a:rPr lang="pt-BR" sz="800" b="1">
              <a:latin typeface="Arial" panose="020B0604020202020204" pitchFamily="7" charset="0"/>
              <a:cs typeface="Arial" panose="020B0604020202020204" pitchFamily="7" charset="0"/>
            </a:rPr>
            <a:t> </a:t>
          </a:r>
          <a:r>
            <a:rPr lang="pt-BR" sz="900" b="1">
              <a:latin typeface="Arial" panose="020B0604020202020204" pitchFamily="7" charset="0"/>
              <a:cs typeface="Arial" panose="020B0604020202020204" pitchFamily="7" charset="0"/>
            </a:rPr>
            <a:t>Ministério do Desenvolvimento Regional – MDR</a:t>
          </a:r>
        </a:p>
        <a:p>
          <a:pPr algn="l">
            <a:lnSpc>
              <a:spcPts val="900"/>
            </a:lnSpc>
          </a:pPr>
          <a:r>
            <a:rPr lang="pt-BR" sz="900" b="1">
              <a:latin typeface="Arial" panose="020B0604020202020204" pitchFamily="7" charset="0"/>
              <a:cs typeface="Arial" panose="020B0604020202020204" pitchFamily="7" charset="0"/>
            </a:rPr>
            <a:t>Companhia de Desenvolvimento dos Vales do São Francisco e do Parnaíba</a:t>
          </a:r>
        </a:p>
        <a:p>
          <a:pPr algn="l">
            <a:lnSpc>
              <a:spcPts val="900"/>
            </a:lnSpc>
          </a:pPr>
          <a:r>
            <a:rPr lang="pt-BR" sz="900" b="1">
              <a:latin typeface="Arial" panose="020B0604020202020204" pitchFamily="7" charset="0"/>
              <a:cs typeface="Arial" panose="020B0604020202020204" pitchFamily="7" charset="0"/>
            </a:rPr>
            <a:t>5ª GRD/UEP - 5ª Superintendência Regional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7.xml"/><Relationship Id="rId4" Type="http://schemas.openxmlformats.org/officeDocument/2006/relationships/image" Target="../media/image1.emf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.bin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8.xml"/><Relationship Id="rId4" Type="http://schemas.openxmlformats.org/officeDocument/2006/relationships/image" Target="../media/image1.emf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VI30"/>
  <sheetViews>
    <sheetView tabSelected="1" workbookViewId="0">
      <selection activeCell="L12" sqref="L12"/>
    </sheetView>
  </sheetViews>
  <sheetFormatPr defaultColWidth="9" defaultRowHeight="15"/>
  <cols>
    <col min="1" max="1" width="8" style="216" customWidth="1"/>
    <col min="2" max="2" width="30.125" style="216" customWidth="1"/>
    <col min="3" max="3" width="9.125" style="216" customWidth="1"/>
    <col min="4" max="4" width="13.875" style="216" customWidth="1"/>
    <col min="5" max="5" width="21.625" style="216" customWidth="1"/>
    <col min="6" max="6" width="15.75" style="216" customWidth="1"/>
    <col min="7" max="7" width="6.875" style="216" customWidth="1"/>
    <col min="8" max="246" width="9" style="216"/>
    <col min="247" max="249" width="8" style="216" customWidth="1"/>
    <col min="250" max="250" width="30.125" style="216" customWidth="1"/>
    <col min="251" max="251" width="20.875" style="216" customWidth="1"/>
    <col min="252" max="252" width="21.125" style="216" customWidth="1"/>
    <col min="253" max="253" width="21" style="216" customWidth="1"/>
    <col min="254" max="254" width="9" style="216" hidden="1" customWidth="1"/>
    <col min="255" max="255" width="11.875" style="216" customWidth="1"/>
    <col min="256" max="256" width="9" style="216"/>
    <col min="257" max="257" width="9" style="216" hidden="1" customWidth="1"/>
    <col min="258" max="502" width="9" style="216"/>
    <col min="503" max="505" width="8" style="216" customWidth="1"/>
    <col min="506" max="506" width="30.125" style="216" customWidth="1"/>
    <col min="507" max="507" width="20.875" style="216" customWidth="1"/>
    <col min="508" max="508" width="21.125" style="216" customWidth="1"/>
    <col min="509" max="509" width="21" style="216" customWidth="1"/>
    <col min="510" max="510" width="9" style="216" hidden="1" customWidth="1"/>
    <col min="511" max="511" width="11.875" style="216" customWidth="1"/>
    <col min="512" max="512" width="9" style="216"/>
    <col min="513" max="513" width="9" style="216" hidden="1" customWidth="1"/>
    <col min="514" max="758" width="9" style="216"/>
    <col min="759" max="761" width="8" style="216" customWidth="1"/>
    <col min="762" max="762" width="30.125" style="216" customWidth="1"/>
    <col min="763" max="763" width="20.875" style="216" customWidth="1"/>
    <col min="764" max="764" width="21.125" style="216" customWidth="1"/>
    <col min="765" max="765" width="21" style="216" customWidth="1"/>
    <col min="766" max="766" width="9" style="216" hidden="1" customWidth="1"/>
    <col min="767" max="767" width="11.875" style="216" customWidth="1"/>
    <col min="768" max="768" width="9" style="216"/>
    <col min="769" max="769" width="9" style="216" hidden="1" customWidth="1"/>
    <col min="770" max="1014" width="9" style="216"/>
    <col min="1015" max="1017" width="8" style="216" customWidth="1"/>
    <col min="1018" max="1018" width="30.125" style="216" customWidth="1"/>
    <col min="1019" max="1019" width="20.875" style="216" customWidth="1"/>
    <col min="1020" max="1020" width="21.125" style="216" customWidth="1"/>
    <col min="1021" max="1021" width="21" style="216" customWidth="1"/>
    <col min="1022" max="1022" width="9" style="216" hidden="1" customWidth="1"/>
    <col min="1023" max="1023" width="11.875" style="216" customWidth="1"/>
    <col min="1024" max="1024" width="9" style="216"/>
    <col min="1025" max="1025" width="9" style="216" hidden="1" customWidth="1"/>
    <col min="1026" max="1270" width="9" style="216"/>
    <col min="1271" max="1273" width="8" style="216" customWidth="1"/>
    <col min="1274" max="1274" width="30.125" style="216" customWidth="1"/>
    <col min="1275" max="1275" width="20.875" style="216" customWidth="1"/>
    <col min="1276" max="1276" width="21.125" style="216" customWidth="1"/>
    <col min="1277" max="1277" width="21" style="216" customWidth="1"/>
    <col min="1278" max="1278" width="9" style="216" hidden="1" customWidth="1"/>
    <col min="1279" max="1279" width="11.875" style="216" customWidth="1"/>
    <col min="1280" max="1280" width="9" style="216"/>
    <col min="1281" max="1281" width="9" style="216" hidden="1" customWidth="1"/>
    <col min="1282" max="1526" width="9" style="216"/>
    <col min="1527" max="1529" width="8" style="216" customWidth="1"/>
    <col min="1530" max="1530" width="30.125" style="216" customWidth="1"/>
    <col min="1531" max="1531" width="20.875" style="216" customWidth="1"/>
    <col min="1532" max="1532" width="21.125" style="216" customWidth="1"/>
    <col min="1533" max="1533" width="21" style="216" customWidth="1"/>
    <col min="1534" max="1534" width="9" style="216" hidden="1" customWidth="1"/>
    <col min="1535" max="1535" width="11.875" style="216" customWidth="1"/>
    <col min="1536" max="1536" width="9" style="216"/>
    <col min="1537" max="1537" width="9" style="216" hidden="1" customWidth="1"/>
    <col min="1538" max="1782" width="9" style="216"/>
    <col min="1783" max="1785" width="8" style="216" customWidth="1"/>
    <col min="1786" max="1786" width="30.125" style="216" customWidth="1"/>
    <col min="1787" max="1787" width="20.875" style="216" customWidth="1"/>
    <col min="1788" max="1788" width="21.125" style="216" customWidth="1"/>
    <col min="1789" max="1789" width="21" style="216" customWidth="1"/>
    <col min="1790" max="1790" width="9" style="216" hidden="1" customWidth="1"/>
    <col min="1791" max="1791" width="11.875" style="216" customWidth="1"/>
    <col min="1792" max="1792" width="9" style="216"/>
    <col min="1793" max="1793" width="9" style="216" hidden="1" customWidth="1"/>
    <col min="1794" max="2038" width="9" style="216"/>
    <col min="2039" max="2041" width="8" style="216" customWidth="1"/>
    <col min="2042" max="2042" width="30.125" style="216" customWidth="1"/>
    <col min="2043" max="2043" width="20.875" style="216" customWidth="1"/>
    <col min="2044" max="2044" width="21.125" style="216" customWidth="1"/>
    <col min="2045" max="2045" width="21" style="216" customWidth="1"/>
    <col min="2046" max="2046" width="9" style="216" hidden="1" customWidth="1"/>
    <col min="2047" max="2047" width="11.875" style="216" customWidth="1"/>
    <col min="2048" max="2048" width="9" style="216"/>
    <col min="2049" max="2049" width="9" style="216" hidden="1" customWidth="1"/>
    <col min="2050" max="2294" width="9" style="216"/>
    <col min="2295" max="2297" width="8" style="216" customWidth="1"/>
    <col min="2298" max="2298" width="30.125" style="216" customWidth="1"/>
    <col min="2299" max="2299" width="20.875" style="216" customWidth="1"/>
    <col min="2300" max="2300" width="21.125" style="216" customWidth="1"/>
    <col min="2301" max="2301" width="21" style="216" customWidth="1"/>
    <col min="2302" max="2302" width="9" style="216" hidden="1" customWidth="1"/>
    <col min="2303" max="2303" width="11.875" style="216" customWidth="1"/>
    <col min="2304" max="2304" width="9" style="216"/>
    <col min="2305" max="2305" width="9" style="216" hidden="1" customWidth="1"/>
    <col min="2306" max="2550" width="9" style="216"/>
    <col min="2551" max="2553" width="8" style="216" customWidth="1"/>
    <col min="2554" max="2554" width="30.125" style="216" customWidth="1"/>
    <col min="2555" max="2555" width="20.875" style="216" customWidth="1"/>
    <col min="2556" max="2556" width="21.125" style="216" customWidth="1"/>
    <col min="2557" max="2557" width="21" style="216" customWidth="1"/>
    <col min="2558" max="2558" width="9" style="216" hidden="1" customWidth="1"/>
    <col min="2559" max="2559" width="11.875" style="216" customWidth="1"/>
    <col min="2560" max="2560" width="9" style="216"/>
    <col min="2561" max="2561" width="9" style="216" hidden="1" customWidth="1"/>
    <col min="2562" max="2806" width="9" style="216"/>
    <col min="2807" max="2809" width="8" style="216" customWidth="1"/>
    <col min="2810" max="2810" width="30.125" style="216" customWidth="1"/>
    <col min="2811" max="2811" width="20.875" style="216" customWidth="1"/>
    <col min="2812" max="2812" width="21.125" style="216" customWidth="1"/>
    <col min="2813" max="2813" width="21" style="216" customWidth="1"/>
    <col min="2814" max="2814" width="9" style="216" hidden="1" customWidth="1"/>
    <col min="2815" max="2815" width="11.875" style="216" customWidth="1"/>
    <col min="2816" max="2816" width="9" style="216"/>
    <col min="2817" max="2817" width="9" style="216" hidden="1" customWidth="1"/>
    <col min="2818" max="3062" width="9" style="216"/>
    <col min="3063" max="3065" width="8" style="216" customWidth="1"/>
    <col min="3066" max="3066" width="30.125" style="216" customWidth="1"/>
    <col min="3067" max="3067" width="20.875" style="216" customWidth="1"/>
    <col min="3068" max="3068" width="21.125" style="216" customWidth="1"/>
    <col min="3069" max="3069" width="21" style="216" customWidth="1"/>
    <col min="3070" max="3070" width="9" style="216" hidden="1" customWidth="1"/>
    <col min="3071" max="3071" width="11.875" style="216" customWidth="1"/>
    <col min="3072" max="3072" width="9" style="216"/>
    <col min="3073" max="3073" width="9" style="216" hidden="1" customWidth="1"/>
    <col min="3074" max="3318" width="9" style="216"/>
    <col min="3319" max="3321" width="8" style="216" customWidth="1"/>
    <col min="3322" max="3322" width="30.125" style="216" customWidth="1"/>
    <col min="3323" max="3323" width="20.875" style="216" customWidth="1"/>
    <col min="3324" max="3324" width="21.125" style="216" customWidth="1"/>
    <col min="3325" max="3325" width="21" style="216" customWidth="1"/>
    <col min="3326" max="3326" width="9" style="216" hidden="1" customWidth="1"/>
    <col min="3327" max="3327" width="11.875" style="216" customWidth="1"/>
    <col min="3328" max="3328" width="9" style="216"/>
    <col min="3329" max="3329" width="9" style="216" hidden="1" customWidth="1"/>
    <col min="3330" max="3574" width="9" style="216"/>
    <col min="3575" max="3577" width="8" style="216" customWidth="1"/>
    <col min="3578" max="3578" width="30.125" style="216" customWidth="1"/>
    <col min="3579" max="3579" width="20.875" style="216" customWidth="1"/>
    <col min="3580" max="3580" width="21.125" style="216" customWidth="1"/>
    <col min="3581" max="3581" width="21" style="216" customWidth="1"/>
    <col min="3582" max="3582" width="9" style="216" hidden="1" customWidth="1"/>
    <col min="3583" max="3583" width="11.875" style="216" customWidth="1"/>
    <col min="3584" max="3584" width="9" style="216"/>
    <col min="3585" max="3585" width="9" style="216" hidden="1" customWidth="1"/>
    <col min="3586" max="3830" width="9" style="216"/>
    <col min="3831" max="3833" width="8" style="216" customWidth="1"/>
    <col min="3834" max="3834" width="30.125" style="216" customWidth="1"/>
    <col min="3835" max="3835" width="20.875" style="216" customWidth="1"/>
    <col min="3836" max="3836" width="21.125" style="216" customWidth="1"/>
    <col min="3837" max="3837" width="21" style="216" customWidth="1"/>
    <col min="3838" max="3838" width="9" style="216" hidden="1" customWidth="1"/>
    <col min="3839" max="3839" width="11.875" style="216" customWidth="1"/>
    <col min="3840" max="3840" width="9" style="216"/>
    <col min="3841" max="3841" width="9" style="216" hidden="1" customWidth="1"/>
    <col min="3842" max="4086" width="9" style="216"/>
    <col min="4087" max="4089" width="8" style="216" customWidth="1"/>
    <col min="4090" max="4090" width="30.125" style="216" customWidth="1"/>
    <col min="4091" max="4091" width="20.875" style="216" customWidth="1"/>
    <col min="4092" max="4092" width="21.125" style="216" customWidth="1"/>
    <col min="4093" max="4093" width="21" style="216" customWidth="1"/>
    <col min="4094" max="4094" width="9" style="216" hidden="1" customWidth="1"/>
    <col min="4095" max="4095" width="11.875" style="216" customWidth="1"/>
    <col min="4096" max="4096" width="9" style="216"/>
    <col min="4097" max="4097" width="9" style="216" hidden="1" customWidth="1"/>
    <col min="4098" max="4342" width="9" style="216"/>
    <col min="4343" max="4345" width="8" style="216" customWidth="1"/>
    <col min="4346" max="4346" width="30.125" style="216" customWidth="1"/>
    <col min="4347" max="4347" width="20.875" style="216" customWidth="1"/>
    <col min="4348" max="4348" width="21.125" style="216" customWidth="1"/>
    <col min="4349" max="4349" width="21" style="216" customWidth="1"/>
    <col min="4350" max="4350" width="9" style="216" hidden="1" customWidth="1"/>
    <col min="4351" max="4351" width="11.875" style="216" customWidth="1"/>
    <col min="4352" max="4352" width="9" style="216"/>
    <col min="4353" max="4353" width="9" style="216" hidden="1" customWidth="1"/>
    <col min="4354" max="4598" width="9" style="216"/>
    <col min="4599" max="4601" width="8" style="216" customWidth="1"/>
    <col min="4602" max="4602" width="30.125" style="216" customWidth="1"/>
    <col min="4603" max="4603" width="20.875" style="216" customWidth="1"/>
    <col min="4604" max="4604" width="21.125" style="216" customWidth="1"/>
    <col min="4605" max="4605" width="21" style="216" customWidth="1"/>
    <col min="4606" max="4606" width="9" style="216" hidden="1" customWidth="1"/>
    <col min="4607" max="4607" width="11.875" style="216" customWidth="1"/>
    <col min="4608" max="4608" width="9" style="216"/>
    <col min="4609" max="4609" width="9" style="216" hidden="1" customWidth="1"/>
    <col min="4610" max="4854" width="9" style="216"/>
    <col min="4855" max="4857" width="8" style="216" customWidth="1"/>
    <col min="4858" max="4858" width="30.125" style="216" customWidth="1"/>
    <col min="4859" max="4859" width="20.875" style="216" customWidth="1"/>
    <col min="4860" max="4860" width="21.125" style="216" customWidth="1"/>
    <col min="4861" max="4861" width="21" style="216" customWidth="1"/>
    <col min="4862" max="4862" width="9" style="216" hidden="1" customWidth="1"/>
    <col min="4863" max="4863" width="11.875" style="216" customWidth="1"/>
    <col min="4864" max="4864" width="9" style="216"/>
    <col min="4865" max="4865" width="9" style="216" hidden="1" customWidth="1"/>
    <col min="4866" max="5110" width="9" style="216"/>
    <col min="5111" max="5113" width="8" style="216" customWidth="1"/>
    <col min="5114" max="5114" width="30.125" style="216" customWidth="1"/>
    <col min="5115" max="5115" width="20.875" style="216" customWidth="1"/>
    <col min="5116" max="5116" width="21.125" style="216" customWidth="1"/>
    <col min="5117" max="5117" width="21" style="216" customWidth="1"/>
    <col min="5118" max="5118" width="9" style="216" hidden="1" customWidth="1"/>
    <col min="5119" max="5119" width="11.875" style="216" customWidth="1"/>
    <col min="5120" max="5120" width="9" style="216"/>
    <col min="5121" max="5121" width="9" style="216" hidden="1" customWidth="1"/>
    <col min="5122" max="5366" width="9" style="216"/>
    <col min="5367" max="5369" width="8" style="216" customWidth="1"/>
    <col min="5370" max="5370" width="30.125" style="216" customWidth="1"/>
    <col min="5371" max="5371" width="20.875" style="216" customWidth="1"/>
    <col min="5372" max="5372" width="21.125" style="216" customWidth="1"/>
    <col min="5373" max="5373" width="21" style="216" customWidth="1"/>
    <col min="5374" max="5374" width="9" style="216" hidden="1" customWidth="1"/>
    <col min="5375" max="5375" width="11.875" style="216" customWidth="1"/>
    <col min="5376" max="5376" width="9" style="216"/>
    <col min="5377" max="5377" width="9" style="216" hidden="1" customWidth="1"/>
    <col min="5378" max="5622" width="9" style="216"/>
    <col min="5623" max="5625" width="8" style="216" customWidth="1"/>
    <col min="5626" max="5626" width="30.125" style="216" customWidth="1"/>
    <col min="5627" max="5627" width="20.875" style="216" customWidth="1"/>
    <col min="5628" max="5628" width="21.125" style="216" customWidth="1"/>
    <col min="5629" max="5629" width="21" style="216" customWidth="1"/>
    <col min="5630" max="5630" width="9" style="216" hidden="1" customWidth="1"/>
    <col min="5631" max="5631" width="11.875" style="216" customWidth="1"/>
    <col min="5632" max="5632" width="9" style="216"/>
    <col min="5633" max="5633" width="9" style="216" hidden="1" customWidth="1"/>
    <col min="5634" max="5878" width="9" style="216"/>
    <col min="5879" max="5881" width="8" style="216" customWidth="1"/>
    <col min="5882" max="5882" width="30.125" style="216" customWidth="1"/>
    <col min="5883" max="5883" width="20.875" style="216" customWidth="1"/>
    <col min="5884" max="5884" width="21.125" style="216" customWidth="1"/>
    <col min="5885" max="5885" width="21" style="216" customWidth="1"/>
    <col min="5886" max="5886" width="9" style="216" hidden="1" customWidth="1"/>
    <col min="5887" max="5887" width="11.875" style="216" customWidth="1"/>
    <col min="5888" max="5888" width="9" style="216"/>
    <col min="5889" max="5889" width="9" style="216" hidden="1" customWidth="1"/>
    <col min="5890" max="6134" width="9" style="216"/>
    <col min="6135" max="6137" width="8" style="216" customWidth="1"/>
    <col min="6138" max="6138" width="30.125" style="216" customWidth="1"/>
    <col min="6139" max="6139" width="20.875" style="216" customWidth="1"/>
    <col min="6140" max="6140" width="21.125" style="216" customWidth="1"/>
    <col min="6141" max="6141" width="21" style="216" customWidth="1"/>
    <col min="6142" max="6142" width="9" style="216" hidden="1" customWidth="1"/>
    <col min="6143" max="6143" width="11.875" style="216" customWidth="1"/>
    <col min="6144" max="6144" width="9" style="216"/>
    <col min="6145" max="6145" width="9" style="216" hidden="1" customWidth="1"/>
    <col min="6146" max="6390" width="9" style="216"/>
    <col min="6391" max="6393" width="8" style="216" customWidth="1"/>
    <col min="6394" max="6394" width="30.125" style="216" customWidth="1"/>
    <col min="6395" max="6395" width="20.875" style="216" customWidth="1"/>
    <col min="6396" max="6396" width="21.125" style="216" customWidth="1"/>
    <col min="6397" max="6397" width="21" style="216" customWidth="1"/>
    <col min="6398" max="6398" width="9" style="216" hidden="1" customWidth="1"/>
    <col min="6399" max="6399" width="11.875" style="216" customWidth="1"/>
    <col min="6400" max="6400" width="9" style="216"/>
    <col min="6401" max="6401" width="9" style="216" hidden="1" customWidth="1"/>
    <col min="6402" max="6646" width="9" style="216"/>
    <col min="6647" max="6649" width="8" style="216" customWidth="1"/>
    <col min="6650" max="6650" width="30.125" style="216" customWidth="1"/>
    <col min="6651" max="6651" width="20.875" style="216" customWidth="1"/>
    <col min="6652" max="6652" width="21.125" style="216" customWidth="1"/>
    <col min="6653" max="6653" width="21" style="216" customWidth="1"/>
    <col min="6654" max="6654" width="9" style="216" hidden="1" customWidth="1"/>
    <col min="6655" max="6655" width="11.875" style="216" customWidth="1"/>
    <col min="6656" max="6656" width="9" style="216"/>
    <col min="6657" max="6657" width="9" style="216" hidden="1" customWidth="1"/>
    <col min="6658" max="6902" width="9" style="216"/>
    <col min="6903" max="6905" width="8" style="216" customWidth="1"/>
    <col min="6906" max="6906" width="30.125" style="216" customWidth="1"/>
    <col min="6907" max="6907" width="20.875" style="216" customWidth="1"/>
    <col min="6908" max="6908" width="21.125" style="216" customWidth="1"/>
    <col min="6909" max="6909" width="21" style="216" customWidth="1"/>
    <col min="6910" max="6910" width="9" style="216" hidden="1" customWidth="1"/>
    <col min="6911" max="6911" width="11.875" style="216" customWidth="1"/>
    <col min="6912" max="6912" width="9" style="216"/>
    <col min="6913" max="6913" width="9" style="216" hidden="1" customWidth="1"/>
    <col min="6914" max="7158" width="9" style="216"/>
    <col min="7159" max="7161" width="8" style="216" customWidth="1"/>
    <col min="7162" max="7162" width="30.125" style="216" customWidth="1"/>
    <col min="7163" max="7163" width="20.875" style="216" customWidth="1"/>
    <col min="7164" max="7164" width="21.125" style="216" customWidth="1"/>
    <col min="7165" max="7165" width="21" style="216" customWidth="1"/>
    <col min="7166" max="7166" width="9" style="216" hidden="1" customWidth="1"/>
    <col min="7167" max="7167" width="11.875" style="216" customWidth="1"/>
    <col min="7168" max="7168" width="9" style="216"/>
    <col min="7169" max="7169" width="9" style="216" hidden="1" customWidth="1"/>
    <col min="7170" max="7414" width="9" style="216"/>
    <col min="7415" max="7417" width="8" style="216" customWidth="1"/>
    <col min="7418" max="7418" width="30.125" style="216" customWidth="1"/>
    <col min="7419" max="7419" width="20.875" style="216" customWidth="1"/>
    <col min="7420" max="7420" width="21.125" style="216" customWidth="1"/>
    <col min="7421" max="7421" width="21" style="216" customWidth="1"/>
    <col min="7422" max="7422" width="9" style="216" hidden="1" customWidth="1"/>
    <col min="7423" max="7423" width="11.875" style="216" customWidth="1"/>
    <col min="7424" max="7424" width="9" style="216"/>
    <col min="7425" max="7425" width="9" style="216" hidden="1" customWidth="1"/>
    <col min="7426" max="7670" width="9" style="216"/>
    <col min="7671" max="7673" width="8" style="216" customWidth="1"/>
    <col min="7674" max="7674" width="30.125" style="216" customWidth="1"/>
    <col min="7675" max="7675" width="20.875" style="216" customWidth="1"/>
    <col min="7676" max="7676" width="21.125" style="216" customWidth="1"/>
    <col min="7677" max="7677" width="21" style="216" customWidth="1"/>
    <col min="7678" max="7678" width="9" style="216" hidden="1" customWidth="1"/>
    <col min="7679" max="7679" width="11.875" style="216" customWidth="1"/>
    <col min="7680" max="7680" width="9" style="216"/>
    <col min="7681" max="7681" width="9" style="216" hidden="1" customWidth="1"/>
    <col min="7682" max="7926" width="9" style="216"/>
    <col min="7927" max="7929" width="8" style="216" customWidth="1"/>
    <col min="7930" max="7930" width="30.125" style="216" customWidth="1"/>
    <col min="7931" max="7931" width="20.875" style="216" customWidth="1"/>
    <col min="7932" max="7932" width="21.125" style="216" customWidth="1"/>
    <col min="7933" max="7933" width="21" style="216" customWidth="1"/>
    <col min="7934" max="7934" width="9" style="216" hidden="1" customWidth="1"/>
    <col min="7935" max="7935" width="11.875" style="216" customWidth="1"/>
    <col min="7936" max="7936" width="9" style="216"/>
    <col min="7937" max="7937" width="9" style="216" hidden="1" customWidth="1"/>
    <col min="7938" max="8182" width="9" style="216"/>
    <col min="8183" max="8185" width="8" style="216" customWidth="1"/>
    <col min="8186" max="8186" width="30.125" style="216" customWidth="1"/>
    <col min="8187" max="8187" width="20.875" style="216" customWidth="1"/>
    <col min="8188" max="8188" width="21.125" style="216" customWidth="1"/>
    <col min="8189" max="8189" width="21" style="216" customWidth="1"/>
    <col min="8190" max="8190" width="9" style="216" hidden="1" customWidth="1"/>
    <col min="8191" max="8191" width="11.875" style="216" customWidth="1"/>
    <col min="8192" max="8192" width="9" style="216"/>
    <col min="8193" max="8193" width="9" style="216" hidden="1" customWidth="1"/>
    <col min="8194" max="8438" width="9" style="216"/>
    <col min="8439" max="8441" width="8" style="216" customWidth="1"/>
    <col min="8442" max="8442" width="30.125" style="216" customWidth="1"/>
    <col min="8443" max="8443" width="20.875" style="216" customWidth="1"/>
    <col min="8444" max="8444" width="21.125" style="216" customWidth="1"/>
    <col min="8445" max="8445" width="21" style="216" customWidth="1"/>
    <col min="8446" max="8446" width="9" style="216" hidden="1" customWidth="1"/>
    <col min="8447" max="8447" width="11.875" style="216" customWidth="1"/>
    <col min="8448" max="8448" width="9" style="216"/>
    <col min="8449" max="8449" width="9" style="216" hidden="1" customWidth="1"/>
    <col min="8450" max="8694" width="9" style="216"/>
    <col min="8695" max="8697" width="8" style="216" customWidth="1"/>
    <col min="8698" max="8698" width="30.125" style="216" customWidth="1"/>
    <col min="8699" max="8699" width="20.875" style="216" customWidth="1"/>
    <col min="8700" max="8700" width="21.125" style="216" customWidth="1"/>
    <col min="8701" max="8701" width="21" style="216" customWidth="1"/>
    <col min="8702" max="8702" width="9" style="216" hidden="1" customWidth="1"/>
    <col min="8703" max="8703" width="11.875" style="216" customWidth="1"/>
    <col min="8704" max="8704" width="9" style="216"/>
    <col min="8705" max="8705" width="9" style="216" hidden="1" customWidth="1"/>
    <col min="8706" max="8950" width="9" style="216"/>
    <col min="8951" max="8953" width="8" style="216" customWidth="1"/>
    <col min="8954" max="8954" width="30.125" style="216" customWidth="1"/>
    <col min="8955" max="8955" width="20.875" style="216" customWidth="1"/>
    <col min="8956" max="8956" width="21.125" style="216" customWidth="1"/>
    <col min="8957" max="8957" width="21" style="216" customWidth="1"/>
    <col min="8958" max="8958" width="9" style="216" hidden="1" customWidth="1"/>
    <col min="8959" max="8959" width="11.875" style="216" customWidth="1"/>
    <col min="8960" max="8960" width="9" style="216"/>
    <col min="8961" max="8961" width="9" style="216" hidden="1" customWidth="1"/>
    <col min="8962" max="9206" width="9" style="216"/>
    <col min="9207" max="9209" width="8" style="216" customWidth="1"/>
    <col min="9210" max="9210" width="30.125" style="216" customWidth="1"/>
    <col min="9211" max="9211" width="20.875" style="216" customWidth="1"/>
    <col min="9212" max="9212" width="21.125" style="216" customWidth="1"/>
    <col min="9213" max="9213" width="21" style="216" customWidth="1"/>
    <col min="9214" max="9214" width="9" style="216" hidden="1" customWidth="1"/>
    <col min="9215" max="9215" width="11.875" style="216" customWidth="1"/>
    <col min="9216" max="9216" width="9" style="216"/>
    <col min="9217" max="9217" width="9" style="216" hidden="1" customWidth="1"/>
    <col min="9218" max="9462" width="9" style="216"/>
    <col min="9463" max="9465" width="8" style="216" customWidth="1"/>
    <col min="9466" max="9466" width="30.125" style="216" customWidth="1"/>
    <col min="9467" max="9467" width="20.875" style="216" customWidth="1"/>
    <col min="9468" max="9468" width="21.125" style="216" customWidth="1"/>
    <col min="9469" max="9469" width="21" style="216" customWidth="1"/>
    <col min="9470" max="9470" width="9" style="216" hidden="1" customWidth="1"/>
    <col min="9471" max="9471" width="11.875" style="216" customWidth="1"/>
    <col min="9472" max="9472" width="9" style="216"/>
    <col min="9473" max="9473" width="9" style="216" hidden="1" customWidth="1"/>
    <col min="9474" max="9718" width="9" style="216"/>
    <col min="9719" max="9721" width="8" style="216" customWidth="1"/>
    <col min="9722" max="9722" width="30.125" style="216" customWidth="1"/>
    <col min="9723" max="9723" width="20.875" style="216" customWidth="1"/>
    <col min="9724" max="9724" width="21.125" style="216" customWidth="1"/>
    <col min="9725" max="9725" width="21" style="216" customWidth="1"/>
    <col min="9726" max="9726" width="9" style="216" hidden="1" customWidth="1"/>
    <col min="9727" max="9727" width="11.875" style="216" customWidth="1"/>
    <col min="9728" max="9728" width="9" style="216"/>
    <col min="9729" max="9729" width="9" style="216" hidden="1" customWidth="1"/>
    <col min="9730" max="9974" width="9" style="216"/>
    <col min="9975" max="9977" width="8" style="216" customWidth="1"/>
    <col min="9978" max="9978" width="30.125" style="216" customWidth="1"/>
    <col min="9979" max="9979" width="20.875" style="216" customWidth="1"/>
    <col min="9980" max="9980" width="21.125" style="216" customWidth="1"/>
    <col min="9981" max="9981" width="21" style="216" customWidth="1"/>
    <col min="9982" max="9982" width="9" style="216" hidden="1" customWidth="1"/>
    <col min="9983" max="9983" width="11.875" style="216" customWidth="1"/>
    <col min="9984" max="9984" width="9" style="216"/>
    <col min="9985" max="9985" width="9" style="216" hidden="1" customWidth="1"/>
    <col min="9986" max="10230" width="9" style="216"/>
    <col min="10231" max="10233" width="8" style="216" customWidth="1"/>
    <col min="10234" max="10234" width="30.125" style="216" customWidth="1"/>
    <col min="10235" max="10235" width="20.875" style="216" customWidth="1"/>
    <col min="10236" max="10236" width="21.125" style="216" customWidth="1"/>
    <col min="10237" max="10237" width="21" style="216" customWidth="1"/>
    <col min="10238" max="10238" width="9" style="216" hidden="1" customWidth="1"/>
    <col min="10239" max="10239" width="11.875" style="216" customWidth="1"/>
    <col min="10240" max="10240" width="9" style="216"/>
    <col min="10241" max="10241" width="9" style="216" hidden="1" customWidth="1"/>
    <col min="10242" max="10486" width="9" style="216"/>
    <col min="10487" max="10489" width="8" style="216" customWidth="1"/>
    <col min="10490" max="10490" width="30.125" style="216" customWidth="1"/>
    <col min="10491" max="10491" width="20.875" style="216" customWidth="1"/>
    <col min="10492" max="10492" width="21.125" style="216" customWidth="1"/>
    <col min="10493" max="10493" width="21" style="216" customWidth="1"/>
    <col min="10494" max="10494" width="9" style="216" hidden="1" customWidth="1"/>
    <col min="10495" max="10495" width="11.875" style="216" customWidth="1"/>
    <col min="10496" max="10496" width="9" style="216"/>
    <col min="10497" max="10497" width="9" style="216" hidden="1" customWidth="1"/>
    <col min="10498" max="10742" width="9" style="216"/>
    <col min="10743" max="10745" width="8" style="216" customWidth="1"/>
    <col min="10746" max="10746" width="30.125" style="216" customWidth="1"/>
    <col min="10747" max="10747" width="20.875" style="216" customWidth="1"/>
    <col min="10748" max="10748" width="21.125" style="216" customWidth="1"/>
    <col min="10749" max="10749" width="21" style="216" customWidth="1"/>
    <col min="10750" max="10750" width="9" style="216" hidden="1" customWidth="1"/>
    <col min="10751" max="10751" width="11.875" style="216" customWidth="1"/>
    <col min="10752" max="10752" width="9" style="216"/>
    <col min="10753" max="10753" width="9" style="216" hidden="1" customWidth="1"/>
    <col min="10754" max="10998" width="9" style="216"/>
    <col min="10999" max="11001" width="8" style="216" customWidth="1"/>
    <col min="11002" max="11002" width="30.125" style="216" customWidth="1"/>
    <col min="11003" max="11003" width="20.875" style="216" customWidth="1"/>
    <col min="11004" max="11004" width="21.125" style="216" customWidth="1"/>
    <col min="11005" max="11005" width="21" style="216" customWidth="1"/>
    <col min="11006" max="11006" width="9" style="216" hidden="1" customWidth="1"/>
    <col min="11007" max="11007" width="11.875" style="216" customWidth="1"/>
    <col min="11008" max="11008" width="9" style="216"/>
    <col min="11009" max="11009" width="9" style="216" hidden="1" customWidth="1"/>
    <col min="11010" max="11254" width="9" style="216"/>
    <col min="11255" max="11257" width="8" style="216" customWidth="1"/>
    <col min="11258" max="11258" width="30.125" style="216" customWidth="1"/>
    <col min="11259" max="11259" width="20.875" style="216" customWidth="1"/>
    <col min="11260" max="11260" width="21.125" style="216" customWidth="1"/>
    <col min="11261" max="11261" width="21" style="216" customWidth="1"/>
    <col min="11262" max="11262" width="9" style="216" hidden="1" customWidth="1"/>
    <col min="11263" max="11263" width="11.875" style="216" customWidth="1"/>
    <col min="11264" max="11264" width="9" style="216"/>
    <col min="11265" max="11265" width="9" style="216" hidden="1" customWidth="1"/>
    <col min="11266" max="11510" width="9" style="216"/>
    <col min="11511" max="11513" width="8" style="216" customWidth="1"/>
    <col min="11514" max="11514" width="30.125" style="216" customWidth="1"/>
    <col min="11515" max="11515" width="20.875" style="216" customWidth="1"/>
    <col min="11516" max="11516" width="21.125" style="216" customWidth="1"/>
    <col min="11517" max="11517" width="21" style="216" customWidth="1"/>
    <col min="11518" max="11518" width="9" style="216" hidden="1" customWidth="1"/>
    <col min="11519" max="11519" width="11.875" style="216" customWidth="1"/>
    <col min="11520" max="11520" width="9" style="216"/>
    <col min="11521" max="11521" width="9" style="216" hidden="1" customWidth="1"/>
    <col min="11522" max="11766" width="9" style="216"/>
    <col min="11767" max="11769" width="8" style="216" customWidth="1"/>
    <col min="11770" max="11770" width="30.125" style="216" customWidth="1"/>
    <col min="11771" max="11771" width="20.875" style="216" customWidth="1"/>
    <col min="11772" max="11772" width="21.125" style="216" customWidth="1"/>
    <col min="11773" max="11773" width="21" style="216" customWidth="1"/>
    <col min="11774" max="11774" width="9" style="216" hidden="1" customWidth="1"/>
    <col min="11775" max="11775" width="11.875" style="216" customWidth="1"/>
    <col min="11776" max="11776" width="9" style="216"/>
    <col min="11777" max="11777" width="9" style="216" hidden="1" customWidth="1"/>
    <col min="11778" max="12022" width="9" style="216"/>
    <col min="12023" max="12025" width="8" style="216" customWidth="1"/>
    <col min="12026" max="12026" width="30.125" style="216" customWidth="1"/>
    <col min="12027" max="12027" width="20.875" style="216" customWidth="1"/>
    <col min="12028" max="12028" width="21.125" style="216" customWidth="1"/>
    <col min="12029" max="12029" width="21" style="216" customWidth="1"/>
    <col min="12030" max="12030" width="9" style="216" hidden="1" customWidth="1"/>
    <col min="12031" max="12031" width="11.875" style="216" customWidth="1"/>
    <col min="12032" max="12032" width="9" style="216"/>
    <col min="12033" max="12033" width="9" style="216" hidden="1" customWidth="1"/>
    <col min="12034" max="12278" width="9" style="216"/>
    <col min="12279" max="12281" width="8" style="216" customWidth="1"/>
    <col min="12282" max="12282" width="30.125" style="216" customWidth="1"/>
    <col min="12283" max="12283" width="20.875" style="216" customWidth="1"/>
    <col min="12284" max="12284" width="21.125" style="216" customWidth="1"/>
    <col min="12285" max="12285" width="21" style="216" customWidth="1"/>
    <col min="12286" max="12286" width="9" style="216" hidden="1" customWidth="1"/>
    <col min="12287" max="12287" width="11.875" style="216" customWidth="1"/>
    <col min="12288" max="12288" width="9" style="216"/>
    <col min="12289" max="12289" width="9" style="216" hidden="1" customWidth="1"/>
    <col min="12290" max="12534" width="9" style="216"/>
    <col min="12535" max="12537" width="8" style="216" customWidth="1"/>
    <col min="12538" max="12538" width="30.125" style="216" customWidth="1"/>
    <col min="12539" max="12539" width="20.875" style="216" customWidth="1"/>
    <col min="12540" max="12540" width="21.125" style="216" customWidth="1"/>
    <col min="12541" max="12541" width="21" style="216" customWidth="1"/>
    <col min="12542" max="12542" width="9" style="216" hidden="1" customWidth="1"/>
    <col min="12543" max="12543" width="11.875" style="216" customWidth="1"/>
    <col min="12544" max="12544" width="9" style="216"/>
    <col min="12545" max="12545" width="9" style="216" hidden="1" customWidth="1"/>
    <col min="12546" max="12790" width="9" style="216"/>
    <col min="12791" max="12793" width="8" style="216" customWidth="1"/>
    <col min="12794" max="12794" width="30.125" style="216" customWidth="1"/>
    <col min="12795" max="12795" width="20.875" style="216" customWidth="1"/>
    <col min="12796" max="12796" width="21.125" style="216" customWidth="1"/>
    <col min="12797" max="12797" width="21" style="216" customWidth="1"/>
    <col min="12798" max="12798" width="9" style="216" hidden="1" customWidth="1"/>
    <col min="12799" max="12799" width="11.875" style="216" customWidth="1"/>
    <col min="12800" max="12800" width="9" style="216"/>
    <col min="12801" max="12801" width="9" style="216" hidden="1" customWidth="1"/>
    <col min="12802" max="13046" width="9" style="216"/>
    <col min="13047" max="13049" width="8" style="216" customWidth="1"/>
    <col min="13050" max="13050" width="30.125" style="216" customWidth="1"/>
    <col min="13051" max="13051" width="20.875" style="216" customWidth="1"/>
    <col min="13052" max="13052" width="21.125" style="216" customWidth="1"/>
    <col min="13053" max="13053" width="21" style="216" customWidth="1"/>
    <col min="13054" max="13054" width="9" style="216" hidden="1" customWidth="1"/>
    <col min="13055" max="13055" width="11.875" style="216" customWidth="1"/>
    <col min="13056" max="13056" width="9" style="216"/>
    <col min="13057" max="13057" width="9" style="216" hidden="1" customWidth="1"/>
    <col min="13058" max="13302" width="9" style="216"/>
    <col min="13303" max="13305" width="8" style="216" customWidth="1"/>
    <col min="13306" max="13306" width="30.125" style="216" customWidth="1"/>
    <col min="13307" max="13307" width="20.875" style="216" customWidth="1"/>
    <col min="13308" max="13308" width="21.125" style="216" customWidth="1"/>
    <col min="13309" max="13309" width="21" style="216" customWidth="1"/>
    <col min="13310" max="13310" width="9" style="216" hidden="1" customWidth="1"/>
    <col min="13311" max="13311" width="11.875" style="216" customWidth="1"/>
    <col min="13312" max="13312" width="9" style="216"/>
    <col min="13313" max="13313" width="9" style="216" hidden="1" customWidth="1"/>
    <col min="13314" max="13558" width="9" style="216"/>
    <col min="13559" max="13561" width="8" style="216" customWidth="1"/>
    <col min="13562" max="13562" width="30.125" style="216" customWidth="1"/>
    <col min="13563" max="13563" width="20.875" style="216" customWidth="1"/>
    <col min="13564" max="13564" width="21.125" style="216" customWidth="1"/>
    <col min="13565" max="13565" width="21" style="216" customWidth="1"/>
    <col min="13566" max="13566" width="9" style="216" hidden="1" customWidth="1"/>
    <col min="13567" max="13567" width="11.875" style="216" customWidth="1"/>
    <col min="13568" max="13568" width="9" style="216"/>
    <col min="13569" max="13569" width="9" style="216" hidden="1" customWidth="1"/>
    <col min="13570" max="13814" width="9" style="216"/>
    <col min="13815" max="13817" width="8" style="216" customWidth="1"/>
    <col min="13818" max="13818" width="30.125" style="216" customWidth="1"/>
    <col min="13819" max="13819" width="20.875" style="216" customWidth="1"/>
    <col min="13820" max="13820" width="21.125" style="216" customWidth="1"/>
    <col min="13821" max="13821" width="21" style="216" customWidth="1"/>
    <col min="13822" max="13822" width="9" style="216" hidden="1" customWidth="1"/>
    <col min="13823" max="13823" width="11.875" style="216" customWidth="1"/>
    <col min="13824" max="13824" width="9" style="216"/>
    <col min="13825" max="13825" width="9" style="216" hidden="1" customWidth="1"/>
    <col min="13826" max="14070" width="9" style="216"/>
    <col min="14071" max="14073" width="8" style="216" customWidth="1"/>
    <col min="14074" max="14074" width="30.125" style="216" customWidth="1"/>
    <col min="14075" max="14075" width="20.875" style="216" customWidth="1"/>
    <col min="14076" max="14076" width="21.125" style="216" customWidth="1"/>
    <col min="14077" max="14077" width="21" style="216" customWidth="1"/>
    <col min="14078" max="14078" width="9" style="216" hidden="1" customWidth="1"/>
    <col min="14079" max="14079" width="11.875" style="216" customWidth="1"/>
    <col min="14080" max="14080" width="9" style="216"/>
    <col min="14081" max="14081" width="9" style="216" hidden="1" customWidth="1"/>
    <col min="14082" max="14326" width="9" style="216"/>
    <col min="14327" max="14329" width="8" style="216" customWidth="1"/>
    <col min="14330" max="14330" width="30.125" style="216" customWidth="1"/>
    <col min="14331" max="14331" width="20.875" style="216" customWidth="1"/>
    <col min="14332" max="14332" width="21.125" style="216" customWidth="1"/>
    <col min="14333" max="14333" width="21" style="216" customWidth="1"/>
    <col min="14334" max="14334" width="9" style="216" hidden="1" customWidth="1"/>
    <col min="14335" max="14335" width="11.875" style="216" customWidth="1"/>
    <col min="14336" max="14336" width="9" style="216"/>
    <col min="14337" max="14337" width="9" style="216" hidden="1" customWidth="1"/>
    <col min="14338" max="14582" width="9" style="216"/>
    <col min="14583" max="14585" width="8" style="216" customWidth="1"/>
    <col min="14586" max="14586" width="30.125" style="216" customWidth="1"/>
    <col min="14587" max="14587" width="20.875" style="216" customWidth="1"/>
    <col min="14588" max="14588" width="21.125" style="216" customWidth="1"/>
    <col min="14589" max="14589" width="21" style="216" customWidth="1"/>
    <col min="14590" max="14590" width="9" style="216" hidden="1" customWidth="1"/>
    <col min="14591" max="14591" width="11.875" style="216" customWidth="1"/>
    <col min="14592" max="14592" width="9" style="216"/>
    <col min="14593" max="14593" width="9" style="216" hidden="1" customWidth="1"/>
    <col min="14594" max="14838" width="9" style="216"/>
    <col min="14839" max="14841" width="8" style="216" customWidth="1"/>
    <col min="14842" max="14842" width="30.125" style="216" customWidth="1"/>
    <col min="14843" max="14843" width="20.875" style="216" customWidth="1"/>
    <col min="14844" max="14844" width="21.125" style="216" customWidth="1"/>
    <col min="14845" max="14845" width="21" style="216" customWidth="1"/>
    <col min="14846" max="14846" width="9" style="216" hidden="1" customWidth="1"/>
    <col min="14847" max="14847" width="11.875" style="216" customWidth="1"/>
    <col min="14848" max="14848" width="9" style="216"/>
    <col min="14849" max="14849" width="9" style="216" hidden="1" customWidth="1"/>
    <col min="14850" max="15094" width="9" style="216"/>
    <col min="15095" max="15097" width="8" style="216" customWidth="1"/>
    <col min="15098" max="15098" width="30.125" style="216" customWidth="1"/>
    <col min="15099" max="15099" width="20.875" style="216" customWidth="1"/>
    <col min="15100" max="15100" width="21.125" style="216" customWidth="1"/>
    <col min="15101" max="15101" width="21" style="216" customWidth="1"/>
    <col min="15102" max="15102" width="9" style="216" hidden="1" customWidth="1"/>
    <col min="15103" max="15103" width="11.875" style="216" customWidth="1"/>
    <col min="15104" max="15104" width="9" style="216"/>
    <col min="15105" max="15105" width="9" style="216" hidden="1" customWidth="1"/>
    <col min="15106" max="15350" width="9" style="216"/>
    <col min="15351" max="15353" width="8" style="216" customWidth="1"/>
    <col min="15354" max="15354" width="30.125" style="216" customWidth="1"/>
    <col min="15355" max="15355" width="20.875" style="216" customWidth="1"/>
    <col min="15356" max="15356" width="21.125" style="216" customWidth="1"/>
    <col min="15357" max="15357" width="21" style="216" customWidth="1"/>
    <col min="15358" max="15358" width="9" style="216" hidden="1" customWidth="1"/>
    <col min="15359" max="15359" width="11.875" style="216" customWidth="1"/>
    <col min="15360" max="15360" width="9" style="216"/>
    <col min="15361" max="15361" width="9" style="216" hidden="1" customWidth="1"/>
    <col min="15362" max="15606" width="9" style="216"/>
    <col min="15607" max="15609" width="8" style="216" customWidth="1"/>
    <col min="15610" max="15610" width="30.125" style="216" customWidth="1"/>
    <col min="15611" max="15611" width="20.875" style="216" customWidth="1"/>
    <col min="15612" max="15612" width="21.125" style="216" customWidth="1"/>
    <col min="15613" max="15613" width="21" style="216" customWidth="1"/>
    <col min="15614" max="15614" width="9" style="216" hidden="1" customWidth="1"/>
    <col min="15615" max="15615" width="11.875" style="216" customWidth="1"/>
    <col min="15616" max="15616" width="9" style="216"/>
    <col min="15617" max="15617" width="9" style="216" hidden="1" customWidth="1"/>
    <col min="15618" max="15862" width="9" style="216"/>
    <col min="15863" max="15865" width="8" style="216" customWidth="1"/>
    <col min="15866" max="15866" width="30.125" style="216" customWidth="1"/>
    <col min="15867" max="15867" width="20.875" style="216" customWidth="1"/>
    <col min="15868" max="15868" width="21.125" style="216" customWidth="1"/>
    <col min="15869" max="15869" width="21" style="216" customWidth="1"/>
    <col min="15870" max="15870" width="9" style="216" hidden="1" customWidth="1"/>
    <col min="15871" max="15871" width="11.875" style="216" customWidth="1"/>
    <col min="15872" max="15872" width="9" style="216"/>
    <col min="15873" max="15873" width="9" style="216" hidden="1" customWidth="1"/>
    <col min="15874" max="16118" width="9" style="216"/>
    <col min="16119" max="16121" width="8" style="216" customWidth="1"/>
    <col min="16122" max="16122" width="30.125" style="216" customWidth="1"/>
    <col min="16123" max="16123" width="20.875" style="216" customWidth="1"/>
    <col min="16124" max="16124" width="21.125" style="216" customWidth="1"/>
    <col min="16125" max="16125" width="21" style="216" customWidth="1"/>
    <col min="16126" max="16126" width="9" style="216" hidden="1" customWidth="1"/>
    <col min="16127" max="16127" width="11.875" style="216" customWidth="1"/>
    <col min="16128" max="16128" width="9" style="216"/>
    <col min="16129" max="16129" width="9" style="216" hidden="1" customWidth="1"/>
    <col min="16130" max="16384" width="9" style="216"/>
  </cols>
  <sheetData>
    <row r="1" spans="1:7">
      <c r="A1" s="231"/>
      <c r="B1" s="232"/>
      <c r="C1" s="232"/>
      <c r="D1" s="232"/>
      <c r="E1" s="232"/>
      <c r="F1" s="233"/>
    </row>
    <row r="2" spans="1:7">
      <c r="A2" s="234"/>
      <c r="B2" s="235"/>
      <c r="C2" s="235"/>
      <c r="D2" s="235"/>
      <c r="E2" s="235"/>
      <c r="F2" s="236"/>
    </row>
    <row r="3" spans="1:7">
      <c r="A3" s="237"/>
      <c r="B3" s="238"/>
      <c r="C3" s="238"/>
      <c r="D3" s="238"/>
      <c r="E3" s="238"/>
      <c r="F3" s="239"/>
    </row>
    <row r="4" spans="1:7" ht="64.5" customHeight="1">
      <c r="A4" s="241" t="s">
        <v>0</v>
      </c>
      <c r="B4" s="242"/>
      <c r="C4" s="242"/>
      <c r="D4" s="242"/>
      <c r="E4" s="242"/>
      <c r="F4" s="243"/>
      <c r="G4" s="217"/>
    </row>
    <row r="5" spans="1:7" ht="15.75">
      <c r="A5" s="244" t="s">
        <v>1</v>
      </c>
      <c r="B5" s="245"/>
      <c r="C5" s="245"/>
      <c r="D5" s="245"/>
      <c r="E5" s="245"/>
      <c r="F5" s="246"/>
    </row>
    <row r="6" spans="1:7">
      <c r="A6" s="240" t="s">
        <v>2</v>
      </c>
      <c r="B6" s="240"/>
      <c r="C6" s="240"/>
      <c r="D6" s="240"/>
      <c r="E6" s="240"/>
      <c r="F6" s="240"/>
    </row>
    <row r="7" spans="1:7">
      <c r="A7" s="240"/>
      <c r="B7" s="240"/>
      <c r="C7" s="240"/>
      <c r="D7" s="240"/>
      <c r="E7" s="240"/>
      <c r="F7" s="240"/>
    </row>
    <row r="8" spans="1:7" ht="15.75">
      <c r="A8" s="252" t="s">
        <v>3</v>
      </c>
      <c r="B8" s="252" t="s">
        <v>4</v>
      </c>
      <c r="C8" s="252" t="s">
        <v>5</v>
      </c>
      <c r="D8" s="252" t="s">
        <v>6</v>
      </c>
      <c r="E8" s="247" t="s">
        <v>7</v>
      </c>
      <c r="F8" s="248"/>
    </row>
    <row r="9" spans="1:7" ht="15.75">
      <c r="A9" s="253"/>
      <c r="B9" s="253"/>
      <c r="C9" s="253"/>
      <c r="D9" s="253"/>
      <c r="E9" s="218" t="s">
        <v>8</v>
      </c>
      <c r="F9" s="218" t="s">
        <v>9</v>
      </c>
    </row>
    <row r="10" spans="1:7" ht="15.75">
      <c r="A10" s="219" t="s">
        <v>10</v>
      </c>
      <c r="B10" s="220" t="s">
        <v>384</v>
      </c>
      <c r="C10" s="221" t="s">
        <v>12</v>
      </c>
      <c r="D10" s="222">
        <f>'Orçamento Módulo Total'!F9</f>
        <v>724.98</v>
      </c>
      <c r="E10" s="223">
        <f>'Orçamento Módulo Mínimo'!H9</f>
        <v>461.95</v>
      </c>
      <c r="F10" s="223">
        <f>ROUND(E10*D10,2)</f>
        <v>334904.51</v>
      </c>
    </row>
    <row r="11" spans="1:7" ht="15.75">
      <c r="A11" s="219" t="s">
        <v>13</v>
      </c>
      <c r="B11" s="220" t="s">
        <v>14</v>
      </c>
      <c r="C11" s="221" t="s">
        <v>12</v>
      </c>
      <c r="D11" s="222">
        <f>'Orçamento Módulo Total'!F7</f>
        <v>289992</v>
      </c>
      <c r="E11" s="223">
        <f>'Orçamento Módulo Mínimo'!J38/2400</f>
        <v>2.06</v>
      </c>
      <c r="F11" s="223">
        <f t="shared" ref="F11:F16" si="0">ROUND(E11*D11,2)</f>
        <v>597383.52</v>
      </c>
    </row>
    <row r="12" spans="1:7" ht="15.75">
      <c r="A12" s="219" t="s">
        <v>15</v>
      </c>
      <c r="B12" s="220" t="s">
        <v>16</v>
      </c>
      <c r="C12" s="221" t="s">
        <v>17</v>
      </c>
      <c r="D12" s="222">
        <f>'Orçamento Módulo Total'!F10+'Orçamento Módulo Total'!F11</f>
        <v>241.66</v>
      </c>
      <c r="E12" s="223">
        <f>'Orçamento Módulo Mínimo'!J33/2</f>
        <v>719.58</v>
      </c>
      <c r="F12" s="223">
        <f t="shared" si="0"/>
        <v>173893.7</v>
      </c>
    </row>
    <row r="13" spans="1:7" ht="15.75">
      <c r="A13" s="219" t="s">
        <v>18</v>
      </c>
      <c r="B13" s="220" t="s">
        <v>19</v>
      </c>
      <c r="C13" s="221" t="s">
        <v>17</v>
      </c>
      <c r="D13" s="222">
        <f>'Orçamento Módulo Total'!F12</f>
        <v>120.83</v>
      </c>
      <c r="E13" s="223">
        <f>'Orçamento Módulo Mínimo'!J37</f>
        <v>7761.6</v>
      </c>
      <c r="F13" s="223">
        <f t="shared" si="0"/>
        <v>937834.13</v>
      </c>
    </row>
    <row r="14" spans="1:7" ht="15.75">
      <c r="A14" s="219" t="s">
        <v>20</v>
      </c>
      <c r="B14" s="220" t="s">
        <v>21</v>
      </c>
      <c r="C14" s="221" t="s">
        <v>12</v>
      </c>
      <c r="D14" s="222">
        <f>D15</f>
        <v>289992</v>
      </c>
      <c r="E14" s="223">
        <f>'Orçamento Módulo Mínimo'!J35/2400</f>
        <v>4.5365000000000002</v>
      </c>
      <c r="F14" s="223">
        <f t="shared" si="0"/>
        <v>1315548.71</v>
      </c>
    </row>
    <row r="15" spans="1:7" ht="31.5">
      <c r="A15" s="219" t="s">
        <v>22</v>
      </c>
      <c r="B15" s="220" t="s">
        <v>23</v>
      </c>
      <c r="C15" s="221" t="s">
        <v>12</v>
      </c>
      <c r="D15" s="224">
        <f>D11</f>
        <v>289992</v>
      </c>
      <c r="E15" s="223">
        <f>'Orçamento Módulo Mínimo'!J32/2400</f>
        <v>72.887225000000001</v>
      </c>
      <c r="F15" s="223">
        <f t="shared" si="0"/>
        <v>21136712.149999999</v>
      </c>
    </row>
    <row r="16" spans="1:7" ht="15.75">
      <c r="A16" s="219" t="s">
        <v>24</v>
      </c>
      <c r="B16" s="220" t="s">
        <v>25</v>
      </c>
      <c r="C16" s="221" t="s">
        <v>26</v>
      </c>
      <c r="D16" s="222">
        <f>ROUND(D15/2400*824,2)-0.01299</f>
        <v>99563.907009999995</v>
      </c>
      <c r="E16" s="223">
        <f>'Orçamento Módulo Mínimo'!J36/824</f>
        <v>37.724004854368928</v>
      </c>
      <c r="F16" s="223">
        <f t="shared" si="0"/>
        <v>3755949.31</v>
      </c>
    </row>
    <row r="17" spans="1:6" ht="13.9" customHeight="1">
      <c r="A17" s="249" t="s">
        <v>27</v>
      </c>
      <c r="B17" s="250"/>
      <c r="C17" s="250"/>
      <c r="D17" s="250"/>
      <c r="E17" s="251"/>
      <c r="F17" s="225">
        <f>SUM(F10:F16)</f>
        <v>28252226.029999997</v>
      </c>
    </row>
    <row r="18" spans="1:6" ht="15.75">
      <c r="A18" s="226"/>
      <c r="B18" s="227"/>
      <c r="C18" s="227"/>
      <c r="D18" s="227"/>
      <c r="E18" s="227"/>
      <c r="F18" s="227"/>
    </row>
    <row r="19" spans="1:6">
      <c r="F19" s="216" t="s">
        <v>28</v>
      </c>
    </row>
    <row r="21" spans="1:6">
      <c r="E21" s="229">
        <f>D15*E15</f>
        <v>21136712.152199998</v>
      </c>
    </row>
    <row r="22" spans="1:6">
      <c r="E22" s="230"/>
    </row>
    <row r="23" spans="1:6">
      <c r="E23" s="230"/>
    </row>
    <row r="24" spans="1:6">
      <c r="E24" s="229">
        <f>'Orçamento Módulo Total'!I31</f>
        <v>28252226.030000005</v>
      </c>
    </row>
    <row r="25" spans="1:6">
      <c r="E25" s="230"/>
    </row>
    <row r="26" spans="1:6">
      <c r="E26" s="230"/>
    </row>
    <row r="27" spans="1:6">
      <c r="E27" s="230"/>
    </row>
    <row r="28" spans="1:6">
      <c r="E28" s="229">
        <f>E24-F17</f>
        <v>0</v>
      </c>
    </row>
    <row r="29" spans="1:6">
      <c r="E29" s="230"/>
    </row>
    <row r="30" spans="1:6">
      <c r="E30" s="230"/>
    </row>
  </sheetData>
  <mergeCells count="10">
    <mergeCell ref="A17:E17"/>
    <mergeCell ref="A8:A9"/>
    <mergeCell ref="B8:B9"/>
    <mergeCell ref="C8:C9"/>
    <mergeCell ref="D8:D9"/>
    <mergeCell ref="A1:F3"/>
    <mergeCell ref="A6:F7"/>
    <mergeCell ref="A4:F4"/>
    <mergeCell ref="A5:F5"/>
    <mergeCell ref="E8:F8"/>
  </mergeCells>
  <pageMargins left="0.511811024" right="0.511811024" top="0.78740157499999996" bottom="0.78740157499999996" header="0.31496062000000002" footer="0.31496062000000002"/>
  <pageSetup paperSize="9" scale="86" orientation="portrait"/>
  <drawing r:id="rId1"/>
  <legacyDrawing r:id="rId2"/>
  <oleObjects>
    <mc:AlternateContent xmlns:mc="http://schemas.openxmlformats.org/markup-compatibility/2006">
      <mc:Choice Requires="x14">
        <oleObject progId="Figura do Microsoft Photo Editor 3.0" shapeId="7169" r:id="rId3">
          <objectPr defaultSize="0" altText="" r:id="rId4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981075</xdr:colOff>
                <xdr:row>2</xdr:row>
                <xdr:rowOff>28575</xdr:rowOff>
              </to>
            </anchor>
          </objectPr>
        </oleObject>
      </mc:Choice>
      <mc:Fallback>
        <oleObject progId="Figura do Microsoft Photo Editor 3.0" shapeId="7169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0"/>
  <sheetViews>
    <sheetView showOutlineSymbols="0" topLeftCell="A4" workbookViewId="0">
      <selection activeCell="D10" sqref="D10"/>
    </sheetView>
  </sheetViews>
  <sheetFormatPr defaultColWidth="9" defaultRowHeight="14.25"/>
  <cols>
    <col min="1" max="1" width="6.125" customWidth="1"/>
    <col min="2" max="2" width="9.375" customWidth="1"/>
    <col min="3" max="3" width="9.875" customWidth="1"/>
    <col min="4" max="4" width="59.375" customWidth="1"/>
    <col min="5" max="5" width="7.25" customWidth="1"/>
    <col min="6" max="6" width="9.375" style="186" customWidth="1"/>
    <col min="7" max="7" width="9.5" style="186" customWidth="1"/>
    <col min="8" max="8" width="9.75" customWidth="1"/>
    <col min="9" max="9" width="13.875" customWidth="1"/>
    <col min="10" max="10" width="13.375" customWidth="1"/>
    <col min="11" max="11" width="9.25" customWidth="1"/>
    <col min="12" max="12" width="25.25" customWidth="1"/>
  </cols>
  <sheetData>
    <row r="1" spans="1:10" ht="56.25" customHeight="1">
      <c r="A1" s="94"/>
      <c r="B1" s="94"/>
      <c r="C1" s="94"/>
      <c r="D1" s="187" t="s">
        <v>29</v>
      </c>
      <c r="E1" s="255" t="s">
        <v>30</v>
      </c>
      <c r="F1" s="255"/>
      <c r="G1" s="94"/>
      <c r="H1" s="189" t="s">
        <v>31</v>
      </c>
      <c r="I1" s="188" t="s">
        <v>32</v>
      </c>
    </row>
    <row r="2" spans="1:10" ht="56.25" customHeight="1">
      <c r="A2" s="256" t="s">
        <v>33</v>
      </c>
      <c r="B2" s="256"/>
      <c r="C2" s="256"/>
      <c r="D2" s="190" t="s">
        <v>34</v>
      </c>
      <c r="E2" s="257" t="s">
        <v>35</v>
      </c>
      <c r="F2" s="257"/>
      <c r="G2" s="95"/>
      <c r="H2" s="191">
        <v>0.2094</v>
      </c>
      <c r="I2" s="192" t="s">
        <v>36</v>
      </c>
    </row>
    <row r="3" spans="1:10">
      <c r="A3" s="257" t="s">
        <v>37</v>
      </c>
      <c r="B3" s="257"/>
      <c r="C3" s="257"/>
      <c r="D3" s="257"/>
      <c r="E3" s="95"/>
      <c r="F3" s="195"/>
      <c r="G3" s="195"/>
      <c r="H3" s="194"/>
      <c r="I3" s="95"/>
    </row>
    <row r="4" spans="1:10" ht="15">
      <c r="A4" s="258" t="s">
        <v>38</v>
      </c>
      <c r="B4" s="259"/>
      <c r="C4" s="259"/>
      <c r="D4" s="259"/>
      <c r="E4" s="259"/>
      <c r="F4" s="259"/>
      <c r="G4" s="259"/>
      <c r="H4" s="259"/>
      <c r="I4" s="259"/>
    </row>
    <row r="5" spans="1:10" ht="30" customHeight="1">
      <c r="A5" s="98" t="s">
        <v>39</v>
      </c>
      <c r="B5" s="99" t="s">
        <v>40</v>
      </c>
      <c r="C5" s="98" t="s">
        <v>41</v>
      </c>
      <c r="D5" s="98" t="s">
        <v>42</v>
      </c>
      <c r="E5" s="100" t="s">
        <v>43</v>
      </c>
      <c r="F5" s="196" t="s">
        <v>44</v>
      </c>
      <c r="G5" s="196" t="s">
        <v>45</v>
      </c>
      <c r="H5" s="99" t="s">
        <v>46</v>
      </c>
      <c r="I5" s="99" t="s">
        <v>6</v>
      </c>
      <c r="J5" t="s">
        <v>47</v>
      </c>
    </row>
    <row r="6" spans="1:10" ht="24" customHeight="1">
      <c r="A6" s="96" t="s">
        <v>48</v>
      </c>
      <c r="B6" s="96"/>
      <c r="C6" s="96"/>
      <c r="D6" s="96" t="s">
        <v>49</v>
      </c>
      <c r="E6" s="96"/>
      <c r="F6" s="197"/>
      <c r="G6" s="197"/>
      <c r="H6" s="96"/>
      <c r="I6" s="117">
        <f>SUM(I7:I7)</f>
        <v>4944</v>
      </c>
    </row>
    <row r="7" spans="1:10" ht="19.5" customHeight="1">
      <c r="A7" s="198" t="s">
        <v>50</v>
      </c>
      <c r="B7" s="199" t="s">
        <v>51</v>
      </c>
      <c r="C7" s="198" t="s">
        <v>52</v>
      </c>
      <c r="D7" s="198" t="s">
        <v>53</v>
      </c>
      <c r="E7" s="200" t="s">
        <v>12</v>
      </c>
      <c r="F7" s="201">
        <f>400*6</f>
        <v>2400</v>
      </c>
      <c r="G7" s="201">
        <f>CPUs!J105</f>
        <v>1.7000000000000002</v>
      </c>
      <c r="H7" s="119">
        <f>ROUND(G7*$H$2+G7,2)</f>
        <v>2.06</v>
      </c>
      <c r="I7" s="209">
        <f>ROUND(F7*H7,2)</f>
        <v>4944</v>
      </c>
      <c r="J7">
        <v>7</v>
      </c>
    </row>
    <row r="8" spans="1:10" ht="24" customHeight="1">
      <c r="A8" s="96">
        <v>2</v>
      </c>
      <c r="B8" s="96"/>
      <c r="C8" s="96"/>
      <c r="D8" s="96" t="s">
        <v>54</v>
      </c>
      <c r="E8" s="96"/>
      <c r="F8" s="197"/>
      <c r="G8" s="197"/>
      <c r="H8" s="96"/>
      <c r="I8" s="117">
        <f>SUM(I9:I12)</f>
        <v>11972.46</v>
      </c>
    </row>
    <row r="9" spans="1:10" ht="24" customHeight="1">
      <c r="A9" s="198" t="s">
        <v>55</v>
      </c>
      <c r="B9" s="199" t="s">
        <v>56</v>
      </c>
      <c r="C9" s="198" t="s">
        <v>52</v>
      </c>
      <c r="D9" s="198" t="s">
        <v>385</v>
      </c>
      <c r="E9" s="200" t="s">
        <v>12</v>
      </c>
      <c r="F9" s="201">
        <v>6</v>
      </c>
      <c r="G9" s="201">
        <f>CPUs!J15</f>
        <v>381.97</v>
      </c>
      <c r="H9" s="119">
        <f>ROUND(G9*$H$2+G9,2)</f>
        <v>461.95</v>
      </c>
      <c r="I9" s="209">
        <f>ROUND(F9*H9,2)</f>
        <v>2771.7</v>
      </c>
      <c r="J9">
        <v>3</v>
      </c>
    </row>
    <row r="10" spans="1:10" ht="24" customHeight="1">
      <c r="A10" s="198" t="s">
        <v>57</v>
      </c>
      <c r="B10" s="199" t="s">
        <v>58</v>
      </c>
      <c r="C10" s="198" t="s">
        <v>52</v>
      </c>
      <c r="D10" s="198" t="s">
        <v>59</v>
      </c>
      <c r="E10" s="200" t="s">
        <v>60</v>
      </c>
      <c r="F10" s="201">
        <v>1</v>
      </c>
      <c r="G10" s="201">
        <f>CPUs!J24</f>
        <v>594.99</v>
      </c>
      <c r="H10" s="119">
        <f t="shared" ref="H10:H30" si="0">ROUND(G10*$H$2+G10,2)</f>
        <v>719.58</v>
      </c>
      <c r="I10" s="209">
        <f t="shared" ref="I10:I12" si="1">ROUND(F10*H10,2)</f>
        <v>719.58</v>
      </c>
      <c r="J10">
        <v>2</v>
      </c>
    </row>
    <row r="11" spans="1:10" ht="24" customHeight="1">
      <c r="A11" s="198" t="s">
        <v>61</v>
      </c>
      <c r="B11" s="199" t="s">
        <v>62</v>
      </c>
      <c r="C11" s="198" t="s">
        <v>52</v>
      </c>
      <c r="D11" s="198" t="s">
        <v>63</v>
      </c>
      <c r="E11" s="200" t="s">
        <v>60</v>
      </c>
      <c r="F11" s="201">
        <v>1</v>
      </c>
      <c r="G11" s="201">
        <f>CPUs!J24</f>
        <v>594.99</v>
      </c>
      <c r="H11" s="119">
        <f t="shared" si="0"/>
        <v>719.58</v>
      </c>
      <c r="I11" s="209">
        <f t="shared" si="1"/>
        <v>719.58</v>
      </c>
      <c r="J11">
        <v>2</v>
      </c>
    </row>
    <row r="12" spans="1:10" ht="24" customHeight="1">
      <c r="A12" s="198" t="s">
        <v>64</v>
      </c>
      <c r="B12" s="199" t="s">
        <v>65</v>
      </c>
      <c r="C12" s="198" t="s">
        <v>52</v>
      </c>
      <c r="D12" s="198" t="s">
        <v>66</v>
      </c>
      <c r="E12" s="200" t="s">
        <v>60</v>
      </c>
      <c r="F12" s="201">
        <v>1</v>
      </c>
      <c r="G12" s="201">
        <f>CPUs!J45</f>
        <v>6417.7300000000005</v>
      </c>
      <c r="H12" s="119">
        <f t="shared" si="0"/>
        <v>7761.6</v>
      </c>
      <c r="I12" s="209">
        <f t="shared" si="1"/>
        <v>7761.6</v>
      </c>
      <c r="J12">
        <v>6</v>
      </c>
    </row>
    <row r="13" spans="1:10" ht="24" customHeight="1">
      <c r="A13" s="96">
        <v>3</v>
      </c>
      <c r="B13" s="96"/>
      <c r="C13" s="96"/>
      <c r="D13" s="96" t="s">
        <v>67</v>
      </c>
      <c r="E13" s="202"/>
      <c r="F13" s="197"/>
      <c r="G13" s="197"/>
      <c r="H13" s="203"/>
      <c r="I13" s="117">
        <f>SUM(I14:I21)</f>
        <v>9102</v>
      </c>
    </row>
    <row r="14" spans="1:10" ht="31.5" customHeight="1">
      <c r="A14" s="198" t="s">
        <v>68</v>
      </c>
      <c r="B14" s="199" t="s">
        <v>69</v>
      </c>
      <c r="C14" s="198" t="s">
        <v>52</v>
      </c>
      <c r="D14" s="198" t="s">
        <v>70</v>
      </c>
      <c r="E14" s="200" t="s">
        <v>12</v>
      </c>
      <c r="F14" s="201">
        <f>F7</f>
        <v>2400</v>
      </c>
      <c r="G14" s="201">
        <f>CPUs!J58</f>
        <v>0.36</v>
      </c>
      <c r="H14" s="119">
        <f>ROUND(G14*$H$2+G14,2)</f>
        <v>0.44</v>
      </c>
      <c r="I14" s="209">
        <f>ROUND(F14*H14,2)</f>
        <v>1056</v>
      </c>
      <c r="J14">
        <v>1</v>
      </c>
    </row>
    <row r="15" spans="1:10" ht="25.5">
      <c r="A15" s="198" t="s">
        <v>71</v>
      </c>
      <c r="B15" s="199" t="s">
        <v>72</v>
      </c>
      <c r="C15" s="198" t="s">
        <v>73</v>
      </c>
      <c r="D15" s="198" t="s">
        <v>74</v>
      </c>
      <c r="E15" s="200" t="s">
        <v>75</v>
      </c>
      <c r="F15" s="201">
        <f>2*270</f>
        <v>540</v>
      </c>
      <c r="G15" s="201">
        <v>1.22</v>
      </c>
      <c r="H15" s="119">
        <f t="shared" si="0"/>
        <v>1.48</v>
      </c>
      <c r="I15" s="209">
        <f t="shared" ref="I15:I25" si="2">ROUND(F15*H15,2)</f>
        <v>799.2</v>
      </c>
      <c r="J15">
        <v>4</v>
      </c>
    </row>
    <row r="16" spans="1:10" ht="42.75" customHeight="1">
      <c r="A16" s="198" t="s">
        <v>76</v>
      </c>
      <c r="B16" s="199" t="s">
        <v>77</v>
      </c>
      <c r="C16" s="198" t="s">
        <v>73</v>
      </c>
      <c r="D16" s="198" t="s">
        <v>78</v>
      </c>
      <c r="E16" s="200" t="s">
        <v>75</v>
      </c>
      <c r="F16" s="201">
        <f>2*240</f>
        <v>480</v>
      </c>
      <c r="G16" s="201">
        <v>1.33</v>
      </c>
      <c r="H16" s="119">
        <f t="shared" si="0"/>
        <v>1.61</v>
      </c>
      <c r="I16" s="209">
        <f t="shared" si="2"/>
        <v>772.8</v>
      </c>
      <c r="J16">
        <v>4</v>
      </c>
    </row>
    <row r="17" spans="1:12" ht="30.75" customHeight="1">
      <c r="A17" s="198" t="s">
        <v>79</v>
      </c>
      <c r="B17" s="199" t="s">
        <v>80</v>
      </c>
      <c r="C17" s="198" t="s">
        <v>73</v>
      </c>
      <c r="D17" s="198" t="s">
        <v>81</v>
      </c>
      <c r="E17" s="200" t="s">
        <v>82</v>
      </c>
      <c r="F17" s="201">
        <f>ROUND(F16*4,2)</f>
        <v>1920</v>
      </c>
      <c r="G17" s="201">
        <v>1.53</v>
      </c>
      <c r="H17" s="119">
        <f t="shared" si="0"/>
        <v>1.85</v>
      </c>
      <c r="I17" s="209">
        <f t="shared" si="2"/>
        <v>3552</v>
      </c>
      <c r="J17">
        <v>4</v>
      </c>
    </row>
    <row r="18" spans="1:12" ht="18" customHeight="1">
      <c r="A18" s="198" t="s">
        <v>83</v>
      </c>
      <c r="B18" s="199">
        <v>100574</v>
      </c>
      <c r="C18" s="198" t="s">
        <v>73</v>
      </c>
      <c r="D18" s="198" t="s">
        <v>84</v>
      </c>
      <c r="E18" s="200" t="s">
        <v>75</v>
      </c>
      <c r="F18" s="201">
        <f>0.1*F14</f>
        <v>240</v>
      </c>
      <c r="G18" s="201">
        <v>0.8</v>
      </c>
      <c r="H18" s="119">
        <f t="shared" si="0"/>
        <v>0.97</v>
      </c>
      <c r="I18" s="209">
        <f t="shared" si="2"/>
        <v>232.8</v>
      </c>
      <c r="J18">
        <v>4</v>
      </c>
    </row>
    <row r="19" spans="1:12" ht="38.25">
      <c r="A19" s="198" t="s">
        <v>85</v>
      </c>
      <c r="B19" s="204">
        <v>96385</v>
      </c>
      <c r="C19" s="205" t="s">
        <v>73</v>
      </c>
      <c r="D19" s="205" t="s">
        <v>86</v>
      </c>
      <c r="E19" s="206" t="s">
        <v>75</v>
      </c>
      <c r="F19" s="207">
        <f>2*30</f>
        <v>60</v>
      </c>
      <c r="G19" s="207">
        <v>6.3</v>
      </c>
      <c r="H19" s="119">
        <f t="shared" si="0"/>
        <v>7.62</v>
      </c>
      <c r="I19" s="209">
        <f t="shared" si="2"/>
        <v>457.2</v>
      </c>
      <c r="J19">
        <v>4</v>
      </c>
    </row>
    <row r="20" spans="1:12" ht="19.5" customHeight="1">
      <c r="A20" s="198" t="s">
        <v>87</v>
      </c>
      <c r="B20" s="204">
        <v>2496</v>
      </c>
      <c r="C20" s="205" t="s">
        <v>88</v>
      </c>
      <c r="D20" s="205" t="s">
        <v>89</v>
      </c>
      <c r="E20" s="206" t="s">
        <v>12</v>
      </c>
      <c r="F20" s="207">
        <f>F7</f>
        <v>2400</v>
      </c>
      <c r="G20" s="207">
        <v>0.71</v>
      </c>
      <c r="H20" s="119">
        <f t="shared" si="0"/>
        <v>0.86</v>
      </c>
      <c r="I20" s="209">
        <f t="shared" si="2"/>
        <v>2064</v>
      </c>
      <c r="J20">
        <v>4</v>
      </c>
    </row>
    <row r="21" spans="1:12" ht="21.75" customHeight="1">
      <c r="A21" s="198" t="s">
        <v>90</v>
      </c>
      <c r="B21" s="204">
        <v>100575</v>
      </c>
      <c r="C21" s="205" t="s">
        <v>73</v>
      </c>
      <c r="D21" s="205" t="s">
        <v>91</v>
      </c>
      <c r="E21" s="206" t="s">
        <v>12</v>
      </c>
      <c r="F21" s="207">
        <f>F7</f>
        <v>2400</v>
      </c>
      <c r="G21" s="207">
        <v>0.06</v>
      </c>
      <c r="H21" s="119">
        <f t="shared" si="0"/>
        <v>7.0000000000000007E-2</v>
      </c>
      <c r="I21" s="209">
        <f t="shared" si="2"/>
        <v>168</v>
      </c>
      <c r="J21">
        <v>4</v>
      </c>
    </row>
    <row r="22" spans="1:12" ht="24" customHeight="1">
      <c r="A22" s="96">
        <v>4</v>
      </c>
      <c r="B22" s="96"/>
      <c r="C22" s="96"/>
      <c r="D22" s="96" t="s">
        <v>92</v>
      </c>
      <c r="E22" s="202"/>
      <c r="F22" s="197"/>
      <c r="G22" s="197"/>
      <c r="H22" s="203"/>
      <c r="I22" s="117">
        <f>SUM(I23:I25)</f>
        <v>202492.58000000002</v>
      </c>
    </row>
    <row r="23" spans="1:12" ht="41.25" customHeight="1">
      <c r="A23" s="198" t="s">
        <v>93</v>
      </c>
      <c r="B23" s="199" t="s">
        <v>94</v>
      </c>
      <c r="C23" s="198" t="s">
        <v>52</v>
      </c>
      <c r="D23" s="198" t="s">
        <v>95</v>
      </c>
      <c r="E23" s="200" t="s">
        <v>12</v>
      </c>
      <c r="F23" s="201">
        <f>F7</f>
        <v>2400</v>
      </c>
      <c r="G23" s="201">
        <f>CPUs!J69</f>
        <v>59.050000000000004</v>
      </c>
      <c r="H23" s="119">
        <f t="shared" si="0"/>
        <v>71.42</v>
      </c>
      <c r="I23" s="209">
        <f t="shared" si="2"/>
        <v>171408</v>
      </c>
      <c r="J23">
        <v>1</v>
      </c>
    </row>
    <row r="24" spans="1:12" ht="51">
      <c r="A24" s="198" t="s">
        <v>96</v>
      </c>
      <c r="B24" s="199" t="s">
        <v>97</v>
      </c>
      <c r="C24" s="198" t="s">
        <v>73</v>
      </c>
      <c r="D24" s="198" t="s">
        <v>98</v>
      </c>
      <c r="E24" s="200" t="s">
        <v>26</v>
      </c>
      <c r="F24" s="201">
        <f>2*412</f>
        <v>824</v>
      </c>
      <c r="G24" s="201">
        <v>30.02</v>
      </c>
      <c r="H24" s="119">
        <f t="shared" si="0"/>
        <v>36.31</v>
      </c>
      <c r="I24" s="209">
        <f t="shared" si="2"/>
        <v>29919.439999999999</v>
      </c>
      <c r="J24">
        <v>5</v>
      </c>
    </row>
    <row r="25" spans="1:12" ht="15.75" customHeight="1">
      <c r="A25" s="198" t="s">
        <v>99</v>
      </c>
      <c r="B25" s="199">
        <v>83693</v>
      </c>
      <c r="C25" s="198" t="s">
        <v>73</v>
      </c>
      <c r="D25" s="198" t="s">
        <v>100</v>
      </c>
      <c r="E25" s="200" t="s">
        <v>12</v>
      </c>
      <c r="F25" s="201">
        <f>(0.1+0.15+0.1)*F24</f>
        <v>288.39999999999998</v>
      </c>
      <c r="G25" s="201">
        <v>3.34</v>
      </c>
      <c r="H25" s="119">
        <f t="shared" si="0"/>
        <v>4.04</v>
      </c>
      <c r="I25" s="209">
        <f t="shared" si="2"/>
        <v>1165.1400000000001</v>
      </c>
      <c r="J25">
        <v>5</v>
      </c>
    </row>
    <row r="26" spans="1:12" ht="24" customHeight="1">
      <c r="A26" s="96" t="s">
        <v>101</v>
      </c>
      <c r="B26" s="96"/>
      <c r="C26" s="96"/>
      <c r="D26" s="96" t="s">
        <v>102</v>
      </c>
      <c r="E26" s="202"/>
      <c r="F26" s="197"/>
      <c r="G26" s="197"/>
      <c r="H26" s="203"/>
      <c r="I26" s="117">
        <f>SUM(I27:I27)</f>
        <v>17.34</v>
      </c>
    </row>
    <row r="27" spans="1:12" ht="25.5">
      <c r="A27" s="198" t="s">
        <v>103</v>
      </c>
      <c r="B27" s="199" t="s">
        <v>104</v>
      </c>
      <c r="C27" s="198" t="s">
        <v>52</v>
      </c>
      <c r="D27" s="198" t="s">
        <v>105</v>
      </c>
      <c r="E27" s="200" t="s">
        <v>26</v>
      </c>
      <c r="F27" s="201">
        <v>6</v>
      </c>
      <c r="G27" s="201">
        <f>CPUs!J83</f>
        <v>2.3900000000000006</v>
      </c>
      <c r="H27" s="119">
        <f>ROUND(G27*$H$2+G27,2)</f>
        <v>2.89</v>
      </c>
      <c r="I27" s="209">
        <f>ROUND(F27*H27,2)</f>
        <v>17.34</v>
      </c>
      <c r="J27">
        <v>1</v>
      </c>
    </row>
    <row r="28" spans="1:12" ht="24" customHeight="1">
      <c r="A28" s="96" t="s">
        <v>106</v>
      </c>
      <c r="B28" s="96"/>
      <c r="C28" s="96"/>
      <c r="D28" s="96" t="s">
        <v>107</v>
      </c>
      <c r="E28" s="202"/>
      <c r="F28" s="197"/>
      <c r="G28" s="197"/>
      <c r="H28" s="203"/>
      <c r="I28" s="117">
        <f>SUM(I29:I30)</f>
        <v>5289.6</v>
      </c>
    </row>
    <row r="29" spans="1:12">
      <c r="A29" s="198" t="s">
        <v>108</v>
      </c>
      <c r="B29" s="199" t="s">
        <v>109</v>
      </c>
      <c r="C29" s="198" t="s">
        <v>52</v>
      </c>
      <c r="D29" s="198" t="s">
        <v>110</v>
      </c>
      <c r="E29" s="200" t="s">
        <v>12</v>
      </c>
      <c r="F29" s="201">
        <f>F7</f>
        <v>2400</v>
      </c>
      <c r="G29" s="201">
        <f>CPUs!J93</f>
        <v>0.84000000000000008</v>
      </c>
      <c r="H29" s="119">
        <f t="shared" si="0"/>
        <v>1.02</v>
      </c>
      <c r="I29" s="209">
        <f>ROUND(F29*H29,2)</f>
        <v>2448</v>
      </c>
      <c r="J29">
        <v>1</v>
      </c>
    </row>
    <row r="30" spans="1:12" ht="28.5" customHeight="1">
      <c r="A30" s="198" t="s">
        <v>111</v>
      </c>
      <c r="B30" s="199">
        <v>71</v>
      </c>
      <c r="C30" s="198" t="s">
        <v>88</v>
      </c>
      <c r="D30" s="198" t="s">
        <v>112</v>
      </c>
      <c r="E30" s="200" t="s">
        <v>75</v>
      </c>
      <c r="F30" s="201">
        <f>400*1*0.15</f>
        <v>60</v>
      </c>
      <c r="G30" s="201">
        <v>39.159999999999997</v>
      </c>
      <c r="H30" s="119">
        <f t="shared" si="0"/>
        <v>47.36</v>
      </c>
      <c r="I30" s="209">
        <f>ROUND(F30*H30,2)</f>
        <v>2841.6</v>
      </c>
      <c r="J30">
        <v>4</v>
      </c>
    </row>
    <row r="31" spans="1:12" ht="15">
      <c r="A31" s="208"/>
      <c r="B31" s="208"/>
      <c r="C31" s="208"/>
      <c r="D31" s="208"/>
      <c r="E31" s="208"/>
      <c r="F31" s="254" t="s">
        <v>113</v>
      </c>
      <c r="G31" s="254"/>
      <c r="H31" s="254"/>
      <c r="I31" s="212">
        <f>I6+I8+I13+I22+I26+I28</f>
        <v>233817.98</v>
      </c>
      <c r="K31" s="213"/>
    </row>
    <row r="32" spans="1:12">
      <c r="I32" t="s">
        <v>114</v>
      </c>
      <c r="J32" s="210">
        <f>SUMIF(J6:J30,1,I6:I30)</f>
        <v>174929.34</v>
      </c>
      <c r="L32" t="s">
        <v>115</v>
      </c>
    </row>
    <row r="33" spans="8:12">
      <c r="I33" t="s">
        <v>116</v>
      </c>
      <c r="J33" s="210">
        <f>SUMIF(J6:J30,2,I6:I30)</f>
        <v>1439.16</v>
      </c>
      <c r="L33" t="s">
        <v>117</v>
      </c>
    </row>
    <row r="34" spans="8:12">
      <c r="I34" t="s">
        <v>118</v>
      </c>
      <c r="J34" s="210">
        <f>SUMIF(J6:J30,3,I6:I30)</f>
        <v>2771.7</v>
      </c>
      <c r="L34" t="s">
        <v>119</v>
      </c>
    </row>
    <row r="35" spans="8:12">
      <c r="I35" t="s">
        <v>120</v>
      </c>
      <c r="J35" s="210">
        <f>SUMIF(J6:J30,4,I6:I30)</f>
        <v>10887.6</v>
      </c>
      <c r="L35" t="s">
        <v>121</v>
      </c>
    </row>
    <row r="36" spans="8:12">
      <c r="I36" t="s">
        <v>122</v>
      </c>
      <c r="J36" s="210">
        <f>SUMIF(J6:J30,5,I6:I30)</f>
        <v>31084.579999999998</v>
      </c>
      <c r="L36" s="214" t="s">
        <v>123</v>
      </c>
    </row>
    <row r="37" spans="8:12">
      <c r="I37" t="s">
        <v>124</v>
      </c>
      <c r="J37" s="210">
        <f>SUMIF(J7:J30,6,I7:I30)</f>
        <v>7761.6</v>
      </c>
      <c r="L37" s="214" t="s">
        <v>125</v>
      </c>
    </row>
    <row r="38" spans="8:12">
      <c r="I38" t="s">
        <v>126</v>
      </c>
      <c r="J38" s="210">
        <f>SUMIF(J7:J31,7,I7:I31)</f>
        <v>4944</v>
      </c>
      <c r="L38" s="214" t="s">
        <v>127</v>
      </c>
    </row>
    <row r="40" spans="8:12">
      <c r="H40" t="s">
        <v>128</v>
      </c>
      <c r="I40">
        <f>I31/F7</f>
        <v>97.424158333333338</v>
      </c>
      <c r="L40" s="215"/>
    </row>
  </sheetData>
  <mergeCells count="6">
    <mergeCell ref="F31:H31"/>
    <mergeCell ref="E1:F1"/>
    <mergeCell ref="A2:C2"/>
    <mergeCell ref="E2:F2"/>
    <mergeCell ref="A3:D3"/>
    <mergeCell ref="A4:I4"/>
  </mergeCells>
  <pageMargins left="0.90551181102362199" right="0" top="0.98425196850393704" bottom="0.98425196850393704" header="0.511811023622047" footer="0.511811023622047"/>
  <pageSetup paperSize="9" scale="61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0"/>
  <sheetViews>
    <sheetView showOutlineSymbols="0" workbookViewId="0">
      <selection activeCell="D10" sqref="D10"/>
    </sheetView>
  </sheetViews>
  <sheetFormatPr defaultColWidth="9" defaultRowHeight="14.25"/>
  <cols>
    <col min="1" max="1" width="6.125" customWidth="1"/>
    <col min="2" max="2" width="9.375" customWidth="1"/>
    <col min="3" max="3" width="9.875" customWidth="1"/>
    <col min="4" max="4" width="59.375" customWidth="1"/>
    <col min="5" max="5" width="7.25" customWidth="1"/>
    <col min="6" max="6" width="11.25" style="186" customWidth="1"/>
    <col min="7" max="7" width="9.5" style="186" customWidth="1"/>
    <col min="8" max="8" width="7.625" customWidth="1"/>
    <col min="9" max="9" width="16.5" customWidth="1"/>
    <col min="10" max="10" width="13.375" customWidth="1"/>
    <col min="11" max="11" width="9.25" customWidth="1"/>
    <col min="12" max="12" width="25.25" customWidth="1"/>
  </cols>
  <sheetData>
    <row r="1" spans="1:13" ht="56.25" customHeight="1">
      <c r="A1" s="94"/>
      <c r="B1" s="94"/>
      <c r="C1" s="94"/>
      <c r="D1" s="187" t="s">
        <v>29</v>
      </c>
      <c r="E1" s="255" t="s">
        <v>30</v>
      </c>
      <c r="F1" s="255"/>
      <c r="G1" s="94"/>
      <c r="H1" s="189" t="s">
        <v>31</v>
      </c>
      <c r="I1" s="188" t="s">
        <v>32</v>
      </c>
    </row>
    <row r="2" spans="1:13" ht="56.25" customHeight="1">
      <c r="A2" s="256" t="s">
        <v>33</v>
      </c>
      <c r="B2" s="256"/>
      <c r="C2" s="256"/>
      <c r="D2" s="190" t="s">
        <v>34</v>
      </c>
      <c r="E2" s="257" t="s">
        <v>129</v>
      </c>
      <c r="F2" s="257"/>
      <c r="G2" s="95"/>
      <c r="H2" s="191">
        <v>0.2094</v>
      </c>
      <c r="I2" s="192" t="s">
        <v>36</v>
      </c>
    </row>
    <row r="3" spans="1:13" ht="14.25" customHeight="1">
      <c r="A3" s="260" t="s">
        <v>130</v>
      </c>
      <c r="B3" s="260"/>
      <c r="C3" s="193">
        <f>L10</f>
        <v>48332</v>
      </c>
      <c r="D3" s="194" t="s">
        <v>131</v>
      </c>
      <c r="E3" s="95"/>
      <c r="F3" s="195"/>
      <c r="G3" s="195"/>
      <c r="H3" s="194"/>
      <c r="I3" s="95"/>
    </row>
    <row r="4" spans="1:13" ht="15">
      <c r="A4" s="258" t="s">
        <v>38</v>
      </c>
      <c r="B4" s="259"/>
      <c r="C4" s="259"/>
      <c r="D4" s="259"/>
      <c r="E4" s="259"/>
      <c r="F4" s="259"/>
      <c r="G4" s="259"/>
      <c r="H4" s="259"/>
      <c r="I4" s="259"/>
    </row>
    <row r="5" spans="1:13" ht="30" customHeight="1">
      <c r="A5" s="98" t="s">
        <v>39</v>
      </c>
      <c r="B5" s="99" t="s">
        <v>40</v>
      </c>
      <c r="C5" s="98" t="s">
        <v>41</v>
      </c>
      <c r="D5" s="98" t="s">
        <v>42</v>
      </c>
      <c r="E5" s="100" t="s">
        <v>43</v>
      </c>
      <c r="F5" s="196" t="s">
        <v>44</v>
      </c>
      <c r="G5" s="196" t="s">
        <v>45</v>
      </c>
      <c r="H5" s="99" t="s">
        <v>46</v>
      </c>
      <c r="I5" s="99" t="s">
        <v>6</v>
      </c>
      <c r="J5" t="s">
        <v>47</v>
      </c>
    </row>
    <row r="6" spans="1:13" ht="24" customHeight="1">
      <c r="A6" s="96" t="s">
        <v>48</v>
      </c>
      <c r="B6" s="96"/>
      <c r="C6" s="96"/>
      <c r="D6" s="96" t="s">
        <v>49</v>
      </c>
      <c r="E6" s="96"/>
      <c r="F6" s="197"/>
      <c r="G6" s="197"/>
      <c r="H6" s="96"/>
      <c r="I6" s="117">
        <f>SUM(I7:I7)</f>
        <v>597383.52</v>
      </c>
    </row>
    <row r="7" spans="1:13" ht="19.5" customHeight="1">
      <c r="A7" s="198" t="s">
        <v>50</v>
      </c>
      <c r="B7" s="199" t="s">
        <v>51</v>
      </c>
      <c r="C7" s="198" t="s">
        <v>52</v>
      </c>
      <c r="D7" s="198" t="s">
        <v>53</v>
      </c>
      <c r="E7" s="200" t="s">
        <v>12</v>
      </c>
      <c r="F7" s="201">
        <f>ROUND(2400*L13,2)</f>
        <v>289992</v>
      </c>
      <c r="G7" s="201">
        <f>CPUs!J105</f>
        <v>1.7000000000000002</v>
      </c>
      <c r="H7" s="119">
        <f>ROUND(G7*$H$2+G7,2)</f>
        <v>2.06</v>
      </c>
      <c r="I7" s="209">
        <f>ROUND(F7*H7,2)</f>
        <v>597383.52</v>
      </c>
      <c r="J7">
        <v>7</v>
      </c>
    </row>
    <row r="8" spans="1:13" ht="24" customHeight="1">
      <c r="A8" s="96">
        <v>2</v>
      </c>
      <c r="B8" s="96"/>
      <c r="C8" s="96"/>
      <c r="D8" s="96" t="s">
        <v>54</v>
      </c>
      <c r="E8" s="96"/>
      <c r="F8" s="197"/>
      <c r="G8" s="197"/>
      <c r="H8" s="96"/>
      <c r="I8" s="117">
        <f>SUM(I9:I12)</f>
        <v>1446632.3399999999</v>
      </c>
    </row>
    <row r="9" spans="1:13" ht="24" customHeight="1">
      <c r="A9" s="198" t="s">
        <v>55</v>
      </c>
      <c r="B9" s="199" t="s">
        <v>56</v>
      </c>
      <c r="C9" s="198" t="s">
        <v>52</v>
      </c>
      <c r="D9" s="198" t="s">
        <v>385</v>
      </c>
      <c r="E9" s="200" t="s">
        <v>12</v>
      </c>
      <c r="F9" s="201">
        <f>ROUND(6*L13,2)</f>
        <v>724.98</v>
      </c>
      <c r="G9" s="201">
        <f>CPUs!J15</f>
        <v>381.97</v>
      </c>
      <c r="H9" s="119">
        <f>ROUND(G9*$H$2+G9,2)</f>
        <v>461.95</v>
      </c>
      <c r="I9" s="209">
        <f>ROUND(F9*H9,2)</f>
        <v>334904.51</v>
      </c>
      <c r="J9">
        <v>3</v>
      </c>
      <c r="L9" s="210">
        <v>289992</v>
      </c>
      <c r="M9" t="s">
        <v>132</v>
      </c>
    </row>
    <row r="10" spans="1:13" ht="24" customHeight="1">
      <c r="A10" s="198" t="s">
        <v>57</v>
      </c>
      <c r="B10" s="199" t="s">
        <v>58</v>
      </c>
      <c r="C10" s="198" t="s">
        <v>52</v>
      </c>
      <c r="D10" s="198" t="s">
        <v>59</v>
      </c>
      <c r="E10" s="200" t="s">
        <v>60</v>
      </c>
      <c r="F10" s="201">
        <f>ROUND(1*L13,2)</f>
        <v>120.83</v>
      </c>
      <c r="G10" s="201">
        <f>CPUs!J24</f>
        <v>594.99</v>
      </c>
      <c r="H10" s="119">
        <f t="shared" ref="H10:H30" si="0">ROUND(G10*$H$2+G10,2)</f>
        <v>719.58</v>
      </c>
      <c r="I10" s="209">
        <f t="shared" ref="I10:I12" si="1">ROUND(F10*H10,2)</f>
        <v>86946.85</v>
      </c>
      <c r="J10">
        <v>2</v>
      </c>
      <c r="L10" s="210">
        <f>L9/6</f>
        <v>48332</v>
      </c>
      <c r="M10" t="s">
        <v>26</v>
      </c>
    </row>
    <row r="11" spans="1:13" ht="24" customHeight="1">
      <c r="A11" s="198" t="s">
        <v>61</v>
      </c>
      <c r="B11" s="199" t="s">
        <v>62</v>
      </c>
      <c r="C11" s="198" t="s">
        <v>52</v>
      </c>
      <c r="D11" s="198" t="s">
        <v>63</v>
      </c>
      <c r="E11" s="200" t="s">
        <v>60</v>
      </c>
      <c r="F11" s="201">
        <f>ROUND(1*L13,2)</f>
        <v>120.83</v>
      </c>
      <c r="G11" s="201">
        <f>CPUs!J24</f>
        <v>594.99</v>
      </c>
      <c r="H11" s="119">
        <f t="shared" si="0"/>
        <v>719.58</v>
      </c>
      <c r="I11" s="209">
        <f t="shared" si="1"/>
        <v>86946.85</v>
      </c>
      <c r="J11">
        <v>2</v>
      </c>
      <c r="L11" s="210">
        <v>6</v>
      </c>
      <c r="M11" t="s">
        <v>26</v>
      </c>
    </row>
    <row r="12" spans="1:13" ht="24" customHeight="1">
      <c r="A12" s="198" t="s">
        <v>64</v>
      </c>
      <c r="B12" s="199" t="s">
        <v>65</v>
      </c>
      <c r="C12" s="198" t="s">
        <v>52</v>
      </c>
      <c r="D12" s="198" t="s">
        <v>66</v>
      </c>
      <c r="E12" s="200" t="s">
        <v>60</v>
      </c>
      <c r="F12" s="201">
        <f>ROUND(1*L13,2)</f>
        <v>120.83</v>
      </c>
      <c r="G12" s="201">
        <f>CPUs!J45</f>
        <v>6417.7300000000005</v>
      </c>
      <c r="H12" s="119">
        <f t="shared" si="0"/>
        <v>7761.6</v>
      </c>
      <c r="I12" s="209">
        <f t="shared" si="1"/>
        <v>937834.13</v>
      </c>
      <c r="J12">
        <v>6</v>
      </c>
      <c r="L12" s="210">
        <f>400*6</f>
        <v>2400</v>
      </c>
      <c r="M12" t="s">
        <v>132</v>
      </c>
    </row>
    <row r="13" spans="1:13" ht="24" customHeight="1">
      <c r="A13" s="96">
        <v>3</v>
      </c>
      <c r="B13" s="96"/>
      <c r="C13" s="96"/>
      <c r="D13" s="96" t="s">
        <v>67</v>
      </c>
      <c r="E13" s="202"/>
      <c r="F13" s="197"/>
      <c r="G13" s="197"/>
      <c r="H13" s="203"/>
      <c r="I13" s="117">
        <f>SUM(I14:I21)</f>
        <v>1099794.6599999997</v>
      </c>
      <c r="L13" s="210">
        <f>ROUND(L9/L12,2)</f>
        <v>120.83</v>
      </c>
    </row>
    <row r="14" spans="1:13" ht="31.5" customHeight="1">
      <c r="A14" s="198" t="s">
        <v>68</v>
      </c>
      <c r="B14" s="199" t="s">
        <v>69</v>
      </c>
      <c r="C14" s="198" t="s">
        <v>52</v>
      </c>
      <c r="D14" s="198" t="s">
        <v>70</v>
      </c>
      <c r="E14" s="200" t="s">
        <v>12</v>
      </c>
      <c r="F14" s="201">
        <f>F7</f>
        <v>289992</v>
      </c>
      <c r="G14" s="201">
        <f>CPUs!J58</f>
        <v>0.36</v>
      </c>
      <c r="H14" s="119">
        <f t="shared" ref="H14:H21" si="2">ROUND(G14*$H$2+G14,2)</f>
        <v>0.44</v>
      </c>
      <c r="I14" s="209">
        <f>ROUND(F14*H14,2)</f>
        <v>127596.48</v>
      </c>
      <c r="J14">
        <v>1</v>
      </c>
    </row>
    <row r="15" spans="1:13" ht="25.5">
      <c r="A15" s="198" t="s">
        <v>71</v>
      </c>
      <c r="B15" s="199" t="s">
        <v>72</v>
      </c>
      <c r="C15" s="198" t="s">
        <v>73</v>
      </c>
      <c r="D15" s="198" t="s">
        <v>74</v>
      </c>
      <c r="E15" s="200" t="s">
        <v>75</v>
      </c>
      <c r="F15" s="201">
        <f>ROUND(540*L13,2)</f>
        <v>65248.2</v>
      </c>
      <c r="G15" s="201">
        <v>1.22</v>
      </c>
      <c r="H15" s="119">
        <f t="shared" si="2"/>
        <v>1.48</v>
      </c>
      <c r="I15" s="209">
        <f t="shared" ref="I15:I25" si="3">ROUND(F15*H15,2)</f>
        <v>96567.34</v>
      </c>
      <c r="J15">
        <v>4</v>
      </c>
    </row>
    <row r="16" spans="1:13" ht="42.75" customHeight="1">
      <c r="A16" s="198" t="s">
        <v>76</v>
      </c>
      <c r="B16" s="199" t="s">
        <v>77</v>
      </c>
      <c r="C16" s="198" t="s">
        <v>73</v>
      </c>
      <c r="D16" s="198" t="s">
        <v>78</v>
      </c>
      <c r="E16" s="200" t="s">
        <v>75</v>
      </c>
      <c r="F16" s="201">
        <f>ROUND(480*L13,2)</f>
        <v>57998.400000000001</v>
      </c>
      <c r="G16" s="201">
        <v>1.33</v>
      </c>
      <c r="H16" s="119">
        <f t="shared" si="2"/>
        <v>1.61</v>
      </c>
      <c r="I16" s="209">
        <f t="shared" si="3"/>
        <v>93377.42</v>
      </c>
      <c r="J16">
        <v>4</v>
      </c>
    </row>
    <row r="17" spans="1:12" ht="30.75" customHeight="1">
      <c r="A17" s="198" t="s">
        <v>79</v>
      </c>
      <c r="B17" s="199" t="s">
        <v>80</v>
      </c>
      <c r="C17" s="198" t="s">
        <v>73</v>
      </c>
      <c r="D17" s="198" t="s">
        <v>81</v>
      </c>
      <c r="E17" s="200" t="s">
        <v>82</v>
      </c>
      <c r="F17" s="201">
        <f>ROUND(1920*L13,2)</f>
        <v>231993.60000000001</v>
      </c>
      <c r="G17" s="201">
        <v>1.53</v>
      </c>
      <c r="H17" s="119">
        <f t="shared" si="2"/>
        <v>1.85</v>
      </c>
      <c r="I17" s="209">
        <f t="shared" si="3"/>
        <v>429188.16</v>
      </c>
      <c r="J17">
        <v>4</v>
      </c>
    </row>
    <row r="18" spans="1:12">
      <c r="A18" s="198" t="s">
        <v>83</v>
      </c>
      <c r="B18" s="199">
        <v>100574</v>
      </c>
      <c r="C18" s="198" t="s">
        <v>73</v>
      </c>
      <c r="D18" s="198" t="s">
        <v>84</v>
      </c>
      <c r="E18" s="200" t="s">
        <v>75</v>
      </c>
      <c r="F18" s="201">
        <f>ROUND(240*L13,2)</f>
        <v>28999.200000000001</v>
      </c>
      <c r="G18" s="201">
        <v>0.8</v>
      </c>
      <c r="H18" s="119">
        <f t="shared" si="2"/>
        <v>0.97</v>
      </c>
      <c r="I18" s="209">
        <f t="shared" si="3"/>
        <v>28129.22</v>
      </c>
      <c r="J18">
        <v>4</v>
      </c>
    </row>
    <row r="19" spans="1:12" ht="38.25">
      <c r="A19" s="198" t="s">
        <v>85</v>
      </c>
      <c r="B19" s="204">
        <v>96385</v>
      </c>
      <c r="C19" s="205" t="s">
        <v>73</v>
      </c>
      <c r="D19" s="205" t="s">
        <v>86</v>
      </c>
      <c r="E19" s="206" t="s">
        <v>75</v>
      </c>
      <c r="F19" s="207">
        <f>ROUND(60*L13,2)</f>
        <v>7249.8</v>
      </c>
      <c r="G19" s="207">
        <v>6.3</v>
      </c>
      <c r="H19" s="119">
        <f t="shared" si="2"/>
        <v>7.62</v>
      </c>
      <c r="I19" s="209">
        <f t="shared" si="3"/>
        <v>55243.48</v>
      </c>
      <c r="J19">
        <v>4</v>
      </c>
    </row>
    <row r="20" spans="1:12">
      <c r="A20" s="198" t="s">
        <v>87</v>
      </c>
      <c r="B20" s="204">
        <v>2496</v>
      </c>
      <c r="C20" s="205" t="s">
        <v>88</v>
      </c>
      <c r="D20" s="205" t="s">
        <v>89</v>
      </c>
      <c r="E20" s="206" t="s">
        <v>12</v>
      </c>
      <c r="F20" s="207">
        <f>F7</f>
        <v>289992</v>
      </c>
      <c r="G20" s="207">
        <v>0.71</v>
      </c>
      <c r="H20" s="119">
        <f t="shared" si="2"/>
        <v>0.86</v>
      </c>
      <c r="I20" s="209">
        <f t="shared" si="3"/>
        <v>249393.12</v>
      </c>
      <c r="J20">
        <v>4</v>
      </c>
    </row>
    <row r="21" spans="1:12" ht="25.5">
      <c r="A21" s="198" t="s">
        <v>90</v>
      </c>
      <c r="B21" s="204">
        <v>100575</v>
      </c>
      <c r="C21" s="205" t="s">
        <v>73</v>
      </c>
      <c r="D21" s="205" t="s">
        <v>91</v>
      </c>
      <c r="E21" s="206" t="s">
        <v>12</v>
      </c>
      <c r="F21" s="207">
        <f>F7</f>
        <v>289992</v>
      </c>
      <c r="G21" s="207">
        <v>0.06</v>
      </c>
      <c r="H21" s="119">
        <f t="shared" si="2"/>
        <v>7.0000000000000007E-2</v>
      </c>
      <c r="I21" s="209">
        <f t="shared" si="3"/>
        <v>20299.439999999999</v>
      </c>
      <c r="J21">
        <v>4</v>
      </c>
    </row>
    <row r="22" spans="1:12" ht="24" customHeight="1">
      <c r="A22" s="96">
        <v>4</v>
      </c>
      <c r="B22" s="96"/>
      <c r="C22" s="96"/>
      <c r="D22" s="96" t="s">
        <v>92</v>
      </c>
      <c r="E22" s="202"/>
      <c r="F22" s="197"/>
      <c r="G22" s="197"/>
      <c r="H22" s="203"/>
      <c r="I22" s="117">
        <f>SUM(I23:I25)</f>
        <v>24467177.950000003</v>
      </c>
    </row>
    <row r="23" spans="1:12" ht="40.5" customHeight="1">
      <c r="A23" s="198" t="s">
        <v>93</v>
      </c>
      <c r="B23" s="199" t="s">
        <v>94</v>
      </c>
      <c r="C23" s="198" t="s">
        <v>52</v>
      </c>
      <c r="D23" s="198" t="s">
        <v>133</v>
      </c>
      <c r="E23" s="200" t="s">
        <v>12</v>
      </c>
      <c r="F23" s="201">
        <f>F7</f>
        <v>289992</v>
      </c>
      <c r="G23" s="201">
        <f>CPUs!J69</f>
        <v>59.050000000000004</v>
      </c>
      <c r="H23" s="119">
        <f>ROUND(G23*$H$2+G23,2)</f>
        <v>71.42</v>
      </c>
      <c r="I23" s="209">
        <f t="shared" si="3"/>
        <v>20711228.640000001</v>
      </c>
      <c r="J23">
        <v>1</v>
      </c>
    </row>
    <row r="24" spans="1:12" ht="51">
      <c r="A24" s="198" t="s">
        <v>96</v>
      </c>
      <c r="B24" s="199" t="s">
        <v>97</v>
      </c>
      <c r="C24" s="198" t="s">
        <v>73</v>
      </c>
      <c r="D24" s="198" t="s">
        <v>98</v>
      </c>
      <c r="E24" s="200" t="s">
        <v>26</v>
      </c>
      <c r="F24" s="201">
        <f>ROUND(824*L13,2)</f>
        <v>99563.92</v>
      </c>
      <c r="G24" s="201">
        <v>30.02</v>
      </c>
      <c r="H24" s="119">
        <f t="shared" si="0"/>
        <v>36.31</v>
      </c>
      <c r="I24" s="209">
        <f t="shared" si="3"/>
        <v>3615165.94</v>
      </c>
      <c r="J24">
        <v>5</v>
      </c>
    </row>
    <row r="25" spans="1:12" ht="15.75" customHeight="1">
      <c r="A25" s="198" t="s">
        <v>99</v>
      </c>
      <c r="B25" s="199">
        <v>83693</v>
      </c>
      <c r="C25" s="198" t="s">
        <v>73</v>
      </c>
      <c r="D25" s="198" t="s">
        <v>100</v>
      </c>
      <c r="E25" s="200" t="s">
        <v>12</v>
      </c>
      <c r="F25" s="201">
        <f>ROUND(288.4*L13,2)</f>
        <v>34847.370000000003</v>
      </c>
      <c r="G25" s="201">
        <v>3.34</v>
      </c>
      <c r="H25" s="119">
        <f t="shared" si="0"/>
        <v>4.04</v>
      </c>
      <c r="I25" s="209">
        <f t="shared" si="3"/>
        <v>140783.37</v>
      </c>
      <c r="J25">
        <v>5</v>
      </c>
    </row>
    <row r="26" spans="1:12" ht="24" customHeight="1">
      <c r="A26" s="96" t="s">
        <v>101</v>
      </c>
      <c r="B26" s="96"/>
      <c r="C26" s="96"/>
      <c r="D26" s="96" t="s">
        <v>102</v>
      </c>
      <c r="E26" s="202"/>
      <c r="F26" s="197"/>
      <c r="G26" s="197"/>
      <c r="H26" s="203"/>
      <c r="I26" s="117">
        <f>SUM(I27:I27)</f>
        <v>2095.19</v>
      </c>
    </row>
    <row r="27" spans="1:12" ht="25.5">
      <c r="A27" s="198" t="s">
        <v>103</v>
      </c>
      <c r="B27" s="199" t="s">
        <v>104</v>
      </c>
      <c r="C27" s="198" t="s">
        <v>52</v>
      </c>
      <c r="D27" s="198" t="s">
        <v>105</v>
      </c>
      <c r="E27" s="200" t="s">
        <v>26</v>
      </c>
      <c r="F27" s="201">
        <f>ROUND(6*L13,2)</f>
        <v>724.98</v>
      </c>
      <c r="G27" s="201">
        <f>CPUs!J83</f>
        <v>2.3900000000000006</v>
      </c>
      <c r="H27" s="119">
        <f>ROUND(G27*$H$2+G27,2)</f>
        <v>2.89</v>
      </c>
      <c r="I27" s="209">
        <f>ROUND(F27*H27,2)</f>
        <v>2095.19</v>
      </c>
      <c r="J27">
        <v>1</v>
      </c>
      <c r="L27" s="211"/>
    </row>
    <row r="28" spans="1:12" ht="24" customHeight="1">
      <c r="A28" s="96" t="s">
        <v>106</v>
      </c>
      <c r="B28" s="96"/>
      <c r="C28" s="96"/>
      <c r="D28" s="96" t="s">
        <v>107</v>
      </c>
      <c r="E28" s="202"/>
      <c r="F28" s="197"/>
      <c r="G28" s="197"/>
      <c r="H28" s="203"/>
      <c r="I28" s="117">
        <f>SUM(I29:I30)</f>
        <v>639142.37000000011</v>
      </c>
    </row>
    <row r="29" spans="1:12">
      <c r="A29" s="198" t="s">
        <v>108</v>
      </c>
      <c r="B29" s="199" t="s">
        <v>109</v>
      </c>
      <c r="C29" s="198" t="s">
        <v>52</v>
      </c>
      <c r="D29" s="198" t="s">
        <v>110</v>
      </c>
      <c r="E29" s="200" t="s">
        <v>12</v>
      </c>
      <c r="F29" s="201">
        <f>F7</f>
        <v>289992</v>
      </c>
      <c r="G29" s="201">
        <f>CPUs!J93</f>
        <v>0.84000000000000008</v>
      </c>
      <c r="H29" s="119">
        <f t="shared" si="0"/>
        <v>1.02</v>
      </c>
      <c r="I29" s="209">
        <f>ROUND(F29*H29,2)</f>
        <v>295791.84000000003</v>
      </c>
      <c r="J29">
        <v>1</v>
      </c>
    </row>
    <row r="30" spans="1:12" ht="28.5" customHeight="1">
      <c r="A30" s="198" t="s">
        <v>111</v>
      </c>
      <c r="B30" s="199">
        <v>71</v>
      </c>
      <c r="C30" s="198" t="s">
        <v>88</v>
      </c>
      <c r="D30" s="198" t="s">
        <v>112</v>
      </c>
      <c r="E30" s="200" t="s">
        <v>75</v>
      </c>
      <c r="F30" s="201">
        <f>ROUND(60*L13,2)</f>
        <v>7249.8</v>
      </c>
      <c r="G30" s="201">
        <v>39.159999999999997</v>
      </c>
      <c r="H30" s="119">
        <f t="shared" si="0"/>
        <v>47.36</v>
      </c>
      <c r="I30" s="209">
        <f>ROUND(F30*H30,2)</f>
        <v>343350.53</v>
      </c>
      <c r="J30">
        <v>4</v>
      </c>
    </row>
    <row r="31" spans="1:12" ht="15">
      <c r="A31" s="208"/>
      <c r="B31" s="208"/>
      <c r="C31" s="208"/>
      <c r="D31" s="208"/>
      <c r="E31" s="208"/>
      <c r="F31" s="254" t="s">
        <v>113</v>
      </c>
      <c r="G31" s="254"/>
      <c r="H31" s="254"/>
      <c r="I31" s="212">
        <f>I6+I8+I13+I22+I26+I28</f>
        <v>28252226.030000005</v>
      </c>
      <c r="K31" s="213"/>
    </row>
    <row r="32" spans="1:12" ht="21" customHeight="1">
      <c r="I32" t="s">
        <v>114</v>
      </c>
      <c r="J32" s="210">
        <f>SUMIF(J6:J29,1,I6:I29)</f>
        <v>21136712.150000002</v>
      </c>
      <c r="L32" t="s">
        <v>115</v>
      </c>
    </row>
    <row r="33" spans="8:12" ht="15" customHeight="1">
      <c r="I33" t="s">
        <v>116</v>
      </c>
      <c r="J33" s="210">
        <f>SUMIF(J6:J29,2,I6:I29)</f>
        <v>173893.7</v>
      </c>
      <c r="L33" t="s">
        <v>117</v>
      </c>
    </row>
    <row r="34" spans="8:12">
      <c r="I34" t="s">
        <v>118</v>
      </c>
      <c r="J34" s="210">
        <f>SUMIF(J6:J30,3,I6:I30)</f>
        <v>334904.51</v>
      </c>
      <c r="L34" t="s">
        <v>119</v>
      </c>
    </row>
    <row r="35" spans="8:12">
      <c r="I35" t="s">
        <v>120</v>
      </c>
      <c r="J35" s="210">
        <f>SUMIF(J6:J30,4,I6:I30)</f>
        <v>1315548.71</v>
      </c>
      <c r="L35" t="s">
        <v>121</v>
      </c>
    </row>
    <row r="36" spans="8:12">
      <c r="I36" t="s">
        <v>122</v>
      </c>
      <c r="J36" s="210">
        <f>SUMIF(J6:J30,5,I6:I30)</f>
        <v>3755949.31</v>
      </c>
      <c r="L36" s="214" t="s">
        <v>123</v>
      </c>
    </row>
    <row r="37" spans="8:12">
      <c r="I37" t="s">
        <v>124</v>
      </c>
      <c r="J37" s="210">
        <f>SUMIF(J7:J30,6,I7:I30)</f>
        <v>937834.13</v>
      </c>
      <c r="L37" s="214" t="s">
        <v>125</v>
      </c>
    </row>
    <row r="38" spans="8:12">
      <c r="I38" t="s">
        <v>126</v>
      </c>
      <c r="J38" s="210">
        <f>SUMIF(J7:J31,7,I7:I31)</f>
        <v>597383.52</v>
      </c>
      <c r="L38" s="214" t="s">
        <v>127</v>
      </c>
    </row>
    <row r="40" spans="8:12">
      <c r="H40" t="s">
        <v>128</v>
      </c>
      <c r="I40">
        <f>I31/F7</f>
        <v>97.42415663190711</v>
      </c>
      <c r="L40" s="215"/>
    </row>
  </sheetData>
  <mergeCells count="6">
    <mergeCell ref="F31:H31"/>
    <mergeCell ref="E1:F1"/>
    <mergeCell ref="A2:C2"/>
    <mergeCell ref="E2:F2"/>
    <mergeCell ref="A3:B3"/>
    <mergeCell ref="A4:I4"/>
  </mergeCells>
  <pageMargins left="0.90551181102362199" right="0" top="0.98425196850393704" bottom="0.98425196850393704" header="0.511811023622047" footer="0.511811023622047"/>
  <pageSetup paperSize="9" scale="61" fitToHeight="0" orientation="portrait"/>
  <drawing r:id="rId1"/>
  <legacyDrawing r:id="rId2"/>
  <oleObjects>
    <mc:AlternateContent xmlns:mc="http://schemas.openxmlformats.org/markup-compatibility/2006">
      <mc:Choice Requires="x14">
        <oleObject progId="Figura do Microsoft Photo Editor 3.0" shapeId="22529" r:id="rId3">
          <objectPr defaultSize="0" altText="" r:id="rId4">
            <anchor moveWithCells="1" sizeWithCells="1">
              <from>
                <xdr:col>0</xdr:col>
                <xdr:colOff>104775</xdr:colOff>
                <xdr:row>0</xdr:row>
                <xdr:rowOff>142875</xdr:rowOff>
              </from>
              <to>
                <xdr:col>2</xdr:col>
                <xdr:colOff>514350</xdr:colOff>
                <xdr:row>0</xdr:row>
                <xdr:rowOff>523875</xdr:rowOff>
              </to>
            </anchor>
          </objectPr>
        </oleObject>
      </mc:Choice>
      <mc:Fallback>
        <oleObject progId="Figura do Microsoft Photo Editor 3.0" shapeId="22529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4"/>
  <sheetViews>
    <sheetView workbookViewId="0">
      <selection activeCell="F11" sqref="F11"/>
    </sheetView>
  </sheetViews>
  <sheetFormatPr defaultColWidth="9" defaultRowHeight="15"/>
  <cols>
    <col min="1" max="1" width="6.5" style="123" customWidth="1"/>
    <col min="2" max="2" width="19.125" style="123" customWidth="1"/>
    <col min="3" max="3" width="12.125" style="123" customWidth="1"/>
    <col min="4" max="5" width="11.125" style="123" customWidth="1"/>
    <col min="6" max="6" width="11.25" style="123" customWidth="1"/>
    <col min="7" max="7" width="11" style="123" customWidth="1"/>
    <col min="8" max="8" width="11.125" style="123" customWidth="1"/>
    <col min="9" max="9" width="11.75" style="123" customWidth="1"/>
    <col min="10" max="10" width="12" style="123" customWidth="1"/>
    <col min="11" max="16384" width="9" style="123"/>
  </cols>
  <sheetData>
    <row r="1" spans="1:10">
      <c r="A1" s="124"/>
      <c r="B1" s="125"/>
      <c r="C1" s="125"/>
      <c r="D1" s="126" t="s">
        <v>134</v>
      </c>
      <c r="E1" s="127"/>
      <c r="F1" s="127"/>
      <c r="G1" s="127"/>
      <c r="H1" s="127"/>
      <c r="I1" s="127"/>
      <c r="J1" s="164"/>
    </row>
    <row r="2" spans="1:10">
      <c r="A2" s="128"/>
      <c r="B2" s="129"/>
      <c r="C2" s="129"/>
      <c r="D2" s="130" t="s">
        <v>135</v>
      </c>
      <c r="E2" s="131"/>
      <c r="F2" s="131"/>
      <c r="G2" s="131"/>
      <c r="H2" s="131"/>
      <c r="I2" s="131"/>
      <c r="J2" s="165"/>
    </row>
    <row r="3" spans="1:10" ht="69" customHeight="1">
      <c r="A3" s="271" t="s">
        <v>136</v>
      </c>
      <c r="B3" s="272"/>
      <c r="C3" s="272"/>
      <c r="D3" s="272"/>
      <c r="E3" s="272"/>
      <c r="F3" s="272"/>
      <c r="G3" s="272"/>
      <c r="H3" s="272"/>
      <c r="I3" s="272"/>
      <c r="J3" s="273"/>
    </row>
    <row r="4" spans="1:10" ht="15.75">
      <c r="A4" s="274" t="s">
        <v>137</v>
      </c>
      <c r="B4" s="275"/>
      <c r="C4" s="275"/>
      <c r="D4" s="275"/>
      <c r="E4" s="275"/>
      <c r="F4" s="275"/>
      <c r="G4" s="275"/>
      <c r="H4" s="275"/>
      <c r="I4" s="275"/>
      <c r="J4" s="276"/>
    </row>
    <row r="5" spans="1:10" ht="17.100000000000001" customHeight="1">
      <c r="A5" s="132" t="s">
        <v>138</v>
      </c>
      <c r="B5" s="133" t="s">
        <v>139</v>
      </c>
      <c r="C5" s="133" t="s">
        <v>140</v>
      </c>
      <c r="D5" s="133"/>
      <c r="E5" s="133" t="s">
        <v>141</v>
      </c>
      <c r="F5" s="133" t="s">
        <v>142</v>
      </c>
      <c r="G5" s="133" t="s">
        <v>143</v>
      </c>
      <c r="H5" s="133" t="s">
        <v>144</v>
      </c>
      <c r="I5" s="166" t="s">
        <v>145</v>
      </c>
      <c r="J5" s="167" t="s">
        <v>146</v>
      </c>
    </row>
    <row r="6" spans="1:10" ht="20.100000000000001" customHeight="1">
      <c r="A6" s="265">
        <v>1</v>
      </c>
      <c r="B6" s="267" t="str">
        <f>'Planilha Resumo'!B10</f>
        <v xml:space="preserve">Placa </v>
      </c>
      <c r="C6" s="261">
        <f>'Planilha Resumo'!F10</f>
        <v>334904.51</v>
      </c>
      <c r="D6" s="134" t="s">
        <v>147</v>
      </c>
      <c r="E6" s="135">
        <v>0.1</v>
      </c>
      <c r="F6" s="135">
        <v>0.1</v>
      </c>
      <c r="G6" s="135">
        <v>0.08</v>
      </c>
      <c r="H6" s="135">
        <v>0.08</v>
      </c>
      <c r="I6" s="135">
        <v>0.08</v>
      </c>
      <c r="J6" s="168">
        <v>0.08</v>
      </c>
    </row>
    <row r="7" spans="1:10" ht="20.100000000000001" customHeight="1">
      <c r="A7" s="266"/>
      <c r="B7" s="268"/>
      <c r="C7" s="262"/>
      <c r="D7" s="136" t="s">
        <v>148</v>
      </c>
      <c r="E7" s="137">
        <f t="shared" ref="E7:J7" si="0">E6*$C$6</f>
        <v>33490.451000000001</v>
      </c>
      <c r="F7" s="137">
        <f t="shared" si="0"/>
        <v>33490.451000000001</v>
      </c>
      <c r="G7" s="137">
        <f t="shared" si="0"/>
        <v>26792.360800000002</v>
      </c>
      <c r="H7" s="137">
        <f t="shared" si="0"/>
        <v>26792.360800000002</v>
      </c>
      <c r="I7" s="137">
        <f t="shared" si="0"/>
        <v>26792.360800000002</v>
      </c>
      <c r="J7" s="169">
        <f t="shared" si="0"/>
        <v>26792.360800000002</v>
      </c>
    </row>
    <row r="8" spans="1:10" ht="20.100000000000001" customHeight="1">
      <c r="A8" s="265">
        <v>2</v>
      </c>
      <c r="B8" s="267" t="str">
        <f>'Planilha Resumo'!B11</f>
        <v>Projeto Executivo</v>
      </c>
      <c r="C8" s="277">
        <f>'Planilha Resumo'!F11</f>
        <v>597383.52</v>
      </c>
      <c r="D8" s="134" t="s">
        <v>147</v>
      </c>
      <c r="E8" s="138">
        <v>0.2</v>
      </c>
      <c r="F8" s="138">
        <v>0.2</v>
      </c>
      <c r="G8" s="138">
        <v>0.2</v>
      </c>
      <c r="H8" s="138">
        <v>0.2</v>
      </c>
      <c r="I8" s="138">
        <v>0.2</v>
      </c>
      <c r="J8" s="170">
        <v>0</v>
      </c>
    </row>
    <row r="9" spans="1:10" ht="20.100000000000001" customHeight="1">
      <c r="A9" s="266"/>
      <c r="B9" s="268"/>
      <c r="C9" s="278"/>
      <c r="D9" s="136" t="s">
        <v>148</v>
      </c>
      <c r="E9" s="139">
        <f>E8*$C$8</f>
        <v>119476.70400000001</v>
      </c>
      <c r="F9" s="139">
        <f t="shared" ref="F9:J9" si="1">F8*$C$8</f>
        <v>119476.70400000001</v>
      </c>
      <c r="G9" s="139">
        <f t="shared" si="1"/>
        <v>119476.70400000001</v>
      </c>
      <c r="H9" s="139">
        <f t="shared" si="1"/>
        <v>119476.70400000001</v>
      </c>
      <c r="I9" s="139">
        <f t="shared" si="1"/>
        <v>119476.70400000001</v>
      </c>
      <c r="J9" s="171">
        <f t="shared" si="1"/>
        <v>0</v>
      </c>
    </row>
    <row r="10" spans="1:10" ht="20.100000000000001" customHeight="1">
      <c r="A10" s="265">
        <v>3</v>
      </c>
      <c r="B10" s="267" t="str">
        <f>'Planilha Resumo'!B12</f>
        <v>Mobilização e Desmobilização</v>
      </c>
      <c r="C10" s="261">
        <f>'Planilha Resumo'!F12</f>
        <v>173893.7</v>
      </c>
      <c r="D10" s="134" t="s">
        <v>147</v>
      </c>
      <c r="E10" s="140">
        <v>0.02</v>
      </c>
      <c r="F10" s="140">
        <v>0.03</v>
      </c>
      <c r="G10" s="140">
        <v>0.05</v>
      </c>
      <c r="H10" s="140">
        <v>0.1</v>
      </c>
      <c r="I10" s="140">
        <v>0.1</v>
      </c>
      <c r="J10" s="172">
        <v>0.1</v>
      </c>
    </row>
    <row r="11" spans="1:10" ht="20.100000000000001" customHeight="1">
      <c r="A11" s="266"/>
      <c r="B11" s="268"/>
      <c r="C11" s="262"/>
      <c r="D11" s="136" t="s">
        <v>148</v>
      </c>
      <c r="E11" s="139">
        <f>E10*$C$10</f>
        <v>3477.8740000000003</v>
      </c>
      <c r="F11" s="139">
        <f t="shared" ref="F11:J11" si="2">F10*$C$10</f>
        <v>5216.8110000000006</v>
      </c>
      <c r="G11" s="139">
        <f t="shared" si="2"/>
        <v>8694.6850000000013</v>
      </c>
      <c r="H11" s="139">
        <f t="shared" si="2"/>
        <v>17389.370000000003</v>
      </c>
      <c r="I11" s="139">
        <f t="shared" si="2"/>
        <v>17389.370000000003</v>
      </c>
      <c r="J11" s="171">
        <f t="shared" si="2"/>
        <v>17389.370000000003</v>
      </c>
    </row>
    <row r="12" spans="1:10" ht="20.100000000000001" customHeight="1">
      <c r="A12" s="265">
        <v>4</v>
      </c>
      <c r="B12" s="267" t="str">
        <f>'Planilha Resumo'!B13</f>
        <v>Administração da Obra</v>
      </c>
      <c r="C12" s="261">
        <f>'Planilha Resumo'!F13</f>
        <v>937834.13</v>
      </c>
      <c r="D12" s="134" t="s">
        <v>147</v>
      </c>
      <c r="E12" s="138">
        <v>0.02</v>
      </c>
      <c r="F12" s="135">
        <v>0.03</v>
      </c>
      <c r="G12" s="135">
        <v>0.1</v>
      </c>
      <c r="H12" s="135">
        <v>0.1</v>
      </c>
      <c r="I12" s="135">
        <v>0.1</v>
      </c>
      <c r="J12" s="168">
        <v>0.1</v>
      </c>
    </row>
    <row r="13" spans="1:10" ht="20.100000000000001" customHeight="1">
      <c r="A13" s="266"/>
      <c r="B13" s="268"/>
      <c r="C13" s="262"/>
      <c r="D13" s="136" t="s">
        <v>148</v>
      </c>
      <c r="E13" s="139">
        <f>E12*$C$12</f>
        <v>18756.6826</v>
      </c>
      <c r="F13" s="139">
        <f t="shared" ref="F13:J13" si="3">F12*$C$12</f>
        <v>28135.0239</v>
      </c>
      <c r="G13" s="139">
        <f t="shared" si="3"/>
        <v>93783.413</v>
      </c>
      <c r="H13" s="139">
        <f t="shared" si="3"/>
        <v>93783.413</v>
      </c>
      <c r="I13" s="139">
        <f t="shared" si="3"/>
        <v>93783.413</v>
      </c>
      <c r="J13" s="171">
        <f t="shared" si="3"/>
        <v>93783.413</v>
      </c>
    </row>
    <row r="14" spans="1:10" ht="20.100000000000001" customHeight="1">
      <c r="A14" s="265">
        <v>5</v>
      </c>
      <c r="B14" s="267" t="str">
        <f>'Planilha Resumo'!B14</f>
        <v xml:space="preserve">Serviços de Terraplenagem </v>
      </c>
      <c r="C14" s="261">
        <f>'Planilha Resumo'!F14</f>
        <v>1315548.71</v>
      </c>
      <c r="D14" s="134" t="s">
        <v>147</v>
      </c>
      <c r="E14" s="138">
        <v>0.1</v>
      </c>
      <c r="F14" s="135">
        <v>0.15</v>
      </c>
      <c r="G14" s="135">
        <v>0.15</v>
      </c>
      <c r="H14" s="135">
        <v>0.15</v>
      </c>
      <c r="I14" s="173">
        <v>0.1</v>
      </c>
      <c r="J14" s="168">
        <v>0.1</v>
      </c>
    </row>
    <row r="15" spans="1:10" ht="20.100000000000001" customHeight="1">
      <c r="A15" s="266"/>
      <c r="B15" s="268"/>
      <c r="C15" s="262"/>
      <c r="D15" s="136" t="s">
        <v>148</v>
      </c>
      <c r="E15" s="139">
        <f>E14*$C$14</f>
        <v>131554.87100000001</v>
      </c>
      <c r="F15" s="139">
        <f t="shared" ref="F15:J15" si="4">F14*$C$14</f>
        <v>197332.30649999998</v>
      </c>
      <c r="G15" s="139">
        <f t="shared" si="4"/>
        <v>197332.30649999998</v>
      </c>
      <c r="H15" s="139">
        <f t="shared" si="4"/>
        <v>197332.30649999998</v>
      </c>
      <c r="I15" s="139">
        <f t="shared" si="4"/>
        <v>131554.87100000001</v>
      </c>
      <c r="J15" s="171">
        <f t="shared" si="4"/>
        <v>131554.87100000001</v>
      </c>
    </row>
    <row r="16" spans="1:10" ht="20.100000000000001" customHeight="1">
      <c r="A16" s="265">
        <v>6</v>
      </c>
      <c r="B16" s="267" t="str">
        <f>'Planilha Resumo'!B15</f>
        <v>Pavimentação em paralelepípedo granítico</v>
      </c>
      <c r="C16" s="261">
        <f>'Planilha Resumo'!F15</f>
        <v>21136712.149999999</v>
      </c>
      <c r="D16" s="134" t="s">
        <v>147</v>
      </c>
      <c r="E16" s="135">
        <v>0</v>
      </c>
      <c r="F16" s="138">
        <v>0</v>
      </c>
      <c r="G16" s="138">
        <v>0.1</v>
      </c>
      <c r="H16" s="138">
        <v>0.15</v>
      </c>
      <c r="I16" s="138">
        <v>0.15</v>
      </c>
      <c r="J16" s="170">
        <v>0.15</v>
      </c>
    </row>
    <row r="17" spans="1:10" ht="20.100000000000001" customHeight="1">
      <c r="A17" s="266"/>
      <c r="B17" s="268"/>
      <c r="C17" s="262"/>
      <c r="D17" s="136" t="s">
        <v>148</v>
      </c>
      <c r="E17" s="137">
        <f>E16*$C$16</f>
        <v>0</v>
      </c>
      <c r="F17" s="137">
        <f t="shared" ref="F17:J17" si="5">F16*$C$16</f>
        <v>0</v>
      </c>
      <c r="G17" s="137">
        <f t="shared" si="5"/>
        <v>2113671.2149999999</v>
      </c>
      <c r="H17" s="137">
        <f t="shared" si="5"/>
        <v>3170506.8224999998</v>
      </c>
      <c r="I17" s="137">
        <f t="shared" si="5"/>
        <v>3170506.8224999998</v>
      </c>
      <c r="J17" s="169">
        <f t="shared" si="5"/>
        <v>3170506.8224999998</v>
      </c>
    </row>
    <row r="18" spans="1:10" ht="20.100000000000001" customHeight="1">
      <c r="A18" s="265">
        <v>7</v>
      </c>
      <c r="B18" s="267" t="str">
        <f>'Planilha Resumo'!B16</f>
        <v xml:space="preserve">Meio fio </v>
      </c>
      <c r="C18" s="261">
        <f>'Planilha Resumo'!F16</f>
        <v>3755949.31</v>
      </c>
      <c r="D18" s="134" t="s">
        <v>147</v>
      </c>
      <c r="E18" s="135">
        <v>0</v>
      </c>
      <c r="F18" s="135">
        <v>0</v>
      </c>
      <c r="G18" s="135">
        <v>0</v>
      </c>
      <c r="H18" s="138">
        <v>0.1</v>
      </c>
      <c r="I18" s="174">
        <v>0.1</v>
      </c>
      <c r="J18" s="175">
        <v>0.1</v>
      </c>
    </row>
    <row r="19" spans="1:10" ht="20.100000000000001" customHeight="1">
      <c r="A19" s="266"/>
      <c r="B19" s="268"/>
      <c r="C19" s="262"/>
      <c r="D19" s="136" t="s">
        <v>148</v>
      </c>
      <c r="E19" s="137">
        <f>E18*$C$18</f>
        <v>0</v>
      </c>
      <c r="F19" s="137">
        <f t="shared" ref="F19:J19" si="6">F18*$C$18</f>
        <v>0</v>
      </c>
      <c r="G19" s="137">
        <f t="shared" si="6"/>
        <v>0</v>
      </c>
      <c r="H19" s="137">
        <f t="shared" si="6"/>
        <v>375594.93100000004</v>
      </c>
      <c r="I19" s="137">
        <f t="shared" si="6"/>
        <v>375594.93100000004</v>
      </c>
      <c r="J19" s="169">
        <f t="shared" si="6"/>
        <v>375594.93100000004</v>
      </c>
    </row>
    <row r="20" spans="1:10" ht="25.5" customHeight="1">
      <c r="A20" s="141"/>
      <c r="B20" s="142"/>
      <c r="C20" s="263">
        <f>SUM(C6:C19)</f>
        <v>28252226.029999997</v>
      </c>
      <c r="D20" s="143"/>
      <c r="E20" s="144">
        <f>SUM(E9,E11,E13,E15,E17,E19,E7)</f>
        <v>306756.58260000002</v>
      </c>
      <c r="F20" s="144">
        <f t="shared" ref="F20:J20" si="7">SUM(F9,F11,F13,F15,F17,F19,F7)</f>
        <v>383651.29639999999</v>
      </c>
      <c r="G20" s="144">
        <f t="shared" si="7"/>
        <v>2559750.6842999998</v>
      </c>
      <c r="H20" s="144">
        <f t="shared" si="7"/>
        <v>4000875.9077999997</v>
      </c>
      <c r="I20" s="144">
        <f t="shared" si="7"/>
        <v>3935098.4722999996</v>
      </c>
      <c r="J20" s="176">
        <f t="shared" si="7"/>
        <v>3815621.7682999996</v>
      </c>
    </row>
    <row r="21" spans="1:10" ht="25.5" customHeight="1">
      <c r="A21" s="145"/>
      <c r="B21" s="146"/>
      <c r="C21" s="264"/>
      <c r="D21" s="147"/>
      <c r="E21" s="148">
        <f>E20</f>
        <v>306756.58260000002</v>
      </c>
      <c r="F21" s="148">
        <f t="shared" ref="F21:J21" si="8">E21+F20</f>
        <v>690407.87899999996</v>
      </c>
      <c r="G21" s="148">
        <f t="shared" si="8"/>
        <v>3250158.5632999996</v>
      </c>
      <c r="H21" s="148">
        <f t="shared" si="8"/>
        <v>7251034.4710999988</v>
      </c>
      <c r="I21" s="148">
        <f t="shared" si="8"/>
        <v>11186132.943399999</v>
      </c>
      <c r="J21" s="177">
        <f t="shared" si="8"/>
        <v>15001754.7117</v>
      </c>
    </row>
    <row r="24" spans="1:10">
      <c r="A24" s="124"/>
      <c r="B24" s="125"/>
      <c r="C24" s="125"/>
      <c r="D24" s="126" t="s">
        <v>134</v>
      </c>
      <c r="E24" s="127"/>
      <c r="F24" s="127"/>
      <c r="G24" s="127"/>
      <c r="H24" s="127"/>
      <c r="I24" s="127"/>
      <c r="J24" s="164"/>
    </row>
    <row r="25" spans="1:10">
      <c r="A25" s="128"/>
      <c r="B25" s="129"/>
      <c r="C25" s="129"/>
      <c r="D25" s="130" t="s">
        <v>135</v>
      </c>
      <c r="E25" s="131"/>
      <c r="F25" s="131"/>
      <c r="G25" s="131"/>
      <c r="H25" s="131"/>
      <c r="I25" s="131"/>
      <c r="J25" s="165"/>
    </row>
    <row r="26" spans="1:10" ht="69" customHeight="1">
      <c r="A26" s="271" t="s">
        <v>136</v>
      </c>
      <c r="B26" s="272"/>
      <c r="C26" s="272"/>
      <c r="D26" s="272"/>
      <c r="E26" s="272"/>
      <c r="F26" s="272"/>
      <c r="G26" s="272"/>
      <c r="H26" s="272"/>
      <c r="I26" s="272"/>
      <c r="J26" s="273"/>
    </row>
    <row r="27" spans="1:10" ht="15.75">
      <c r="A27" s="274" t="s">
        <v>137</v>
      </c>
      <c r="B27" s="275"/>
      <c r="C27" s="275"/>
      <c r="D27" s="275"/>
      <c r="E27" s="275"/>
      <c r="F27" s="275"/>
      <c r="G27" s="275"/>
      <c r="H27" s="275"/>
      <c r="I27" s="275"/>
      <c r="J27" s="276"/>
    </row>
    <row r="28" spans="1:10">
      <c r="A28" s="132" t="s">
        <v>138</v>
      </c>
      <c r="B28" s="133" t="s">
        <v>139</v>
      </c>
      <c r="C28" s="149" t="s">
        <v>149</v>
      </c>
      <c r="D28" s="150" t="s">
        <v>150</v>
      </c>
      <c r="E28" s="150" t="s">
        <v>151</v>
      </c>
      <c r="F28" s="132" t="s">
        <v>152</v>
      </c>
      <c r="G28" s="132" t="s">
        <v>153</v>
      </c>
      <c r="H28" s="132" t="s">
        <v>154</v>
      </c>
      <c r="I28" s="133" t="s">
        <v>155</v>
      </c>
      <c r="J28" s="178"/>
    </row>
    <row r="29" spans="1:10">
      <c r="A29" s="265">
        <v>1</v>
      </c>
      <c r="B29" s="269" t="s">
        <v>11</v>
      </c>
      <c r="C29" s="151">
        <v>0.08</v>
      </c>
      <c r="D29" s="151">
        <v>0.08</v>
      </c>
      <c r="E29" s="151">
        <v>0.08</v>
      </c>
      <c r="F29" s="152">
        <v>0.08</v>
      </c>
      <c r="G29" s="135">
        <v>0.08</v>
      </c>
      <c r="H29" s="135">
        <v>0.08</v>
      </c>
      <c r="I29" s="179">
        <f t="shared" ref="I29:I42" si="9">SUM(C29:H29,E6:J6)</f>
        <v>0.99999999999999989</v>
      </c>
      <c r="J29" s="180"/>
    </row>
    <row r="30" spans="1:10">
      <c r="A30" s="266"/>
      <c r="B30" s="270"/>
      <c r="C30" s="153">
        <f t="shared" ref="C30:H30" si="10">C29*$C$6</f>
        <v>26792.360800000002</v>
      </c>
      <c r="D30" s="153">
        <f t="shared" si="10"/>
        <v>26792.360800000002</v>
      </c>
      <c r="E30" s="153">
        <f t="shared" si="10"/>
        <v>26792.360800000002</v>
      </c>
      <c r="F30" s="154">
        <f t="shared" si="10"/>
        <v>26792.360800000002</v>
      </c>
      <c r="G30" s="137">
        <f t="shared" si="10"/>
        <v>26792.360800000002</v>
      </c>
      <c r="H30" s="137">
        <f t="shared" si="10"/>
        <v>26792.360800000002</v>
      </c>
      <c r="I30" s="181">
        <f t="shared" si="9"/>
        <v>334904.51000000007</v>
      </c>
      <c r="J30" s="182"/>
    </row>
    <row r="31" spans="1:10">
      <c r="A31" s="265">
        <v>2</v>
      </c>
      <c r="B31" s="269" t="s">
        <v>14</v>
      </c>
      <c r="C31" s="155">
        <v>0</v>
      </c>
      <c r="D31" s="155">
        <v>0</v>
      </c>
      <c r="E31" s="155">
        <v>0</v>
      </c>
      <c r="F31" s="156">
        <v>0</v>
      </c>
      <c r="G31" s="138">
        <v>0</v>
      </c>
      <c r="H31" s="138">
        <v>0</v>
      </c>
      <c r="I31" s="183">
        <f t="shared" si="9"/>
        <v>1</v>
      </c>
    </row>
    <row r="32" spans="1:10">
      <c r="A32" s="266"/>
      <c r="B32" s="270"/>
      <c r="C32" s="157">
        <f>C31*$C$8</f>
        <v>0</v>
      </c>
      <c r="D32" s="157">
        <f>D31*$C$8</f>
        <v>0</v>
      </c>
      <c r="E32" s="157">
        <f t="shared" ref="E32:H32" si="11">E31*$C$8</f>
        <v>0</v>
      </c>
      <c r="F32" s="158">
        <f t="shared" si="11"/>
        <v>0</v>
      </c>
      <c r="G32" s="139">
        <f t="shared" si="11"/>
        <v>0</v>
      </c>
      <c r="H32" s="139">
        <f t="shared" si="11"/>
        <v>0</v>
      </c>
      <c r="I32" s="184">
        <f t="shared" si="9"/>
        <v>597383.52</v>
      </c>
    </row>
    <row r="33" spans="1:9">
      <c r="A33" s="265">
        <v>3</v>
      </c>
      <c r="B33" s="269" t="s">
        <v>16</v>
      </c>
      <c r="C33" s="159">
        <v>0.1</v>
      </c>
      <c r="D33" s="159">
        <v>0.1</v>
      </c>
      <c r="E33" s="159">
        <v>0.1</v>
      </c>
      <c r="F33" s="160">
        <v>0.1</v>
      </c>
      <c r="G33" s="140">
        <v>0.1</v>
      </c>
      <c r="H33" s="140">
        <v>0.1</v>
      </c>
      <c r="I33" s="179">
        <f t="shared" si="9"/>
        <v>1</v>
      </c>
    </row>
    <row r="34" spans="1:9">
      <c r="A34" s="266"/>
      <c r="B34" s="270"/>
      <c r="C34" s="157">
        <f>C33*$C$10</f>
        <v>17389.370000000003</v>
      </c>
      <c r="D34" s="157">
        <f>D33*$C$10</f>
        <v>17389.370000000003</v>
      </c>
      <c r="E34" s="157">
        <f t="shared" ref="E34:H34" si="12">E33*$C$10</f>
        <v>17389.370000000003</v>
      </c>
      <c r="F34" s="158">
        <f t="shared" si="12"/>
        <v>17389.370000000003</v>
      </c>
      <c r="G34" s="139">
        <f t="shared" si="12"/>
        <v>17389.370000000003</v>
      </c>
      <c r="H34" s="139">
        <f t="shared" si="12"/>
        <v>17389.370000000003</v>
      </c>
      <c r="I34" s="184">
        <f t="shared" si="9"/>
        <v>173893.69999999998</v>
      </c>
    </row>
    <row r="35" spans="1:9">
      <c r="A35" s="265">
        <v>4</v>
      </c>
      <c r="B35" s="269" t="s">
        <v>19</v>
      </c>
      <c r="C35" s="151">
        <v>0.1</v>
      </c>
      <c r="D35" s="151">
        <v>0.1</v>
      </c>
      <c r="E35" s="151">
        <v>0.1</v>
      </c>
      <c r="F35" s="152">
        <v>0.1</v>
      </c>
      <c r="G35" s="135">
        <v>0.1</v>
      </c>
      <c r="H35" s="135">
        <v>0.05</v>
      </c>
      <c r="I35" s="179">
        <f t="shared" si="9"/>
        <v>1</v>
      </c>
    </row>
    <row r="36" spans="1:9">
      <c r="A36" s="266"/>
      <c r="B36" s="270"/>
      <c r="C36" s="157">
        <f>C35*$C$12</f>
        <v>93783.413</v>
      </c>
      <c r="D36" s="157">
        <f>D35*$C$12</f>
        <v>93783.413</v>
      </c>
      <c r="E36" s="157">
        <f t="shared" ref="E36:H36" si="13">E35*$C$12</f>
        <v>93783.413</v>
      </c>
      <c r="F36" s="158">
        <f t="shared" si="13"/>
        <v>93783.413</v>
      </c>
      <c r="G36" s="139">
        <f t="shared" si="13"/>
        <v>93783.413</v>
      </c>
      <c r="H36" s="139">
        <f t="shared" si="13"/>
        <v>46891.7065</v>
      </c>
      <c r="I36" s="184">
        <f t="shared" si="9"/>
        <v>937834.12999999989</v>
      </c>
    </row>
    <row r="37" spans="1:9">
      <c r="A37" s="265">
        <v>5</v>
      </c>
      <c r="B37" s="269" t="s">
        <v>21</v>
      </c>
      <c r="C37" s="151">
        <v>0.1</v>
      </c>
      <c r="D37" s="151">
        <v>0.05</v>
      </c>
      <c r="E37" s="151">
        <v>0.05</v>
      </c>
      <c r="F37" s="152">
        <v>0.05</v>
      </c>
      <c r="G37" s="135">
        <v>0</v>
      </c>
      <c r="H37" s="135">
        <v>0</v>
      </c>
      <c r="I37" s="179">
        <f t="shared" si="9"/>
        <v>1</v>
      </c>
    </row>
    <row r="38" spans="1:9">
      <c r="A38" s="266"/>
      <c r="B38" s="270"/>
      <c r="C38" s="157">
        <f>C37*$C$14</f>
        <v>131554.87100000001</v>
      </c>
      <c r="D38" s="157">
        <f>D37*$C$14</f>
        <v>65777.435500000007</v>
      </c>
      <c r="E38" s="157">
        <f t="shared" ref="E38:H38" si="14">E37*$C$14</f>
        <v>65777.435500000007</v>
      </c>
      <c r="F38" s="158">
        <f t="shared" si="14"/>
        <v>65777.435500000007</v>
      </c>
      <c r="G38" s="139">
        <f t="shared" si="14"/>
        <v>0</v>
      </c>
      <c r="H38" s="139">
        <f t="shared" si="14"/>
        <v>0</v>
      </c>
      <c r="I38" s="184">
        <f t="shared" si="9"/>
        <v>1315548.71</v>
      </c>
    </row>
    <row r="39" spans="1:9">
      <c r="A39" s="265">
        <v>6</v>
      </c>
      <c r="B39" s="269" t="s">
        <v>23</v>
      </c>
      <c r="C39" s="155">
        <v>0.15</v>
      </c>
      <c r="D39" s="151">
        <v>0.15</v>
      </c>
      <c r="E39" s="151">
        <v>0.1</v>
      </c>
      <c r="F39" s="152">
        <v>0.05</v>
      </c>
      <c r="G39" s="135">
        <v>0</v>
      </c>
      <c r="H39" s="135">
        <v>0</v>
      </c>
      <c r="I39" s="179">
        <f t="shared" si="9"/>
        <v>1</v>
      </c>
    </row>
    <row r="40" spans="1:9">
      <c r="A40" s="266"/>
      <c r="B40" s="270"/>
      <c r="C40" s="153">
        <f>C39*$C$16</f>
        <v>3170506.8224999998</v>
      </c>
      <c r="D40" s="153">
        <f>D39*$C$16</f>
        <v>3170506.8224999998</v>
      </c>
      <c r="E40" s="153">
        <f t="shared" ref="E40:H40" si="15">E39*$C$16</f>
        <v>2113671.2149999999</v>
      </c>
      <c r="F40" s="154">
        <f t="shared" si="15"/>
        <v>1056835.6074999999</v>
      </c>
      <c r="G40" s="137">
        <f t="shared" si="15"/>
        <v>0</v>
      </c>
      <c r="H40" s="137">
        <f t="shared" si="15"/>
        <v>0</v>
      </c>
      <c r="I40" s="184">
        <f t="shared" si="9"/>
        <v>21136712.149999999</v>
      </c>
    </row>
    <row r="41" spans="1:9">
      <c r="A41" s="265">
        <v>7</v>
      </c>
      <c r="B41" s="269" t="s">
        <v>25</v>
      </c>
      <c r="C41" s="155">
        <v>0.1</v>
      </c>
      <c r="D41" s="155">
        <v>0.1</v>
      </c>
      <c r="E41" s="155">
        <v>0.2</v>
      </c>
      <c r="F41" s="156">
        <v>0.1</v>
      </c>
      <c r="G41" s="138">
        <v>0.1</v>
      </c>
      <c r="H41" s="138">
        <v>0.1</v>
      </c>
      <c r="I41" s="179">
        <f t="shared" si="9"/>
        <v>0.99999999999999989</v>
      </c>
    </row>
    <row r="42" spans="1:9">
      <c r="A42" s="266"/>
      <c r="B42" s="270"/>
      <c r="C42" s="153">
        <f>C41*$C$18</f>
        <v>375594.93100000004</v>
      </c>
      <c r="D42" s="153">
        <f>D41*$C$18</f>
        <v>375594.93100000004</v>
      </c>
      <c r="E42" s="153">
        <f>E41*$C$18</f>
        <v>751189.86200000008</v>
      </c>
      <c r="F42" s="154">
        <f t="shared" ref="F42:H42" si="16">F41*$C$18</f>
        <v>375594.93100000004</v>
      </c>
      <c r="G42" s="137">
        <f t="shared" si="16"/>
        <v>375594.93100000004</v>
      </c>
      <c r="H42" s="137">
        <f t="shared" si="16"/>
        <v>375594.93100000004</v>
      </c>
      <c r="I42" s="184">
        <f t="shared" si="9"/>
        <v>3755949.3099999996</v>
      </c>
    </row>
    <row r="43" spans="1:9">
      <c r="C43" s="161">
        <f>SUM(C32,C34,C36,C38,C40,C42,C30)</f>
        <v>3815621.7682999996</v>
      </c>
      <c r="D43" s="161">
        <f>SUM(D32,D34,D36,D38,D40,D42,D30)</f>
        <v>3749844.3327999995</v>
      </c>
      <c r="E43" s="161">
        <f t="shared" ref="E43:I43" si="17">SUM(E32,E34,E36,E38,E40,E42,E30)</f>
        <v>3068603.6562999999</v>
      </c>
      <c r="F43" s="162">
        <f t="shared" si="17"/>
        <v>1636173.1177999999</v>
      </c>
      <c r="G43" s="144">
        <f t="shared" si="17"/>
        <v>513560.07480000006</v>
      </c>
      <c r="H43" s="144">
        <f t="shared" si="17"/>
        <v>466668.36830000009</v>
      </c>
      <c r="I43" s="148">
        <f t="shared" si="17"/>
        <v>28252226.029999997</v>
      </c>
    </row>
    <row r="44" spans="1:9">
      <c r="C44" s="161">
        <f>J21+C43</f>
        <v>18817376.48</v>
      </c>
      <c r="D44" s="161">
        <f>C44+D43</f>
        <v>22567220.812800001</v>
      </c>
      <c r="E44" s="161">
        <f>D44+E43</f>
        <v>25635824.469100002</v>
      </c>
      <c r="F44" s="163">
        <f t="shared" ref="F44" si="18">E44+F43</f>
        <v>27271997.586900003</v>
      </c>
      <c r="G44" s="148">
        <f t="shared" ref="G44" si="19">F44+G43</f>
        <v>27785557.661700003</v>
      </c>
      <c r="H44" s="148">
        <f t="shared" ref="H44" si="20">G44+H43</f>
        <v>28252226.030000001</v>
      </c>
      <c r="I44" s="185"/>
    </row>
  </sheetData>
  <mergeCells count="40">
    <mergeCell ref="C10:C11"/>
    <mergeCell ref="C12:C13"/>
    <mergeCell ref="C14:C15"/>
    <mergeCell ref="A33:A34"/>
    <mergeCell ref="A35:A36"/>
    <mergeCell ref="A37:A38"/>
    <mergeCell ref="A3:J3"/>
    <mergeCell ref="A4:J4"/>
    <mergeCell ref="A26:J26"/>
    <mergeCell ref="A27:J27"/>
    <mergeCell ref="A6:A7"/>
    <mergeCell ref="A8:A9"/>
    <mergeCell ref="A10:A11"/>
    <mergeCell ref="A12:A13"/>
    <mergeCell ref="A14:A15"/>
    <mergeCell ref="A16:A17"/>
    <mergeCell ref="A18:A19"/>
    <mergeCell ref="C6:C7"/>
    <mergeCell ref="C8:C9"/>
    <mergeCell ref="B6:B7"/>
    <mergeCell ref="B8:B9"/>
    <mergeCell ref="B10:B11"/>
    <mergeCell ref="B12:B13"/>
    <mergeCell ref="B14:B15"/>
    <mergeCell ref="C16:C17"/>
    <mergeCell ref="C18:C19"/>
    <mergeCell ref="C20:C21"/>
    <mergeCell ref="A39:A40"/>
    <mergeCell ref="A41:A42"/>
    <mergeCell ref="B16:B17"/>
    <mergeCell ref="B18:B19"/>
    <mergeCell ref="B29:B30"/>
    <mergeCell ref="B31:B32"/>
    <mergeCell ref="B33:B34"/>
    <mergeCell ref="B35:B36"/>
    <mergeCell ref="B37:B38"/>
    <mergeCell ref="B39:B40"/>
    <mergeCell ref="B41:B42"/>
    <mergeCell ref="A29:A30"/>
    <mergeCell ref="A31:A32"/>
  </mergeCells>
  <pageMargins left="0.511811024" right="0.511811024" top="0.78740157499999996" bottom="0.78740157499999996" header="0.31496062000000002" footer="0.31496062000000002"/>
  <pageSetup paperSize="9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8"/>
  <sheetViews>
    <sheetView view="pageBreakPreview" topLeftCell="A49" zoomScale="110" zoomScaleNormal="100" zoomScaleSheetLayoutView="110" workbookViewId="0">
      <selection activeCell="D63" sqref="D63"/>
    </sheetView>
  </sheetViews>
  <sheetFormatPr defaultColWidth="9" defaultRowHeight="14.25"/>
  <cols>
    <col min="1" max="1" width="10.625" customWidth="1"/>
    <col min="2" max="2" width="11" customWidth="1"/>
    <col min="3" max="3" width="10" customWidth="1"/>
    <col min="4" max="4" width="60" customWidth="1"/>
    <col min="5" max="5" width="15" customWidth="1"/>
    <col min="6" max="7" width="12" customWidth="1"/>
    <col min="8" max="8" width="12.875" customWidth="1"/>
    <col min="9" max="9" width="12" customWidth="1"/>
    <col min="10" max="10" width="14" customWidth="1"/>
  </cols>
  <sheetData>
    <row r="1" spans="1:10" ht="15">
      <c r="A1" s="94"/>
      <c r="B1" s="94"/>
      <c r="C1" s="284" t="s">
        <v>156</v>
      </c>
      <c r="D1" s="284"/>
      <c r="E1" s="284" t="s">
        <v>30</v>
      </c>
      <c r="F1" s="284"/>
      <c r="G1" s="284" t="s">
        <v>31</v>
      </c>
      <c r="H1" s="284"/>
      <c r="I1" s="284" t="s">
        <v>32</v>
      </c>
      <c r="J1" s="284"/>
    </row>
    <row r="2" spans="1:10" ht="36.75" customHeight="1">
      <c r="A2" s="95"/>
      <c r="B2" s="95"/>
      <c r="C2" s="257" t="s">
        <v>34</v>
      </c>
      <c r="D2" s="257"/>
      <c r="E2" s="257" t="str">
        <f>'Orçamento Módulo Mínimo'!E2:F2</f>
        <v xml:space="preserve">SINAPI - 05/2020 - Alagoas
ORSE - 03/2020 - Sergipe
</v>
      </c>
      <c r="F2" s="257"/>
      <c r="G2" s="285">
        <f>'Orçamento Módulo Mínimo'!H2</f>
        <v>0.2094</v>
      </c>
      <c r="H2" s="285"/>
      <c r="I2" s="257" t="str">
        <f>'Orçamento Módulo Mínimo'!I2</f>
        <v xml:space="preserve">Não Desonerado: 
Horista: 117,03%
</v>
      </c>
      <c r="J2" s="257"/>
    </row>
    <row r="3" spans="1:10" ht="15">
      <c r="A3" s="258" t="s">
        <v>156</v>
      </c>
      <c r="B3" s="259"/>
      <c r="C3" s="259"/>
      <c r="D3" s="259"/>
      <c r="E3" s="259"/>
      <c r="F3" s="259"/>
      <c r="G3" s="259"/>
      <c r="H3" s="259"/>
      <c r="I3" s="259"/>
      <c r="J3" s="259"/>
    </row>
    <row r="4" spans="1:10" ht="30" customHeight="1">
      <c r="A4" s="258" t="s">
        <v>157</v>
      </c>
      <c r="B4" s="259"/>
      <c r="C4" s="259"/>
      <c r="D4" s="259"/>
      <c r="E4" s="259"/>
      <c r="F4" s="259"/>
      <c r="G4" s="259"/>
      <c r="H4" s="259"/>
      <c r="I4" s="259"/>
      <c r="J4" s="259"/>
    </row>
    <row r="5" spans="1:10">
      <c r="A5" s="96">
        <v>2</v>
      </c>
      <c r="B5" s="96"/>
      <c r="C5" s="96"/>
      <c r="D5" s="96" t="s">
        <v>54</v>
      </c>
      <c r="E5" s="96"/>
      <c r="F5" s="281"/>
      <c r="G5" s="281"/>
      <c r="H5" s="97"/>
      <c r="I5" s="96"/>
      <c r="J5" s="117"/>
    </row>
    <row r="6" spans="1:10" ht="18" customHeight="1">
      <c r="A6" s="98" t="s">
        <v>55</v>
      </c>
      <c r="B6" s="99" t="s">
        <v>40</v>
      </c>
      <c r="C6" s="98" t="s">
        <v>41</v>
      </c>
      <c r="D6" s="98" t="s">
        <v>42</v>
      </c>
      <c r="E6" s="282" t="s">
        <v>158</v>
      </c>
      <c r="F6" s="282"/>
      <c r="G6" s="100" t="s">
        <v>43</v>
      </c>
      <c r="H6" s="99" t="s">
        <v>44</v>
      </c>
      <c r="I6" s="99" t="s">
        <v>159</v>
      </c>
      <c r="J6" s="99" t="s">
        <v>6</v>
      </c>
    </row>
    <row r="7" spans="1:10" ht="24" customHeight="1">
      <c r="A7" s="101" t="s">
        <v>160</v>
      </c>
      <c r="B7" s="102" t="s">
        <v>56</v>
      </c>
      <c r="C7" s="101" t="s">
        <v>52</v>
      </c>
      <c r="D7" s="101" t="s">
        <v>385</v>
      </c>
      <c r="E7" s="283" t="s">
        <v>161</v>
      </c>
      <c r="F7" s="283"/>
      <c r="G7" s="103" t="s">
        <v>12</v>
      </c>
      <c r="H7" s="104">
        <v>1</v>
      </c>
      <c r="I7" s="118"/>
      <c r="J7" s="118"/>
    </row>
    <row r="8" spans="1:10" ht="36" customHeight="1">
      <c r="A8" s="105" t="s">
        <v>162</v>
      </c>
      <c r="B8" s="106" t="s">
        <v>163</v>
      </c>
      <c r="C8" s="105" t="s">
        <v>73</v>
      </c>
      <c r="D8" s="105" t="s">
        <v>164</v>
      </c>
      <c r="E8" s="279" t="s">
        <v>165</v>
      </c>
      <c r="F8" s="279"/>
      <c r="G8" s="107" t="s">
        <v>75</v>
      </c>
      <c r="H8" s="108">
        <v>0.01</v>
      </c>
      <c r="I8" s="119">
        <v>255.31</v>
      </c>
      <c r="J8" s="119">
        <f>ROUND(H8*I8,2)</f>
        <v>2.5499999999999998</v>
      </c>
    </row>
    <row r="9" spans="1:10" ht="24" customHeight="1">
      <c r="A9" s="105" t="s">
        <v>162</v>
      </c>
      <c r="B9" s="106" t="s">
        <v>166</v>
      </c>
      <c r="C9" s="105" t="s">
        <v>73</v>
      </c>
      <c r="D9" s="105" t="s">
        <v>167</v>
      </c>
      <c r="E9" s="279" t="s">
        <v>168</v>
      </c>
      <c r="F9" s="279"/>
      <c r="G9" s="107" t="s">
        <v>169</v>
      </c>
      <c r="H9" s="108">
        <v>1</v>
      </c>
      <c r="I9" s="119">
        <v>18.18</v>
      </c>
      <c r="J9" s="119">
        <f t="shared" ref="J9:J14" si="0">ROUND(H9*I9,2)</f>
        <v>18.18</v>
      </c>
    </row>
    <row r="10" spans="1:10" ht="24" customHeight="1">
      <c r="A10" s="105" t="s">
        <v>162</v>
      </c>
      <c r="B10" s="106" t="s">
        <v>170</v>
      </c>
      <c r="C10" s="105" t="s">
        <v>73</v>
      </c>
      <c r="D10" s="105" t="s">
        <v>171</v>
      </c>
      <c r="E10" s="279" t="s">
        <v>168</v>
      </c>
      <c r="F10" s="279"/>
      <c r="G10" s="107" t="s">
        <v>169</v>
      </c>
      <c r="H10" s="108">
        <v>2</v>
      </c>
      <c r="I10" s="119">
        <v>14.3</v>
      </c>
      <c r="J10" s="119">
        <f t="shared" si="0"/>
        <v>28.6</v>
      </c>
    </row>
    <row r="11" spans="1:10" ht="24" customHeight="1">
      <c r="A11" s="105" t="s">
        <v>172</v>
      </c>
      <c r="B11" s="106">
        <v>4813</v>
      </c>
      <c r="C11" s="105" t="s">
        <v>73</v>
      </c>
      <c r="D11" s="105" t="s">
        <v>173</v>
      </c>
      <c r="E11" s="279" t="s">
        <v>174</v>
      </c>
      <c r="F11" s="279"/>
      <c r="G11" s="107" t="s">
        <v>12</v>
      </c>
      <c r="H11" s="108">
        <v>1</v>
      </c>
      <c r="I11" s="119">
        <v>300</v>
      </c>
      <c r="J11" s="119">
        <f t="shared" si="0"/>
        <v>300</v>
      </c>
    </row>
    <row r="12" spans="1:10" ht="24" customHeight="1">
      <c r="A12" s="105" t="s">
        <v>172</v>
      </c>
      <c r="B12" s="106" t="s">
        <v>175</v>
      </c>
      <c r="C12" s="105" t="s">
        <v>73</v>
      </c>
      <c r="D12" s="105" t="s">
        <v>176</v>
      </c>
      <c r="E12" s="279" t="s">
        <v>174</v>
      </c>
      <c r="F12" s="279"/>
      <c r="G12" s="107" t="s">
        <v>177</v>
      </c>
      <c r="H12" s="108">
        <v>4</v>
      </c>
      <c r="I12" s="119">
        <v>6.64</v>
      </c>
      <c r="J12" s="119">
        <f t="shared" si="0"/>
        <v>26.56</v>
      </c>
    </row>
    <row r="13" spans="1:10" ht="24" customHeight="1">
      <c r="A13" s="105" t="s">
        <v>172</v>
      </c>
      <c r="B13" s="106" t="s">
        <v>178</v>
      </c>
      <c r="C13" s="105" t="s">
        <v>73</v>
      </c>
      <c r="D13" s="105" t="s">
        <v>179</v>
      </c>
      <c r="E13" s="279" t="s">
        <v>174</v>
      </c>
      <c r="F13" s="279"/>
      <c r="G13" s="107" t="s">
        <v>180</v>
      </c>
      <c r="H13" s="108">
        <v>0.11</v>
      </c>
      <c r="I13" s="119">
        <v>12.26</v>
      </c>
      <c r="J13" s="119">
        <f t="shared" si="0"/>
        <v>1.35</v>
      </c>
    </row>
    <row r="14" spans="1:10" ht="24" customHeight="1">
      <c r="A14" s="105" t="s">
        <v>172</v>
      </c>
      <c r="B14" s="106" t="s">
        <v>181</v>
      </c>
      <c r="C14" s="105" t="s">
        <v>73</v>
      </c>
      <c r="D14" s="105" t="s">
        <v>182</v>
      </c>
      <c r="E14" s="279" t="s">
        <v>174</v>
      </c>
      <c r="F14" s="279"/>
      <c r="G14" s="107" t="s">
        <v>177</v>
      </c>
      <c r="H14" s="108">
        <v>1</v>
      </c>
      <c r="I14" s="119">
        <v>4.7300000000000004</v>
      </c>
      <c r="J14" s="119">
        <f t="shared" si="0"/>
        <v>4.7300000000000004</v>
      </c>
    </row>
    <row r="15" spans="1:10" ht="24" customHeight="1">
      <c r="A15" s="109"/>
      <c r="B15" s="110"/>
      <c r="C15" s="109"/>
      <c r="D15" s="109"/>
      <c r="E15" s="109"/>
      <c r="F15" s="109"/>
      <c r="G15" s="111"/>
      <c r="H15" s="112"/>
      <c r="I15" s="120" t="s">
        <v>183</v>
      </c>
      <c r="J15" s="120">
        <f>SUM(J8:J14)</f>
        <v>381.97</v>
      </c>
    </row>
    <row r="16" spans="1:10">
      <c r="A16" s="113"/>
      <c r="B16" s="113"/>
      <c r="C16" s="113"/>
      <c r="D16" s="113"/>
      <c r="E16" s="113"/>
      <c r="F16" s="114"/>
      <c r="G16" s="113"/>
      <c r="H16" s="114"/>
      <c r="I16" s="113" t="s">
        <v>184</v>
      </c>
      <c r="J16" s="114">
        <f>ROUND(J15*$G$2,2)</f>
        <v>79.98</v>
      </c>
    </row>
    <row r="17" spans="1:10" ht="15" customHeight="1">
      <c r="A17" s="113"/>
      <c r="B17" s="113"/>
      <c r="C17" s="113"/>
      <c r="D17" s="113"/>
      <c r="E17" s="113"/>
      <c r="F17" s="114"/>
      <c r="G17" s="113"/>
      <c r="H17" s="280" t="s">
        <v>185</v>
      </c>
      <c r="I17" s="280"/>
      <c r="J17" s="114">
        <f>SUM(J15:J16)</f>
        <v>461.95000000000005</v>
      </c>
    </row>
    <row r="18" spans="1:10" ht="17.25" customHeight="1">
      <c r="A18" s="115"/>
      <c r="B18" s="115"/>
      <c r="C18" s="115"/>
      <c r="D18" s="115"/>
      <c r="E18" s="115"/>
      <c r="F18" s="115"/>
      <c r="G18" s="115"/>
      <c r="H18" s="115"/>
      <c r="I18" s="115"/>
      <c r="J18" s="115"/>
    </row>
    <row r="19" spans="1:10" ht="18" customHeight="1">
      <c r="A19" s="98" t="s">
        <v>57</v>
      </c>
      <c r="B19" s="99" t="s">
        <v>40</v>
      </c>
      <c r="C19" s="98" t="s">
        <v>41</v>
      </c>
      <c r="D19" s="98" t="s">
        <v>42</v>
      </c>
      <c r="E19" s="282" t="s">
        <v>158</v>
      </c>
      <c r="F19" s="282"/>
      <c r="G19" s="100" t="s">
        <v>43</v>
      </c>
      <c r="H19" s="99" t="s">
        <v>44</v>
      </c>
      <c r="I19" s="99" t="s">
        <v>159</v>
      </c>
      <c r="J19" s="99" t="s">
        <v>6</v>
      </c>
    </row>
    <row r="20" spans="1:10" ht="24" customHeight="1">
      <c r="A20" s="101" t="s">
        <v>160</v>
      </c>
      <c r="B20" s="102" t="s">
        <v>58</v>
      </c>
      <c r="C20" s="101" t="s">
        <v>52</v>
      </c>
      <c r="D20" s="101" t="s">
        <v>186</v>
      </c>
      <c r="E20" s="283" t="s">
        <v>168</v>
      </c>
      <c r="F20" s="283"/>
      <c r="G20" s="103" t="s">
        <v>60</v>
      </c>
      <c r="H20" s="104">
        <v>1</v>
      </c>
      <c r="I20" s="118"/>
      <c r="J20" s="118"/>
    </row>
    <row r="21" spans="1:10" ht="60" customHeight="1">
      <c r="A21" s="105" t="s">
        <v>162</v>
      </c>
      <c r="B21" s="106" t="s">
        <v>187</v>
      </c>
      <c r="C21" s="105" t="s">
        <v>73</v>
      </c>
      <c r="D21" s="105" t="s">
        <v>188</v>
      </c>
      <c r="E21" s="279" t="s">
        <v>189</v>
      </c>
      <c r="F21" s="279"/>
      <c r="G21" s="107" t="s">
        <v>169</v>
      </c>
      <c r="H21" s="108">
        <v>4</v>
      </c>
      <c r="I21" s="119">
        <v>43.99</v>
      </c>
      <c r="J21" s="119">
        <f>ROUND(H21*I21,2)</f>
        <v>175.96</v>
      </c>
    </row>
    <row r="22" spans="1:10" ht="48" customHeight="1">
      <c r="A22" s="105" t="s">
        <v>162</v>
      </c>
      <c r="B22" s="106" t="s">
        <v>190</v>
      </c>
      <c r="C22" s="105" t="s">
        <v>73</v>
      </c>
      <c r="D22" s="105" t="s">
        <v>191</v>
      </c>
      <c r="E22" s="279" t="s">
        <v>189</v>
      </c>
      <c r="F22" s="279"/>
      <c r="G22" s="107" t="s">
        <v>192</v>
      </c>
      <c r="H22" s="108">
        <v>4</v>
      </c>
      <c r="I22" s="119">
        <v>98.51</v>
      </c>
      <c r="J22" s="119">
        <f t="shared" ref="J22:J23" si="1">ROUND(H22*I22,2)</f>
        <v>394.04</v>
      </c>
    </row>
    <row r="23" spans="1:10">
      <c r="A23" s="105" t="s">
        <v>172</v>
      </c>
      <c r="B23" s="106" t="s">
        <v>193</v>
      </c>
      <c r="C23" s="105" t="s">
        <v>88</v>
      </c>
      <c r="D23" s="105" t="s">
        <v>194</v>
      </c>
      <c r="E23" s="279" t="s">
        <v>195</v>
      </c>
      <c r="F23" s="279"/>
      <c r="G23" s="107" t="s">
        <v>196</v>
      </c>
      <c r="H23" s="108">
        <v>3</v>
      </c>
      <c r="I23" s="119">
        <v>8.33</v>
      </c>
      <c r="J23" s="119">
        <f t="shared" si="1"/>
        <v>24.99</v>
      </c>
    </row>
    <row r="24" spans="1:10" ht="24" customHeight="1">
      <c r="A24" s="109"/>
      <c r="B24" s="110"/>
      <c r="C24" s="109"/>
      <c r="D24" s="109"/>
      <c r="E24" s="109"/>
      <c r="F24" s="109"/>
      <c r="G24" s="111"/>
      <c r="H24" s="112"/>
      <c r="I24" s="120" t="s">
        <v>183</v>
      </c>
      <c r="J24" s="120">
        <f>SUM(J21:J23)</f>
        <v>594.99</v>
      </c>
    </row>
    <row r="25" spans="1:10">
      <c r="A25" s="113"/>
      <c r="B25" s="113"/>
      <c r="C25" s="113"/>
      <c r="D25" s="113"/>
      <c r="E25" s="113"/>
      <c r="F25" s="114"/>
      <c r="G25" s="113"/>
      <c r="H25" s="114"/>
      <c r="I25" s="113" t="s">
        <v>184</v>
      </c>
      <c r="J25" s="114">
        <f>ROUND(J24*$G$2,2)</f>
        <v>124.59</v>
      </c>
    </row>
    <row r="26" spans="1:10" ht="15" customHeight="1">
      <c r="A26" s="113"/>
      <c r="B26" s="113"/>
      <c r="C26" s="113"/>
      <c r="D26" s="113"/>
      <c r="E26" s="113"/>
      <c r="F26" s="114"/>
      <c r="G26" s="113"/>
      <c r="H26" s="280" t="s">
        <v>185</v>
      </c>
      <c r="I26" s="280"/>
      <c r="J26" s="114">
        <f>SUM(J24:J25)</f>
        <v>719.58</v>
      </c>
    </row>
    <row r="27" spans="1:10" ht="17.25" customHeight="1">
      <c r="A27" s="115"/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ht="18" customHeight="1">
      <c r="A28" s="98" t="s">
        <v>57</v>
      </c>
      <c r="B28" s="99" t="s">
        <v>40</v>
      </c>
      <c r="C28" s="98" t="s">
        <v>41</v>
      </c>
      <c r="D28" s="98" t="s">
        <v>42</v>
      </c>
      <c r="E28" s="282" t="s">
        <v>158</v>
      </c>
      <c r="F28" s="282"/>
      <c r="G28" s="100" t="s">
        <v>43</v>
      </c>
      <c r="H28" s="99" t="s">
        <v>44</v>
      </c>
      <c r="I28" s="99" t="s">
        <v>159</v>
      </c>
      <c r="J28" s="99" t="s">
        <v>6</v>
      </c>
    </row>
    <row r="29" spans="1:10" ht="24" customHeight="1">
      <c r="A29" s="101" t="s">
        <v>160</v>
      </c>
      <c r="B29" s="102" t="s">
        <v>62</v>
      </c>
      <c r="C29" s="101" t="s">
        <v>52</v>
      </c>
      <c r="D29" s="101" t="s">
        <v>197</v>
      </c>
      <c r="E29" s="283" t="s">
        <v>168</v>
      </c>
      <c r="F29" s="283"/>
      <c r="G29" s="103" t="s">
        <v>60</v>
      </c>
      <c r="H29" s="104">
        <v>1</v>
      </c>
      <c r="I29" s="118"/>
      <c r="J29" s="118"/>
    </row>
    <row r="30" spans="1:10" ht="60" customHeight="1">
      <c r="A30" s="105" t="s">
        <v>162</v>
      </c>
      <c r="B30" s="106" t="s">
        <v>187</v>
      </c>
      <c r="C30" s="105" t="s">
        <v>73</v>
      </c>
      <c r="D30" s="105" t="s">
        <v>188</v>
      </c>
      <c r="E30" s="279" t="s">
        <v>189</v>
      </c>
      <c r="F30" s="279"/>
      <c r="G30" s="107" t="s">
        <v>169</v>
      </c>
      <c r="H30" s="108">
        <v>4</v>
      </c>
      <c r="I30" s="119">
        <v>43.99</v>
      </c>
      <c r="J30" s="119">
        <v>175.96</v>
      </c>
    </row>
    <row r="31" spans="1:10" ht="48" customHeight="1">
      <c r="A31" s="105" t="s">
        <v>162</v>
      </c>
      <c r="B31" s="106" t="s">
        <v>190</v>
      </c>
      <c r="C31" s="105" t="s">
        <v>73</v>
      </c>
      <c r="D31" s="105" t="s">
        <v>191</v>
      </c>
      <c r="E31" s="279" t="s">
        <v>189</v>
      </c>
      <c r="F31" s="279"/>
      <c r="G31" s="107" t="s">
        <v>192</v>
      </c>
      <c r="H31" s="108">
        <v>4</v>
      </c>
      <c r="I31" s="119">
        <v>98.51</v>
      </c>
      <c r="J31" s="119">
        <f t="shared" ref="J31:J32" si="2">ROUND(H31*I31,2)</f>
        <v>394.04</v>
      </c>
    </row>
    <row r="32" spans="1:10">
      <c r="A32" s="105" t="s">
        <v>172</v>
      </c>
      <c r="B32" s="106" t="s">
        <v>193</v>
      </c>
      <c r="C32" s="105" t="s">
        <v>88</v>
      </c>
      <c r="D32" s="105" t="s">
        <v>194</v>
      </c>
      <c r="E32" s="279" t="s">
        <v>195</v>
      </c>
      <c r="F32" s="279"/>
      <c r="G32" s="107" t="s">
        <v>196</v>
      </c>
      <c r="H32" s="108">
        <v>3</v>
      </c>
      <c r="I32" s="119">
        <v>8.33</v>
      </c>
      <c r="J32" s="119">
        <f t="shared" si="2"/>
        <v>24.99</v>
      </c>
    </row>
    <row r="33" spans="1:10" ht="24" customHeight="1">
      <c r="A33" s="109"/>
      <c r="B33" s="110"/>
      <c r="C33" s="109"/>
      <c r="D33" s="109"/>
      <c r="E33" s="109"/>
      <c r="F33" s="109"/>
      <c r="G33" s="111"/>
      <c r="H33" s="112"/>
      <c r="I33" s="120" t="s">
        <v>183</v>
      </c>
      <c r="J33" s="120">
        <f>SUM(J30:J32)</f>
        <v>594.99</v>
      </c>
    </row>
    <row r="34" spans="1:10">
      <c r="A34" s="113"/>
      <c r="B34" s="113"/>
      <c r="C34" s="113"/>
      <c r="D34" s="113"/>
      <c r="E34" s="113"/>
      <c r="F34" s="114"/>
      <c r="G34" s="113"/>
      <c r="H34" s="114"/>
      <c r="I34" s="113" t="s">
        <v>184</v>
      </c>
      <c r="J34" s="114">
        <f>ROUND(J33*$G$2,2)</f>
        <v>124.59</v>
      </c>
    </row>
    <row r="35" spans="1:10" ht="15" customHeight="1">
      <c r="A35" s="113"/>
      <c r="B35" s="113"/>
      <c r="C35" s="113"/>
      <c r="D35" s="113"/>
      <c r="E35" s="113"/>
      <c r="F35" s="114"/>
      <c r="G35" s="113"/>
      <c r="H35" s="280" t="s">
        <v>185</v>
      </c>
      <c r="I35" s="280"/>
      <c r="J35" s="114">
        <f>SUM(J33:J34)</f>
        <v>719.58</v>
      </c>
    </row>
    <row r="36" spans="1:10" ht="20.25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</row>
    <row r="37" spans="1:10" ht="24" customHeight="1">
      <c r="A37" s="98" t="s">
        <v>61</v>
      </c>
      <c r="B37" s="99" t="s">
        <v>40</v>
      </c>
      <c r="C37" s="98" t="s">
        <v>41</v>
      </c>
      <c r="D37" s="98" t="s">
        <v>42</v>
      </c>
      <c r="E37" s="282" t="s">
        <v>158</v>
      </c>
      <c r="F37" s="282"/>
      <c r="G37" s="100" t="s">
        <v>43</v>
      </c>
      <c r="H37" s="99" t="s">
        <v>44</v>
      </c>
      <c r="I37" s="99" t="s">
        <v>159</v>
      </c>
      <c r="J37" s="99" t="s">
        <v>6</v>
      </c>
    </row>
    <row r="38" spans="1:10" ht="24" customHeight="1">
      <c r="A38" s="101" t="s">
        <v>160</v>
      </c>
      <c r="B38" s="102" t="s">
        <v>65</v>
      </c>
      <c r="C38" s="101" t="s">
        <v>52</v>
      </c>
      <c r="D38" s="101" t="s">
        <v>198</v>
      </c>
      <c r="E38" s="283" t="s">
        <v>161</v>
      </c>
      <c r="F38" s="283"/>
      <c r="G38" s="103" t="s">
        <v>199</v>
      </c>
      <c r="H38" s="104">
        <v>1</v>
      </c>
      <c r="I38" s="118"/>
      <c r="J38" s="118"/>
    </row>
    <row r="39" spans="1:10" ht="25.5">
      <c r="A39" s="105" t="s">
        <v>162</v>
      </c>
      <c r="B39" s="106">
        <v>100319</v>
      </c>
      <c r="C39" s="105" t="s">
        <v>73</v>
      </c>
      <c r="D39" s="105" t="s">
        <v>200</v>
      </c>
      <c r="E39" s="279" t="s">
        <v>168</v>
      </c>
      <c r="F39" s="279"/>
      <c r="G39" s="107" t="s">
        <v>201</v>
      </c>
      <c r="H39" s="108">
        <v>0.1333</v>
      </c>
      <c r="I39" s="119">
        <v>15694.14</v>
      </c>
      <c r="J39" s="119">
        <f>ROUND(H39*I39,2)</f>
        <v>2092.0300000000002</v>
      </c>
    </row>
    <row r="40" spans="1:10" ht="15" customHeight="1">
      <c r="A40" s="105" t="s">
        <v>162</v>
      </c>
      <c r="B40" s="106">
        <v>93572</v>
      </c>
      <c r="C40" s="105" t="s">
        <v>73</v>
      </c>
      <c r="D40" s="105" t="s">
        <v>202</v>
      </c>
      <c r="E40" s="279" t="s">
        <v>168</v>
      </c>
      <c r="F40" s="279"/>
      <c r="G40" s="107" t="s">
        <v>201</v>
      </c>
      <c r="H40" s="108">
        <v>0.5</v>
      </c>
      <c r="I40" s="119">
        <v>3995.98</v>
      </c>
      <c r="J40" s="119">
        <f t="shared" ref="J40:J44" si="3">ROUND(H40*I40,2)</f>
        <v>1997.99</v>
      </c>
    </row>
    <row r="41" spans="1:10" ht="27.75" customHeight="1">
      <c r="A41" s="105" t="s">
        <v>203</v>
      </c>
      <c r="B41" s="106">
        <v>10775</v>
      </c>
      <c r="C41" s="105" t="s">
        <v>73</v>
      </c>
      <c r="D41" s="105" t="s">
        <v>204</v>
      </c>
      <c r="E41" s="279" t="s">
        <v>205</v>
      </c>
      <c r="F41" s="279"/>
      <c r="G41" s="107" t="s">
        <v>201</v>
      </c>
      <c r="H41" s="108">
        <v>1</v>
      </c>
      <c r="I41" s="119">
        <v>522</v>
      </c>
      <c r="J41" s="119">
        <f t="shared" si="3"/>
        <v>522</v>
      </c>
    </row>
    <row r="42" spans="1:10" ht="18" customHeight="1">
      <c r="A42" s="105" t="s">
        <v>172</v>
      </c>
      <c r="B42" s="106" t="s">
        <v>206</v>
      </c>
      <c r="C42" s="105" t="s">
        <v>52</v>
      </c>
      <c r="D42" s="116" t="s">
        <v>207</v>
      </c>
      <c r="E42" s="279" t="s">
        <v>208</v>
      </c>
      <c r="F42" s="279"/>
      <c r="G42" s="107" t="s">
        <v>201</v>
      </c>
      <c r="H42" s="108">
        <v>0.5</v>
      </c>
      <c r="I42" s="119">
        <v>3148.81</v>
      </c>
      <c r="J42" s="119">
        <f t="shared" si="3"/>
        <v>1574.41</v>
      </c>
    </row>
    <row r="43" spans="1:10" ht="25.5">
      <c r="A43" s="105" t="s">
        <v>172</v>
      </c>
      <c r="B43" s="106" t="s">
        <v>209</v>
      </c>
      <c r="C43" s="105" t="s">
        <v>73</v>
      </c>
      <c r="D43" s="105" t="s">
        <v>210</v>
      </c>
      <c r="E43" s="279" t="s">
        <v>174</v>
      </c>
      <c r="F43" s="279"/>
      <c r="G43" s="107" t="s">
        <v>211</v>
      </c>
      <c r="H43" s="108">
        <v>100</v>
      </c>
      <c r="I43" s="119">
        <v>0.8</v>
      </c>
      <c r="J43" s="119">
        <f t="shared" si="3"/>
        <v>80</v>
      </c>
    </row>
    <row r="44" spans="1:10">
      <c r="A44" s="105" t="s">
        <v>172</v>
      </c>
      <c r="B44" s="106" t="s">
        <v>212</v>
      </c>
      <c r="C44" s="105" t="s">
        <v>73</v>
      </c>
      <c r="D44" s="105" t="s">
        <v>213</v>
      </c>
      <c r="E44" s="279" t="s">
        <v>174</v>
      </c>
      <c r="F44" s="279"/>
      <c r="G44" s="107" t="s">
        <v>75</v>
      </c>
      <c r="H44" s="108">
        <v>10</v>
      </c>
      <c r="I44" s="119">
        <v>15.13</v>
      </c>
      <c r="J44" s="119">
        <f t="shared" si="3"/>
        <v>151.30000000000001</v>
      </c>
    </row>
    <row r="45" spans="1:10" ht="24" customHeight="1">
      <c r="A45" s="109"/>
      <c r="B45" s="110"/>
      <c r="C45" s="109"/>
      <c r="D45" s="109"/>
      <c r="E45" s="109"/>
      <c r="F45" s="109"/>
      <c r="G45" s="111"/>
      <c r="H45" s="112"/>
      <c r="I45" s="120" t="s">
        <v>183</v>
      </c>
      <c r="J45" s="120">
        <f>SUM(J39:J44)</f>
        <v>6417.7300000000005</v>
      </c>
    </row>
    <row r="46" spans="1:10">
      <c r="A46" s="113"/>
      <c r="B46" s="113"/>
      <c r="C46" s="113"/>
      <c r="D46" s="113"/>
      <c r="E46" s="113"/>
      <c r="F46" s="114"/>
      <c r="G46" s="113"/>
      <c r="H46" s="114"/>
      <c r="I46" s="113" t="s">
        <v>184</v>
      </c>
      <c r="J46" s="114">
        <f>ROUND(J45*$G$2,2)</f>
        <v>1343.87</v>
      </c>
    </row>
    <row r="47" spans="1:10" ht="15" customHeight="1">
      <c r="A47" s="113"/>
      <c r="B47" s="113"/>
      <c r="C47" s="113"/>
      <c r="D47" s="113"/>
      <c r="E47" s="113"/>
      <c r="F47" s="114"/>
      <c r="G47" s="113"/>
      <c r="H47" s="280" t="s">
        <v>185</v>
      </c>
      <c r="I47" s="280"/>
      <c r="J47" s="114">
        <f>SUM(J45:J46)</f>
        <v>7761.6</v>
      </c>
    </row>
    <row r="48" spans="1:10">
      <c r="A48" s="115"/>
      <c r="B48" s="115"/>
      <c r="C48" s="115"/>
      <c r="D48" s="115"/>
      <c r="E48" s="115"/>
      <c r="F48" s="115"/>
      <c r="G48" s="115"/>
      <c r="H48" s="115"/>
      <c r="I48" s="115"/>
      <c r="J48" s="115"/>
    </row>
    <row r="49" spans="1:10">
      <c r="A49" s="96">
        <v>3</v>
      </c>
      <c r="B49" s="96"/>
      <c r="C49" s="96"/>
      <c r="D49" s="96" t="s">
        <v>67</v>
      </c>
      <c r="E49" s="96"/>
      <c r="F49" s="281"/>
      <c r="G49" s="281"/>
      <c r="H49" s="97"/>
      <c r="I49" s="96"/>
      <c r="J49" s="117"/>
    </row>
    <row r="50" spans="1:10" ht="15">
      <c r="A50" s="98" t="s">
        <v>68</v>
      </c>
      <c r="B50" s="99" t="s">
        <v>40</v>
      </c>
      <c r="C50" s="98" t="s">
        <v>41</v>
      </c>
      <c r="D50" s="98" t="s">
        <v>42</v>
      </c>
      <c r="E50" s="282" t="s">
        <v>158</v>
      </c>
      <c r="F50" s="282"/>
      <c r="G50" s="100" t="s">
        <v>43</v>
      </c>
      <c r="H50" s="99" t="s">
        <v>44</v>
      </c>
      <c r="I50" s="99" t="s">
        <v>159</v>
      </c>
      <c r="J50" s="99" t="s">
        <v>6</v>
      </c>
    </row>
    <row r="51" spans="1:10" ht="25.5">
      <c r="A51" s="101" t="s">
        <v>160</v>
      </c>
      <c r="B51" s="102" t="s">
        <v>69</v>
      </c>
      <c r="C51" s="101" t="s">
        <v>52</v>
      </c>
      <c r="D51" s="101" t="s">
        <v>70</v>
      </c>
      <c r="E51" s="283" t="s">
        <v>214</v>
      </c>
      <c r="F51" s="283"/>
      <c r="G51" s="103" t="s">
        <v>12</v>
      </c>
      <c r="H51" s="104">
        <v>1</v>
      </c>
      <c r="I51" s="118"/>
      <c r="J51" s="118"/>
    </row>
    <row r="52" spans="1:10" ht="25.5">
      <c r="A52" s="105" t="s">
        <v>162</v>
      </c>
      <c r="B52" s="106" t="s">
        <v>215</v>
      </c>
      <c r="C52" s="105" t="s">
        <v>73</v>
      </c>
      <c r="D52" s="105" t="s">
        <v>216</v>
      </c>
      <c r="E52" s="279" t="s">
        <v>189</v>
      </c>
      <c r="F52" s="279"/>
      <c r="G52" s="107" t="s">
        <v>192</v>
      </c>
      <c r="H52" s="108">
        <v>1E-3</v>
      </c>
      <c r="I52" s="119">
        <v>48.56</v>
      </c>
      <c r="J52" s="119">
        <f>ROUND(H52*I52,2)</f>
        <v>0.05</v>
      </c>
    </row>
    <row r="53" spans="1:10" ht="19.5" customHeight="1">
      <c r="A53" s="105" t="s">
        <v>162</v>
      </c>
      <c r="B53" s="106">
        <v>88253</v>
      </c>
      <c r="C53" s="105" t="s">
        <v>73</v>
      </c>
      <c r="D53" s="105" t="s">
        <v>217</v>
      </c>
      <c r="E53" s="279" t="s">
        <v>168</v>
      </c>
      <c r="F53" s="279"/>
      <c r="G53" s="107" t="s">
        <v>169</v>
      </c>
      <c r="H53" s="108">
        <v>2.5000000000000001E-3</v>
      </c>
      <c r="I53" s="119">
        <v>14.84</v>
      </c>
      <c r="J53" s="119">
        <f t="shared" ref="J53:J57" si="4">ROUND(H53*I53,2)</f>
        <v>0.04</v>
      </c>
    </row>
    <row r="54" spans="1:10" ht="18" customHeight="1">
      <c r="A54" s="105" t="s">
        <v>162</v>
      </c>
      <c r="B54" s="106" t="s">
        <v>218</v>
      </c>
      <c r="C54" s="105" t="s">
        <v>73</v>
      </c>
      <c r="D54" s="105" t="s">
        <v>219</v>
      </c>
      <c r="E54" s="279" t="s">
        <v>168</v>
      </c>
      <c r="F54" s="279"/>
      <c r="G54" s="107" t="s">
        <v>169</v>
      </c>
      <c r="H54" s="108">
        <v>2.5000000000000001E-3</v>
      </c>
      <c r="I54" s="119">
        <v>17.899999999999999</v>
      </c>
      <c r="J54" s="119">
        <f t="shared" si="4"/>
        <v>0.04</v>
      </c>
    </row>
    <row r="55" spans="1:10" ht="24" customHeight="1">
      <c r="A55" s="105" t="s">
        <v>162</v>
      </c>
      <c r="B55" s="106" t="s">
        <v>170</v>
      </c>
      <c r="C55" s="105" t="s">
        <v>73</v>
      </c>
      <c r="D55" s="105" t="s">
        <v>171</v>
      </c>
      <c r="E55" s="279" t="s">
        <v>168</v>
      </c>
      <c r="F55" s="279"/>
      <c r="G55" s="107" t="s">
        <v>169</v>
      </c>
      <c r="H55" s="108">
        <v>7.4999999999999997E-3</v>
      </c>
      <c r="I55" s="119">
        <v>14.3</v>
      </c>
      <c r="J55" s="119">
        <f t="shared" si="4"/>
        <v>0.11</v>
      </c>
    </row>
    <row r="56" spans="1:10" ht="36" customHeight="1">
      <c r="A56" s="105" t="s">
        <v>162</v>
      </c>
      <c r="B56" s="106" t="s">
        <v>220</v>
      </c>
      <c r="C56" s="105" t="s">
        <v>73</v>
      </c>
      <c r="D56" s="105" t="s">
        <v>221</v>
      </c>
      <c r="E56" s="279" t="s">
        <v>168</v>
      </c>
      <c r="F56" s="279"/>
      <c r="G56" s="107" t="s">
        <v>169</v>
      </c>
      <c r="H56" s="108">
        <v>2E-3</v>
      </c>
      <c r="I56" s="119">
        <v>39.67</v>
      </c>
      <c r="J56" s="119">
        <f t="shared" si="4"/>
        <v>0.08</v>
      </c>
    </row>
    <row r="57" spans="1:10" ht="25.5">
      <c r="A57" s="105" t="s">
        <v>172</v>
      </c>
      <c r="B57" s="106" t="s">
        <v>222</v>
      </c>
      <c r="C57" s="105" t="s">
        <v>73</v>
      </c>
      <c r="D57" s="105" t="s">
        <v>223</v>
      </c>
      <c r="E57" s="279" t="s">
        <v>174</v>
      </c>
      <c r="F57" s="279"/>
      <c r="G57" s="107" t="s">
        <v>177</v>
      </c>
      <c r="H57" s="108">
        <v>2.8860000000000001E-3</v>
      </c>
      <c r="I57" s="119">
        <v>12.31</v>
      </c>
      <c r="J57" s="119">
        <f t="shared" si="4"/>
        <v>0.04</v>
      </c>
    </row>
    <row r="58" spans="1:10" ht="24" customHeight="1">
      <c r="A58" s="109"/>
      <c r="B58" s="110"/>
      <c r="C58" s="109"/>
      <c r="D58" s="109"/>
      <c r="E58" s="109"/>
      <c r="F58" s="109"/>
      <c r="G58" s="111"/>
      <c r="H58" s="112"/>
      <c r="I58" s="120" t="s">
        <v>183</v>
      </c>
      <c r="J58" s="120">
        <f>SUM(J52:J57)</f>
        <v>0.36</v>
      </c>
    </row>
    <row r="59" spans="1:10">
      <c r="A59" s="113"/>
      <c r="B59" s="113"/>
      <c r="C59" s="113"/>
      <c r="D59" s="113"/>
      <c r="E59" s="113"/>
      <c r="F59" s="114"/>
      <c r="G59" s="113"/>
      <c r="H59" s="114"/>
      <c r="I59" s="113" t="s">
        <v>184</v>
      </c>
      <c r="J59" s="114">
        <f>ROUND(J58*$G$2,2)</f>
        <v>0.08</v>
      </c>
    </row>
    <row r="60" spans="1:10" ht="15" customHeight="1">
      <c r="A60" s="113"/>
      <c r="B60" s="113"/>
      <c r="C60" s="113"/>
      <c r="D60" s="113"/>
      <c r="E60" s="113"/>
      <c r="F60" s="114"/>
      <c r="G60" s="113"/>
      <c r="H60" s="280" t="s">
        <v>185</v>
      </c>
      <c r="I60" s="280"/>
      <c r="J60" s="114">
        <f>SUM(J58:J59)</f>
        <v>0.44</v>
      </c>
    </row>
    <row r="61" spans="1:10" ht="18" customHeight="1">
      <c r="A61" s="98" t="s">
        <v>96</v>
      </c>
      <c r="B61" s="99" t="s">
        <v>40</v>
      </c>
      <c r="C61" s="98" t="s">
        <v>41</v>
      </c>
      <c r="D61" s="98" t="s">
        <v>42</v>
      </c>
      <c r="E61" s="282" t="s">
        <v>158</v>
      </c>
      <c r="F61" s="282"/>
      <c r="G61" s="100" t="s">
        <v>43</v>
      </c>
      <c r="H61" s="99" t="s">
        <v>44</v>
      </c>
      <c r="I61" s="99" t="s">
        <v>159</v>
      </c>
      <c r="J61" s="99" t="s">
        <v>6</v>
      </c>
    </row>
    <row r="62" spans="1:10" ht="26.25" customHeight="1">
      <c r="A62" s="101" t="s">
        <v>160</v>
      </c>
      <c r="B62" s="102" t="s">
        <v>94</v>
      </c>
      <c r="C62" s="101" t="s">
        <v>52</v>
      </c>
      <c r="D62" s="101" t="s">
        <v>224</v>
      </c>
      <c r="E62" s="283" t="s">
        <v>225</v>
      </c>
      <c r="F62" s="283"/>
      <c r="G62" s="103" t="s">
        <v>12</v>
      </c>
      <c r="H62" s="104">
        <v>1</v>
      </c>
      <c r="I62" s="118"/>
      <c r="J62" s="118"/>
    </row>
    <row r="63" spans="1:10" ht="24" customHeight="1">
      <c r="A63" s="105" t="s">
        <v>162</v>
      </c>
      <c r="B63" s="106" t="s">
        <v>226</v>
      </c>
      <c r="C63" s="105" t="s">
        <v>73</v>
      </c>
      <c r="D63" s="105" t="s">
        <v>227</v>
      </c>
      <c r="E63" s="279" t="s">
        <v>168</v>
      </c>
      <c r="F63" s="279"/>
      <c r="G63" s="107" t="s">
        <v>169</v>
      </c>
      <c r="H63" s="108">
        <v>0.4</v>
      </c>
      <c r="I63" s="119">
        <v>18.7</v>
      </c>
      <c r="J63" s="119">
        <f>ROUND(H63*I63,2)</f>
        <v>7.48</v>
      </c>
    </row>
    <row r="64" spans="1:10" ht="24" customHeight="1">
      <c r="A64" s="105" t="s">
        <v>162</v>
      </c>
      <c r="B64" s="106" t="s">
        <v>170</v>
      </c>
      <c r="C64" s="105" t="s">
        <v>73</v>
      </c>
      <c r="D64" s="105" t="s">
        <v>171</v>
      </c>
      <c r="E64" s="279" t="s">
        <v>168</v>
      </c>
      <c r="F64" s="279"/>
      <c r="G64" s="107" t="s">
        <v>169</v>
      </c>
      <c r="H64" s="108">
        <v>0.91</v>
      </c>
      <c r="I64" s="119">
        <v>14.3</v>
      </c>
      <c r="J64" s="119">
        <f t="shared" ref="J64:J68" si="5">ROUND(H64*I64,2)</f>
        <v>13.01</v>
      </c>
    </row>
    <row r="65" spans="1:10">
      <c r="A65" s="105" t="s">
        <v>172</v>
      </c>
      <c r="B65" s="106"/>
      <c r="C65" s="228" t="s">
        <v>230</v>
      </c>
      <c r="D65" s="105" t="s">
        <v>386</v>
      </c>
      <c r="E65" s="279" t="s">
        <v>174</v>
      </c>
      <c r="F65" s="279"/>
      <c r="G65" s="107" t="s">
        <v>75</v>
      </c>
      <c r="H65" s="108">
        <v>2.3E-2</v>
      </c>
      <c r="I65" s="119">
        <v>62.5</v>
      </c>
      <c r="J65" s="119">
        <f t="shared" si="5"/>
        <v>1.44</v>
      </c>
    </row>
    <row r="66" spans="1:10">
      <c r="A66" s="105" t="s">
        <v>172</v>
      </c>
      <c r="B66" s="106"/>
      <c r="C66" s="228" t="s">
        <v>230</v>
      </c>
      <c r="D66" s="105" t="s">
        <v>387</v>
      </c>
      <c r="E66" s="279" t="s">
        <v>174</v>
      </c>
      <c r="F66" s="279"/>
      <c r="G66" s="107" t="s">
        <v>75</v>
      </c>
      <c r="H66" s="108">
        <v>0.1</v>
      </c>
      <c r="I66" s="119">
        <v>65</v>
      </c>
      <c r="J66" s="119">
        <f t="shared" si="5"/>
        <v>6.5</v>
      </c>
    </row>
    <row r="67" spans="1:10" ht="15" customHeight="1">
      <c r="A67" s="105" t="s">
        <v>172</v>
      </c>
      <c r="B67" s="106" t="s">
        <v>228</v>
      </c>
      <c r="C67" s="105" t="s">
        <v>73</v>
      </c>
      <c r="D67" s="105" t="s">
        <v>229</v>
      </c>
      <c r="E67" s="279" t="s">
        <v>174</v>
      </c>
      <c r="F67" s="279"/>
      <c r="G67" s="107" t="s">
        <v>180</v>
      </c>
      <c r="H67" s="108">
        <v>9.11</v>
      </c>
      <c r="I67" s="119">
        <v>0.48</v>
      </c>
      <c r="J67" s="119">
        <f t="shared" si="5"/>
        <v>4.37</v>
      </c>
    </row>
    <row r="68" spans="1:10" ht="13.5" customHeight="1">
      <c r="A68" s="105" t="s">
        <v>172</v>
      </c>
      <c r="B68" s="106"/>
      <c r="C68" s="105" t="s">
        <v>230</v>
      </c>
      <c r="D68" s="105" t="s">
        <v>231</v>
      </c>
      <c r="E68" s="279" t="s">
        <v>174</v>
      </c>
      <c r="F68" s="279"/>
      <c r="G68" s="107" t="s">
        <v>232</v>
      </c>
      <c r="H68" s="108">
        <v>3.5000000000000003E-2</v>
      </c>
      <c r="I68" s="119">
        <f>Cotações!G12+130</f>
        <v>750</v>
      </c>
      <c r="J68" s="119">
        <f t="shared" si="5"/>
        <v>26.25</v>
      </c>
    </row>
    <row r="69" spans="1:10" ht="24" customHeight="1">
      <c r="A69" s="109"/>
      <c r="B69" s="110"/>
      <c r="C69" s="109"/>
      <c r="D69" s="109"/>
      <c r="E69" s="109"/>
      <c r="F69" s="109"/>
      <c r="G69" s="111"/>
      <c r="H69" s="112"/>
      <c r="I69" s="120" t="s">
        <v>183</v>
      </c>
      <c r="J69" s="120">
        <f>SUM(J63:J68)</f>
        <v>59.050000000000004</v>
      </c>
    </row>
    <row r="70" spans="1:10">
      <c r="A70" s="113"/>
      <c r="B70" s="113"/>
      <c r="C70" s="113"/>
      <c r="D70" s="113"/>
      <c r="E70" s="113"/>
      <c r="F70" s="114"/>
      <c r="G70" s="113"/>
      <c r="H70" s="114"/>
      <c r="I70" s="113" t="s">
        <v>184</v>
      </c>
      <c r="J70" s="114">
        <f>ROUND(J69*$G$2,2)</f>
        <v>12.37</v>
      </c>
    </row>
    <row r="71" spans="1:10" ht="15" customHeight="1">
      <c r="A71" s="113"/>
      <c r="B71" s="113"/>
      <c r="C71" s="113"/>
      <c r="D71" s="113"/>
      <c r="E71" s="113"/>
      <c r="F71" s="114"/>
      <c r="G71" s="113"/>
      <c r="H71" s="280" t="s">
        <v>185</v>
      </c>
      <c r="I71" s="280"/>
      <c r="J71" s="114">
        <f>SUM(J69:J70)</f>
        <v>71.42</v>
      </c>
    </row>
    <row r="72" spans="1:10">
      <c r="A72" s="115"/>
      <c r="B72" s="115"/>
      <c r="C72" s="115"/>
      <c r="D72" s="115"/>
      <c r="E72" s="115"/>
      <c r="F72" s="115"/>
      <c r="G72" s="115"/>
      <c r="H72" s="115"/>
      <c r="I72" s="115"/>
      <c r="J72" s="115"/>
    </row>
    <row r="73" spans="1:10" ht="18" customHeight="1">
      <c r="A73" s="96">
        <v>5</v>
      </c>
      <c r="B73" s="96"/>
      <c r="C73" s="96"/>
      <c r="D73" s="96" t="s">
        <v>102</v>
      </c>
      <c r="E73" s="96"/>
      <c r="F73" s="281"/>
      <c r="G73" s="281"/>
      <c r="H73" s="97"/>
      <c r="I73" s="96"/>
      <c r="J73" s="117"/>
    </row>
    <row r="74" spans="1:10" ht="15">
      <c r="A74" s="98" t="s">
        <v>103</v>
      </c>
      <c r="B74" s="99" t="s">
        <v>40</v>
      </c>
      <c r="C74" s="98" t="s">
        <v>41</v>
      </c>
      <c r="D74" s="98" t="s">
        <v>42</v>
      </c>
      <c r="E74" s="282" t="s">
        <v>158</v>
      </c>
      <c r="F74" s="282"/>
      <c r="G74" s="100" t="s">
        <v>43</v>
      </c>
      <c r="H74" s="99" t="s">
        <v>44</v>
      </c>
      <c r="I74" s="99" t="s">
        <v>159</v>
      </c>
      <c r="J74" s="99" t="s">
        <v>6</v>
      </c>
    </row>
    <row r="75" spans="1:10" ht="25.5">
      <c r="A75" s="101" t="s">
        <v>160</v>
      </c>
      <c r="B75" s="102" t="s">
        <v>104</v>
      </c>
      <c r="C75" s="101" t="s">
        <v>52</v>
      </c>
      <c r="D75" s="101" t="s">
        <v>233</v>
      </c>
      <c r="E75" s="283" t="s">
        <v>234</v>
      </c>
      <c r="F75" s="283"/>
      <c r="G75" s="103" t="s">
        <v>26</v>
      </c>
      <c r="H75" s="104">
        <v>1</v>
      </c>
      <c r="I75" s="118"/>
      <c r="J75" s="118"/>
    </row>
    <row r="76" spans="1:10" ht="18" customHeight="1">
      <c r="A76" s="105" t="s">
        <v>162</v>
      </c>
      <c r="B76" s="106" t="s">
        <v>235</v>
      </c>
      <c r="C76" s="105" t="s">
        <v>88</v>
      </c>
      <c r="D76" s="105" t="s">
        <v>236</v>
      </c>
      <c r="E76" s="279" t="s">
        <v>234</v>
      </c>
      <c r="F76" s="279"/>
      <c r="G76" s="107" t="s">
        <v>26</v>
      </c>
      <c r="H76" s="108">
        <v>0.14299999999999999</v>
      </c>
      <c r="I76" s="119">
        <v>3.04</v>
      </c>
      <c r="J76" s="119">
        <f>ROUND(H76*I76,2)</f>
        <v>0.43</v>
      </c>
    </row>
    <row r="77" spans="1:10" ht="18" customHeight="1">
      <c r="A77" s="105" t="s">
        <v>162</v>
      </c>
      <c r="B77" s="106" t="s">
        <v>170</v>
      </c>
      <c r="C77" s="105" t="s">
        <v>73</v>
      </c>
      <c r="D77" s="105" t="s">
        <v>171</v>
      </c>
      <c r="E77" s="279" t="s">
        <v>168</v>
      </c>
      <c r="F77" s="279"/>
      <c r="G77" s="107" t="s">
        <v>169</v>
      </c>
      <c r="H77" s="108">
        <v>2.8000000000000001E-2</v>
      </c>
      <c r="I77" s="119">
        <v>14.3</v>
      </c>
      <c r="J77" s="119">
        <f t="shared" ref="J77:J82" si="6">ROUND(H77*I77,2)</f>
        <v>0.4</v>
      </c>
    </row>
    <row r="78" spans="1:10" ht="24" customHeight="1">
      <c r="A78" s="105" t="s">
        <v>162</v>
      </c>
      <c r="B78" s="106" t="s">
        <v>237</v>
      </c>
      <c r="C78" s="105" t="s">
        <v>73</v>
      </c>
      <c r="D78" s="105" t="s">
        <v>238</v>
      </c>
      <c r="E78" s="279" t="s">
        <v>168</v>
      </c>
      <c r="F78" s="279"/>
      <c r="G78" s="107" t="s">
        <v>169</v>
      </c>
      <c r="H78" s="108">
        <v>1.4E-2</v>
      </c>
      <c r="I78" s="119">
        <v>22.3</v>
      </c>
      <c r="J78" s="119">
        <f t="shared" si="6"/>
        <v>0.31</v>
      </c>
    </row>
    <row r="79" spans="1:10" ht="24" customHeight="1">
      <c r="A79" s="105" t="s">
        <v>172</v>
      </c>
      <c r="B79" s="106" t="s">
        <v>239</v>
      </c>
      <c r="C79" s="105" t="s">
        <v>88</v>
      </c>
      <c r="D79" s="105" t="s">
        <v>240</v>
      </c>
      <c r="E79" s="279" t="s">
        <v>174</v>
      </c>
      <c r="F79" s="279"/>
      <c r="G79" s="107" t="s">
        <v>241</v>
      </c>
      <c r="H79" s="108">
        <v>7.0999999999999994E-2</v>
      </c>
      <c r="I79" s="119">
        <v>1.75</v>
      </c>
      <c r="J79" s="119">
        <f t="shared" si="6"/>
        <v>0.12</v>
      </c>
    </row>
    <row r="80" spans="1:10" ht="24" customHeight="1">
      <c r="A80" s="105" t="s">
        <v>172</v>
      </c>
      <c r="B80" s="106" t="s">
        <v>242</v>
      </c>
      <c r="C80" s="105" t="s">
        <v>88</v>
      </c>
      <c r="D80" s="105" t="s">
        <v>243</v>
      </c>
      <c r="E80" s="279" t="s">
        <v>174</v>
      </c>
      <c r="F80" s="279"/>
      <c r="G80" s="107" t="s">
        <v>241</v>
      </c>
      <c r="H80" s="108">
        <v>7.0999999999999994E-2</v>
      </c>
      <c r="I80" s="119">
        <v>7.6</v>
      </c>
      <c r="J80" s="119">
        <f t="shared" si="6"/>
        <v>0.54</v>
      </c>
    </row>
    <row r="81" spans="1:10" ht="26.25" customHeight="1">
      <c r="A81" s="105" t="s">
        <v>172</v>
      </c>
      <c r="B81" s="106" t="s">
        <v>244</v>
      </c>
      <c r="C81" s="105" t="s">
        <v>73</v>
      </c>
      <c r="D81" s="105" t="s">
        <v>245</v>
      </c>
      <c r="E81" s="279" t="s">
        <v>174</v>
      </c>
      <c r="F81" s="279"/>
      <c r="G81" s="107" t="s">
        <v>177</v>
      </c>
      <c r="H81" s="108">
        <v>0.314</v>
      </c>
      <c r="I81" s="119">
        <v>1.3</v>
      </c>
      <c r="J81" s="119">
        <f t="shared" si="6"/>
        <v>0.41</v>
      </c>
    </row>
    <row r="82" spans="1:10" ht="24" customHeight="1">
      <c r="A82" s="105" t="s">
        <v>172</v>
      </c>
      <c r="B82" s="106">
        <v>4815</v>
      </c>
      <c r="C82" s="105" t="s">
        <v>73</v>
      </c>
      <c r="D82" s="105" t="s">
        <v>246</v>
      </c>
      <c r="E82" s="279" t="s">
        <v>174</v>
      </c>
      <c r="F82" s="279"/>
      <c r="G82" s="107" t="s">
        <v>247</v>
      </c>
      <c r="H82" s="108">
        <v>3.5999999999999997E-2</v>
      </c>
      <c r="I82" s="119">
        <v>5.01</v>
      </c>
      <c r="J82" s="119">
        <f t="shared" si="6"/>
        <v>0.18</v>
      </c>
    </row>
    <row r="83" spans="1:10" ht="24" customHeight="1">
      <c r="A83" s="109"/>
      <c r="B83" s="110"/>
      <c r="C83" s="109"/>
      <c r="D83" s="109"/>
      <c r="E83" s="109"/>
      <c r="F83" s="109"/>
      <c r="G83" s="111"/>
      <c r="H83" s="112"/>
      <c r="I83" s="120" t="s">
        <v>183</v>
      </c>
      <c r="J83" s="120">
        <f>SUM(J76:J82)</f>
        <v>2.3900000000000006</v>
      </c>
    </row>
    <row r="84" spans="1:10">
      <c r="A84" s="113"/>
      <c r="B84" s="113"/>
      <c r="C84" s="113"/>
      <c r="D84" s="113"/>
      <c r="E84" s="113"/>
      <c r="F84" s="114"/>
      <c r="G84" s="113"/>
      <c r="H84" s="114"/>
      <c r="I84" s="113" t="s">
        <v>184</v>
      </c>
      <c r="J84" s="114">
        <f>ROUND(J83*$G$2,2)</f>
        <v>0.5</v>
      </c>
    </row>
    <row r="85" spans="1:10" ht="15" customHeight="1">
      <c r="A85" s="113"/>
      <c r="B85" s="113"/>
      <c r="C85" s="113"/>
      <c r="D85" s="113"/>
      <c r="E85" s="113"/>
      <c r="F85" s="114"/>
      <c r="G85" s="113"/>
      <c r="H85" s="280" t="s">
        <v>185</v>
      </c>
      <c r="I85" s="280"/>
      <c r="J85" s="114">
        <f>SUM(J83:J84)</f>
        <v>2.8900000000000006</v>
      </c>
    </row>
    <row r="86" spans="1:10">
      <c r="A86" s="115"/>
      <c r="B86" s="115"/>
      <c r="C86" s="115"/>
      <c r="D86" s="115"/>
      <c r="E86" s="115"/>
      <c r="F86" s="115"/>
      <c r="G86" s="115"/>
      <c r="H86" s="115"/>
      <c r="I86" s="115"/>
      <c r="J86" s="115"/>
    </row>
    <row r="87" spans="1:10">
      <c r="A87" s="96">
        <v>6</v>
      </c>
      <c r="B87" s="96"/>
      <c r="C87" s="96"/>
      <c r="D87" s="96" t="s">
        <v>107</v>
      </c>
      <c r="E87" s="96"/>
      <c r="F87" s="281"/>
      <c r="G87" s="281"/>
      <c r="H87" s="97"/>
      <c r="I87" s="96"/>
      <c r="J87" s="117"/>
    </row>
    <row r="88" spans="1:10" ht="17.25" customHeight="1">
      <c r="A88" s="98" t="s">
        <v>108</v>
      </c>
      <c r="B88" s="99" t="s">
        <v>40</v>
      </c>
      <c r="C88" s="98" t="s">
        <v>41</v>
      </c>
      <c r="D88" s="98" t="s">
        <v>42</v>
      </c>
      <c r="E88" s="282" t="s">
        <v>158</v>
      </c>
      <c r="F88" s="282"/>
      <c r="G88" s="100" t="s">
        <v>43</v>
      </c>
      <c r="H88" s="99" t="s">
        <v>44</v>
      </c>
      <c r="I88" s="99" t="s">
        <v>159</v>
      </c>
      <c r="J88" s="99" t="s">
        <v>6</v>
      </c>
    </row>
    <row r="89" spans="1:10">
      <c r="A89" s="101" t="s">
        <v>160</v>
      </c>
      <c r="B89" s="102" t="s">
        <v>109</v>
      </c>
      <c r="C89" s="101" t="s">
        <v>52</v>
      </c>
      <c r="D89" s="101" t="s">
        <v>248</v>
      </c>
      <c r="E89" s="283"/>
      <c r="F89" s="283"/>
      <c r="G89" s="103" t="s">
        <v>249</v>
      </c>
      <c r="H89" s="121">
        <v>1</v>
      </c>
      <c r="I89" s="118"/>
      <c r="J89" s="118"/>
    </row>
    <row r="90" spans="1:10" ht="24" customHeight="1">
      <c r="A90" s="105" t="s">
        <v>162</v>
      </c>
      <c r="B90" s="106" t="s">
        <v>170</v>
      </c>
      <c r="C90" s="105" t="s">
        <v>73</v>
      </c>
      <c r="D90" s="105" t="s">
        <v>171</v>
      </c>
      <c r="E90" s="279" t="s">
        <v>168</v>
      </c>
      <c r="F90" s="279"/>
      <c r="G90" s="107" t="s">
        <v>169</v>
      </c>
      <c r="H90" s="122">
        <v>2.7799999999999998E-2</v>
      </c>
      <c r="I90" s="119">
        <v>14.3</v>
      </c>
      <c r="J90" s="119">
        <f>ROUND(H90*I90,2)</f>
        <v>0.4</v>
      </c>
    </row>
    <row r="91" spans="1:10" ht="24" customHeight="1">
      <c r="A91" s="105" t="s">
        <v>162</v>
      </c>
      <c r="B91" s="106">
        <v>72898</v>
      </c>
      <c r="C91" s="105" t="s">
        <v>73</v>
      </c>
      <c r="D91" s="105" t="s">
        <v>250</v>
      </c>
      <c r="E91" s="279" t="s">
        <v>33</v>
      </c>
      <c r="F91" s="279"/>
      <c r="G91" s="107" t="s">
        <v>251</v>
      </c>
      <c r="H91" s="122">
        <v>6.2600000000000003E-2</v>
      </c>
      <c r="I91" s="119">
        <v>3.02</v>
      </c>
      <c r="J91" s="119">
        <f>ROUND(H91*I91,2)</f>
        <v>0.19</v>
      </c>
    </row>
    <row r="92" spans="1:10" ht="25.5">
      <c r="A92" s="105" t="s">
        <v>162</v>
      </c>
      <c r="B92" s="106">
        <v>72900</v>
      </c>
      <c r="C92" s="105" t="s">
        <v>73</v>
      </c>
      <c r="D92" s="105" t="s">
        <v>252</v>
      </c>
      <c r="E92" s="279" t="s">
        <v>33</v>
      </c>
      <c r="F92" s="279"/>
      <c r="G92" s="107" t="s">
        <v>251</v>
      </c>
      <c r="H92" s="122">
        <v>6.2600000000000003E-2</v>
      </c>
      <c r="I92" s="119">
        <v>3.99</v>
      </c>
      <c r="J92" s="119">
        <f>ROUND(H92*I92,2)</f>
        <v>0.25</v>
      </c>
    </row>
    <row r="93" spans="1:10" ht="24" customHeight="1">
      <c r="A93" s="109"/>
      <c r="B93" s="110"/>
      <c r="C93" s="109"/>
      <c r="D93" s="109"/>
      <c r="E93" s="109"/>
      <c r="F93" s="109"/>
      <c r="G93" s="111"/>
      <c r="H93" s="112"/>
      <c r="I93" s="120" t="s">
        <v>183</v>
      </c>
      <c r="J93" s="120">
        <f>SUM(J90:J92)</f>
        <v>0.84000000000000008</v>
      </c>
    </row>
    <row r="94" spans="1:10">
      <c r="A94" s="113"/>
      <c r="B94" s="113"/>
      <c r="C94" s="113"/>
      <c r="D94" s="113"/>
      <c r="E94" s="113"/>
      <c r="F94" s="114"/>
      <c r="G94" s="113"/>
      <c r="H94" s="114"/>
      <c r="I94" s="113" t="s">
        <v>184</v>
      </c>
      <c r="J94" s="114">
        <f>ROUND(J93*$G$2,2)</f>
        <v>0.18</v>
      </c>
    </row>
    <row r="95" spans="1:10" ht="15" customHeight="1">
      <c r="A95" s="113"/>
      <c r="B95" s="113"/>
      <c r="C95" s="113"/>
      <c r="D95" s="113"/>
      <c r="E95" s="113"/>
      <c r="F95" s="114"/>
      <c r="G95" s="113"/>
      <c r="H95" s="280" t="s">
        <v>185</v>
      </c>
      <c r="I95" s="280"/>
      <c r="J95" s="114">
        <f>SUM(J93:J94)</f>
        <v>1.02</v>
      </c>
    </row>
    <row r="96" spans="1:10" ht="0.95" customHeight="1">
      <c r="A96" s="115"/>
      <c r="B96" s="115"/>
      <c r="C96" s="115"/>
      <c r="D96" s="115"/>
      <c r="E96" s="115"/>
      <c r="F96" s="115"/>
      <c r="G96" s="115"/>
      <c r="H96" s="115"/>
      <c r="I96" s="115"/>
      <c r="J96" s="115"/>
    </row>
    <row r="99" spans="1:10">
      <c r="A99" s="115"/>
      <c r="B99" s="115"/>
      <c r="C99" s="115"/>
      <c r="D99" s="115"/>
      <c r="E99" s="115"/>
      <c r="F99" s="115"/>
      <c r="G99" s="115"/>
      <c r="H99" s="115"/>
      <c r="I99" s="115"/>
      <c r="J99" s="115"/>
    </row>
    <row r="100" spans="1:10">
      <c r="A100" s="96">
        <v>7</v>
      </c>
      <c r="B100" s="96"/>
      <c r="C100" s="96"/>
      <c r="D100" s="96" t="s">
        <v>107</v>
      </c>
      <c r="E100" s="96"/>
      <c r="F100" s="281"/>
      <c r="G100" s="281"/>
      <c r="H100" s="97"/>
      <c r="I100" s="96"/>
      <c r="J100" s="117"/>
    </row>
    <row r="101" spans="1:10" ht="17.25" customHeight="1">
      <c r="A101" s="98" t="s">
        <v>253</v>
      </c>
      <c r="B101" s="99" t="s">
        <v>40</v>
      </c>
      <c r="C101" s="98" t="s">
        <v>41</v>
      </c>
      <c r="D101" s="98" t="s">
        <v>42</v>
      </c>
      <c r="E101" s="282" t="s">
        <v>158</v>
      </c>
      <c r="F101" s="282"/>
      <c r="G101" s="100" t="s">
        <v>43</v>
      </c>
      <c r="H101" s="99" t="s">
        <v>44</v>
      </c>
      <c r="I101" s="99" t="s">
        <v>159</v>
      </c>
      <c r="J101" s="99" t="s">
        <v>6</v>
      </c>
    </row>
    <row r="102" spans="1:10">
      <c r="A102" s="101" t="s">
        <v>160</v>
      </c>
      <c r="B102" s="102" t="s">
        <v>51</v>
      </c>
      <c r="C102" s="101" t="s">
        <v>52</v>
      </c>
      <c r="D102" s="101" t="s">
        <v>254</v>
      </c>
      <c r="E102" s="283"/>
      <c r="F102" s="283"/>
      <c r="G102" s="103" t="s">
        <v>249</v>
      </c>
      <c r="H102" s="121">
        <v>1</v>
      </c>
      <c r="I102" s="118"/>
      <c r="J102" s="118"/>
    </row>
    <row r="103" spans="1:10" ht="24" customHeight="1">
      <c r="A103" s="105" t="s">
        <v>162</v>
      </c>
      <c r="B103" s="106">
        <v>12268</v>
      </c>
      <c r="C103" s="105" t="s">
        <v>88</v>
      </c>
      <c r="D103" s="105" t="s">
        <v>255</v>
      </c>
      <c r="E103" s="279"/>
      <c r="F103" s="279"/>
      <c r="G103" s="107" t="s">
        <v>12</v>
      </c>
      <c r="H103" s="122">
        <v>1</v>
      </c>
      <c r="I103" s="119">
        <v>1.1000000000000001</v>
      </c>
      <c r="J103" s="119">
        <f>ROUND(H103*I103,2)</f>
        <v>1.1000000000000001</v>
      </c>
    </row>
    <row r="104" spans="1:10" ht="24" customHeight="1">
      <c r="A104" s="105" t="s">
        <v>162</v>
      </c>
      <c r="B104" s="106">
        <v>12265</v>
      </c>
      <c r="C104" s="105" t="s">
        <v>88</v>
      </c>
      <c r="D104" s="105" t="s">
        <v>256</v>
      </c>
      <c r="E104" s="279" t="s">
        <v>33</v>
      </c>
      <c r="F104" s="279"/>
      <c r="G104" s="107" t="s">
        <v>12</v>
      </c>
      <c r="H104" s="122">
        <v>1</v>
      </c>
      <c r="I104" s="119">
        <v>0.6</v>
      </c>
      <c r="J104" s="119">
        <f>ROUND(H104*I104,2)</f>
        <v>0.6</v>
      </c>
    </row>
    <row r="105" spans="1:10" ht="24" customHeight="1">
      <c r="A105" s="109"/>
      <c r="B105" s="110"/>
      <c r="C105" s="109"/>
      <c r="D105" s="109"/>
      <c r="E105" s="109"/>
      <c r="F105" s="109"/>
      <c r="G105" s="111"/>
      <c r="H105" s="112"/>
      <c r="I105" s="120" t="s">
        <v>183</v>
      </c>
      <c r="J105" s="120">
        <f>SUM(J103:J104)</f>
        <v>1.7000000000000002</v>
      </c>
    </row>
    <row r="106" spans="1:10">
      <c r="A106" s="113"/>
      <c r="B106" s="113"/>
      <c r="C106" s="113"/>
      <c r="D106" s="113"/>
      <c r="E106" s="113"/>
      <c r="F106" s="114"/>
      <c r="G106" s="113"/>
      <c r="H106" s="114"/>
      <c r="I106" s="113" t="s">
        <v>184</v>
      </c>
      <c r="J106" s="114">
        <f>ROUND(J105*$G$2,2)</f>
        <v>0.36</v>
      </c>
    </row>
    <row r="107" spans="1:10" ht="15" customHeight="1">
      <c r="A107" s="113"/>
      <c r="B107" s="113"/>
      <c r="C107" s="113"/>
      <c r="D107" s="113"/>
      <c r="E107" s="113"/>
      <c r="F107" s="114"/>
      <c r="G107" s="113"/>
      <c r="H107" s="280" t="s">
        <v>185</v>
      </c>
      <c r="I107" s="280"/>
      <c r="J107" s="114">
        <f>SUM(J105:J106)</f>
        <v>2.06</v>
      </c>
    </row>
    <row r="108" spans="1:10" ht="0.95" customHeight="1">
      <c r="A108" s="115"/>
      <c r="B108" s="115"/>
      <c r="C108" s="115"/>
      <c r="D108" s="115"/>
      <c r="E108" s="115"/>
      <c r="F108" s="115"/>
      <c r="G108" s="115"/>
      <c r="H108" s="115"/>
      <c r="I108" s="115"/>
      <c r="J108" s="115"/>
    </row>
  </sheetData>
  <mergeCells count="85"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A4:J4"/>
    <mergeCell ref="F5:G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H17:I17"/>
    <mergeCell ref="E19:F19"/>
    <mergeCell ref="E20:F20"/>
    <mergeCell ref="E21:F21"/>
    <mergeCell ref="E22:F22"/>
    <mergeCell ref="E23:F23"/>
    <mergeCell ref="H26:I26"/>
    <mergeCell ref="E28:F28"/>
    <mergeCell ref="E29:F29"/>
    <mergeCell ref="E30:F30"/>
    <mergeCell ref="E31:F31"/>
    <mergeCell ref="E32:F32"/>
    <mergeCell ref="H35:I35"/>
    <mergeCell ref="E37:F37"/>
    <mergeCell ref="E38:F38"/>
    <mergeCell ref="E39:F39"/>
    <mergeCell ref="E40:F40"/>
    <mergeCell ref="E41:F41"/>
    <mergeCell ref="E42:F42"/>
    <mergeCell ref="E43:F43"/>
    <mergeCell ref="E44:F44"/>
    <mergeCell ref="H47:I47"/>
    <mergeCell ref="F49:G49"/>
    <mergeCell ref="E50:F50"/>
    <mergeCell ref="E51:F51"/>
    <mergeCell ref="E52:F52"/>
    <mergeCell ref="E53:F53"/>
    <mergeCell ref="E54:F54"/>
    <mergeCell ref="E55:F55"/>
    <mergeCell ref="E56:F56"/>
    <mergeCell ref="E57:F57"/>
    <mergeCell ref="H60:I60"/>
    <mergeCell ref="E61:F61"/>
    <mergeCell ref="E62:F62"/>
    <mergeCell ref="E63:F63"/>
    <mergeCell ref="E64:F64"/>
    <mergeCell ref="E65:F65"/>
    <mergeCell ref="E66:F66"/>
    <mergeCell ref="E67:F67"/>
    <mergeCell ref="E68:F68"/>
    <mergeCell ref="H71:I71"/>
    <mergeCell ref="F73:G73"/>
    <mergeCell ref="E74:F74"/>
    <mergeCell ref="E75:F75"/>
    <mergeCell ref="E76:F76"/>
    <mergeCell ref="E77:F77"/>
    <mergeCell ref="E78:F78"/>
    <mergeCell ref="E79:F79"/>
    <mergeCell ref="E80:F80"/>
    <mergeCell ref="E81:F81"/>
    <mergeCell ref="E82:F82"/>
    <mergeCell ref="H85:I85"/>
    <mergeCell ref="F87:G87"/>
    <mergeCell ref="E88:F88"/>
    <mergeCell ref="E89:F89"/>
    <mergeCell ref="E90:F90"/>
    <mergeCell ref="E91:F91"/>
    <mergeCell ref="E92:F92"/>
    <mergeCell ref="E104:F104"/>
    <mergeCell ref="H107:I107"/>
    <mergeCell ref="H95:I95"/>
    <mergeCell ref="F100:G100"/>
    <mergeCell ref="E101:F101"/>
    <mergeCell ref="E102:F102"/>
    <mergeCell ref="E103:F103"/>
  </mergeCells>
  <pageMargins left="0.511811023622047" right="0.511811023622047" top="0.78740157480314998" bottom="0.78740157480314998" header="0.31496062992126" footer="0.31496062992126"/>
  <pageSetup paperSize="9" scale="50" orientation="portrait" r:id="rId1"/>
  <rowBreaks count="1" manualBreakCount="1">
    <brk id="67" max="9" man="1"/>
  </rowBreak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ltText="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438150</xdr:colOff>
                <xdr:row>1</xdr:row>
                <xdr:rowOff>47625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3"/>
  <sheetViews>
    <sheetView view="pageBreakPreview" zoomScale="140" zoomScaleNormal="100" zoomScaleSheetLayoutView="140" workbookViewId="0">
      <selection activeCell="J10" sqref="J10"/>
    </sheetView>
  </sheetViews>
  <sheetFormatPr defaultColWidth="9" defaultRowHeight="14.25"/>
  <cols>
    <col min="2" max="2" width="5.625" customWidth="1"/>
    <col min="3" max="3" width="10.75" customWidth="1"/>
    <col min="4" max="4" width="11.75" customWidth="1"/>
    <col min="5" max="5" width="10.75" customWidth="1"/>
  </cols>
  <sheetData>
    <row r="1" spans="1:11" ht="18">
      <c r="A1" s="38"/>
      <c r="B1" s="39" t="s">
        <v>257</v>
      </c>
      <c r="C1" s="40"/>
      <c r="D1" s="79"/>
      <c r="E1" s="39"/>
      <c r="F1" s="39"/>
      <c r="G1" s="39"/>
      <c r="H1" s="80"/>
    </row>
    <row r="2" spans="1:11" ht="14.25" customHeight="1">
      <c r="A2" s="42"/>
      <c r="B2" s="43" t="s">
        <v>258</v>
      </c>
      <c r="C2" s="44"/>
      <c r="D2" s="81"/>
      <c r="E2" s="43"/>
      <c r="F2" s="43"/>
      <c r="G2" s="43"/>
      <c r="H2" s="43"/>
    </row>
    <row r="3" spans="1:11" ht="11.25" customHeight="1">
      <c r="A3" s="42"/>
      <c r="B3" s="46" t="s">
        <v>259</v>
      </c>
      <c r="C3" s="44"/>
      <c r="D3" s="81"/>
      <c r="E3" s="46"/>
      <c r="F3" s="46"/>
      <c r="G3" s="46"/>
      <c r="H3" s="46"/>
    </row>
    <row r="4" spans="1:11" ht="12.75" customHeight="1">
      <c r="A4" s="42"/>
      <c r="B4" s="46" t="s">
        <v>260</v>
      </c>
      <c r="C4" s="44"/>
      <c r="D4" s="81"/>
      <c r="E4" s="46"/>
      <c r="F4" s="46"/>
      <c r="G4" s="46"/>
      <c r="H4" s="46"/>
    </row>
    <row r="5" spans="1:11" ht="12.75" customHeight="1">
      <c r="A5" s="42"/>
      <c r="B5" s="46"/>
      <c r="C5" s="44"/>
      <c r="D5" s="81"/>
      <c r="E5" s="46"/>
      <c r="F5" s="46"/>
      <c r="G5" s="46"/>
      <c r="H5" s="46"/>
    </row>
    <row r="6" spans="1:11" ht="9.75" customHeight="1">
      <c r="A6" s="82"/>
      <c r="B6" s="82"/>
      <c r="C6" s="82"/>
      <c r="D6" s="82"/>
      <c r="E6" s="82"/>
      <c r="F6" s="82"/>
      <c r="G6" s="82"/>
    </row>
    <row r="7" spans="1:11" s="78" customFormat="1">
      <c r="A7" s="286" t="s">
        <v>261</v>
      </c>
      <c r="B7" s="287"/>
      <c r="C7" s="287"/>
      <c r="D7" s="287"/>
      <c r="E7" s="287"/>
      <c r="F7" s="287"/>
      <c r="G7" s="288"/>
      <c r="I7"/>
      <c r="J7"/>
      <c r="K7"/>
    </row>
    <row r="10" spans="1:11" ht="28.5">
      <c r="A10" s="83" t="s">
        <v>262</v>
      </c>
      <c r="B10" s="84"/>
      <c r="C10" s="85" t="s">
        <v>263</v>
      </c>
      <c r="D10" s="86" t="s">
        <v>264</v>
      </c>
      <c r="E10" s="86" t="s">
        <v>265</v>
      </c>
      <c r="F10" s="87"/>
      <c r="G10" s="88" t="s">
        <v>266</v>
      </c>
    </row>
    <row r="11" spans="1:11">
      <c r="A11" s="89"/>
      <c r="B11" s="90"/>
      <c r="C11" s="89"/>
      <c r="D11" s="89"/>
      <c r="E11" s="89"/>
      <c r="F11" s="89"/>
    </row>
    <row r="12" spans="1:11" ht="33.75" customHeight="1">
      <c r="A12" s="289" t="s">
        <v>267</v>
      </c>
      <c r="B12" s="290"/>
      <c r="C12" s="91">
        <v>610</v>
      </c>
      <c r="D12" s="91">
        <v>650</v>
      </c>
      <c r="E12" s="91">
        <v>600</v>
      </c>
      <c r="F12" s="87"/>
      <c r="G12" s="92">
        <f>AVERAGE(C12:F12)</f>
        <v>620</v>
      </c>
    </row>
    <row r="13" spans="1:11">
      <c r="A13" s="89"/>
      <c r="B13" s="90"/>
      <c r="C13" s="93"/>
      <c r="D13" s="89"/>
      <c r="E13" s="89"/>
      <c r="F13" s="89"/>
    </row>
  </sheetData>
  <mergeCells count="2">
    <mergeCell ref="A7:G7"/>
    <mergeCell ref="A12:B12"/>
  </mergeCells>
  <pageMargins left="0.511811024" right="0.511811024" top="0.78740157499999996" bottom="0.78740157499999996" header="0.31496062000000002" footer="0.31496062000000002"/>
  <pageSetup paperSize="9" orientation="portrait" verticalDpi="1200" r:id="rId1"/>
  <drawing r:id="rId2"/>
  <legacyDrawing r:id="rId3"/>
  <oleObjects>
    <mc:AlternateContent xmlns:mc="http://schemas.openxmlformats.org/markup-compatibility/2006">
      <mc:Choice Requires="x14">
        <oleObject progId="Figura do Microsoft Photo Editor 3.0" shapeId="15361" r:id="rId4">
          <objectPr defaultSize="0" altText="" r:id="rId5">
            <anchor moveWithCells="1" sizeWithCells="1">
              <from>
                <xdr:col>0</xdr:col>
                <xdr:colOff>28575</xdr:colOff>
                <xdr:row>0</xdr:row>
                <xdr:rowOff>133350</xdr:rowOff>
              </from>
              <to>
                <xdr:col>1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Figura do Microsoft Photo Editor 3.0" shapeId="1536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VG87"/>
  <sheetViews>
    <sheetView workbookViewId="0">
      <selection activeCell="E15" sqref="E15"/>
    </sheetView>
  </sheetViews>
  <sheetFormatPr defaultColWidth="9" defaultRowHeight="12.75"/>
  <cols>
    <col min="1" max="1" width="9" style="37"/>
    <col min="2" max="2" width="14.125" style="37" customWidth="1"/>
    <col min="3" max="3" width="17.375" style="37" customWidth="1"/>
    <col min="4" max="241" width="9" style="37"/>
    <col min="242" max="242" width="9.375" style="37" customWidth="1"/>
    <col min="243" max="243" width="21.25" style="37" customWidth="1"/>
    <col min="244" max="244" width="25.375" style="37" customWidth="1"/>
    <col min="245" max="245" width="19.125" style="37" customWidth="1"/>
    <col min="246" max="255" width="9" style="37" hidden="1" customWidth="1"/>
    <col min="256" max="497" width="9" style="37"/>
    <col min="498" max="498" width="9.375" style="37" customWidth="1"/>
    <col min="499" max="499" width="21.25" style="37" customWidth="1"/>
    <col min="500" max="500" width="25.375" style="37" customWidth="1"/>
    <col min="501" max="501" width="19.125" style="37" customWidth="1"/>
    <col min="502" max="511" width="9" style="37" hidden="1" customWidth="1"/>
    <col min="512" max="753" width="9" style="37"/>
    <col min="754" max="754" width="9.375" style="37" customWidth="1"/>
    <col min="755" max="755" width="21.25" style="37" customWidth="1"/>
    <col min="756" max="756" width="25.375" style="37" customWidth="1"/>
    <col min="757" max="757" width="19.125" style="37" customWidth="1"/>
    <col min="758" max="767" width="9" style="37" hidden="1" customWidth="1"/>
    <col min="768" max="1009" width="9" style="37"/>
    <col min="1010" max="1010" width="9.375" style="37" customWidth="1"/>
    <col min="1011" max="1011" width="21.25" style="37" customWidth="1"/>
    <col min="1012" max="1012" width="25.375" style="37" customWidth="1"/>
    <col min="1013" max="1013" width="19.125" style="37" customWidth="1"/>
    <col min="1014" max="1023" width="9" style="37" hidden="1" customWidth="1"/>
    <col min="1024" max="1265" width="9" style="37"/>
    <col min="1266" max="1266" width="9.375" style="37" customWidth="1"/>
    <col min="1267" max="1267" width="21.25" style="37" customWidth="1"/>
    <col min="1268" max="1268" width="25.375" style="37" customWidth="1"/>
    <col min="1269" max="1269" width="19.125" style="37" customWidth="1"/>
    <col min="1270" max="1279" width="9" style="37" hidden="1" customWidth="1"/>
    <col min="1280" max="1521" width="9" style="37"/>
    <col min="1522" max="1522" width="9.375" style="37" customWidth="1"/>
    <col min="1523" max="1523" width="21.25" style="37" customWidth="1"/>
    <col min="1524" max="1524" width="25.375" style="37" customWidth="1"/>
    <col min="1525" max="1525" width="19.125" style="37" customWidth="1"/>
    <col min="1526" max="1535" width="9" style="37" hidden="1" customWidth="1"/>
    <col min="1536" max="1777" width="9" style="37"/>
    <col min="1778" max="1778" width="9.375" style="37" customWidth="1"/>
    <col min="1779" max="1779" width="21.25" style="37" customWidth="1"/>
    <col min="1780" max="1780" width="25.375" style="37" customWidth="1"/>
    <col min="1781" max="1781" width="19.125" style="37" customWidth="1"/>
    <col min="1782" max="1791" width="9" style="37" hidden="1" customWidth="1"/>
    <col min="1792" max="2033" width="9" style="37"/>
    <col min="2034" max="2034" width="9.375" style="37" customWidth="1"/>
    <col min="2035" max="2035" width="21.25" style="37" customWidth="1"/>
    <col min="2036" max="2036" width="25.375" style="37" customWidth="1"/>
    <col min="2037" max="2037" width="19.125" style="37" customWidth="1"/>
    <col min="2038" max="2047" width="9" style="37" hidden="1" customWidth="1"/>
    <col min="2048" max="2289" width="9" style="37"/>
    <col min="2290" max="2290" width="9.375" style="37" customWidth="1"/>
    <col min="2291" max="2291" width="21.25" style="37" customWidth="1"/>
    <col min="2292" max="2292" width="25.375" style="37" customWidth="1"/>
    <col min="2293" max="2293" width="19.125" style="37" customWidth="1"/>
    <col min="2294" max="2303" width="9" style="37" hidden="1" customWidth="1"/>
    <col min="2304" max="2545" width="9" style="37"/>
    <col min="2546" max="2546" width="9.375" style="37" customWidth="1"/>
    <col min="2547" max="2547" width="21.25" style="37" customWidth="1"/>
    <col min="2548" max="2548" width="25.375" style="37" customWidth="1"/>
    <col min="2549" max="2549" width="19.125" style="37" customWidth="1"/>
    <col min="2550" max="2559" width="9" style="37" hidden="1" customWidth="1"/>
    <col min="2560" max="2801" width="9" style="37"/>
    <col min="2802" max="2802" width="9.375" style="37" customWidth="1"/>
    <col min="2803" max="2803" width="21.25" style="37" customWidth="1"/>
    <col min="2804" max="2804" width="25.375" style="37" customWidth="1"/>
    <col min="2805" max="2805" width="19.125" style="37" customWidth="1"/>
    <col min="2806" max="2815" width="9" style="37" hidden="1" customWidth="1"/>
    <col min="2816" max="3057" width="9" style="37"/>
    <col min="3058" max="3058" width="9.375" style="37" customWidth="1"/>
    <col min="3059" max="3059" width="21.25" style="37" customWidth="1"/>
    <col min="3060" max="3060" width="25.375" style="37" customWidth="1"/>
    <col min="3061" max="3061" width="19.125" style="37" customWidth="1"/>
    <col min="3062" max="3071" width="9" style="37" hidden="1" customWidth="1"/>
    <col min="3072" max="3313" width="9" style="37"/>
    <col min="3314" max="3314" width="9.375" style="37" customWidth="1"/>
    <col min="3315" max="3315" width="21.25" style="37" customWidth="1"/>
    <col min="3316" max="3316" width="25.375" style="37" customWidth="1"/>
    <col min="3317" max="3317" width="19.125" style="37" customWidth="1"/>
    <col min="3318" max="3327" width="9" style="37" hidden="1" customWidth="1"/>
    <col min="3328" max="3569" width="9" style="37"/>
    <col min="3570" max="3570" width="9.375" style="37" customWidth="1"/>
    <col min="3571" max="3571" width="21.25" style="37" customWidth="1"/>
    <col min="3572" max="3572" width="25.375" style="37" customWidth="1"/>
    <col min="3573" max="3573" width="19.125" style="37" customWidth="1"/>
    <col min="3574" max="3583" width="9" style="37" hidden="1" customWidth="1"/>
    <col min="3584" max="3825" width="9" style="37"/>
    <col min="3826" max="3826" width="9.375" style="37" customWidth="1"/>
    <col min="3827" max="3827" width="21.25" style="37" customWidth="1"/>
    <col min="3828" max="3828" width="25.375" style="37" customWidth="1"/>
    <col min="3829" max="3829" width="19.125" style="37" customWidth="1"/>
    <col min="3830" max="3839" width="9" style="37" hidden="1" customWidth="1"/>
    <col min="3840" max="4081" width="9" style="37"/>
    <col min="4082" max="4082" width="9.375" style="37" customWidth="1"/>
    <col min="4083" max="4083" width="21.25" style="37" customWidth="1"/>
    <col min="4084" max="4084" width="25.375" style="37" customWidth="1"/>
    <col min="4085" max="4085" width="19.125" style="37" customWidth="1"/>
    <col min="4086" max="4095" width="9" style="37" hidden="1" customWidth="1"/>
    <col min="4096" max="4337" width="9" style="37"/>
    <col min="4338" max="4338" width="9.375" style="37" customWidth="1"/>
    <col min="4339" max="4339" width="21.25" style="37" customWidth="1"/>
    <col min="4340" max="4340" width="25.375" style="37" customWidth="1"/>
    <col min="4341" max="4341" width="19.125" style="37" customWidth="1"/>
    <col min="4342" max="4351" width="9" style="37" hidden="1" customWidth="1"/>
    <col min="4352" max="4593" width="9" style="37"/>
    <col min="4594" max="4594" width="9.375" style="37" customWidth="1"/>
    <col min="4595" max="4595" width="21.25" style="37" customWidth="1"/>
    <col min="4596" max="4596" width="25.375" style="37" customWidth="1"/>
    <col min="4597" max="4597" width="19.125" style="37" customWidth="1"/>
    <col min="4598" max="4607" width="9" style="37" hidden="1" customWidth="1"/>
    <col min="4608" max="4849" width="9" style="37"/>
    <col min="4850" max="4850" width="9.375" style="37" customWidth="1"/>
    <col min="4851" max="4851" width="21.25" style="37" customWidth="1"/>
    <col min="4852" max="4852" width="25.375" style="37" customWidth="1"/>
    <col min="4853" max="4853" width="19.125" style="37" customWidth="1"/>
    <col min="4854" max="4863" width="9" style="37" hidden="1" customWidth="1"/>
    <col min="4864" max="5105" width="9" style="37"/>
    <col min="5106" max="5106" width="9.375" style="37" customWidth="1"/>
    <col min="5107" max="5107" width="21.25" style="37" customWidth="1"/>
    <col min="5108" max="5108" width="25.375" style="37" customWidth="1"/>
    <col min="5109" max="5109" width="19.125" style="37" customWidth="1"/>
    <col min="5110" max="5119" width="9" style="37" hidden="1" customWidth="1"/>
    <col min="5120" max="5361" width="9" style="37"/>
    <col min="5362" max="5362" width="9.375" style="37" customWidth="1"/>
    <col min="5363" max="5363" width="21.25" style="37" customWidth="1"/>
    <col min="5364" max="5364" width="25.375" style="37" customWidth="1"/>
    <col min="5365" max="5365" width="19.125" style="37" customWidth="1"/>
    <col min="5366" max="5375" width="9" style="37" hidden="1" customWidth="1"/>
    <col min="5376" max="5617" width="9" style="37"/>
    <col min="5618" max="5618" width="9.375" style="37" customWidth="1"/>
    <col min="5619" max="5619" width="21.25" style="37" customWidth="1"/>
    <col min="5620" max="5620" width="25.375" style="37" customWidth="1"/>
    <col min="5621" max="5621" width="19.125" style="37" customWidth="1"/>
    <col min="5622" max="5631" width="9" style="37" hidden="1" customWidth="1"/>
    <col min="5632" max="5873" width="9" style="37"/>
    <col min="5874" max="5874" width="9.375" style="37" customWidth="1"/>
    <col min="5875" max="5875" width="21.25" style="37" customWidth="1"/>
    <col min="5876" max="5876" width="25.375" style="37" customWidth="1"/>
    <col min="5877" max="5877" width="19.125" style="37" customWidth="1"/>
    <col min="5878" max="5887" width="9" style="37" hidden="1" customWidth="1"/>
    <col min="5888" max="6129" width="9" style="37"/>
    <col min="6130" max="6130" width="9.375" style="37" customWidth="1"/>
    <col min="6131" max="6131" width="21.25" style="37" customWidth="1"/>
    <col min="6132" max="6132" width="25.375" style="37" customWidth="1"/>
    <col min="6133" max="6133" width="19.125" style="37" customWidth="1"/>
    <col min="6134" max="6143" width="9" style="37" hidden="1" customWidth="1"/>
    <col min="6144" max="6385" width="9" style="37"/>
    <col min="6386" max="6386" width="9.375" style="37" customWidth="1"/>
    <col min="6387" max="6387" width="21.25" style="37" customWidth="1"/>
    <col min="6388" max="6388" width="25.375" style="37" customWidth="1"/>
    <col min="6389" max="6389" width="19.125" style="37" customWidth="1"/>
    <col min="6390" max="6399" width="9" style="37" hidden="1" customWidth="1"/>
    <col min="6400" max="6641" width="9" style="37"/>
    <col min="6642" max="6642" width="9.375" style="37" customWidth="1"/>
    <col min="6643" max="6643" width="21.25" style="37" customWidth="1"/>
    <col min="6644" max="6644" width="25.375" style="37" customWidth="1"/>
    <col min="6645" max="6645" width="19.125" style="37" customWidth="1"/>
    <col min="6646" max="6655" width="9" style="37" hidden="1" customWidth="1"/>
    <col min="6656" max="6897" width="9" style="37"/>
    <col min="6898" max="6898" width="9.375" style="37" customWidth="1"/>
    <col min="6899" max="6899" width="21.25" style="37" customWidth="1"/>
    <col min="6900" max="6900" width="25.375" style="37" customWidth="1"/>
    <col min="6901" max="6901" width="19.125" style="37" customWidth="1"/>
    <col min="6902" max="6911" width="9" style="37" hidden="1" customWidth="1"/>
    <col min="6912" max="7153" width="9" style="37"/>
    <col min="7154" max="7154" width="9.375" style="37" customWidth="1"/>
    <col min="7155" max="7155" width="21.25" style="37" customWidth="1"/>
    <col min="7156" max="7156" width="25.375" style="37" customWidth="1"/>
    <col min="7157" max="7157" width="19.125" style="37" customWidth="1"/>
    <col min="7158" max="7167" width="9" style="37" hidden="1" customWidth="1"/>
    <col min="7168" max="7409" width="9" style="37"/>
    <col min="7410" max="7410" width="9.375" style="37" customWidth="1"/>
    <col min="7411" max="7411" width="21.25" style="37" customWidth="1"/>
    <col min="7412" max="7412" width="25.375" style="37" customWidth="1"/>
    <col min="7413" max="7413" width="19.125" style="37" customWidth="1"/>
    <col min="7414" max="7423" width="9" style="37" hidden="1" customWidth="1"/>
    <col min="7424" max="7665" width="9" style="37"/>
    <col min="7666" max="7666" width="9.375" style="37" customWidth="1"/>
    <col min="7667" max="7667" width="21.25" style="37" customWidth="1"/>
    <col min="7668" max="7668" width="25.375" style="37" customWidth="1"/>
    <col min="7669" max="7669" width="19.125" style="37" customWidth="1"/>
    <col min="7670" max="7679" width="9" style="37" hidden="1" customWidth="1"/>
    <col min="7680" max="7921" width="9" style="37"/>
    <col min="7922" max="7922" width="9.375" style="37" customWidth="1"/>
    <col min="7923" max="7923" width="21.25" style="37" customWidth="1"/>
    <col min="7924" max="7924" width="25.375" style="37" customWidth="1"/>
    <col min="7925" max="7925" width="19.125" style="37" customWidth="1"/>
    <col min="7926" max="7935" width="9" style="37" hidden="1" customWidth="1"/>
    <col min="7936" max="8177" width="9" style="37"/>
    <col min="8178" max="8178" width="9.375" style="37" customWidth="1"/>
    <col min="8179" max="8179" width="21.25" style="37" customWidth="1"/>
    <col min="8180" max="8180" width="25.375" style="37" customWidth="1"/>
    <col min="8181" max="8181" width="19.125" style="37" customWidth="1"/>
    <col min="8182" max="8191" width="9" style="37" hidden="1" customWidth="1"/>
    <col min="8192" max="8433" width="9" style="37"/>
    <col min="8434" max="8434" width="9.375" style="37" customWidth="1"/>
    <col min="8435" max="8435" width="21.25" style="37" customWidth="1"/>
    <col min="8436" max="8436" width="25.375" style="37" customWidth="1"/>
    <col min="8437" max="8437" width="19.125" style="37" customWidth="1"/>
    <col min="8438" max="8447" width="9" style="37" hidden="1" customWidth="1"/>
    <col min="8448" max="8689" width="9" style="37"/>
    <col min="8690" max="8690" width="9.375" style="37" customWidth="1"/>
    <col min="8691" max="8691" width="21.25" style="37" customWidth="1"/>
    <col min="8692" max="8692" width="25.375" style="37" customWidth="1"/>
    <col min="8693" max="8693" width="19.125" style="37" customWidth="1"/>
    <col min="8694" max="8703" width="9" style="37" hidden="1" customWidth="1"/>
    <col min="8704" max="8945" width="9" style="37"/>
    <col min="8946" max="8946" width="9.375" style="37" customWidth="1"/>
    <col min="8947" max="8947" width="21.25" style="37" customWidth="1"/>
    <col min="8948" max="8948" width="25.375" style="37" customWidth="1"/>
    <col min="8949" max="8949" width="19.125" style="37" customWidth="1"/>
    <col min="8950" max="8959" width="9" style="37" hidden="1" customWidth="1"/>
    <col min="8960" max="9201" width="9" style="37"/>
    <col min="9202" max="9202" width="9.375" style="37" customWidth="1"/>
    <col min="9203" max="9203" width="21.25" style="37" customWidth="1"/>
    <col min="9204" max="9204" width="25.375" style="37" customWidth="1"/>
    <col min="9205" max="9205" width="19.125" style="37" customWidth="1"/>
    <col min="9206" max="9215" width="9" style="37" hidden="1" customWidth="1"/>
    <col min="9216" max="9457" width="9" style="37"/>
    <col min="9458" max="9458" width="9.375" style="37" customWidth="1"/>
    <col min="9459" max="9459" width="21.25" style="37" customWidth="1"/>
    <col min="9460" max="9460" width="25.375" style="37" customWidth="1"/>
    <col min="9461" max="9461" width="19.125" style="37" customWidth="1"/>
    <col min="9462" max="9471" width="9" style="37" hidden="1" customWidth="1"/>
    <col min="9472" max="9713" width="9" style="37"/>
    <col min="9714" max="9714" width="9.375" style="37" customWidth="1"/>
    <col min="9715" max="9715" width="21.25" style="37" customWidth="1"/>
    <col min="9716" max="9716" width="25.375" style="37" customWidth="1"/>
    <col min="9717" max="9717" width="19.125" style="37" customWidth="1"/>
    <col min="9718" max="9727" width="9" style="37" hidden="1" customWidth="1"/>
    <col min="9728" max="9969" width="9" style="37"/>
    <col min="9970" max="9970" width="9.375" style="37" customWidth="1"/>
    <col min="9971" max="9971" width="21.25" style="37" customWidth="1"/>
    <col min="9972" max="9972" width="25.375" style="37" customWidth="1"/>
    <col min="9973" max="9973" width="19.125" style="37" customWidth="1"/>
    <col min="9974" max="9983" width="9" style="37" hidden="1" customWidth="1"/>
    <col min="9984" max="10225" width="9" style="37"/>
    <col min="10226" max="10226" width="9.375" style="37" customWidth="1"/>
    <col min="10227" max="10227" width="21.25" style="37" customWidth="1"/>
    <col min="10228" max="10228" width="25.375" style="37" customWidth="1"/>
    <col min="10229" max="10229" width="19.125" style="37" customWidth="1"/>
    <col min="10230" max="10239" width="9" style="37" hidden="1" customWidth="1"/>
    <col min="10240" max="10481" width="9" style="37"/>
    <col min="10482" max="10482" width="9.375" style="37" customWidth="1"/>
    <col min="10483" max="10483" width="21.25" style="37" customWidth="1"/>
    <col min="10484" max="10484" width="25.375" style="37" customWidth="1"/>
    <col min="10485" max="10485" width="19.125" style="37" customWidth="1"/>
    <col min="10486" max="10495" width="9" style="37" hidden="1" customWidth="1"/>
    <col min="10496" max="10737" width="9" style="37"/>
    <col min="10738" max="10738" width="9.375" style="37" customWidth="1"/>
    <col min="10739" max="10739" width="21.25" style="37" customWidth="1"/>
    <col min="10740" max="10740" width="25.375" style="37" customWidth="1"/>
    <col min="10741" max="10741" width="19.125" style="37" customWidth="1"/>
    <col min="10742" max="10751" width="9" style="37" hidden="1" customWidth="1"/>
    <col min="10752" max="10993" width="9" style="37"/>
    <col min="10994" max="10994" width="9.375" style="37" customWidth="1"/>
    <col min="10995" max="10995" width="21.25" style="37" customWidth="1"/>
    <col min="10996" max="10996" width="25.375" style="37" customWidth="1"/>
    <col min="10997" max="10997" width="19.125" style="37" customWidth="1"/>
    <col min="10998" max="11007" width="9" style="37" hidden="1" customWidth="1"/>
    <col min="11008" max="11249" width="9" style="37"/>
    <col min="11250" max="11250" width="9.375" style="37" customWidth="1"/>
    <col min="11251" max="11251" width="21.25" style="37" customWidth="1"/>
    <col min="11252" max="11252" width="25.375" style="37" customWidth="1"/>
    <col min="11253" max="11253" width="19.125" style="37" customWidth="1"/>
    <col min="11254" max="11263" width="9" style="37" hidden="1" customWidth="1"/>
    <col min="11264" max="11505" width="9" style="37"/>
    <col min="11506" max="11506" width="9.375" style="37" customWidth="1"/>
    <col min="11507" max="11507" width="21.25" style="37" customWidth="1"/>
    <col min="11508" max="11508" width="25.375" style="37" customWidth="1"/>
    <col min="11509" max="11509" width="19.125" style="37" customWidth="1"/>
    <col min="11510" max="11519" width="9" style="37" hidden="1" customWidth="1"/>
    <col min="11520" max="11761" width="9" style="37"/>
    <col min="11762" max="11762" width="9.375" style="37" customWidth="1"/>
    <col min="11763" max="11763" width="21.25" style="37" customWidth="1"/>
    <col min="11764" max="11764" width="25.375" style="37" customWidth="1"/>
    <col min="11765" max="11765" width="19.125" style="37" customWidth="1"/>
    <col min="11766" max="11775" width="9" style="37" hidden="1" customWidth="1"/>
    <col min="11776" max="12017" width="9" style="37"/>
    <col min="12018" max="12018" width="9.375" style="37" customWidth="1"/>
    <col min="12019" max="12019" width="21.25" style="37" customWidth="1"/>
    <col min="12020" max="12020" width="25.375" style="37" customWidth="1"/>
    <col min="12021" max="12021" width="19.125" style="37" customWidth="1"/>
    <col min="12022" max="12031" width="9" style="37" hidden="1" customWidth="1"/>
    <col min="12032" max="12273" width="9" style="37"/>
    <col min="12274" max="12274" width="9.375" style="37" customWidth="1"/>
    <col min="12275" max="12275" width="21.25" style="37" customWidth="1"/>
    <col min="12276" max="12276" width="25.375" style="37" customWidth="1"/>
    <col min="12277" max="12277" width="19.125" style="37" customWidth="1"/>
    <col min="12278" max="12287" width="9" style="37" hidden="1" customWidth="1"/>
    <col min="12288" max="12529" width="9" style="37"/>
    <col min="12530" max="12530" width="9.375" style="37" customWidth="1"/>
    <col min="12531" max="12531" width="21.25" style="37" customWidth="1"/>
    <col min="12532" max="12532" width="25.375" style="37" customWidth="1"/>
    <col min="12533" max="12533" width="19.125" style="37" customWidth="1"/>
    <col min="12534" max="12543" width="9" style="37" hidden="1" customWidth="1"/>
    <col min="12544" max="12785" width="9" style="37"/>
    <col min="12786" max="12786" width="9.375" style="37" customWidth="1"/>
    <col min="12787" max="12787" width="21.25" style="37" customWidth="1"/>
    <col min="12788" max="12788" width="25.375" style="37" customWidth="1"/>
    <col min="12789" max="12789" width="19.125" style="37" customWidth="1"/>
    <col min="12790" max="12799" width="9" style="37" hidden="1" customWidth="1"/>
    <col min="12800" max="13041" width="9" style="37"/>
    <col min="13042" max="13042" width="9.375" style="37" customWidth="1"/>
    <col min="13043" max="13043" width="21.25" style="37" customWidth="1"/>
    <col min="13044" max="13044" width="25.375" style="37" customWidth="1"/>
    <col min="13045" max="13045" width="19.125" style="37" customWidth="1"/>
    <col min="13046" max="13055" width="9" style="37" hidden="1" customWidth="1"/>
    <col min="13056" max="13297" width="9" style="37"/>
    <col min="13298" max="13298" width="9.375" style="37" customWidth="1"/>
    <col min="13299" max="13299" width="21.25" style="37" customWidth="1"/>
    <col min="13300" max="13300" width="25.375" style="37" customWidth="1"/>
    <col min="13301" max="13301" width="19.125" style="37" customWidth="1"/>
    <col min="13302" max="13311" width="9" style="37" hidden="1" customWidth="1"/>
    <col min="13312" max="13553" width="9" style="37"/>
    <col min="13554" max="13554" width="9.375" style="37" customWidth="1"/>
    <col min="13555" max="13555" width="21.25" style="37" customWidth="1"/>
    <col min="13556" max="13556" width="25.375" style="37" customWidth="1"/>
    <col min="13557" max="13557" width="19.125" style="37" customWidth="1"/>
    <col min="13558" max="13567" width="9" style="37" hidden="1" customWidth="1"/>
    <col min="13568" max="13809" width="9" style="37"/>
    <col min="13810" max="13810" width="9.375" style="37" customWidth="1"/>
    <col min="13811" max="13811" width="21.25" style="37" customWidth="1"/>
    <col min="13812" max="13812" width="25.375" style="37" customWidth="1"/>
    <col min="13813" max="13813" width="19.125" style="37" customWidth="1"/>
    <col min="13814" max="13823" width="9" style="37" hidden="1" customWidth="1"/>
    <col min="13824" max="14065" width="9" style="37"/>
    <col min="14066" max="14066" width="9.375" style="37" customWidth="1"/>
    <col min="14067" max="14067" width="21.25" style="37" customWidth="1"/>
    <col min="14068" max="14068" width="25.375" style="37" customWidth="1"/>
    <col min="14069" max="14069" width="19.125" style="37" customWidth="1"/>
    <col min="14070" max="14079" width="9" style="37" hidden="1" customWidth="1"/>
    <col min="14080" max="14321" width="9" style="37"/>
    <col min="14322" max="14322" width="9.375" style="37" customWidth="1"/>
    <col min="14323" max="14323" width="21.25" style="37" customWidth="1"/>
    <col min="14324" max="14324" width="25.375" style="37" customWidth="1"/>
    <col min="14325" max="14325" width="19.125" style="37" customWidth="1"/>
    <col min="14326" max="14335" width="9" style="37" hidden="1" customWidth="1"/>
    <col min="14336" max="14577" width="9" style="37"/>
    <col min="14578" max="14578" width="9.375" style="37" customWidth="1"/>
    <col min="14579" max="14579" width="21.25" style="37" customWidth="1"/>
    <col min="14580" max="14580" width="25.375" style="37" customWidth="1"/>
    <col min="14581" max="14581" width="19.125" style="37" customWidth="1"/>
    <col min="14582" max="14591" width="9" style="37" hidden="1" customWidth="1"/>
    <col min="14592" max="14833" width="9" style="37"/>
    <col min="14834" max="14834" width="9.375" style="37" customWidth="1"/>
    <col min="14835" max="14835" width="21.25" style="37" customWidth="1"/>
    <col min="14836" max="14836" width="25.375" style="37" customWidth="1"/>
    <col min="14837" max="14837" width="19.125" style="37" customWidth="1"/>
    <col min="14838" max="14847" width="9" style="37" hidden="1" customWidth="1"/>
    <col min="14848" max="15089" width="9" style="37"/>
    <col min="15090" max="15090" width="9.375" style="37" customWidth="1"/>
    <col min="15091" max="15091" width="21.25" style="37" customWidth="1"/>
    <col min="15092" max="15092" width="25.375" style="37" customWidth="1"/>
    <col min="15093" max="15093" width="19.125" style="37" customWidth="1"/>
    <col min="15094" max="15103" width="9" style="37" hidden="1" customWidth="1"/>
    <col min="15104" max="15345" width="9" style="37"/>
    <col min="15346" max="15346" width="9.375" style="37" customWidth="1"/>
    <col min="15347" max="15347" width="21.25" style="37" customWidth="1"/>
    <col min="15348" max="15348" width="25.375" style="37" customWidth="1"/>
    <col min="15349" max="15349" width="19.125" style="37" customWidth="1"/>
    <col min="15350" max="15359" width="9" style="37" hidden="1" customWidth="1"/>
    <col min="15360" max="15601" width="9" style="37"/>
    <col min="15602" max="15602" width="9.375" style="37" customWidth="1"/>
    <col min="15603" max="15603" width="21.25" style="37" customWidth="1"/>
    <col min="15604" max="15604" width="25.375" style="37" customWidth="1"/>
    <col min="15605" max="15605" width="19.125" style="37" customWidth="1"/>
    <col min="15606" max="15615" width="9" style="37" hidden="1" customWidth="1"/>
    <col min="15616" max="15857" width="9" style="37"/>
    <col min="15858" max="15858" width="9.375" style="37" customWidth="1"/>
    <col min="15859" max="15859" width="21.25" style="37" customWidth="1"/>
    <col min="15860" max="15860" width="25.375" style="37" customWidth="1"/>
    <col min="15861" max="15861" width="19.125" style="37" customWidth="1"/>
    <col min="15862" max="15871" width="9" style="37" hidden="1" customWidth="1"/>
    <col min="15872" max="16113" width="9" style="37"/>
    <col min="16114" max="16114" width="9.375" style="37" customWidth="1"/>
    <col min="16115" max="16115" width="21.25" style="37" customWidth="1"/>
    <col min="16116" max="16116" width="25.375" style="37" customWidth="1"/>
    <col min="16117" max="16117" width="19.125" style="37" customWidth="1"/>
    <col min="16118" max="16127" width="9" style="37" hidden="1" customWidth="1"/>
    <col min="16128" max="16384" width="9" style="37"/>
  </cols>
  <sheetData>
    <row r="1" spans="1:6" ht="18">
      <c r="A1" s="38"/>
      <c r="B1" s="39" t="s">
        <v>257</v>
      </c>
      <c r="C1" s="40"/>
      <c r="D1" s="41"/>
      <c r="E1" s="39"/>
      <c r="F1" s="39"/>
    </row>
    <row r="2" spans="1:6" ht="18">
      <c r="A2" s="42"/>
      <c r="B2" s="43" t="s">
        <v>258</v>
      </c>
      <c r="C2" s="44"/>
      <c r="D2" s="45"/>
      <c r="E2" s="43"/>
      <c r="F2" s="43"/>
    </row>
    <row r="3" spans="1:6" ht="18">
      <c r="A3" s="42"/>
      <c r="B3" s="46" t="s">
        <v>259</v>
      </c>
      <c r="C3" s="44"/>
      <c r="D3" s="45"/>
      <c r="E3" s="46"/>
      <c r="F3" s="46"/>
    </row>
    <row r="4" spans="1:6" ht="18">
      <c r="A4" s="42"/>
      <c r="B4" s="46" t="s">
        <v>260</v>
      </c>
      <c r="C4" s="44"/>
      <c r="D4" s="45"/>
      <c r="E4" s="46"/>
      <c r="F4" s="46"/>
    </row>
    <row r="5" spans="1:6" ht="18">
      <c r="A5" s="42"/>
      <c r="B5" s="46"/>
      <c r="C5" s="44"/>
      <c r="D5" s="45"/>
      <c r="E5" s="46"/>
      <c r="F5" s="46"/>
    </row>
    <row r="6" spans="1:6">
      <c r="A6" s="47"/>
      <c r="B6" s="47"/>
      <c r="C6" s="47"/>
      <c r="D6" s="47"/>
      <c r="E6" s="47"/>
      <c r="F6" s="47"/>
    </row>
    <row r="7" spans="1:6">
      <c r="A7" s="291" t="s">
        <v>268</v>
      </c>
      <c r="B7" s="292"/>
      <c r="C7" s="292"/>
      <c r="D7" s="292"/>
      <c r="E7" s="292"/>
      <c r="F7" s="293"/>
    </row>
    <row r="8" spans="1:6">
      <c r="A8" s="294"/>
      <c r="B8" s="294"/>
      <c r="C8" s="294"/>
      <c r="D8" s="294"/>
      <c r="E8" s="294"/>
      <c r="F8" s="294"/>
    </row>
    <row r="9" spans="1:6">
      <c r="A9" s="34"/>
      <c r="B9" s="34"/>
      <c r="C9" s="34"/>
      <c r="D9" s="34"/>
      <c r="E9" s="34"/>
      <c r="F9" s="34"/>
    </row>
    <row r="10" spans="1:6">
      <c r="A10" s="295" t="s">
        <v>269</v>
      </c>
      <c r="B10" s="295"/>
      <c r="C10" s="295"/>
      <c r="D10" s="295"/>
      <c r="E10" s="295"/>
      <c r="F10" s="34"/>
    </row>
    <row r="11" spans="1:6">
      <c r="A11" s="48" t="s">
        <v>3</v>
      </c>
      <c r="B11" s="49" t="s">
        <v>4</v>
      </c>
      <c r="C11" s="50" t="s">
        <v>270</v>
      </c>
      <c r="D11" s="50" t="s">
        <v>271</v>
      </c>
      <c r="E11" s="51" t="s">
        <v>272</v>
      </c>
      <c r="F11" s="52"/>
    </row>
    <row r="12" spans="1:6" ht="15">
      <c r="A12" s="53">
        <v>1</v>
      </c>
      <c r="B12" s="54" t="s">
        <v>273</v>
      </c>
      <c r="C12" s="55"/>
      <c r="D12" s="56" t="s">
        <v>274</v>
      </c>
      <c r="E12" s="57">
        <v>3.8</v>
      </c>
      <c r="F12" s="58"/>
    </row>
    <row r="13" spans="1:6" ht="15">
      <c r="A13" s="59">
        <v>2</v>
      </c>
      <c r="B13" s="60" t="s">
        <v>275</v>
      </c>
      <c r="C13" s="61"/>
      <c r="D13" s="56" t="s">
        <v>276</v>
      </c>
      <c r="E13" s="57">
        <v>1.1100000000000001</v>
      </c>
      <c r="F13" s="58"/>
    </row>
    <row r="14" spans="1:6" ht="15">
      <c r="A14" s="59">
        <v>3</v>
      </c>
      <c r="B14" s="60" t="s">
        <v>277</v>
      </c>
      <c r="C14" s="61"/>
      <c r="D14" s="56" t="s">
        <v>278</v>
      </c>
      <c r="E14" s="57">
        <v>0.94</v>
      </c>
      <c r="F14" s="58"/>
    </row>
    <row r="15" spans="1:6" ht="15">
      <c r="A15" s="59">
        <v>4</v>
      </c>
      <c r="B15" s="62" t="s">
        <v>279</v>
      </c>
      <c r="C15" s="61"/>
      <c r="D15" s="56" t="s">
        <v>280</v>
      </c>
      <c r="E15" s="57">
        <v>7.18</v>
      </c>
      <c r="F15" s="58"/>
    </row>
    <row r="16" spans="1:6" ht="15">
      <c r="A16" s="59">
        <v>5</v>
      </c>
      <c r="B16" s="60" t="s">
        <v>281</v>
      </c>
      <c r="C16" s="61"/>
      <c r="D16" s="56" t="s">
        <v>282</v>
      </c>
      <c r="E16" s="63">
        <f>SUM(C17:C19)</f>
        <v>6.15</v>
      </c>
      <c r="F16" s="58"/>
    </row>
    <row r="17" spans="1:6">
      <c r="A17" s="64" t="s">
        <v>283</v>
      </c>
      <c r="B17" s="65" t="s">
        <v>284</v>
      </c>
      <c r="C17" s="66">
        <v>0.65</v>
      </c>
      <c r="D17" s="56"/>
      <c r="E17" s="67"/>
      <c r="F17" s="58"/>
    </row>
    <row r="18" spans="1:6">
      <c r="A18" s="64" t="s">
        <v>285</v>
      </c>
      <c r="B18" s="65" t="s">
        <v>286</v>
      </c>
      <c r="C18" s="66">
        <v>3</v>
      </c>
      <c r="D18" s="56"/>
      <c r="E18" s="67"/>
      <c r="F18" s="58"/>
    </row>
    <row r="19" spans="1:6">
      <c r="A19" s="64" t="s">
        <v>287</v>
      </c>
      <c r="B19" s="65" t="s">
        <v>288</v>
      </c>
      <c r="C19" s="66">
        <v>2.5</v>
      </c>
      <c r="D19" s="56"/>
      <c r="E19" s="67"/>
      <c r="F19" s="58"/>
    </row>
    <row r="20" spans="1:6">
      <c r="A20" s="64" t="s">
        <v>289</v>
      </c>
      <c r="B20" s="65" t="s">
        <v>290</v>
      </c>
      <c r="C20" s="66"/>
      <c r="D20" s="56"/>
      <c r="E20" s="67"/>
      <c r="F20" s="58"/>
    </row>
    <row r="21" spans="1:6">
      <c r="A21" s="68"/>
      <c r="B21" s="69"/>
      <c r="C21" s="70"/>
      <c r="D21" s="71"/>
      <c r="E21" s="72">
        <f>ROUND((((((1+(E12/100)+(E14/100))*(1+(E13/100))*(1+(E15/100)))/(1-(E16/100))-1)))*100,2)</f>
        <v>20.94</v>
      </c>
      <c r="F21" s="58"/>
    </row>
    <row r="22" spans="1:6">
      <c r="A22" s="34"/>
      <c r="B22" s="34"/>
      <c r="C22" s="34"/>
      <c r="D22" s="34"/>
      <c r="E22" s="34"/>
      <c r="F22" s="58"/>
    </row>
    <row r="23" spans="1:6">
      <c r="A23" s="73" t="s">
        <v>291</v>
      </c>
      <c r="B23" s="74" t="s">
        <v>292</v>
      </c>
      <c r="C23" s="34"/>
      <c r="D23" s="75"/>
      <c r="E23" s="75"/>
      <c r="F23" s="76"/>
    </row>
    <row r="24" spans="1:6" ht="14.25">
      <c r="A24" s="34"/>
      <c r="B24" s="74" t="s">
        <v>293</v>
      </c>
      <c r="C24" s="34"/>
      <c r="D24" s="75"/>
      <c r="E24" s="77"/>
      <c r="F24" s="76"/>
    </row>
    <row r="25" spans="1:6" ht="14.25">
      <c r="A25" s="34"/>
      <c r="B25" s="74" t="s">
        <v>294</v>
      </c>
      <c r="C25" s="34"/>
      <c r="D25" s="75"/>
      <c r="E25" s="77"/>
      <c r="F25" s="76"/>
    </row>
    <row r="26" spans="1:6" ht="14.25">
      <c r="A26" s="34"/>
      <c r="B26" s="74" t="s">
        <v>295</v>
      </c>
      <c r="C26" s="34"/>
      <c r="D26" s="75"/>
      <c r="E26" s="77"/>
      <c r="F26" s="76"/>
    </row>
    <row r="27" spans="1:6">
      <c r="A27" s="34"/>
      <c r="B27" s="34"/>
      <c r="C27" s="34"/>
      <c r="D27" s="34"/>
      <c r="E27" s="34"/>
      <c r="F27" s="34"/>
    </row>
    <row r="30" spans="1:6" hidden="1"/>
    <row r="31" spans="1:6" hidden="1"/>
    <row r="32" spans="1:6" hidden="1"/>
    <row r="35" spans="1:6" s="34" customFormat="1">
      <c r="A35" s="37"/>
      <c r="B35" s="37"/>
      <c r="C35" s="37"/>
      <c r="D35" s="37"/>
      <c r="E35" s="37"/>
      <c r="F35" s="37"/>
    </row>
    <row r="36" spans="1:6" s="34" customFormat="1" ht="13.5" customHeight="1">
      <c r="A36" s="37"/>
      <c r="B36" s="37"/>
      <c r="C36" s="37"/>
      <c r="D36" s="37"/>
      <c r="E36" s="37"/>
      <c r="F36" s="37"/>
    </row>
    <row r="37" spans="1:6" s="34" customFormat="1" ht="11.25" customHeight="1">
      <c r="A37" s="37"/>
      <c r="B37" s="37"/>
      <c r="C37" s="37"/>
      <c r="D37" s="37"/>
      <c r="E37" s="37"/>
      <c r="F37" s="37"/>
    </row>
    <row r="38" spans="1:6" s="34" customFormat="1" ht="12.75" customHeight="1">
      <c r="A38" s="37"/>
      <c r="B38" s="37"/>
      <c r="C38" s="37"/>
      <c r="D38" s="37"/>
      <c r="E38" s="37"/>
      <c r="F38" s="37"/>
    </row>
    <row r="39" spans="1:6" s="34" customFormat="1" ht="12.75" customHeight="1">
      <c r="A39" s="37"/>
      <c r="B39" s="37"/>
      <c r="C39" s="37"/>
      <c r="D39" s="37"/>
      <c r="E39" s="37"/>
      <c r="F39" s="37"/>
    </row>
    <row r="40" spans="1:6" s="34" customFormat="1" ht="8.25" customHeight="1">
      <c r="A40" s="37"/>
      <c r="B40" s="37"/>
      <c r="C40" s="37"/>
      <c r="D40" s="37"/>
      <c r="E40" s="37"/>
      <c r="F40" s="37"/>
    </row>
    <row r="41" spans="1:6" s="35" customFormat="1">
      <c r="A41" s="37"/>
      <c r="B41" s="37"/>
      <c r="C41" s="37"/>
      <c r="D41" s="37"/>
      <c r="E41" s="37"/>
      <c r="F41" s="37"/>
    </row>
    <row r="42" spans="1:6" s="35" customFormat="1" ht="11.25" customHeight="1">
      <c r="A42" s="37"/>
      <c r="B42" s="37"/>
      <c r="C42" s="37"/>
      <c r="D42" s="37"/>
      <c r="E42" s="37"/>
      <c r="F42" s="37"/>
    </row>
    <row r="43" spans="1:6" s="34" customFormat="1">
      <c r="A43" s="37"/>
      <c r="B43" s="37"/>
      <c r="C43" s="37"/>
      <c r="D43" s="37"/>
      <c r="E43" s="37"/>
      <c r="F43" s="37"/>
    </row>
    <row r="44" spans="1:6" s="34" customFormat="1">
      <c r="A44" s="37"/>
      <c r="B44" s="37"/>
      <c r="C44" s="37"/>
      <c r="D44" s="37"/>
      <c r="E44" s="37"/>
      <c r="F44" s="37"/>
    </row>
    <row r="45" spans="1:6" s="36" customFormat="1">
      <c r="A45" s="37"/>
      <c r="B45" s="37"/>
      <c r="C45" s="37"/>
      <c r="D45" s="37"/>
      <c r="E45" s="37"/>
      <c r="F45" s="37"/>
    </row>
    <row r="46" spans="1:6" s="36" customFormat="1">
      <c r="A46" s="37"/>
      <c r="B46" s="37"/>
      <c r="C46" s="37"/>
      <c r="D46" s="37"/>
      <c r="E46" s="37"/>
      <c r="F46" s="37"/>
    </row>
    <row r="47" spans="1:6" s="36" customFormat="1">
      <c r="A47" s="37"/>
      <c r="B47" s="37"/>
      <c r="C47" s="37"/>
      <c r="D47" s="37"/>
      <c r="E47" s="37"/>
      <c r="F47" s="37"/>
    </row>
    <row r="48" spans="1:6" s="36" customFormat="1">
      <c r="A48" s="37"/>
      <c r="B48" s="37"/>
      <c r="C48" s="37"/>
      <c r="D48" s="37"/>
      <c r="E48" s="37"/>
      <c r="F48" s="37"/>
    </row>
    <row r="49" spans="1:6" s="36" customFormat="1">
      <c r="A49" s="37"/>
      <c r="B49" s="37"/>
      <c r="C49" s="37"/>
      <c r="D49" s="37"/>
      <c r="E49" s="37"/>
      <c r="F49" s="37"/>
    </row>
    <row r="50" spans="1:6" s="36" customFormat="1">
      <c r="A50" s="37"/>
      <c r="B50" s="37"/>
      <c r="C50" s="37"/>
      <c r="D50" s="37"/>
      <c r="E50" s="37"/>
      <c r="F50" s="37"/>
    </row>
    <row r="51" spans="1:6" s="36" customFormat="1">
      <c r="A51" s="37"/>
      <c r="B51" s="37"/>
      <c r="C51" s="37"/>
      <c r="D51" s="37"/>
      <c r="E51" s="37"/>
      <c r="F51" s="37"/>
    </row>
    <row r="52" spans="1:6" s="36" customFormat="1">
      <c r="A52" s="37"/>
      <c r="B52" s="37"/>
      <c r="C52" s="37"/>
      <c r="D52" s="37"/>
      <c r="E52" s="37"/>
      <c r="F52" s="37"/>
    </row>
    <row r="53" spans="1:6" s="36" customFormat="1">
      <c r="A53" s="37"/>
      <c r="B53" s="37"/>
      <c r="C53" s="37"/>
      <c r="D53" s="37"/>
      <c r="E53" s="37"/>
      <c r="F53" s="37"/>
    </row>
    <row r="54" spans="1:6" s="36" customFormat="1">
      <c r="A54" s="37"/>
      <c r="B54" s="37"/>
      <c r="C54" s="37"/>
      <c r="D54" s="37"/>
      <c r="E54" s="37"/>
      <c r="F54" s="37"/>
    </row>
    <row r="55" spans="1:6" s="36" customFormat="1">
      <c r="A55" s="37"/>
      <c r="B55" s="37"/>
      <c r="C55" s="37"/>
      <c r="D55" s="37"/>
      <c r="E55" s="37"/>
      <c r="F55" s="37"/>
    </row>
    <row r="56" spans="1:6" s="34" customFormat="1">
      <c r="A56" s="37"/>
      <c r="B56" s="37"/>
      <c r="C56" s="37"/>
      <c r="D56" s="37"/>
      <c r="E56" s="37"/>
      <c r="F56" s="37"/>
    </row>
    <row r="57" spans="1:6" s="36" customFormat="1">
      <c r="A57" s="37"/>
      <c r="B57" s="37"/>
      <c r="C57" s="37"/>
      <c r="D57" s="37"/>
      <c r="E57" s="37"/>
      <c r="F57" s="37"/>
    </row>
    <row r="58" spans="1:6" s="36" customFormat="1">
      <c r="A58" s="37"/>
      <c r="B58" s="37"/>
      <c r="C58" s="37"/>
      <c r="D58" s="37"/>
      <c r="E58" s="37"/>
      <c r="F58" s="37"/>
    </row>
    <row r="59" spans="1:6" s="36" customFormat="1">
      <c r="A59" s="37"/>
      <c r="B59" s="37"/>
      <c r="C59" s="37"/>
      <c r="D59" s="37"/>
      <c r="E59" s="37"/>
      <c r="F59" s="37"/>
    </row>
    <row r="60" spans="1:6" s="36" customFormat="1">
      <c r="A60" s="37"/>
      <c r="B60" s="37"/>
      <c r="C60" s="37"/>
      <c r="D60" s="37"/>
      <c r="E60" s="37"/>
      <c r="F60" s="37"/>
    </row>
    <row r="62" spans="1:6">
      <c r="A62" s="34"/>
      <c r="B62" s="34"/>
      <c r="C62" s="34"/>
      <c r="D62" s="34"/>
      <c r="E62" s="34"/>
      <c r="F62" s="34"/>
    </row>
    <row r="63" spans="1:6">
      <c r="A63" s="34"/>
      <c r="B63" s="34"/>
      <c r="C63" s="34"/>
      <c r="D63" s="34"/>
      <c r="E63" s="34"/>
      <c r="F63" s="34"/>
    </row>
    <row r="64" spans="1:6">
      <c r="A64" s="34"/>
      <c r="B64" s="34"/>
      <c r="C64" s="34"/>
      <c r="D64" s="34"/>
      <c r="E64" s="34"/>
      <c r="F64" s="34"/>
    </row>
    <row r="65" spans="1:6">
      <c r="A65" s="34"/>
      <c r="B65" s="34"/>
      <c r="C65" s="34"/>
      <c r="D65" s="34"/>
      <c r="E65" s="34"/>
      <c r="F65" s="34"/>
    </row>
    <row r="66" spans="1:6">
      <c r="A66" s="34"/>
      <c r="B66" s="34"/>
      <c r="C66" s="34"/>
      <c r="D66" s="34"/>
      <c r="E66" s="34"/>
      <c r="F66" s="34"/>
    </row>
    <row r="67" spans="1:6">
      <c r="A67" s="34"/>
      <c r="B67" s="34"/>
      <c r="C67" s="34"/>
      <c r="D67" s="34"/>
      <c r="E67" s="34"/>
      <c r="F67" s="34"/>
    </row>
    <row r="68" spans="1:6">
      <c r="A68" s="35"/>
      <c r="B68" s="35"/>
      <c r="C68" s="35"/>
      <c r="D68" s="35"/>
      <c r="E68" s="35"/>
      <c r="F68" s="35"/>
    </row>
    <row r="69" spans="1:6">
      <c r="A69" s="35"/>
      <c r="B69" s="35"/>
      <c r="C69" s="35"/>
      <c r="D69" s="35"/>
      <c r="E69" s="35"/>
      <c r="F69" s="35"/>
    </row>
    <row r="70" spans="1:6">
      <c r="A70" s="34"/>
      <c r="B70" s="34"/>
      <c r="C70" s="34"/>
      <c r="D70" s="34"/>
      <c r="E70" s="34"/>
      <c r="F70" s="34"/>
    </row>
    <row r="71" spans="1:6">
      <c r="A71" s="34"/>
      <c r="B71" s="34"/>
      <c r="C71" s="34"/>
      <c r="D71" s="34"/>
      <c r="E71" s="34"/>
      <c r="F71" s="34"/>
    </row>
    <row r="72" spans="1:6">
      <c r="A72" s="36"/>
      <c r="B72" s="36"/>
      <c r="C72" s="36"/>
      <c r="D72" s="36"/>
      <c r="E72" s="36"/>
      <c r="F72" s="36"/>
    </row>
    <row r="73" spans="1:6">
      <c r="A73" s="36"/>
      <c r="B73" s="36"/>
      <c r="C73" s="36"/>
      <c r="D73" s="36"/>
      <c r="E73" s="36"/>
      <c r="F73" s="36"/>
    </row>
    <row r="74" spans="1:6">
      <c r="A74" s="36"/>
      <c r="B74" s="36"/>
      <c r="C74" s="36"/>
      <c r="D74" s="36"/>
      <c r="E74" s="36"/>
      <c r="F74" s="36"/>
    </row>
    <row r="75" spans="1:6">
      <c r="A75" s="36"/>
      <c r="B75" s="36"/>
      <c r="C75" s="36"/>
      <c r="D75" s="36"/>
      <c r="E75" s="36"/>
      <c r="F75" s="36"/>
    </row>
    <row r="76" spans="1:6">
      <c r="A76" s="36"/>
      <c r="B76" s="36"/>
      <c r="C76" s="36"/>
      <c r="D76" s="36"/>
      <c r="E76" s="36"/>
      <c r="F76" s="36"/>
    </row>
    <row r="77" spans="1:6">
      <c r="A77" s="36"/>
      <c r="B77" s="36"/>
      <c r="C77" s="36"/>
      <c r="D77" s="36"/>
      <c r="E77" s="36"/>
      <c r="F77" s="36"/>
    </row>
    <row r="78" spans="1:6">
      <c r="A78" s="36"/>
      <c r="B78" s="36"/>
      <c r="C78" s="36"/>
      <c r="D78" s="36"/>
      <c r="E78" s="36"/>
      <c r="F78" s="36"/>
    </row>
    <row r="79" spans="1:6">
      <c r="A79" s="36"/>
      <c r="B79" s="36"/>
      <c r="C79" s="36"/>
      <c r="D79" s="36"/>
      <c r="E79" s="36"/>
      <c r="F79" s="36"/>
    </row>
    <row r="80" spans="1:6">
      <c r="A80" s="36"/>
      <c r="B80" s="36"/>
      <c r="C80" s="36"/>
      <c r="D80" s="36"/>
      <c r="E80" s="36"/>
      <c r="F80" s="36"/>
    </row>
    <row r="81" spans="1:6">
      <c r="A81" s="36"/>
      <c r="B81" s="36"/>
      <c r="C81" s="36"/>
      <c r="D81" s="36"/>
      <c r="E81" s="36"/>
      <c r="F81" s="36"/>
    </row>
    <row r="82" spans="1:6">
      <c r="A82" s="36"/>
      <c r="B82" s="36"/>
      <c r="C82" s="36"/>
      <c r="D82" s="36"/>
      <c r="E82" s="36"/>
      <c r="F82" s="36"/>
    </row>
    <row r="83" spans="1:6">
      <c r="A83" s="34"/>
      <c r="B83" s="34"/>
      <c r="C83" s="34"/>
      <c r="D83" s="34"/>
      <c r="E83" s="34"/>
      <c r="F83" s="34"/>
    </row>
    <row r="84" spans="1:6">
      <c r="A84" s="36"/>
      <c r="B84" s="36"/>
      <c r="C84" s="36"/>
      <c r="D84" s="36"/>
      <c r="E84" s="36"/>
      <c r="F84" s="36"/>
    </row>
    <row r="85" spans="1:6">
      <c r="A85" s="36"/>
      <c r="B85" s="36"/>
      <c r="C85" s="36"/>
      <c r="D85" s="36"/>
      <c r="E85" s="36"/>
      <c r="F85" s="36"/>
    </row>
    <row r="86" spans="1:6">
      <c r="A86" s="36"/>
      <c r="B86" s="36"/>
      <c r="C86" s="36"/>
      <c r="D86" s="36"/>
      <c r="E86" s="36"/>
      <c r="F86" s="36"/>
    </row>
    <row r="87" spans="1:6">
      <c r="A87" s="36"/>
      <c r="B87" s="36"/>
      <c r="C87" s="36"/>
      <c r="D87" s="36"/>
      <c r="E87" s="36"/>
      <c r="F87" s="36"/>
    </row>
  </sheetData>
  <mergeCells count="3">
    <mergeCell ref="A7:F7"/>
    <mergeCell ref="A8:F8"/>
    <mergeCell ref="A10:E10"/>
  </mergeCells>
  <pageMargins left="0.511811024" right="0.511811024" top="0.78740157499999996" bottom="0.78740157499999996" header="0.31496062000000002" footer="0.31496062000000002"/>
  <pageSetup paperSize="9" orientation="portrait"/>
  <drawing r:id="rId1"/>
  <legacyDrawing r:id="rId2"/>
  <oleObjects>
    <mc:AlternateContent xmlns:mc="http://schemas.openxmlformats.org/markup-compatibility/2006">
      <mc:Choice Requires="x14">
        <oleObject progId="Figura do Microsoft Photo Editor 3.0" shapeId="12290" r:id="rId3">
          <objectPr defaultSize="0" altText="" r:id="rId4">
            <anchor moveWithCells="1" sizeWithCells="1">
              <from>
                <xdr:col>0</xdr:col>
                <xdr:colOff>28575</xdr:colOff>
                <xdr:row>0</xdr:row>
                <xdr:rowOff>133350</xdr:rowOff>
              </from>
              <to>
                <xdr:col>1</xdr:col>
                <xdr:colOff>0</xdr:colOff>
                <xdr:row>2</xdr:row>
                <xdr:rowOff>0</xdr:rowOff>
              </to>
            </anchor>
          </objectPr>
        </oleObject>
      </mc:Choice>
      <mc:Fallback>
        <oleObject progId="Figura do Microsoft Photo Editor 3.0" shapeId="12290" r:id="rId3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6"/>
  <sheetViews>
    <sheetView workbookViewId="0">
      <selection activeCell="I33" sqref="I33"/>
    </sheetView>
  </sheetViews>
  <sheetFormatPr defaultColWidth="9" defaultRowHeight="14.25"/>
  <cols>
    <col min="1" max="1" width="9" style="17"/>
    <col min="2" max="2" width="28.5" style="17" customWidth="1"/>
    <col min="3" max="3" width="10.375" style="17" customWidth="1"/>
    <col min="4" max="5" width="11.875" style="17" customWidth="1"/>
    <col min="6" max="6" width="11.5" style="17" customWidth="1"/>
    <col min="7" max="257" width="9" style="17"/>
    <col min="258" max="258" width="28.5" style="17" customWidth="1"/>
    <col min="259" max="259" width="10.375" style="17" customWidth="1"/>
    <col min="260" max="261" width="11.875" style="17" customWidth="1"/>
    <col min="262" max="262" width="11.5" style="17" customWidth="1"/>
    <col min="263" max="513" width="9" style="17"/>
    <col min="514" max="514" width="28.5" style="17" customWidth="1"/>
    <col min="515" max="515" width="10.375" style="17" customWidth="1"/>
    <col min="516" max="517" width="11.875" style="17" customWidth="1"/>
    <col min="518" max="518" width="11.5" style="17" customWidth="1"/>
    <col min="519" max="769" width="9" style="17"/>
    <col min="770" max="770" width="28.5" style="17" customWidth="1"/>
    <col min="771" max="771" width="10.375" style="17" customWidth="1"/>
    <col min="772" max="773" width="11.875" style="17" customWidth="1"/>
    <col min="774" max="774" width="11.5" style="17" customWidth="1"/>
    <col min="775" max="1025" width="9" style="17"/>
    <col min="1026" max="1026" width="28.5" style="17" customWidth="1"/>
    <col min="1027" max="1027" width="10.375" style="17" customWidth="1"/>
    <col min="1028" max="1029" width="11.875" style="17" customWidth="1"/>
    <col min="1030" max="1030" width="11.5" style="17" customWidth="1"/>
    <col min="1031" max="1281" width="9" style="17"/>
    <col min="1282" max="1282" width="28.5" style="17" customWidth="1"/>
    <col min="1283" max="1283" width="10.375" style="17" customWidth="1"/>
    <col min="1284" max="1285" width="11.875" style="17" customWidth="1"/>
    <col min="1286" max="1286" width="11.5" style="17" customWidth="1"/>
    <col min="1287" max="1537" width="9" style="17"/>
    <col min="1538" max="1538" width="28.5" style="17" customWidth="1"/>
    <col min="1539" max="1539" width="10.375" style="17" customWidth="1"/>
    <col min="1540" max="1541" width="11.875" style="17" customWidth="1"/>
    <col min="1542" max="1542" width="11.5" style="17" customWidth="1"/>
    <col min="1543" max="1793" width="9" style="17"/>
    <col min="1794" max="1794" width="28.5" style="17" customWidth="1"/>
    <col min="1795" max="1795" width="10.375" style="17" customWidth="1"/>
    <col min="1796" max="1797" width="11.875" style="17" customWidth="1"/>
    <col min="1798" max="1798" width="11.5" style="17" customWidth="1"/>
    <col min="1799" max="2049" width="9" style="17"/>
    <col min="2050" max="2050" width="28.5" style="17" customWidth="1"/>
    <col min="2051" max="2051" width="10.375" style="17" customWidth="1"/>
    <col min="2052" max="2053" width="11.875" style="17" customWidth="1"/>
    <col min="2054" max="2054" width="11.5" style="17" customWidth="1"/>
    <col min="2055" max="2305" width="9" style="17"/>
    <col min="2306" max="2306" width="28.5" style="17" customWidth="1"/>
    <col min="2307" max="2307" width="10.375" style="17" customWidth="1"/>
    <col min="2308" max="2309" width="11.875" style="17" customWidth="1"/>
    <col min="2310" max="2310" width="11.5" style="17" customWidth="1"/>
    <col min="2311" max="2561" width="9" style="17"/>
    <col min="2562" max="2562" width="28.5" style="17" customWidth="1"/>
    <col min="2563" max="2563" width="10.375" style="17" customWidth="1"/>
    <col min="2564" max="2565" width="11.875" style="17" customWidth="1"/>
    <col min="2566" max="2566" width="11.5" style="17" customWidth="1"/>
    <col min="2567" max="2817" width="9" style="17"/>
    <col min="2818" max="2818" width="28.5" style="17" customWidth="1"/>
    <col min="2819" max="2819" width="10.375" style="17" customWidth="1"/>
    <col min="2820" max="2821" width="11.875" style="17" customWidth="1"/>
    <col min="2822" max="2822" width="11.5" style="17" customWidth="1"/>
    <col min="2823" max="3073" width="9" style="17"/>
    <col min="3074" max="3074" width="28.5" style="17" customWidth="1"/>
    <col min="3075" max="3075" width="10.375" style="17" customWidth="1"/>
    <col min="3076" max="3077" width="11.875" style="17" customWidth="1"/>
    <col min="3078" max="3078" width="11.5" style="17" customWidth="1"/>
    <col min="3079" max="3329" width="9" style="17"/>
    <col min="3330" max="3330" width="28.5" style="17" customWidth="1"/>
    <col min="3331" max="3331" width="10.375" style="17" customWidth="1"/>
    <col min="3332" max="3333" width="11.875" style="17" customWidth="1"/>
    <col min="3334" max="3334" width="11.5" style="17" customWidth="1"/>
    <col min="3335" max="3585" width="9" style="17"/>
    <col min="3586" max="3586" width="28.5" style="17" customWidth="1"/>
    <col min="3587" max="3587" width="10.375" style="17" customWidth="1"/>
    <col min="3588" max="3589" width="11.875" style="17" customWidth="1"/>
    <col min="3590" max="3590" width="11.5" style="17" customWidth="1"/>
    <col min="3591" max="3841" width="9" style="17"/>
    <col min="3842" max="3842" width="28.5" style="17" customWidth="1"/>
    <col min="3843" max="3843" width="10.375" style="17" customWidth="1"/>
    <col min="3844" max="3845" width="11.875" style="17" customWidth="1"/>
    <col min="3846" max="3846" width="11.5" style="17" customWidth="1"/>
    <col min="3847" max="4097" width="9" style="17"/>
    <col min="4098" max="4098" width="28.5" style="17" customWidth="1"/>
    <col min="4099" max="4099" width="10.375" style="17" customWidth="1"/>
    <col min="4100" max="4101" width="11.875" style="17" customWidth="1"/>
    <col min="4102" max="4102" width="11.5" style="17" customWidth="1"/>
    <col min="4103" max="4353" width="9" style="17"/>
    <col min="4354" max="4354" width="28.5" style="17" customWidth="1"/>
    <col min="4355" max="4355" width="10.375" style="17" customWidth="1"/>
    <col min="4356" max="4357" width="11.875" style="17" customWidth="1"/>
    <col min="4358" max="4358" width="11.5" style="17" customWidth="1"/>
    <col min="4359" max="4609" width="9" style="17"/>
    <col min="4610" max="4610" width="28.5" style="17" customWidth="1"/>
    <col min="4611" max="4611" width="10.375" style="17" customWidth="1"/>
    <col min="4612" max="4613" width="11.875" style="17" customWidth="1"/>
    <col min="4614" max="4614" width="11.5" style="17" customWidth="1"/>
    <col min="4615" max="4865" width="9" style="17"/>
    <col min="4866" max="4866" width="28.5" style="17" customWidth="1"/>
    <col min="4867" max="4867" width="10.375" style="17" customWidth="1"/>
    <col min="4868" max="4869" width="11.875" style="17" customWidth="1"/>
    <col min="4870" max="4870" width="11.5" style="17" customWidth="1"/>
    <col min="4871" max="5121" width="9" style="17"/>
    <col min="5122" max="5122" width="28.5" style="17" customWidth="1"/>
    <col min="5123" max="5123" width="10.375" style="17" customWidth="1"/>
    <col min="5124" max="5125" width="11.875" style="17" customWidth="1"/>
    <col min="5126" max="5126" width="11.5" style="17" customWidth="1"/>
    <col min="5127" max="5377" width="9" style="17"/>
    <col min="5378" max="5378" width="28.5" style="17" customWidth="1"/>
    <col min="5379" max="5379" width="10.375" style="17" customWidth="1"/>
    <col min="5380" max="5381" width="11.875" style="17" customWidth="1"/>
    <col min="5382" max="5382" width="11.5" style="17" customWidth="1"/>
    <col min="5383" max="5633" width="9" style="17"/>
    <col min="5634" max="5634" width="28.5" style="17" customWidth="1"/>
    <col min="5635" max="5635" width="10.375" style="17" customWidth="1"/>
    <col min="5636" max="5637" width="11.875" style="17" customWidth="1"/>
    <col min="5638" max="5638" width="11.5" style="17" customWidth="1"/>
    <col min="5639" max="5889" width="9" style="17"/>
    <col min="5890" max="5890" width="28.5" style="17" customWidth="1"/>
    <col min="5891" max="5891" width="10.375" style="17" customWidth="1"/>
    <col min="5892" max="5893" width="11.875" style="17" customWidth="1"/>
    <col min="5894" max="5894" width="11.5" style="17" customWidth="1"/>
    <col min="5895" max="6145" width="9" style="17"/>
    <col min="6146" max="6146" width="28.5" style="17" customWidth="1"/>
    <col min="6147" max="6147" width="10.375" style="17" customWidth="1"/>
    <col min="6148" max="6149" width="11.875" style="17" customWidth="1"/>
    <col min="6150" max="6150" width="11.5" style="17" customWidth="1"/>
    <col min="6151" max="6401" width="9" style="17"/>
    <col min="6402" max="6402" width="28.5" style="17" customWidth="1"/>
    <col min="6403" max="6403" width="10.375" style="17" customWidth="1"/>
    <col min="6404" max="6405" width="11.875" style="17" customWidth="1"/>
    <col min="6406" max="6406" width="11.5" style="17" customWidth="1"/>
    <col min="6407" max="6657" width="9" style="17"/>
    <col min="6658" max="6658" width="28.5" style="17" customWidth="1"/>
    <col min="6659" max="6659" width="10.375" style="17" customWidth="1"/>
    <col min="6660" max="6661" width="11.875" style="17" customWidth="1"/>
    <col min="6662" max="6662" width="11.5" style="17" customWidth="1"/>
    <col min="6663" max="6913" width="9" style="17"/>
    <col min="6914" max="6914" width="28.5" style="17" customWidth="1"/>
    <col min="6915" max="6915" width="10.375" style="17" customWidth="1"/>
    <col min="6916" max="6917" width="11.875" style="17" customWidth="1"/>
    <col min="6918" max="6918" width="11.5" style="17" customWidth="1"/>
    <col min="6919" max="7169" width="9" style="17"/>
    <col min="7170" max="7170" width="28.5" style="17" customWidth="1"/>
    <col min="7171" max="7171" width="10.375" style="17" customWidth="1"/>
    <col min="7172" max="7173" width="11.875" style="17" customWidth="1"/>
    <col min="7174" max="7174" width="11.5" style="17" customWidth="1"/>
    <col min="7175" max="7425" width="9" style="17"/>
    <col min="7426" max="7426" width="28.5" style="17" customWidth="1"/>
    <col min="7427" max="7427" width="10.375" style="17" customWidth="1"/>
    <col min="7428" max="7429" width="11.875" style="17" customWidth="1"/>
    <col min="7430" max="7430" width="11.5" style="17" customWidth="1"/>
    <col min="7431" max="7681" width="9" style="17"/>
    <col min="7682" max="7682" width="28.5" style="17" customWidth="1"/>
    <col min="7683" max="7683" width="10.375" style="17" customWidth="1"/>
    <col min="7684" max="7685" width="11.875" style="17" customWidth="1"/>
    <col min="7686" max="7686" width="11.5" style="17" customWidth="1"/>
    <col min="7687" max="7937" width="9" style="17"/>
    <col min="7938" max="7938" width="28.5" style="17" customWidth="1"/>
    <col min="7939" max="7939" width="10.375" style="17" customWidth="1"/>
    <col min="7940" max="7941" width="11.875" style="17" customWidth="1"/>
    <col min="7942" max="7942" width="11.5" style="17" customWidth="1"/>
    <col min="7943" max="8193" width="9" style="17"/>
    <col min="8194" max="8194" width="28.5" style="17" customWidth="1"/>
    <col min="8195" max="8195" width="10.375" style="17" customWidth="1"/>
    <col min="8196" max="8197" width="11.875" style="17" customWidth="1"/>
    <col min="8198" max="8198" width="11.5" style="17" customWidth="1"/>
    <col min="8199" max="8449" width="9" style="17"/>
    <col min="8450" max="8450" width="28.5" style="17" customWidth="1"/>
    <col min="8451" max="8451" width="10.375" style="17" customWidth="1"/>
    <col min="8452" max="8453" width="11.875" style="17" customWidth="1"/>
    <col min="8454" max="8454" width="11.5" style="17" customWidth="1"/>
    <col min="8455" max="8705" width="9" style="17"/>
    <col min="8706" max="8706" width="28.5" style="17" customWidth="1"/>
    <col min="8707" max="8707" width="10.375" style="17" customWidth="1"/>
    <col min="8708" max="8709" width="11.875" style="17" customWidth="1"/>
    <col min="8710" max="8710" width="11.5" style="17" customWidth="1"/>
    <col min="8711" max="8961" width="9" style="17"/>
    <col min="8962" max="8962" width="28.5" style="17" customWidth="1"/>
    <col min="8963" max="8963" width="10.375" style="17" customWidth="1"/>
    <col min="8964" max="8965" width="11.875" style="17" customWidth="1"/>
    <col min="8966" max="8966" width="11.5" style="17" customWidth="1"/>
    <col min="8967" max="9217" width="9" style="17"/>
    <col min="9218" max="9218" width="28.5" style="17" customWidth="1"/>
    <col min="9219" max="9219" width="10.375" style="17" customWidth="1"/>
    <col min="9220" max="9221" width="11.875" style="17" customWidth="1"/>
    <col min="9222" max="9222" width="11.5" style="17" customWidth="1"/>
    <col min="9223" max="9473" width="9" style="17"/>
    <col min="9474" max="9474" width="28.5" style="17" customWidth="1"/>
    <col min="9475" max="9475" width="10.375" style="17" customWidth="1"/>
    <col min="9476" max="9477" width="11.875" style="17" customWidth="1"/>
    <col min="9478" max="9478" width="11.5" style="17" customWidth="1"/>
    <col min="9479" max="9729" width="9" style="17"/>
    <col min="9730" max="9730" width="28.5" style="17" customWidth="1"/>
    <col min="9731" max="9731" width="10.375" style="17" customWidth="1"/>
    <col min="9732" max="9733" width="11.875" style="17" customWidth="1"/>
    <col min="9734" max="9734" width="11.5" style="17" customWidth="1"/>
    <col min="9735" max="9985" width="9" style="17"/>
    <col min="9986" max="9986" width="28.5" style="17" customWidth="1"/>
    <col min="9987" max="9987" width="10.375" style="17" customWidth="1"/>
    <col min="9988" max="9989" width="11.875" style="17" customWidth="1"/>
    <col min="9990" max="9990" width="11.5" style="17" customWidth="1"/>
    <col min="9991" max="10241" width="9" style="17"/>
    <col min="10242" max="10242" width="28.5" style="17" customWidth="1"/>
    <col min="10243" max="10243" width="10.375" style="17" customWidth="1"/>
    <col min="10244" max="10245" width="11.875" style="17" customWidth="1"/>
    <col min="10246" max="10246" width="11.5" style="17" customWidth="1"/>
    <col min="10247" max="10497" width="9" style="17"/>
    <col min="10498" max="10498" width="28.5" style="17" customWidth="1"/>
    <col min="10499" max="10499" width="10.375" style="17" customWidth="1"/>
    <col min="10500" max="10501" width="11.875" style="17" customWidth="1"/>
    <col min="10502" max="10502" width="11.5" style="17" customWidth="1"/>
    <col min="10503" max="10753" width="9" style="17"/>
    <col min="10754" max="10754" width="28.5" style="17" customWidth="1"/>
    <col min="10755" max="10755" width="10.375" style="17" customWidth="1"/>
    <col min="10756" max="10757" width="11.875" style="17" customWidth="1"/>
    <col min="10758" max="10758" width="11.5" style="17" customWidth="1"/>
    <col min="10759" max="11009" width="9" style="17"/>
    <col min="11010" max="11010" width="28.5" style="17" customWidth="1"/>
    <col min="11011" max="11011" width="10.375" style="17" customWidth="1"/>
    <col min="11012" max="11013" width="11.875" style="17" customWidth="1"/>
    <col min="11014" max="11014" width="11.5" style="17" customWidth="1"/>
    <col min="11015" max="11265" width="9" style="17"/>
    <col min="11266" max="11266" width="28.5" style="17" customWidth="1"/>
    <col min="11267" max="11267" width="10.375" style="17" customWidth="1"/>
    <col min="11268" max="11269" width="11.875" style="17" customWidth="1"/>
    <col min="11270" max="11270" width="11.5" style="17" customWidth="1"/>
    <col min="11271" max="11521" width="9" style="17"/>
    <col min="11522" max="11522" width="28.5" style="17" customWidth="1"/>
    <col min="11523" max="11523" width="10.375" style="17" customWidth="1"/>
    <col min="11524" max="11525" width="11.875" style="17" customWidth="1"/>
    <col min="11526" max="11526" width="11.5" style="17" customWidth="1"/>
    <col min="11527" max="11777" width="9" style="17"/>
    <col min="11778" max="11778" width="28.5" style="17" customWidth="1"/>
    <col min="11779" max="11779" width="10.375" style="17" customWidth="1"/>
    <col min="11780" max="11781" width="11.875" style="17" customWidth="1"/>
    <col min="11782" max="11782" width="11.5" style="17" customWidth="1"/>
    <col min="11783" max="12033" width="9" style="17"/>
    <col min="12034" max="12034" width="28.5" style="17" customWidth="1"/>
    <col min="12035" max="12035" width="10.375" style="17" customWidth="1"/>
    <col min="12036" max="12037" width="11.875" style="17" customWidth="1"/>
    <col min="12038" max="12038" width="11.5" style="17" customWidth="1"/>
    <col min="12039" max="12289" width="9" style="17"/>
    <col min="12290" max="12290" width="28.5" style="17" customWidth="1"/>
    <col min="12291" max="12291" width="10.375" style="17" customWidth="1"/>
    <col min="12292" max="12293" width="11.875" style="17" customWidth="1"/>
    <col min="12294" max="12294" width="11.5" style="17" customWidth="1"/>
    <col min="12295" max="12545" width="9" style="17"/>
    <col min="12546" max="12546" width="28.5" style="17" customWidth="1"/>
    <col min="12547" max="12547" width="10.375" style="17" customWidth="1"/>
    <col min="12548" max="12549" width="11.875" style="17" customWidth="1"/>
    <col min="12550" max="12550" width="11.5" style="17" customWidth="1"/>
    <col min="12551" max="12801" width="9" style="17"/>
    <col min="12802" max="12802" width="28.5" style="17" customWidth="1"/>
    <col min="12803" max="12803" width="10.375" style="17" customWidth="1"/>
    <col min="12804" max="12805" width="11.875" style="17" customWidth="1"/>
    <col min="12806" max="12806" width="11.5" style="17" customWidth="1"/>
    <col min="12807" max="13057" width="9" style="17"/>
    <col min="13058" max="13058" width="28.5" style="17" customWidth="1"/>
    <col min="13059" max="13059" width="10.375" style="17" customWidth="1"/>
    <col min="13060" max="13061" width="11.875" style="17" customWidth="1"/>
    <col min="13062" max="13062" width="11.5" style="17" customWidth="1"/>
    <col min="13063" max="13313" width="9" style="17"/>
    <col min="13314" max="13314" width="28.5" style="17" customWidth="1"/>
    <col min="13315" max="13315" width="10.375" style="17" customWidth="1"/>
    <col min="13316" max="13317" width="11.875" style="17" customWidth="1"/>
    <col min="13318" max="13318" width="11.5" style="17" customWidth="1"/>
    <col min="13319" max="13569" width="9" style="17"/>
    <col min="13570" max="13570" width="28.5" style="17" customWidth="1"/>
    <col min="13571" max="13571" width="10.375" style="17" customWidth="1"/>
    <col min="13572" max="13573" width="11.875" style="17" customWidth="1"/>
    <col min="13574" max="13574" width="11.5" style="17" customWidth="1"/>
    <col min="13575" max="13825" width="9" style="17"/>
    <col min="13826" max="13826" width="28.5" style="17" customWidth="1"/>
    <col min="13827" max="13827" width="10.375" style="17" customWidth="1"/>
    <col min="13828" max="13829" width="11.875" style="17" customWidth="1"/>
    <col min="13830" max="13830" width="11.5" style="17" customWidth="1"/>
    <col min="13831" max="14081" width="9" style="17"/>
    <col min="14082" max="14082" width="28.5" style="17" customWidth="1"/>
    <col min="14083" max="14083" width="10.375" style="17" customWidth="1"/>
    <col min="14084" max="14085" width="11.875" style="17" customWidth="1"/>
    <col min="14086" max="14086" width="11.5" style="17" customWidth="1"/>
    <col min="14087" max="14337" width="9" style="17"/>
    <col min="14338" max="14338" width="28.5" style="17" customWidth="1"/>
    <col min="14339" max="14339" width="10.375" style="17" customWidth="1"/>
    <col min="14340" max="14341" width="11.875" style="17" customWidth="1"/>
    <col min="14342" max="14342" width="11.5" style="17" customWidth="1"/>
    <col min="14343" max="14593" width="9" style="17"/>
    <col min="14594" max="14594" width="28.5" style="17" customWidth="1"/>
    <col min="14595" max="14595" width="10.375" style="17" customWidth="1"/>
    <col min="14596" max="14597" width="11.875" style="17" customWidth="1"/>
    <col min="14598" max="14598" width="11.5" style="17" customWidth="1"/>
    <col min="14599" max="14849" width="9" style="17"/>
    <col min="14850" max="14850" width="28.5" style="17" customWidth="1"/>
    <col min="14851" max="14851" width="10.375" style="17" customWidth="1"/>
    <col min="14852" max="14853" width="11.875" style="17" customWidth="1"/>
    <col min="14854" max="14854" width="11.5" style="17" customWidth="1"/>
    <col min="14855" max="15105" width="9" style="17"/>
    <col min="15106" max="15106" width="28.5" style="17" customWidth="1"/>
    <col min="15107" max="15107" width="10.375" style="17" customWidth="1"/>
    <col min="15108" max="15109" width="11.875" style="17" customWidth="1"/>
    <col min="15110" max="15110" width="11.5" style="17" customWidth="1"/>
    <col min="15111" max="15361" width="9" style="17"/>
    <col min="15362" max="15362" width="28.5" style="17" customWidth="1"/>
    <col min="15363" max="15363" width="10.375" style="17" customWidth="1"/>
    <col min="15364" max="15365" width="11.875" style="17" customWidth="1"/>
    <col min="15366" max="15366" width="11.5" style="17" customWidth="1"/>
    <col min="15367" max="15617" width="9" style="17"/>
    <col min="15618" max="15618" width="28.5" style="17" customWidth="1"/>
    <col min="15619" max="15619" width="10.375" style="17" customWidth="1"/>
    <col min="15620" max="15621" width="11.875" style="17" customWidth="1"/>
    <col min="15622" max="15622" width="11.5" style="17" customWidth="1"/>
    <col min="15623" max="15873" width="9" style="17"/>
    <col min="15874" max="15874" width="28.5" style="17" customWidth="1"/>
    <col min="15875" max="15875" width="10.375" style="17" customWidth="1"/>
    <col min="15876" max="15877" width="11.875" style="17" customWidth="1"/>
    <col min="15878" max="15878" width="11.5" style="17" customWidth="1"/>
    <col min="15879" max="16129" width="9" style="17"/>
    <col min="16130" max="16130" width="28.5" style="17" customWidth="1"/>
    <col min="16131" max="16131" width="10.375" style="17" customWidth="1"/>
    <col min="16132" max="16133" width="11.875" style="17" customWidth="1"/>
    <col min="16134" max="16134" width="11.5" style="17" customWidth="1"/>
    <col min="16135" max="16384" width="9" style="17"/>
  </cols>
  <sheetData>
    <row r="1" spans="1:6" ht="15" customHeight="1">
      <c r="A1" s="296" t="s">
        <v>296</v>
      </c>
      <c r="B1" s="297"/>
      <c r="C1" s="297"/>
      <c r="D1" s="297"/>
      <c r="E1" s="297"/>
      <c r="F1" s="298"/>
    </row>
    <row r="2" spans="1:6" ht="30" customHeight="1">
      <c r="A2" s="299"/>
      <c r="B2" s="300"/>
      <c r="C2" s="300"/>
      <c r="D2" s="300"/>
      <c r="E2" s="300"/>
      <c r="F2" s="301"/>
    </row>
    <row r="3" spans="1:6" ht="21.75" customHeight="1">
      <c r="A3" s="299"/>
      <c r="B3" s="300"/>
      <c r="C3" s="300"/>
      <c r="D3" s="300"/>
      <c r="E3" s="300"/>
      <c r="F3" s="301"/>
    </row>
    <row r="4" spans="1:6">
      <c r="A4" s="299"/>
      <c r="B4" s="300"/>
      <c r="C4" s="300"/>
      <c r="D4" s="300"/>
      <c r="E4" s="300"/>
      <c r="F4" s="301"/>
    </row>
    <row r="5" spans="1:6">
      <c r="A5" s="302"/>
      <c r="B5" s="303"/>
      <c r="C5" s="303"/>
      <c r="D5" s="303"/>
      <c r="E5" s="303"/>
      <c r="F5" s="304"/>
    </row>
    <row r="6" spans="1:6" ht="18.75">
      <c r="A6" s="312" t="s">
        <v>297</v>
      </c>
      <c r="B6" s="313"/>
      <c r="C6" s="313"/>
      <c r="D6" s="313"/>
      <c r="E6" s="313"/>
      <c r="F6" s="314"/>
    </row>
    <row r="7" spans="1:6">
      <c r="A7" s="18"/>
      <c r="B7" s="19"/>
      <c r="C7" s="306" t="s">
        <v>298</v>
      </c>
      <c r="D7" s="308"/>
      <c r="E7" s="306" t="s">
        <v>299</v>
      </c>
      <c r="F7" s="308"/>
    </row>
    <row r="8" spans="1:6">
      <c r="A8" s="309"/>
      <c r="B8" s="310"/>
      <c r="C8" s="310"/>
      <c r="D8" s="310"/>
      <c r="E8" s="310"/>
      <c r="F8" s="311"/>
    </row>
    <row r="9" spans="1:6">
      <c r="A9" s="305"/>
      <c r="B9" s="305"/>
      <c r="C9" s="315" t="s">
        <v>300</v>
      </c>
      <c r="D9" s="315" t="s">
        <v>301</v>
      </c>
      <c r="E9" s="315" t="s">
        <v>300</v>
      </c>
      <c r="F9" s="315" t="s">
        <v>301</v>
      </c>
    </row>
    <row r="10" spans="1:6">
      <c r="A10" s="305"/>
      <c r="B10" s="305"/>
      <c r="C10" s="315"/>
      <c r="D10" s="315"/>
      <c r="E10" s="315"/>
      <c r="F10" s="315"/>
    </row>
    <row r="11" spans="1:6">
      <c r="A11" s="306" t="s">
        <v>302</v>
      </c>
      <c r="B11" s="307"/>
      <c r="C11" s="307"/>
      <c r="D11" s="307"/>
      <c r="E11" s="307"/>
      <c r="F11" s="308"/>
    </row>
    <row r="12" spans="1:6">
      <c r="A12" s="21" t="s">
        <v>303</v>
      </c>
      <c r="B12" s="22" t="s">
        <v>304</v>
      </c>
      <c r="C12" s="23">
        <v>0</v>
      </c>
      <c r="D12" s="23">
        <v>0</v>
      </c>
      <c r="E12" s="23">
        <v>20</v>
      </c>
      <c r="F12" s="23">
        <v>20</v>
      </c>
    </row>
    <row r="13" spans="1:6">
      <c r="A13" s="24" t="s">
        <v>305</v>
      </c>
      <c r="B13" s="25" t="s">
        <v>306</v>
      </c>
      <c r="C13" s="26">
        <v>1.5</v>
      </c>
      <c r="D13" s="26">
        <v>1.5</v>
      </c>
      <c r="E13" s="26">
        <v>1.5</v>
      </c>
      <c r="F13" s="26">
        <v>1.5</v>
      </c>
    </row>
    <row r="14" spans="1:6">
      <c r="A14" s="24" t="s">
        <v>307</v>
      </c>
      <c r="B14" s="25" t="s">
        <v>308</v>
      </c>
      <c r="C14" s="26">
        <v>1</v>
      </c>
      <c r="D14" s="26">
        <v>1</v>
      </c>
      <c r="E14" s="26">
        <v>1</v>
      </c>
      <c r="F14" s="26">
        <v>1</v>
      </c>
    </row>
    <row r="15" spans="1:6">
      <c r="A15" s="24" t="s">
        <v>309</v>
      </c>
      <c r="B15" s="25" t="s">
        <v>310</v>
      </c>
      <c r="C15" s="26">
        <v>0.2</v>
      </c>
      <c r="D15" s="26">
        <v>0.2</v>
      </c>
      <c r="E15" s="26">
        <v>0.2</v>
      </c>
      <c r="F15" s="26">
        <v>0.2</v>
      </c>
    </row>
    <row r="16" spans="1:6">
      <c r="A16" s="24" t="s">
        <v>311</v>
      </c>
      <c r="B16" s="25" t="s">
        <v>312</v>
      </c>
      <c r="C16" s="26">
        <v>0.6</v>
      </c>
      <c r="D16" s="26">
        <v>0.6</v>
      </c>
      <c r="E16" s="26">
        <v>0.6</v>
      </c>
      <c r="F16" s="26">
        <v>0.6</v>
      </c>
    </row>
    <row r="17" spans="1:6" ht="15" customHeight="1">
      <c r="A17" s="24" t="s">
        <v>313</v>
      </c>
      <c r="B17" s="25" t="s">
        <v>314</v>
      </c>
      <c r="C17" s="26">
        <v>2.5</v>
      </c>
      <c r="D17" s="26">
        <v>2.5</v>
      </c>
      <c r="E17" s="26">
        <v>2.5</v>
      </c>
      <c r="F17" s="26">
        <v>2.5</v>
      </c>
    </row>
    <row r="18" spans="1:6">
      <c r="A18" s="24" t="s">
        <v>315</v>
      </c>
      <c r="B18" s="25" t="s">
        <v>316</v>
      </c>
      <c r="C18" s="26">
        <v>3</v>
      </c>
      <c r="D18" s="26">
        <v>3</v>
      </c>
      <c r="E18" s="26">
        <v>3</v>
      </c>
      <c r="F18" s="26">
        <v>3</v>
      </c>
    </row>
    <row r="19" spans="1:6">
      <c r="A19" s="24" t="s">
        <v>317</v>
      </c>
      <c r="B19" s="25" t="s">
        <v>318</v>
      </c>
      <c r="C19" s="26">
        <v>8</v>
      </c>
      <c r="D19" s="26">
        <v>8</v>
      </c>
      <c r="E19" s="26">
        <v>8</v>
      </c>
      <c r="F19" s="26">
        <v>8</v>
      </c>
    </row>
    <row r="20" spans="1:6">
      <c r="A20" s="27" t="s">
        <v>319</v>
      </c>
      <c r="B20" s="28" t="s">
        <v>320</v>
      </c>
      <c r="C20" s="29">
        <v>0</v>
      </c>
      <c r="D20" s="29">
        <v>0</v>
      </c>
      <c r="E20" s="29">
        <v>0</v>
      </c>
      <c r="F20" s="29">
        <v>0</v>
      </c>
    </row>
    <row r="21" spans="1:6">
      <c r="A21" s="20" t="s">
        <v>321</v>
      </c>
      <c r="B21" s="30" t="s">
        <v>6</v>
      </c>
      <c r="C21" s="31">
        <v>16.8</v>
      </c>
      <c r="D21" s="31">
        <v>16.8</v>
      </c>
      <c r="E21" s="31">
        <v>36.799999999999997</v>
      </c>
      <c r="F21" s="31">
        <v>36.799999999999997</v>
      </c>
    </row>
    <row r="22" spans="1:6">
      <c r="A22" s="306" t="s">
        <v>322</v>
      </c>
      <c r="B22" s="307"/>
      <c r="C22" s="307"/>
      <c r="D22" s="307"/>
      <c r="E22" s="307"/>
      <c r="F22" s="308"/>
    </row>
    <row r="23" spans="1:6">
      <c r="A23" s="21" t="s">
        <v>323</v>
      </c>
      <c r="B23" s="22" t="s">
        <v>324</v>
      </c>
      <c r="C23" s="23">
        <v>18.059999999999999</v>
      </c>
      <c r="D23" s="23" t="s">
        <v>325</v>
      </c>
      <c r="E23" s="23">
        <v>18.059999999999999</v>
      </c>
      <c r="F23" s="23" t="s">
        <v>325</v>
      </c>
    </row>
    <row r="24" spans="1:6">
      <c r="A24" s="24" t="s">
        <v>326</v>
      </c>
      <c r="B24" s="25" t="s">
        <v>327</v>
      </c>
      <c r="C24" s="26">
        <v>4.68</v>
      </c>
      <c r="D24" s="26" t="s">
        <v>325</v>
      </c>
      <c r="E24" s="26">
        <v>4.68</v>
      </c>
      <c r="F24" s="26" t="s">
        <v>325</v>
      </c>
    </row>
    <row r="25" spans="1:6">
      <c r="A25" s="24" t="s">
        <v>328</v>
      </c>
      <c r="B25" s="25" t="s">
        <v>329</v>
      </c>
      <c r="C25" s="26">
        <v>0.9</v>
      </c>
      <c r="D25" s="26">
        <v>0.69</v>
      </c>
      <c r="E25" s="26">
        <v>0.9</v>
      </c>
      <c r="F25" s="26">
        <v>0.69</v>
      </c>
    </row>
    <row r="26" spans="1:6">
      <c r="A26" s="24" t="s">
        <v>330</v>
      </c>
      <c r="B26" s="25" t="s">
        <v>331</v>
      </c>
      <c r="C26" s="26">
        <v>10.83</v>
      </c>
      <c r="D26" s="26">
        <v>8.33</v>
      </c>
      <c r="E26" s="26">
        <v>10.83</v>
      </c>
      <c r="F26" s="26">
        <v>8.33</v>
      </c>
    </row>
    <row r="27" spans="1:6">
      <c r="A27" s="24" t="s">
        <v>332</v>
      </c>
      <c r="B27" s="25" t="s">
        <v>333</v>
      </c>
      <c r="C27" s="26">
        <v>7.0000000000000007E-2</v>
      </c>
      <c r="D27" s="26">
        <v>0.06</v>
      </c>
      <c r="E27" s="26">
        <v>7.0000000000000007E-2</v>
      </c>
      <c r="F27" s="26">
        <v>0.06</v>
      </c>
    </row>
    <row r="28" spans="1:6">
      <c r="A28" s="24" t="s">
        <v>334</v>
      </c>
      <c r="B28" s="25" t="s">
        <v>335</v>
      </c>
      <c r="C28" s="26">
        <v>0.72</v>
      </c>
      <c r="D28" s="26">
        <v>0.56000000000000005</v>
      </c>
      <c r="E28" s="26">
        <v>0.72</v>
      </c>
      <c r="F28" s="26">
        <v>0.56000000000000005</v>
      </c>
    </row>
    <row r="29" spans="1:6">
      <c r="A29" s="24" t="s">
        <v>336</v>
      </c>
      <c r="B29" s="25" t="s">
        <v>337</v>
      </c>
      <c r="C29" s="26">
        <v>1.83</v>
      </c>
      <c r="D29" s="26" t="s">
        <v>325</v>
      </c>
      <c r="E29" s="26">
        <v>1.83</v>
      </c>
      <c r="F29" s="26" t="s">
        <v>325</v>
      </c>
    </row>
    <row r="30" spans="1:6" ht="15" customHeight="1">
      <c r="A30" s="24" t="s">
        <v>338</v>
      </c>
      <c r="B30" s="25" t="s">
        <v>339</v>
      </c>
      <c r="C30" s="26">
        <v>0.11</v>
      </c>
      <c r="D30" s="26">
        <v>0.09</v>
      </c>
      <c r="E30" s="26">
        <v>0.11</v>
      </c>
      <c r="F30" s="26">
        <v>0.09</v>
      </c>
    </row>
    <row r="31" spans="1:6" ht="12.75" customHeight="1">
      <c r="A31" s="24" t="s">
        <v>340</v>
      </c>
      <c r="B31" s="25" t="s">
        <v>341</v>
      </c>
      <c r="C31" s="26">
        <v>14.42</v>
      </c>
      <c r="D31" s="26">
        <v>11.1</v>
      </c>
      <c r="E31" s="26">
        <v>14.42</v>
      </c>
      <c r="F31" s="26">
        <v>11.1</v>
      </c>
    </row>
    <row r="32" spans="1:6">
      <c r="A32" s="27" t="s">
        <v>342</v>
      </c>
      <c r="B32" s="28" t="s">
        <v>343</v>
      </c>
      <c r="C32" s="29">
        <v>0.03</v>
      </c>
      <c r="D32" s="29">
        <v>0.03</v>
      </c>
      <c r="E32" s="29">
        <v>0.03</v>
      </c>
      <c r="F32" s="29">
        <v>0.03</v>
      </c>
    </row>
    <row r="33" spans="1:6">
      <c r="A33" s="20" t="s">
        <v>344</v>
      </c>
      <c r="B33" s="30" t="s">
        <v>345</v>
      </c>
      <c r="C33" s="31">
        <f>SUM(C23:C32)</f>
        <v>51.65</v>
      </c>
      <c r="D33" s="31">
        <f t="shared" ref="D33:F33" si="0">SUM(D23:D32)</f>
        <v>20.86</v>
      </c>
      <c r="E33" s="31">
        <f t="shared" si="0"/>
        <v>51.65</v>
      </c>
      <c r="F33" s="31">
        <f t="shared" si="0"/>
        <v>20.86</v>
      </c>
    </row>
    <row r="34" spans="1:6">
      <c r="A34" s="306" t="s">
        <v>346</v>
      </c>
      <c r="B34" s="307"/>
      <c r="C34" s="307"/>
      <c r="D34" s="307"/>
      <c r="E34" s="307"/>
      <c r="F34" s="308"/>
    </row>
    <row r="35" spans="1:6">
      <c r="A35" s="21" t="s">
        <v>347</v>
      </c>
      <c r="B35" s="22" t="s">
        <v>348</v>
      </c>
      <c r="C35" s="23">
        <v>4.18</v>
      </c>
      <c r="D35" s="23">
        <v>3.22</v>
      </c>
      <c r="E35" s="23">
        <v>4.18</v>
      </c>
      <c r="F35" s="23">
        <v>3.22</v>
      </c>
    </row>
    <row r="36" spans="1:6">
      <c r="A36" s="24" t="s">
        <v>349</v>
      </c>
      <c r="B36" s="25" t="s">
        <v>350</v>
      </c>
      <c r="C36" s="26">
        <v>0.1</v>
      </c>
      <c r="D36" s="26">
        <v>0.08</v>
      </c>
      <c r="E36" s="26">
        <v>0.1</v>
      </c>
      <c r="F36" s="26">
        <v>0.08</v>
      </c>
    </row>
    <row r="37" spans="1:6">
      <c r="A37" s="24" t="s">
        <v>351</v>
      </c>
      <c r="B37" s="25" t="s">
        <v>352</v>
      </c>
      <c r="C37" s="26">
        <v>0</v>
      </c>
      <c r="D37" s="26">
        <v>0</v>
      </c>
      <c r="E37" s="26">
        <v>0</v>
      </c>
      <c r="F37" s="26">
        <v>0</v>
      </c>
    </row>
    <row r="38" spans="1:6" ht="15" customHeight="1">
      <c r="A38" s="24" t="s">
        <v>353</v>
      </c>
      <c r="B38" s="25" t="s">
        <v>354</v>
      </c>
      <c r="C38" s="26">
        <v>3.65</v>
      </c>
      <c r="D38" s="26">
        <v>2.81</v>
      </c>
      <c r="E38" s="26">
        <v>3.65</v>
      </c>
      <c r="F38" s="26">
        <v>2.81</v>
      </c>
    </row>
    <row r="39" spans="1:6">
      <c r="A39" s="27" t="s">
        <v>355</v>
      </c>
      <c r="B39" s="28" t="s">
        <v>356</v>
      </c>
      <c r="C39" s="29">
        <v>0.35</v>
      </c>
      <c r="D39" s="29">
        <v>0.27</v>
      </c>
      <c r="E39" s="29">
        <v>0.35</v>
      </c>
      <c r="F39" s="29">
        <v>0.27</v>
      </c>
    </row>
    <row r="40" spans="1:6" ht="12.75" customHeight="1">
      <c r="A40" s="20" t="s">
        <v>357</v>
      </c>
      <c r="B40" s="30" t="s">
        <v>345</v>
      </c>
      <c r="C40" s="31">
        <f>SUM(C35:C39)</f>
        <v>8.2799999999999994</v>
      </c>
      <c r="D40" s="31">
        <f t="shared" ref="D40:F40" si="1">SUM(D35:D39)</f>
        <v>6.3800000000000008</v>
      </c>
      <c r="E40" s="31">
        <f t="shared" si="1"/>
        <v>8.2799999999999994</v>
      </c>
      <c r="F40" s="31">
        <f t="shared" si="1"/>
        <v>6.3800000000000008</v>
      </c>
    </row>
    <row r="41" spans="1:6">
      <c r="A41" s="306" t="s">
        <v>358</v>
      </c>
      <c r="B41" s="307"/>
      <c r="C41" s="307"/>
      <c r="D41" s="307"/>
      <c r="E41" s="307"/>
      <c r="F41" s="308"/>
    </row>
    <row r="42" spans="1:6">
      <c r="A42" s="21" t="s">
        <v>359</v>
      </c>
      <c r="B42" s="22" t="s">
        <v>360</v>
      </c>
      <c r="C42" s="23">
        <v>8.68</v>
      </c>
      <c r="D42" s="23">
        <v>3.5</v>
      </c>
      <c r="E42" s="23">
        <v>19.010000000000002</v>
      </c>
      <c r="F42" s="23">
        <v>7.68</v>
      </c>
    </row>
    <row r="43" spans="1:6" ht="38.25">
      <c r="A43" s="32" t="s">
        <v>361</v>
      </c>
      <c r="B43" s="33" t="s">
        <v>362</v>
      </c>
      <c r="C43" s="29">
        <v>0.35</v>
      </c>
      <c r="D43" s="29">
        <v>0.27</v>
      </c>
      <c r="E43" s="29">
        <v>0.37</v>
      </c>
      <c r="F43" s="29">
        <v>0.28999999999999998</v>
      </c>
    </row>
    <row r="44" spans="1:6" ht="15" customHeight="1">
      <c r="A44" s="20" t="s">
        <v>363</v>
      </c>
      <c r="B44" s="30" t="s">
        <v>6</v>
      </c>
      <c r="C44" s="31">
        <f>SUM(C42:C43)</f>
        <v>9.0299999999999994</v>
      </c>
      <c r="D44" s="31">
        <f t="shared" ref="D44:F44" si="2">SUM(D42:D43)</f>
        <v>3.77</v>
      </c>
      <c r="E44" s="31">
        <f t="shared" si="2"/>
        <v>19.380000000000003</v>
      </c>
      <c r="F44" s="31">
        <f t="shared" si="2"/>
        <v>7.97</v>
      </c>
    </row>
    <row r="45" spans="1:6">
      <c r="A45" s="309"/>
      <c r="B45" s="310"/>
      <c r="C45" s="310"/>
      <c r="D45" s="310"/>
      <c r="E45" s="310"/>
      <c r="F45" s="311"/>
    </row>
    <row r="46" spans="1:6">
      <c r="A46" s="305" t="s">
        <v>364</v>
      </c>
      <c r="B46" s="305"/>
      <c r="C46" s="31">
        <f>C21+C33+C40+C44</f>
        <v>85.76</v>
      </c>
      <c r="D46" s="31">
        <f t="shared" ref="D46:F46" si="3">D21+D33+D40+D44</f>
        <v>47.81</v>
      </c>
      <c r="E46" s="31">
        <f t="shared" si="3"/>
        <v>116.10999999999999</v>
      </c>
      <c r="F46" s="31">
        <f t="shared" si="3"/>
        <v>72.009999999999991</v>
      </c>
    </row>
  </sheetData>
  <mergeCells count="16">
    <mergeCell ref="A45:F45"/>
    <mergeCell ref="A46:B46"/>
    <mergeCell ref="A6:F6"/>
    <mergeCell ref="C7:D7"/>
    <mergeCell ref="E7:F7"/>
    <mergeCell ref="A8:F8"/>
    <mergeCell ref="A11:F11"/>
    <mergeCell ref="C9:C10"/>
    <mergeCell ref="D9:D10"/>
    <mergeCell ref="E9:E10"/>
    <mergeCell ref="F9:F10"/>
    <mergeCell ref="A1:F5"/>
    <mergeCell ref="A9:B10"/>
    <mergeCell ref="A22:F22"/>
    <mergeCell ref="A34:F34"/>
    <mergeCell ref="A41:F41"/>
  </mergeCells>
  <printOptions horizontalCentered="1"/>
  <pageMargins left="0.511811023622047" right="0.511811023622047" top="0.78740157480314998" bottom="0.78740157480314998" header="0.31496062992126" footer="0.31496062992126"/>
  <pageSetup paperSize="9" orientation="portrait"/>
  <drawing r:id="rId1"/>
  <legacyDrawing r:id="rId2"/>
  <oleObjects>
    <mc:AlternateContent xmlns:mc="http://schemas.openxmlformats.org/markup-compatibility/2006">
      <mc:Choice Requires="x14">
        <oleObject progId="Figura do Microsoft Photo Editor 3.0" shapeId="19457" r:id="rId3">
          <objectPr defaultSize="0" altText="" r:id="rId4">
            <anchor moveWithCells="1" sizeWithCells="1">
              <from>
                <xdr:col>0</xdr:col>
                <xdr:colOff>0</xdr:colOff>
                <xdr:row>0</xdr:row>
                <xdr:rowOff>28575</xdr:rowOff>
              </from>
              <to>
                <xdr:col>1</xdr:col>
                <xdr:colOff>276225</xdr:colOff>
                <xdr:row>1</xdr:row>
                <xdr:rowOff>180975</xdr:rowOff>
              </to>
            </anchor>
          </objectPr>
        </oleObject>
      </mc:Choice>
      <mc:Fallback>
        <oleObject progId="Figura do Microsoft Photo Editor 3.0" shapeId="19457" r:id="rId3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5"/>
  <sheetViews>
    <sheetView workbookViewId="0">
      <selection activeCell="B12" sqref="B12"/>
    </sheetView>
  </sheetViews>
  <sheetFormatPr defaultColWidth="9" defaultRowHeight="14.25"/>
  <cols>
    <col min="1" max="1" width="9.375" customWidth="1"/>
    <col min="2" max="2" width="59.375" customWidth="1"/>
    <col min="3" max="3" width="7.25" customWidth="1"/>
    <col min="4" max="4" width="15.125" customWidth="1"/>
    <col min="6" max="6" width="10.375" customWidth="1"/>
    <col min="7" max="7" width="13.5" customWidth="1"/>
  </cols>
  <sheetData>
    <row r="1" spans="1:7" ht="15">
      <c r="A1" s="1"/>
      <c r="B1" s="2"/>
      <c r="C1" s="2"/>
      <c r="D1" s="2"/>
      <c r="E1" s="3"/>
      <c r="F1" s="3"/>
      <c r="G1" s="4"/>
    </row>
    <row r="2" spans="1:7" ht="56.25" customHeight="1">
      <c r="A2" s="5"/>
      <c r="B2" s="6"/>
      <c r="D2" s="316" t="s">
        <v>365</v>
      </c>
      <c r="E2" s="317"/>
      <c r="F2" s="317"/>
      <c r="G2" s="318"/>
    </row>
    <row r="3" spans="1:7" ht="30" customHeight="1">
      <c r="A3" s="7" t="s">
        <v>10</v>
      </c>
      <c r="B3" s="8" t="s">
        <v>42</v>
      </c>
      <c r="C3" s="7" t="s">
        <v>43</v>
      </c>
      <c r="D3" s="7" t="s">
        <v>6</v>
      </c>
      <c r="E3" s="9" t="s">
        <v>147</v>
      </c>
      <c r="F3" s="9" t="s">
        <v>366</v>
      </c>
      <c r="G3" s="9" t="s">
        <v>367</v>
      </c>
    </row>
    <row r="4" spans="1:7" ht="46.5" customHeight="1">
      <c r="A4" s="10" t="s">
        <v>13</v>
      </c>
      <c r="B4" s="11" t="s">
        <v>368</v>
      </c>
      <c r="C4" s="12" t="s">
        <v>12</v>
      </c>
      <c r="D4" s="13">
        <v>20711228.640000001</v>
      </c>
      <c r="E4" s="14">
        <f>(D4/$D$25)*100</f>
        <v>72.080141192826488</v>
      </c>
      <c r="F4" s="14">
        <f>E4</f>
        <v>72.080141192826488</v>
      </c>
      <c r="G4" s="12" t="s">
        <v>321</v>
      </c>
    </row>
    <row r="5" spans="1:7" ht="75.75" customHeight="1">
      <c r="A5" s="10" t="s">
        <v>15</v>
      </c>
      <c r="B5" s="11" t="s">
        <v>98</v>
      </c>
      <c r="C5" s="12" t="s">
        <v>26</v>
      </c>
      <c r="D5" s="13">
        <v>3615165.94</v>
      </c>
      <c r="E5" s="14">
        <f>(D5/$D$25)*100</f>
        <v>12.58166166382958</v>
      </c>
      <c r="F5" s="14">
        <f>F4+E5</f>
        <v>84.661802856656067</v>
      </c>
      <c r="G5" s="12" t="s">
        <v>344</v>
      </c>
    </row>
    <row r="6" spans="1:7">
      <c r="A6" s="10" t="s">
        <v>18</v>
      </c>
      <c r="B6" s="15" t="s">
        <v>66</v>
      </c>
      <c r="C6" s="12" t="s">
        <v>60</v>
      </c>
      <c r="D6" s="13">
        <v>937834.13</v>
      </c>
      <c r="E6" s="14">
        <f t="shared" ref="E6:E23" si="0">(D6/$D$25)*100</f>
        <v>3.2638921466636655</v>
      </c>
      <c r="F6" s="14">
        <f t="shared" ref="F6:F23" si="1">F5+E6</f>
        <v>87.925695003319731</v>
      </c>
      <c r="G6" s="12" t="s">
        <v>344</v>
      </c>
    </row>
    <row r="7" spans="1:7">
      <c r="A7" s="10" t="s">
        <v>20</v>
      </c>
      <c r="B7" s="15" t="s">
        <v>53</v>
      </c>
      <c r="C7" s="12" t="s">
        <v>12</v>
      </c>
      <c r="D7" s="13">
        <v>597383.52</v>
      </c>
      <c r="E7" s="14">
        <f t="shared" si="0"/>
        <v>2.0790407568919429</v>
      </c>
      <c r="F7" s="14">
        <f t="shared" si="1"/>
        <v>90.004735760211673</v>
      </c>
      <c r="G7" s="12" t="s">
        <v>357</v>
      </c>
    </row>
    <row r="8" spans="1:7" ht="28.5">
      <c r="A8" s="10" t="s">
        <v>22</v>
      </c>
      <c r="B8" s="11" t="s">
        <v>369</v>
      </c>
      <c r="C8" s="12" t="s">
        <v>12</v>
      </c>
      <c r="D8" s="13">
        <v>481386.72</v>
      </c>
      <c r="E8" s="14">
        <f t="shared" si="0"/>
        <v>1.6753435225439928</v>
      </c>
      <c r="F8" s="14">
        <f t="shared" si="1"/>
        <v>91.680079282755671</v>
      </c>
      <c r="G8" s="12" t="s">
        <v>357</v>
      </c>
    </row>
    <row r="9" spans="1:7" ht="28.5">
      <c r="A9" s="10" t="s">
        <v>24</v>
      </c>
      <c r="B9" s="11" t="s">
        <v>81</v>
      </c>
      <c r="C9" s="12" t="s">
        <v>82</v>
      </c>
      <c r="D9" s="13">
        <v>429188.16</v>
      </c>
      <c r="E9" s="14">
        <f t="shared" si="0"/>
        <v>1.4936797670874151</v>
      </c>
      <c r="F9" s="14">
        <f t="shared" si="1"/>
        <v>93.173759049843085</v>
      </c>
      <c r="G9" s="12" t="s">
        <v>357</v>
      </c>
    </row>
    <row r="10" spans="1:7" ht="44.25" customHeight="1">
      <c r="A10" s="10" t="s">
        <v>370</v>
      </c>
      <c r="B10" s="11" t="s">
        <v>112</v>
      </c>
      <c r="C10" s="12" t="s">
        <v>75</v>
      </c>
      <c r="D10" s="13">
        <v>343350.53</v>
      </c>
      <c r="E10" s="14">
        <f t="shared" si="0"/>
        <v>1.1949438206304215</v>
      </c>
      <c r="F10" s="14">
        <f t="shared" si="1"/>
        <v>94.368702870473513</v>
      </c>
      <c r="G10" s="12" t="s">
        <v>357</v>
      </c>
    </row>
    <row r="11" spans="1:7">
      <c r="A11" s="10" t="s">
        <v>371</v>
      </c>
      <c r="B11" s="15" t="s">
        <v>385</v>
      </c>
      <c r="C11" s="12" t="s">
        <v>12</v>
      </c>
      <c r="D11" s="13">
        <v>334904.51</v>
      </c>
      <c r="E11" s="14">
        <f t="shared" si="0"/>
        <v>1.1655496053137275</v>
      </c>
      <c r="F11" s="14">
        <f t="shared" si="1"/>
        <v>95.534252475787241</v>
      </c>
      <c r="G11" s="12" t="s">
        <v>357</v>
      </c>
    </row>
    <row r="12" spans="1:7">
      <c r="A12" s="10" t="s">
        <v>372</v>
      </c>
      <c r="B12" s="11" t="s">
        <v>110</v>
      </c>
      <c r="C12" s="12" t="s">
        <v>12</v>
      </c>
      <c r="D12" s="13">
        <v>295791.84000000003</v>
      </c>
      <c r="E12" s="14">
        <f t="shared" si="0"/>
        <v>1.0294279475872727</v>
      </c>
      <c r="F12" s="14">
        <f t="shared" si="1"/>
        <v>96.563680423374507</v>
      </c>
      <c r="G12" s="12" t="s">
        <v>357</v>
      </c>
    </row>
    <row r="13" spans="1:7">
      <c r="A13" s="10" t="s">
        <v>373</v>
      </c>
      <c r="B13" s="11" t="s">
        <v>89</v>
      </c>
      <c r="C13" s="12" t="s">
        <v>12</v>
      </c>
      <c r="D13" s="13">
        <v>249393.12</v>
      </c>
      <c r="E13" s="14">
        <f t="shared" si="0"/>
        <v>0.86794905384809262</v>
      </c>
      <c r="F13" s="14">
        <f t="shared" si="1"/>
        <v>97.4316294772226</v>
      </c>
      <c r="G13" s="12" t="s">
        <v>357</v>
      </c>
    </row>
    <row r="14" spans="1:7">
      <c r="A14" s="10" t="s">
        <v>374</v>
      </c>
      <c r="B14" s="15" t="s">
        <v>100</v>
      </c>
      <c r="C14" s="12" t="s">
        <v>12</v>
      </c>
      <c r="D14" s="13">
        <v>140783.37</v>
      </c>
      <c r="E14" s="14">
        <f t="shared" si="0"/>
        <v>0.4899605602153177</v>
      </c>
      <c r="F14" s="14">
        <f t="shared" si="1"/>
        <v>97.921590037437923</v>
      </c>
      <c r="G14" s="12" t="s">
        <v>357</v>
      </c>
    </row>
    <row r="15" spans="1:7" ht="28.5">
      <c r="A15" s="10" t="s">
        <v>375</v>
      </c>
      <c r="B15" s="11" t="s">
        <v>70</v>
      </c>
      <c r="C15" s="12" t="s">
        <v>12</v>
      </c>
      <c r="D15" s="13">
        <v>127596.48</v>
      </c>
      <c r="E15" s="14">
        <f t="shared" si="0"/>
        <v>0.44406695778274502</v>
      </c>
      <c r="F15" s="14">
        <f t="shared" si="1"/>
        <v>98.365656995220675</v>
      </c>
      <c r="G15" s="12" t="s">
        <v>357</v>
      </c>
    </row>
    <row r="16" spans="1:7" ht="30.75" customHeight="1">
      <c r="A16" s="10" t="s">
        <v>376</v>
      </c>
      <c r="B16" s="11" t="s">
        <v>74</v>
      </c>
      <c r="C16" s="12" t="s">
        <v>75</v>
      </c>
      <c r="D16" s="13">
        <v>96567.34</v>
      </c>
      <c r="E16" s="14">
        <f t="shared" si="0"/>
        <v>0.33607796151564673</v>
      </c>
      <c r="F16" s="14">
        <f t="shared" si="1"/>
        <v>98.701734956736317</v>
      </c>
      <c r="G16" s="12" t="s">
        <v>357</v>
      </c>
    </row>
    <row r="17" spans="1:7" ht="44.25" customHeight="1">
      <c r="A17" s="10" t="s">
        <v>377</v>
      </c>
      <c r="B17" s="11" t="s">
        <v>78</v>
      </c>
      <c r="C17" s="12" t="s">
        <v>75</v>
      </c>
      <c r="D17" s="13">
        <v>93377.42</v>
      </c>
      <c r="E17" s="14">
        <f t="shared" si="0"/>
        <v>0.32497625972912147</v>
      </c>
      <c r="F17" s="14">
        <f t="shared" si="1"/>
        <v>99.026711216465443</v>
      </c>
      <c r="G17" s="12" t="s">
        <v>357</v>
      </c>
    </row>
    <row r="18" spans="1:7">
      <c r="A18" s="10" t="s">
        <v>378</v>
      </c>
      <c r="B18" s="15" t="s">
        <v>59</v>
      </c>
      <c r="C18" s="12" t="s">
        <v>60</v>
      </c>
      <c r="D18" s="13">
        <v>86946.85</v>
      </c>
      <c r="E18" s="14">
        <f t="shared" si="0"/>
        <v>0.30259630334859294</v>
      </c>
      <c r="F18" s="14">
        <f t="shared" si="1"/>
        <v>99.329307519814037</v>
      </c>
      <c r="G18" s="12" t="s">
        <v>357</v>
      </c>
    </row>
    <row r="19" spans="1:7">
      <c r="A19" s="10" t="s">
        <v>379</v>
      </c>
      <c r="B19" s="15" t="s">
        <v>63</v>
      </c>
      <c r="C19" s="12" t="s">
        <v>60</v>
      </c>
      <c r="D19" s="13">
        <v>86946.85</v>
      </c>
      <c r="E19" s="14">
        <f t="shared" si="0"/>
        <v>0.30259630334859294</v>
      </c>
      <c r="F19" s="14">
        <f t="shared" si="1"/>
        <v>99.631903823162631</v>
      </c>
      <c r="G19" s="12" t="s">
        <v>357</v>
      </c>
    </row>
    <row r="20" spans="1:7" ht="42.75">
      <c r="A20" s="10" t="s">
        <v>380</v>
      </c>
      <c r="B20" s="11" t="s">
        <v>86</v>
      </c>
      <c r="C20" s="12" t="s">
        <v>75</v>
      </c>
      <c r="D20" s="13">
        <v>55243.48</v>
      </c>
      <c r="E20" s="14">
        <f t="shared" si="0"/>
        <v>0.19226082177918954</v>
      </c>
      <c r="F20" s="14">
        <f t="shared" si="1"/>
        <v>99.824164644941817</v>
      </c>
      <c r="G20" s="12" t="s">
        <v>357</v>
      </c>
    </row>
    <row r="21" spans="1:7" ht="28.5">
      <c r="A21" s="10" t="s">
        <v>381</v>
      </c>
      <c r="B21" s="11" t="s">
        <v>84</v>
      </c>
      <c r="C21" s="12" t="s">
        <v>75</v>
      </c>
      <c r="D21" s="13">
        <v>28129.22</v>
      </c>
      <c r="E21" s="14">
        <f t="shared" si="0"/>
        <v>9.7896565408399583E-2</v>
      </c>
      <c r="F21" s="14">
        <f t="shared" si="1"/>
        <v>99.922061210350222</v>
      </c>
      <c r="G21" s="12" t="s">
        <v>357</v>
      </c>
    </row>
    <row r="22" spans="1:7" ht="28.5">
      <c r="A22" s="10" t="s">
        <v>382</v>
      </c>
      <c r="B22" s="11" t="s">
        <v>91</v>
      </c>
      <c r="C22" s="12" t="s">
        <v>12</v>
      </c>
      <c r="D22" s="13">
        <v>20299.439999999999</v>
      </c>
      <c r="E22" s="14">
        <f t="shared" si="0"/>
        <v>7.0647016010891253E-2</v>
      </c>
      <c r="F22" s="14">
        <f t="shared" si="1"/>
        <v>99.992708226361117</v>
      </c>
      <c r="G22" s="12" t="s">
        <v>357</v>
      </c>
    </row>
    <row r="23" spans="1:7" ht="28.5">
      <c r="A23" s="10" t="s">
        <v>383</v>
      </c>
      <c r="B23" s="11" t="s">
        <v>105</v>
      </c>
      <c r="C23" s="12" t="s">
        <v>26</v>
      </c>
      <c r="D23" s="13">
        <v>2095.19</v>
      </c>
      <c r="E23" s="14">
        <f t="shared" si="0"/>
        <v>7.2917736388717755E-3</v>
      </c>
      <c r="F23" s="14">
        <f t="shared" si="1"/>
        <v>99.999999999999986</v>
      </c>
      <c r="G23" s="12" t="s">
        <v>357</v>
      </c>
    </row>
    <row r="25" spans="1:7">
      <c r="D25" s="16">
        <f>SUM(D4:D24)</f>
        <v>28733612.750000011</v>
      </c>
    </row>
  </sheetData>
  <sortState xmlns:xlrd2="http://schemas.microsoft.com/office/spreadsheetml/2017/richdata2" ref="B4:D23">
    <sortCondition descending="1" ref="D4:D23"/>
  </sortState>
  <mergeCells count="1">
    <mergeCell ref="D2:G2"/>
  </mergeCells>
  <pageMargins left="0.511811024" right="0.511811024" top="0.78740157499999996" bottom="0.78740157499999996" header="0.31496062000000002" footer="0.31496062000000002"/>
  <pageSetup paperSize="9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8</vt:i4>
      </vt:variant>
    </vt:vector>
  </HeadingPairs>
  <TitlesOfParts>
    <vt:vector size="17" baseType="lpstr">
      <vt:lpstr>Planilha Resumo</vt:lpstr>
      <vt:lpstr>Orçamento Módulo Mínimo</vt:lpstr>
      <vt:lpstr>Orçamento Módulo Total</vt:lpstr>
      <vt:lpstr>CRONOGRAMA</vt:lpstr>
      <vt:lpstr>CPUs</vt:lpstr>
      <vt:lpstr>Cotações</vt:lpstr>
      <vt:lpstr>BDI</vt:lpstr>
      <vt:lpstr>Encargos Sociais</vt:lpstr>
      <vt:lpstr>Curva ABC</vt:lpstr>
      <vt:lpstr>Cotações!Area_de_impressao</vt:lpstr>
      <vt:lpstr>CPUs!Area_de_impressao</vt:lpstr>
      <vt:lpstr>CRONOGRAMA!Area_de_impressao</vt:lpstr>
      <vt:lpstr>'Curva ABC'!Area_de_impressao</vt:lpstr>
      <vt:lpstr>'Orçamento Módulo Mínimo'!Area_de_impressao</vt:lpstr>
      <vt:lpstr>'Orçamento Módulo Total'!Area_de_impressao</vt:lpstr>
      <vt:lpstr>'Planilha Resumo'!Area_de_impressao</vt:lpstr>
      <vt:lpstr>CPUs!Titulos_de_impressao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Dayane Carvalho da Costa</cp:lastModifiedBy>
  <cp:revision>0</cp:revision>
  <cp:lastPrinted>2020-06-26T18:51:00Z</cp:lastPrinted>
  <dcterms:created xsi:type="dcterms:W3CDTF">2019-05-17T12:26:00Z</dcterms:created>
  <dcterms:modified xsi:type="dcterms:W3CDTF">2020-08-06T18:50:39Z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1046-11.2.0.9107</vt:lpwstr>
  </property>
</Properties>
</file>