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9"/>
  </bookViews>
  <sheets>
    <sheet name="RESUMO" sheetId="1" state="visible" r:id="rId2"/>
    <sheet name="CORREDOR 01" sheetId="2" state="visible" r:id="rId3"/>
    <sheet name="CORREDOR O2" sheetId="3" state="visible" r:id="rId4"/>
    <sheet name="Á. DE VENTIL." sheetId="4" state="visible" r:id="rId5"/>
    <sheet name="Á. EXTER " sheetId="5" state="visible" r:id="rId6"/>
    <sheet name="ÁREA DE CIR. EXTER." sheetId="6" state="visible" r:id="rId7"/>
    <sheet name="AUDITÓRIO" sheetId="7" state="visible" r:id="rId8"/>
    <sheet name="AUD.   WC FEM" sheetId="8" state="visible" r:id="rId9"/>
    <sheet name="AUD.   WC MAS" sheetId="9" state="visible" r:id="rId10"/>
    <sheet name="COBERT." sheetId="10" state="visible" r:id="rId11"/>
    <sheet name="COPA" sheetId="11" state="visible" r:id="rId12"/>
    <sheet name="RECEPÇÃO" sheetId="12" state="visible" r:id="rId13"/>
    <sheet name="S.  DA ADM." sheetId="13" state="visible" r:id="rId14"/>
    <sheet name="S.  DA ADM.   WC" sheetId="14" state="visible" r:id="rId15"/>
    <sheet name="S. DA ATER" sheetId="15" state="visible" r:id="rId16"/>
    <sheet name="S. DA GERÊNCIA" sheetId="16" state="visible" r:id="rId17"/>
    <sheet name="S. DE ESPERA" sheetId="17" state="visible" r:id="rId18"/>
    <sheet name="S. DE REUNIÃO" sheetId="18" state="visible" r:id="rId19"/>
    <sheet name="S. DO VIGIA" sheetId="19" state="visible" r:id="rId20"/>
    <sheet name="WC SOCIAL FEM" sheetId="20" state="visible" r:id="rId21"/>
    <sheet name="WC SOCIAL MAS" sheetId="21" state="visible" r:id="rId22"/>
    <sheet name="HIDRÁULICA" sheetId="22" state="visible" r:id="rId23"/>
  </sheets>
  <definedNames>
    <definedName function="false" hidden="false" localSheetId="17" name="_xlnm.Print_Area" vbProcedure="false">'S. DE REUNIÃO'!$A$1:$J$25</definedName>
    <definedName function="false" hidden="false" name="AREA_DE_CIRCULACAO" vbProcedure="false">'CORREDOR 01'!$A$1</definedName>
    <definedName function="false" hidden="false" localSheetId="0" name="_xlnm._FilterDatabase" vbProcedure="false">RESUMO!$G$1:$G$135</definedName>
    <definedName function="false" hidden="false" localSheetId="1" name="_xlnm._FilterDatabase" vbProcedure="false">'CORREDOR 01'!$A$1:$K$19</definedName>
    <definedName function="false" hidden="false" localSheetId="2" name="AREA_DE_CIRCULACAO" vbProcedure="false">'CORREDOR O2'!$A$1</definedName>
    <definedName function="false" hidden="false" localSheetId="2" name="_xlnm._FilterDatabase" vbProcedure="false">'CORREDOR O2'!$A$1:$K$22</definedName>
    <definedName function="false" hidden="false" localSheetId="3" name="_xlnm._FilterDatabase" vbProcedure="false">'Á. DE VENTIL.'!$A$1:$J$20</definedName>
    <definedName function="false" hidden="false" localSheetId="4" name="_xlnm._FilterDatabase" vbProcedure="false">'Á. EXTER '!$A$1:$J$24</definedName>
    <definedName function="false" hidden="false" localSheetId="5" name="_xlnm._FilterDatabase" vbProcedure="false">'ÁREA DE CIR. EXTER.'!$A$1:$J$22</definedName>
    <definedName function="false" hidden="false" localSheetId="6" name="_xlnm._FilterDatabase" vbProcedure="false">AUDITÓRIO!$A$1:$J$14</definedName>
    <definedName function="false" hidden="false" localSheetId="7" name="_xlnm._FilterDatabase" vbProcedure="false">'AUD.   WC FEM'!$A$1:$J$14</definedName>
    <definedName function="false" hidden="false" localSheetId="8" name="_xlnm._FilterDatabase" vbProcedure="false">'AUD.   WC MAS'!$A$1:$J$14</definedName>
    <definedName function="false" hidden="false" localSheetId="9" name="_xlnm._FilterDatabase" vbProcedure="false">'COBERT.'!$A$1:$J$8</definedName>
    <definedName function="false" hidden="false" localSheetId="10" name="_xlnm._FilterDatabase" vbProcedure="false">COPA!$A$1:$J$31</definedName>
    <definedName function="false" hidden="false" localSheetId="11" name="_xlnm._FilterDatabase" vbProcedure="false">RECEPÇÃO!$A$1:$J$24</definedName>
    <definedName function="false" hidden="false" localSheetId="12" name="_xlnm._FilterDatabase" vbProcedure="false">'S.  DA ADM.'!$A$1:$J$24</definedName>
    <definedName function="false" hidden="false" localSheetId="13" name="_xlnm._FilterDatabase" vbProcedure="false">'S.  DA ADM.   WC'!$A$1:$J$27</definedName>
    <definedName function="false" hidden="false" localSheetId="14" name="_xlnm._FilterDatabase" vbProcedure="false">'S. DA ATER'!$A$1:$J$23</definedName>
    <definedName function="false" hidden="false" localSheetId="15" name="_xlnm._FilterDatabase" vbProcedure="false">'S. DA GERÊNCIA'!$A$1:$J$27</definedName>
    <definedName function="false" hidden="false" localSheetId="16" name="_xlnm._FilterDatabase" vbProcedure="false">'S. DE ESPERA'!$A$1:$J$23</definedName>
    <definedName function="false" hidden="false" localSheetId="17" name="Print_Area_0" vbProcedure="false">'S. DE REUNIÃO'!$A$1:$J$25</definedName>
    <definedName function="false" hidden="false" localSheetId="17" name="Print_Area_0_0" vbProcedure="false">'S. DE REUNIÃO'!$A$1:$J$25</definedName>
    <definedName function="false" hidden="false" localSheetId="17" name="Print_Area_0_0_0" vbProcedure="false">'S. DE REUNIÃO'!$A$1:$J$25</definedName>
    <definedName function="false" hidden="false" localSheetId="17" name="_xlnm.Print_Area" vbProcedure="false">'S. DE REUNIÃO'!$A$1:$J$25</definedName>
    <definedName function="false" hidden="false" localSheetId="17" name="_xlnm.Print_Area_0" vbProcedure="false">'S. DE REUNIÃO'!$A$1:$J$25</definedName>
    <definedName function="false" hidden="false" localSheetId="17" name="_xlnm.Print_Area_0_0" vbProcedure="false">'S. DE REUNIÃO'!$A$1:$J$25</definedName>
    <definedName function="false" hidden="false" localSheetId="17" name="_xlnm.Print_Area_0_0_0" vbProcedure="false">'S. DE REUNIÃO'!$A$1:$J$25</definedName>
    <definedName function="false" hidden="false" localSheetId="17" name="_xlnm.Print_Area_0_0_0_0" vbProcedure="false">'S. DE REUNIÃO'!$A$1:$J$25</definedName>
    <definedName function="false" hidden="false" localSheetId="17" name="_xlnm._FilterDatabase" vbProcedure="false">'S. DE REUNIÃO'!$A$1:$J$25</definedName>
    <definedName function="false" hidden="false" localSheetId="18" name="_xlnm._FilterDatabase" vbProcedure="false">'S. DO VIGIA'!$A$1:$J$23</definedName>
    <definedName function="false" hidden="false" localSheetId="19" name="_xlnm._FilterDatabase" vbProcedure="false">'WC SOCIAL FEM'!$A$1:$J$28</definedName>
    <definedName function="false" hidden="false" localSheetId="20" name="_xlnm._FilterDatabase" vbProcedure="false">'WC SOCIAL MAS'!$A$1:$J$29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<sst xmlns="http://schemas.openxmlformats.org/spreadsheetml/2006/main" count="2015" uniqueCount="564">
  <si>
    <t xml:space="preserve">CODEVASF
4ª SUPERINTENDÊNCIA REGIONAL
PLANILHA DE QUANTITATIVOS DA REFORMA DO EDIFÍCIO-SEDE DO DISTRITO
DO PERÍMETRO IRRIGADO DE PROPRIÁ</t>
  </si>
  <si>
    <t xml:space="preserve">AMBIENTES</t>
  </si>
  <si>
    <t xml:space="preserve">GRUPO</t>
  </si>
  <si>
    <t xml:space="preserve">Nº</t>
  </si>
  <si>
    <t xml:space="preserve">COD. DO SERVIÇO</t>
  </si>
  <si>
    <t xml:space="preserve">DESCRIÇÃO DO SERVIÇO</t>
  </si>
  <si>
    <t xml:space="preserve">UNIDADE</t>
  </si>
  <si>
    <t xml:space="preserve">QUANTIDADE</t>
  </si>
  <si>
    <t xml:space="preserve">CORREDOR 01</t>
  </si>
  <si>
    <t xml:space="preserve">CORREDOR 02</t>
  </si>
  <si>
    <t xml:space="preserve">ÁREA DE VENTILAÇÃO</t>
  </si>
  <si>
    <t xml:space="preserve">ÁREA EXTERNA</t>
  </si>
  <si>
    <t xml:space="preserve">ÁREA DE CIR. EXTER.</t>
  </si>
  <si>
    <t xml:space="preserve">AUDITÓRIO</t>
  </si>
  <si>
    <t xml:space="preserve">AUDITÓRIO / WC FEM</t>
  </si>
  <si>
    <t xml:space="preserve">AUDITÓRIO /  WC MAS</t>
  </si>
  <si>
    <t xml:space="preserve">COBERTURA AUDITÓRIO</t>
  </si>
  <si>
    <t xml:space="preserve">COPA</t>
  </si>
  <si>
    <t xml:space="preserve">RECEPÇÃO</t>
  </si>
  <si>
    <t xml:space="preserve">SALA  DA ADMINISTRAÇÃO</t>
  </si>
  <si>
    <t xml:space="preserve">SALA  DA ADMINISTRAÇÃO / WC</t>
  </si>
  <si>
    <t xml:space="preserve">SALA DA ATER</t>
  </si>
  <si>
    <t xml:space="preserve">SALA DA GERÊNCIA</t>
  </si>
  <si>
    <t xml:space="preserve">SALA DE ESPERA</t>
  </si>
  <si>
    <t xml:space="preserve">SALA DE REUNIÃO</t>
  </si>
  <si>
    <t xml:space="preserve">SALA DO VIGIA</t>
  </si>
  <si>
    <t xml:space="preserve">WC SOCIAL FEM</t>
  </si>
  <si>
    <t xml:space="preserve">WC SOCIAL MAS</t>
  </si>
  <si>
    <t xml:space="preserve">HIDRÁULICA</t>
  </si>
  <si>
    <t xml:space="preserve">DEMOLIÇÃO</t>
  </si>
  <si>
    <t xml:space="preserve">3.1</t>
  </si>
  <si>
    <t xml:space="preserve">16/ORSE</t>
  </si>
  <si>
    <t xml:space="preserve">Demolição manual de piso em concreto simples e/ou cimentado</t>
  </si>
  <si>
    <t xml:space="preserve">m2</t>
  </si>
  <si>
    <t xml:space="preserve">3.2</t>
  </si>
  <si>
    <t xml:space="preserve">17/ORSE</t>
  </si>
  <si>
    <t xml:space="preserve">Demolição de reboco</t>
  </si>
  <si>
    <t xml:space="preserve">3.3</t>
  </si>
  <si>
    <t xml:space="preserve">18/ORSE</t>
  </si>
  <si>
    <t xml:space="preserve">Demolição de piso cerâmico ou ladrilho</t>
  </si>
  <si>
    <t xml:space="preserve">3.4</t>
  </si>
  <si>
    <t xml:space="preserve">25/ORSE</t>
  </si>
  <si>
    <t xml:space="preserve">Demolição de cerca - estacas de concreto com até 20 fios de arame farpado</t>
  </si>
  <si>
    <t xml:space="preserve">m</t>
  </si>
  <si>
    <t xml:space="preserve">3.5</t>
  </si>
  <si>
    <t xml:space="preserve">31/ORSE</t>
  </si>
  <si>
    <t xml:space="preserve">Retirada de folhas de portas de passagem ou janelas</t>
  </si>
  <si>
    <t xml:space="preserve">3.6</t>
  </si>
  <si>
    <t xml:space="preserve">3262/ORSE</t>
  </si>
  <si>
    <t xml:space="preserve">Remoção de lavatório</t>
  </si>
  <si>
    <t xml:space="preserve">un</t>
  </si>
  <si>
    <t xml:space="preserve">3.7</t>
  </si>
  <si>
    <t xml:space="preserve">6/ORSE</t>
  </si>
  <si>
    <t xml:space="preserve">Demolição de alvenaria de bloco cerâmico e=0,09m - revestida</t>
  </si>
  <si>
    <t xml:space="preserve">m3</t>
  </si>
  <si>
    <t xml:space="preserve">3.8</t>
  </si>
  <si>
    <t xml:space="preserve">2344/ORSE</t>
  </si>
  <si>
    <t xml:space="preserve">Preparo de superfície com lixamento de paredes e tetos</t>
  </si>
  <si>
    <t xml:space="preserve">3.9</t>
  </si>
  <si>
    <t xml:space="preserve">84152/SINAPI</t>
  </si>
  <si>
    <t xml:space="preserve">Demolicao manual concreto armado (pilar / viga / laje) - incl empilhacao lateral no canteiro</t>
  </si>
  <si>
    <t xml:space="preserve">3.10</t>
  </si>
  <si>
    <t xml:space="preserve">85333/SINAPI</t>
  </si>
  <si>
    <t xml:space="preserve">Retirada de aparelhos sanitarios</t>
  </si>
  <si>
    <t xml:space="preserve">3.11</t>
  </si>
  <si>
    <t xml:space="preserve">85334/SINAPI</t>
  </si>
  <si>
    <t xml:space="preserve">Retirada de esquadrias metalicas</t>
  </si>
  <si>
    <t xml:space="preserve">3.12</t>
  </si>
  <si>
    <t xml:space="preserve">22/ORSE</t>
  </si>
  <si>
    <t xml:space="preserve">Demolição de revestimento cerâmico ou azulejo</t>
  </si>
  <si>
    <t xml:space="preserve">3.13</t>
  </si>
  <si>
    <t xml:space="preserve">9602/ORSE</t>
  </si>
  <si>
    <t xml:space="preserve">Remoção de pia</t>
  </si>
  <si>
    <t xml:space="preserve">3.14</t>
  </si>
  <si>
    <t xml:space="preserve">200/CODEVASF</t>
  </si>
  <si>
    <t xml:space="preserve">Demolição de piso em pedra ardosia</t>
  </si>
  <si>
    <t xml:space="preserve">3.15</t>
  </si>
  <si>
    <t xml:space="preserve">14/ORSE</t>
  </si>
  <si>
    <t xml:space="preserve">Demolição de concreto simples com martelete e compressor</t>
  </si>
  <si>
    <t xml:space="preserve">3.16</t>
  </si>
  <si>
    <t xml:space="preserve">Restauro - Limpeza e higienização de ornatus e paredes</t>
  </si>
  <si>
    <t xml:space="preserve">FUNDAÇÃO/ESTRUTURA</t>
  </si>
  <si>
    <t xml:space="preserve">4.1</t>
  </si>
  <si>
    <t xml:space="preserve">140/ORSE</t>
  </si>
  <si>
    <t xml:space="preserve">Aço CA - 50 Ø 6,3 a 12,5mm, inclusive corte, dobragem, montagem e colocacao de ferragens nas formas, para superestruturas e fundações</t>
  </si>
  <si>
    <t xml:space="preserve">kg</t>
  </si>
  <si>
    <t xml:space="preserve">4.2</t>
  </si>
  <si>
    <t xml:space="preserve">193/ORSE</t>
  </si>
  <si>
    <t xml:space="preserve">Coluna em alvenaria de tijolo maciço seção 30cm x 30cm, com núcleo preenchido em concreto armado</t>
  </si>
  <si>
    <t xml:space="preserve">4.3</t>
  </si>
  <si>
    <t xml:space="preserve">29/CODEVASF</t>
  </si>
  <si>
    <t xml:space="preserve">Lancamento/aplicacao manual de concreto em estruturas</t>
  </si>
  <si>
    <t xml:space="preserve">4.4</t>
  </si>
  <si>
    <t xml:space="preserve">2497/ORSE</t>
  </si>
  <si>
    <t xml:space="preserve">Escavação manual de vala ou cava em material de 1ª categoria, profundidade até 1,50m</t>
  </si>
  <si>
    <t xml:space="preserve">4.5</t>
  </si>
  <si>
    <t xml:space="preserve">94964/SINAPI</t>
  </si>
  <si>
    <t xml:space="preserve">Concreto fck = 20mpa, traço 1:2,7:3 (cimento/ areia média/ brita 1)  - preparo mecânico com betoneira 400 l. af_07/2016</t>
  </si>
  <si>
    <t xml:space="preserve">4.6</t>
  </si>
  <si>
    <t xml:space="preserve">82/ORSE</t>
  </si>
  <si>
    <t xml:space="preserve">Forma plana para fundações, em tábuas de pinho, 03 usos</t>
  </si>
  <si>
    <t xml:space="preserve">m²</t>
  </si>
  <si>
    <t xml:space="preserve">4.7</t>
  </si>
  <si>
    <t xml:space="preserve">91/ORSE</t>
  </si>
  <si>
    <t xml:space="preserve">Alvenaria pedra calcárea argamassada c/ cimento e areia traço t-4 (1:5) - 1 saco cimento 50kg / 5 padiolas areia dim. 0,35z0,45x0,23m - Confecção mecânica e transporte</t>
  </si>
  <si>
    <t xml:space="preserve">4.8</t>
  </si>
  <si>
    <t xml:space="preserve">116/ORSE</t>
  </si>
  <si>
    <t xml:space="preserve">Forma plana para estruturas, em compensado resinado de 12mm, 05 usos, inclusive escoramento - Revisada 07.2015</t>
  </si>
  <si>
    <t xml:space="preserve">4.9</t>
  </si>
  <si>
    <t xml:space="preserve">3473/ORSE</t>
  </si>
  <si>
    <t xml:space="preserve">Escoramento em madeira p/ edificações c/ vigas e lajes maciças, 02 usos</t>
  </si>
  <si>
    <t xml:space="preserve">4.10</t>
  </si>
  <si>
    <t xml:space="preserve">6457/ORSE</t>
  </si>
  <si>
    <t xml:space="preserve">Concreto armado fck=15MPa fabricado na obra, adensado e lançado, para Uso Geral, com formas planas em compensado resinado 12mm (05 usos)</t>
  </si>
  <si>
    <t xml:space="preserve">ALVENARIA</t>
  </si>
  <si>
    <t xml:space="preserve">5.1</t>
  </si>
  <si>
    <t xml:space="preserve">151/ORSE</t>
  </si>
  <si>
    <t xml:space="preserve">Alvenaria bloco cerâmico vedação, 9x19x24cm, e=9cm, com argamassa t5 - 1:2:8 (cimento/cal/areia), junta=2cm</t>
  </si>
  <si>
    <t xml:space="preserve">REVESTIMENTO</t>
  </si>
  <si>
    <t xml:space="preserve">6.1</t>
  </si>
  <si>
    <t xml:space="preserve">83733/SINAPI</t>
  </si>
  <si>
    <t xml:space="preserve">Impermeabilizacao de superficie com argamassa de cimento e areia (grossa), traco 1:4, com aditivo impermeabilizante, e=2 cm</t>
  </si>
  <si>
    <t xml:space="preserve">6.2</t>
  </si>
  <si>
    <t xml:space="preserve">87530/SINAPI</t>
  </si>
  <si>
    <t xml:space="preserve">Massa única, para recebimento de pintura, em argamassa traço 1:2:8, preparo manual, aplicada manualmente em faces internas de paredes de ambientes com área menor que 10m2, espessura de 20mm, com execução de taliscas. af_06/2014</t>
  </si>
  <si>
    <t xml:space="preserve">6.3</t>
  </si>
  <si>
    <t xml:space="preserve">87878/SINAPI</t>
  </si>
  <si>
    <t xml:space="preserve">Chapisco aplicado em alvenarias e estruturas de concreto internas, com colher de pedreiro.  argamassa traço 1:3 com preparo manual. af_06/2014</t>
  </si>
  <si>
    <t xml:space="preserve">6.4</t>
  </si>
  <si>
    <t xml:space="preserve">87265/SINAPI</t>
  </si>
  <si>
    <t xml:space="preserve">Revestimento cerâmico para paredes internas com placas tipo esmaltada extra de dimensões 20x20 cm aplicadas em ambientes de área maior que 5 m² na altura inteira das paredes.</t>
  </si>
  <si>
    <t xml:space="preserve">PAVIMENTAÇÃO</t>
  </si>
  <si>
    <t xml:space="preserve">7.1</t>
  </si>
  <si>
    <t xml:space="preserve">2266/ORSE</t>
  </si>
  <si>
    <t xml:space="preserve">Soleira em granito cinza andorinha, l = 15 cm, e = 2 cm</t>
  </si>
  <si>
    <t xml:space="preserve">7.2</t>
  </si>
  <si>
    <t xml:space="preserve">88649/SINAPI</t>
  </si>
  <si>
    <t xml:space="preserve">Rodapé cerâmico de 7cm de altura com placas tipo esmaltada extra de dimensões 45x45cm. af_06/2014</t>
  </si>
  <si>
    <t xml:space="preserve">7.3</t>
  </si>
  <si>
    <t xml:space="preserve">72799/SINAPI</t>
  </si>
  <si>
    <t xml:space="preserve">Pavimento em paralelepipedo sobre colchao de areia rejuntado com argamassa de cimento e areia no traço 1:3 (pedras pequenas 30 a 35 pecas por m2)</t>
  </si>
  <si>
    <t xml:space="preserve">7.4</t>
  </si>
  <si>
    <t xml:space="preserve">83534/SINAPI</t>
  </si>
  <si>
    <t xml:space="preserve">Lastro de concreto, preparo mecanico, incluso aditivo impermeabilizante</t>
  </si>
  <si>
    <t xml:space="preserve">7.5</t>
  </si>
  <si>
    <t xml:space="preserve">87250/SINAPI</t>
  </si>
  <si>
    <t xml:space="preserve">Revestimento cerâmico para piso com placas tipo esmaltada extra de dimensões 45x45 cm aplicada em ambientes de área entre 5 m2 e 10 m2. af_06/2014</t>
  </si>
  <si>
    <t xml:space="preserve">7.6</t>
  </si>
  <si>
    <t xml:space="preserve">2180/ORSE</t>
  </si>
  <si>
    <t xml:space="preserve">Regularização de base para revest. de pisos com arg. traço t4, esp. média = 2,5cm</t>
  </si>
  <si>
    <t xml:space="preserve">7.7</t>
  </si>
  <si>
    <t xml:space="preserve">94990/SINAPI</t>
  </si>
  <si>
    <t xml:space="preserve">Execução de passeio (calçada) ou piso de concreto com concreto moldado in loco, feito em obra, acabamento convencional, não armado. af_07/2016</t>
  </si>
  <si>
    <t xml:space="preserve">7.8</t>
  </si>
  <si>
    <t xml:space="preserve">2620/ORSE</t>
  </si>
  <si>
    <t xml:space="preserve">Meio-fio de concreto simples, sobre base de concreto simples e rejuntado com argamassa de cimento e areia traço 1:3</t>
  </si>
  <si>
    <t xml:space="preserve">7.9</t>
  </si>
  <si>
    <t xml:space="preserve">79480/SINAPI</t>
  </si>
  <si>
    <t xml:space="preserve">Escavacao mecanica campo aberto em solo exceto rocha ate 2,00m profundidade</t>
  </si>
  <si>
    <t xml:space="preserve">7.10</t>
  </si>
  <si>
    <t xml:space="preserve">740101/SINAPI</t>
  </si>
  <si>
    <t xml:space="preserve">Carga e descarga mecanica de solo utilizando caminhao basculante 6,0m3/16t e pa carregadeira sobre pneus 128 hp, capacidade da caçamba 1,7 a 2,8 m3, peso operacional 11632 kg</t>
  </si>
  <si>
    <t xml:space="preserve">COBERTURA</t>
  </si>
  <si>
    <t xml:space="preserve">8.1</t>
  </si>
  <si>
    <t xml:space="preserve">267/ORSE</t>
  </si>
  <si>
    <t xml:space="preserve">Retirada e reassentamento de telha cerâmica tipo canal, 1ª qualid, cor clara, Itabaianinha ou similar</t>
  </si>
  <si>
    <t xml:space="preserve">8.2</t>
  </si>
  <si>
    <t xml:space="preserve">273/ORSE</t>
  </si>
  <si>
    <t xml:space="preserve">Revisão em cobertura com telha cerâmica tipo canal, 1ª, com reposição de 30% do material (Rio Grande do Norte ou similar)</t>
  </si>
  <si>
    <t xml:space="preserve">8.3</t>
  </si>
  <si>
    <t xml:space="preserve">55960/SINAPI</t>
  </si>
  <si>
    <t xml:space="preserve">Imunizacao de madeiramento para cobertura utilizando cupinicida incolor</t>
  </si>
  <si>
    <t xml:space="preserve">8.4</t>
  </si>
  <si>
    <t xml:space="preserve">72228/SINAPI</t>
  </si>
  <si>
    <t xml:space="preserve">Retirada de estrutura de madeira com tesouras para telhas ceramicas ou de vidro</t>
  </si>
  <si>
    <t xml:space="preserve">8.5</t>
  </si>
  <si>
    <t xml:space="preserve">92541/SINAPI</t>
  </si>
  <si>
    <t xml:space="preserve">Trama de madeira composta por ripas, caibros e terças para telhados de até 2 águas para telha cerâmica capa-canal, incluso transporte vertical. af_12/2015</t>
  </si>
  <si>
    <t xml:space="preserve">8.6</t>
  </si>
  <si>
    <t xml:space="preserve">92550/SINAPI</t>
  </si>
  <si>
    <t xml:space="preserve">Fabricação e instalação de tesoura inteira em madeira não aparelhada, vão de 7 m, para telha cerâmica ou de concreto, incluso içamento. af_12/2015</t>
  </si>
  <si>
    <t xml:space="preserve">8.7</t>
  </si>
  <si>
    <t xml:space="preserve">94222/SINAPI</t>
  </si>
  <si>
    <t xml:space="preserve">Cumeeira para telha de concreto emboçada com argamassa traço 1:2:9 (cimento, cal e areia) para telhados com até 2 águas, incluso transporte vertical. af_06/2016</t>
  </si>
  <si>
    <t xml:space="preserve">8.8</t>
  </si>
  <si>
    <t xml:space="preserve">72238/SINAPI</t>
  </si>
  <si>
    <t xml:space="preserve">Retirada de forro em reguas de pvc, inclusive retirada de perfis</t>
  </si>
  <si>
    <t xml:space="preserve">8.9</t>
  </si>
  <si>
    <t xml:space="preserve">72201/SINAPI</t>
  </si>
  <si>
    <t xml:space="preserve">Recolocaco de forros em regua de pvc e perfis, considerando reaproveitamento do material</t>
  </si>
  <si>
    <t xml:space="preserve">8.10</t>
  </si>
  <si>
    <t xml:space="preserve">4449/ORSE</t>
  </si>
  <si>
    <t xml:space="preserve">Forro de pvc, em réguas de 10 ou 20 cm, aplicado,  incluisve estrutura para fixação (perfis Forro de pvc, em réguas de 10 ou 20 cm, aplicado, inclusive estrutura de fixação (perfis PVC Plastilon) ref:Araforros ou similar</t>
  </si>
  <si>
    <t xml:space="preserve">ESQUADRIAS</t>
  </si>
  <si>
    <t xml:space="preserve">9.1</t>
  </si>
  <si>
    <t xml:space="preserve">1797/ORSE</t>
  </si>
  <si>
    <t xml:space="preserve">Revisão de esquadria de madeira</t>
  </si>
  <si>
    <t xml:space="preserve">9.2</t>
  </si>
  <si>
    <t xml:space="preserve">1865/ORSE</t>
  </si>
  <si>
    <t xml:space="preserve">Ferrolho ou targeta de fio redondo ( aliança ou similar ) ref.81098  63mm (2 1/2")</t>
  </si>
  <si>
    <t xml:space="preserve">9.3</t>
  </si>
  <si>
    <t xml:space="preserve">3540/ORSE</t>
  </si>
  <si>
    <t xml:space="preserve">Porta em madeira de lei, almofadada, 0.80 x 2.10 m, inclusive batentes e ferragens</t>
  </si>
  <si>
    <t xml:space="preserve">9.4</t>
  </si>
  <si>
    <t xml:space="preserve">4359/ORSE</t>
  </si>
  <si>
    <t xml:space="preserve">Fechadura para porta externa, padrão de acabamento médio - Fornecimento/assentamento</t>
  </si>
  <si>
    <t xml:space="preserve">9.5</t>
  </si>
  <si>
    <t xml:space="preserve">91306/SINAPI</t>
  </si>
  <si>
    <t xml:space="preserve">Fechadura de embutir para portas internas, completa, acabamento padrão médio, com execução de furo - fornecimento e instalação. af_08/2015</t>
  </si>
  <si>
    <t xml:space="preserve">9.6</t>
  </si>
  <si>
    <t xml:space="preserve">5079/ORSE</t>
  </si>
  <si>
    <t xml:space="preserve">Porta em pvc, sanfonada, instalada</t>
  </si>
  <si>
    <t xml:space="preserve">9.7</t>
  </si>
  <si>
    <t xml:space="preserve">DESC/004</t>
  </si>
  <si>
    <t xml:space="preserve">Portão de Ferro em tubo de aço galvanizado ø 1 1/2' e chapa galvanizada e = 1/4'</t>
  </si>
  <si>
    <t xml:space="preserve">9.8</t>
  </si>
  <si>
    <t xml:space="preserve">90822/SINAPI</t>
  </si>
  <si>
    <t xml:space="preserve">Porta de madeira para pintura, semi-oca (leve ou média), 80x210cm, espessura de 3,5cm, incluso dobradiças - fornecimento e instalação. af_08/2015</t>
  </si>
  <si>
    <t xml:space="preserve">9.9</t>
  </si>
  <si>
    <t xml:space="preserve">90849/SINAPI</t>
  </si>
  <si>
    <t xml:space="preserve">Kit de porta de madeira para pintura, semi-oca (leve ou média), padrão médio, 80x210cm, espessura de 3,5cm, itens inclusos: dobradiças, montagem e instalação do batente, sem fechadura - fornecimento e instalação. af_08/2015</t>
  </si>
  <si>
    <t xml:space="preserve">9.10</t>
  </si>
  <si>
    <t xml:space="preserve">91305/SINAPI</t>
  </si>
  <si>
    <t xml:space="preserve">Fechadura de embutir para porta de banheiro, completa, acabamento padrão popular, incluso execução de furo - fornecimento e instalação. af_08/2015</t>
  </si>
  <si>
    <t xml:space="preserve">9.11</t>
  </si>
  <si>
    <t xml:space="preserve">91009/SINAPI</t>
  </si>
  <si>
    <t xml:space="preserve">Porta de madeira para verniz, semi-oca (leve ou média), 60x210cm, espessura de 3,5cm, incluso dobradiças - fornecimento e instalação. af_08/2015</t>
  </si>
  <si>
    <t xml:space="preserve">9.12</t>
  </si>
  <si>
    <t xml:space="preserve">3520/ORSE</t>
  </si>
  <si>
    <t xml:space="preserve">Fechadura Pado, linha Bola Italiana, ref.855-43, acabamento IX (alumínio) ou Similar</t>
  </si>
  <si>
    <t xml:space="preserve">9.13</t>
  </si>
  <si>
    <t xml:space="preserve">94569/SINAPI</t>
  </si>
  <si>
    <t xml:space="preserve">Janela de alumínio maxim-ar, fixação com parafuso sobre contramarco (exclusive contramarco), com vidros, padronizada. af_07/2016</t>
  </si>
  <si>
    <t xml:space="preserve">PINTURA</t>
  </si>
  <si>
    <t xml:space="preserve">10.1</t>
  </si>
  <si>
    <t xml:space="preserve">739242/SINAPI</t>
  </si>
  <si>
    <t xml:space="preserve">Pintura esmalte acetinado, duas demaos, sobre superficie metalica</t>
  </si>
  <si>
    <t xml:space="preserve">10.2</t>
  </si>
  <si>
    <t xml:space="preserve">740641/SINAPI</t>
  </si>
  <si>
    <t xml:space="preserve">Fundo anticorrosivo a base de oxido de ferro (zarcao), duas demaos</t>
  </si>
  <si>
    <t xml:space="preserve">10.3</t>
  </si>
  <si>
    <t xml:space="preserve">84659/SINAPI</t>
  </si>
  <si>
    <t xml:space="preserve">Pintura esmalte fosco em madeira, duas demaos</t>
  </si>
  <si>
    <t xml:space="preserve">10.4</t>
  </si>
  <si>
    <t xml:space="preserve">84665/SINAPI</t>
  </si>
  <si>
    <t xml:space="preserve">Pintura acrilica para sinalização horizontal em piso cimentado</t>
  </si>
  <si>
    <t xml:space="preserve">10.5</t>
  </si>
  <si>
    <t xml:space="preserve">8623/ORSE</t>
  </si>
  <si>
    <t xml:space="preserve">Emassamento de superfície, com aplicação de 02 demãos de massa corrida, lixamento e retoques</t>
  </si>
  <si>
    <t xml:space="preserve">10.6</t>
  </si>
  <si>
    <t xml:space="preserve">8624/ORSE</t>
  </si>
  <si>
    <t xml:space="preserve">Emassamento de superfície, com aplicação de 02 demãos de massa acrílica, lixamento e retoques</t>
  </si>
  <si>
    <t xml:space="preserve">10.7</t>
  </si>
  <si>
    <t xml:space="preserve">88415/SINAPI</t>
  </si>
  <si>
    <t xml:space="preserve">Aplicação manual de fundo selador acrílico em paredes externas de casas. af_06/2014</t>
  </si>
  <si>
    <t xml:space="preserve">10.8</t>
  </si>
  <si>
    <t xml:space="preserve">88486/SINAPI</t>
  </si>
  <si>
    <t xml:space="preserve">Aplicação manual de pintura com tinta látex pva em teto, duas demãos. af_06/2014</t>
  </si>
  <si>
    <t xml:space="preserve">10.9</t>
  </si>
  <si>
    <t xml:space="preserve">88487/SINAPI</t>
  </si>
  <si>
    <t xml:space="preserve">Aplicação manual de pintura com tinta látex pva em paredes, duas demãos. af_06/2014</t>
  </si>
  <si>
    <t xml:space="preserve">10.10</t>
  </si>
  <si>
    <t xml:space="preserve">88489/SINAPI</t>
  </si>
  <si>
    <t xml:space="preserve">Aplicação manual de pintura com tinta látex acrílica em paredes, duas demãos. af_06/2014</t>
  </si>
  <si>
    <t xml:space="preserve">LOUÇAS E METAIS</t>
  </si>
  <si>
    <t xml:space="preserve">11.1</t>
  </si>
  <si>
    <t xml:space="preserve">2050/ORSE</t>
  </si>
  <si>
    <t xml:space="preserve">Chuveiro plástico sem registro</t>
  </si>
  <si>
    <t xml:space="preserve">11.2</t>
  </si>
  <si>
    <t xml:space="preserve">2051/ORSE</t>
  </si>
  <si>
    <t xml:space="preserve">Saboneteira para sabão líquido</t>
  </si>
  <si>
    <t xml:space="preserve">11.3</t>
  </si>
  <si>
    <t xml:space="preserve">85005/SINAPI</t>
  </si>
  <si>
    <t xml:space="preserve">Espelho cristal, espessura 4mm, com parafusos de fixacao, sem moldura</t>
  </si>
  <si>
    <t xml:space="preserve">11.4</t>
  </si>
  <si>
    <t xml:space="preserve">7610/ORSE</t>
  </si>
  <si>
    <t xml:space="preserve">Porta-papel toalha em plástico ABS com acrílico, da JSN, ref. N7 ou similar</t>
  </si>
  <si>
    <t xml:space="preserve">11.5</t>
  </si>
  <si>
    <t xml:space="preserve">7611/ORSE</t>
  </si>
  <si>
    <t xml:space="preserve">Porta-papel higiênico, linha Domus, ref. 102 C40, da Meber ou similar</t>
  </si>
  <si>
    <t xml:space="preserve">11.6</t>
  </si>
  <si>
    <t xml:space="preserve">86876/SINAPI</t>
  </si>
  <si>
    <t xml:space="preserve">Tanque de mármore sintético suspenso, 22l ou equivalente - fornecimento e instalação. af_12/2013</t>
  </si>
  <si>
    <t xml:space="preserve">11.7</t>
  </si>
  <si>
    <t xml:space="preserve">2006/ORSE</t>
  </si>
  <si>
    <t xml:space="preserve">Lavatório louça (Deca-Ravena ref L-91) com coluna (deca ref C-9), c/ sifão plástico, engate cromado (deca), torneira de metal (deca ref1190) , válvula cromada (deca ref1600), conjunto de fixação (deca ref sp7) ou similares</t>
  </si>
  <si>
    <t xml:space="preserve">11.8</t>
  </si>
  <si>
    <t xml:space="preserve">9497/ORSE</t>
  </si>
  <si>
    <t xml:space="preserve">Torneira para lavatório, de mesa, bica baixa, linha Link, ref.1197 C.LNK, d=1/2", da Deca ou similar</t>
  </si>
  <si>
    <t xml:space="preserve">11.9</t>
  </si>
  <si>
    <t xml:space="preserve">2111/ORSE</t>
  </si>
  <si>
    <t xml:space="preserve">Pia de cozinha com bancada em granito cinza andorinha, e = 2cm, dim 1.40x0.60, com 01 cuba de aço inox, sifão cromado, válvula cromada, torneira em aço inox, inclusive rodopia 7 cm, assentada.</t>
  </si>
  <si>
    <t xml:space="preserve">11.10</t>
  </si>
  <si>
    <t xml:space="preserve">2070/ORSE</t>
  </si>
  <si>
    <t xml:space="preserve">Vaso sanitário convencional, linha ravena P9, DECA ou similar, incl. válvula de descarga cromada HYDRA ou similar, assento ASTRA TPK ou similar, conj. de fixação DECA SP13 ou similar, anel de vedação, tubo de ligação acab. cromado e engate plástico</t>
  </si>
  <si>
    <t xml:space="preserve">11.11</t>
  </si>
  <si>
    <t xml:space="preserve">2014/ORSE</t>
  </si>
  <si>
    <t xml:space="preserve">Mictório de louça (deca ref m711 - s/ sifão integrado), engate cromado (deca ref c4606180) e registro de pressão (deca linha c40 ref1416) ou similares</t>
  </si>
  <si>
    <t xml:space="preserve">11.12</t>
  </si>
  <si>
    <t xml:space="preserve">2071/ORSE</t>
  </si>
  <si>
    <t xml:space="preserve">Vaso sanitario c/caixa de descarga acoplada, linha ravena CP929, DECA ou similar, inclusive assento ASTRA TPK ou similar, conj. de fixação DECA SP13 ou similar, anel de vedação e engate plástico</t>
  </si>
  <si>
    <t xml:space="preserve">INSTALAÇÕES ELÉTRICAS</t>
  </si>
  <si>
    <t xml:space="preserve">12.1</t>
  </si>
  <si>
    <t xml:space="preserve">647/ORSE</t>
  </si>
  <si>
    <t xml:space="preserve">Ponto de interruptor 01 seção embutido com tomada conjugada (1 s + 1 t) com eletroduto de pvc flexível sanfonado Ø 3/4"</t>
  </si>
  <si>
    <t xml:space="preserve">12.2</t>
  </si>
  <si>
    <t xml:space="preserve">3281/ORSE</t>
  </si>
  <si>
    <t xml:space="preserve">Ponto de interruptor 02 seções (2 s) embutido com eletroduto de pvc flexível sanfonado embutido Ø 3/4"</t>
  </si>
  <si>
    <t xml:space="preserve">pt</t>
  </si>
  <si>
    <t xml:space="preserve">12.3</t>
  </si>
  <si>
    <t xml:space="preserve">3285/ORSE</t>
  </si>
  <si>
    <t xml:space="preserve">Ponto de interruptor 03 seções embutido, com eletroduto de pvc flexível sanfonado Ø 3/4"</t>
  </si>
  <si>
    <t xml:space="preserve">12.4</t>
  </si>
  <si>
    <t xml:space="preserve">3395/ORSE</t>
  </si>
  <si>
    <t xml:space="preserve">Ponto de luz em teto ou parede, com eletroduto de pvc flexivel sanfonado embutido Ø 3/4"</t>
  </si>
  <si>
    <t xml:space="preserve">12.5</t>
  </si>
  <si>
    <t xml:space="preserve">83469/SINAPI</t>
  </si>
  <si>
    <t xml:space="preserve">Lampada fluorescente 40w - fornecimento e instalacao</t>
  </si>
  <si>
    <t xml:space="preserve">12.6</t>
  </si>
  <si>
    <t xml:space="preserve">739536/SINAPI</t>
  </si>
  <si>
    <t xml:space="preserve">Luminaria tipo calha, de sobrepor, com reator de partida rapida e lampada fluorescente 2x40w, completa, fornecimento e instalacao</t>
  </si>
  <si>
    <t xml:space="preserve">12.7</t>
  </si>
  <si>
    <t xml:space="preserve">739532/SINAPI</t>
  </si>
  <si>
    <t xml:space="preserve">Luminaria tipo calha, de sobrepor, com reator de partida rapida e lampada fluorescente 2x20w, completa, fornecimento e instalacao</t>
  </si>
  <si>
    <t xml:space="preserve">12.8</t>
  </si>
  <si>
    <t xml:space="preserve">3298/ORSE</t>
  </si>
  <si>
    <t xml:space="preserve">Ponto de tomada 2p+t, ABNT, de embutir, 10 A, com eletroduto de pvc flexível sanfonado embutido Ø 3/4", fio rigido 2,5mm² (fio 12), inclusive placa em pvc e aterramento</t>
  </si>
  <si>
    <t xml:space="preserve">12.9</t>
  </si>
  <si>
    <t xml:space="preserve">625/ORSE</t>
  </si>
  <si>
    <t xml:space="preserve">Revisão de ponto de luz tipo 2, em teto ou parede</t>
  </si>
  <si>
    <t xml:space="preserve">INSTALAÇÕES HIDRÁULICAS</t>
  </si>
  <si>
    <t xml:space="preserve">13.1</t>
  </si>
  <si>
    <t xml:space="preserve">ORSE 1143</t>
  </si>
  <si>
    <t xml:space="preserve">Joelho de redução 90º de pvc rígido soldável, marrom  diâm = 25 x 20mm</t>
  </si>
  <si>
    <t xml:space="preserve">13.2</t>
  </si>
  <si>
    <t xml:space="preserve">SINAPI 94672</t>
  </si>
  <si>
    <t xml:space="preserve">Joelho 90 graus com bucha de latão, pvc, soldável, dn  25 mm, x 3/4? instalado em reservação de água de edificação que possua reservatório de fibra/fibrocimento   fornecimento e instalação. af_06/2016</t>
  </si>
  <si>
    <t xml:space="preserve">13.3</t>
  </si>
  <si>
    <t xml:space="preserve">ORSE 4964</t>
  </si>
  <si>
    <t xml:space="preserve">Joelho 90º pvc rígido soldável c/bucha de latão,  d= 20mm x 1/2"</t>
  </si>
  <si>
    <t xml:space="preserve">13.4</t>
  </si>
  <si>
    <t xml:space="preserve">SINAPI 89362</t>
  </si>
  <si>
    <t xml:space="preserve">Joelho 90 graus, pvc, soldável, dn 25mm, instalado em ramal ou sub-ramal de água - fornecimento e instalação. af_12/2014</t>
  </si>
  <si>
    <t xml:space="preserve">13.5</t>
  </si>
  <si>
    <t xml:space="preserve">SINAPI 89367</t>
  </si>
  <si>
    <t xml:space="preserve">Joelho 90 graus, pvc, soldável, dn 32mm, instalado em ramal ou sub-ramal de água - fornecimento e instalação. af_12/2014</t>
  </si>
  <si>
    <t xml:space="preserve">13.6</t>
  </si>
  <si>
    <t xml:space="preserve">ORSE 1137</t>
  </si>
  <si>
    <t xml:space="preserve">Joelho 90º de pvc rígido soldável, marrom  diâm = 40mm</t>
  </si>
  <si>
    <t xml:space="preserve">13.7</t>
  </si>
  <si>
    <t xml:space="preserve">ORSE 1138</t>
  </si>
  <si>
    <t xml:space="preserve">Joelho 90º de pvc rígido soldável, marrom  diâm = 50mm</t>
  </si>
  <si>
    <t xml:space="preserve">13.8</t>
  </si>
  <si>
    <t xml:space="preserve">ORSE 1168</t>
  </si>
  <si>
    <t xml:space="preserve">Tê 90º de pvc rígido soldável, marrom  diâm = 25mm</t>
  </si>
  <si>
    <t xml:space="preserve">13.9</t>
  </si>
  <si>
    <t xml:space="preserve">ORSE 1170</t>
  </si>
  <si>
    <t xml:space="preserve">Tê 90º de pvc rígido soldável, marrom  diâm = 40mm</t>
  </si>
  <si>
    <t xml:space="preserve">13.10</t>
  </si>
  <si>
    <t xml:space="preserve">ORSE 1171</t>
  </si>
  <si>
    <t xml:space="preserve">Tê 90º de pvc rígido soldável, marrom  diâm = 50mm</t>
  </si>
  <si>
    <t xml:space="preserve">13.11</t>
  </si>
  <si>
    <t xml:space="preserve">SINAPI 89396</t>
  </si>
  <si>
    <t xml:space="preserve">Tê com bucha de latão na bolsa central, pvc, soldável, dn 25mm x 1/2?, instalado em ramal ou sub-ramal de água - fornecimento e instalação. af_12/2014</t>
  </si>
  <si>
    <t xml:space="preserve">13.12</t>
  </si>
  <si>
    <t xml:space="preserve">ORSE 1176</t>
  </si>
  <si>
    <t xml:space="preserve">Tê de redução 90º de pvc rígido soldável, marrom  diâm = 25 x 20mm</t>
  </si>
  <si>
    <t xml:space="preserve">13.13</t>
  </si>
  <si>
    <t xml:space="preserve">ORSE 1178</t>
  </si>
  <si>
    <t xml:space="preserve">Tê de redução 90º de pvc rígido soldável, marrom  diâm = 40 x 32mm</t>
  </si>
  <si>
    <t xml:space="preserve">13.14</t>
  </si>
  <si>
    <t xml:space="preserve">ORSE 1181</t>
  </si>
  <si>
    <t xml:space="preserve">Tê de redução 90º de pvc rígido soldável, marrom  diâm = 50 x 32mm</t>
  </si>
  <si>
    <t xml:space="preserve">13.15</t>
  </si>
  <si>
    <t xml:space="preserve">ORSE 1182</t>
  </si>
  <si>
    <t xml:space="preserve">Tê de redução 90º de pvc rígido soldável, marrom  diâm = 50 x 40mm</t>
  </si>
  <si>
    <t xml:space="preserve">13.16</t>
  </si>
  <si>
    <t xml:space="preserve">ORSE 1158</t>
  </si>
  <si>
    <t xml:space="preserve">Luva de redução de pvc rígido soldável, marrom, diâm = 25 x 20mm</t>
  </si>
  <si>
    <t xml:space="preserve">13.17</t>
  </si>
  <si>
    <t xml:space="preserve">ORSE 1159</t>
  </si>
  <si>
    <t xml:space="preserve">Luva de redução de pvc rígido soldável, marrom, diâm = 32 x 25mm</t>
  </si>
  <si>
    <t xml:space="preserve">13.18</t>
  </si>
  <si>
    <t xml:space="preserve">ORSE 1465</t>
  </si>
  <si>
    <t xml:space="preserve">Registro gaveta c/ canopla cromada, d=20mm (3/4") - ref.1509 Deca ou similar</t>
  </si>
  <si>
    <t xml:space="preserve">13.19</t>
  </si>
  <si>
    <t xml:space="preserve">ORSE 1470</t>
  </si>
  <si>
    <t xml:space="preserve">Registro de pressão 3/4" c/canopla cromada, linha Targa C40 - ref.1416, Deca ou similar</t>
  </si>
  <si>
    <t xml:space="preserve">13.20</t>
  </si>
  <si>
    <t xml:space="preserve">ORSE 1027</t>
  </si>
  <si>
    <t xml:space="preserve">Tubo pvc rígido soldável marrom p/ água, d = 20 mm (1/2")</t>
  </si>
  <si>
    <t xml:space="preserve">13.21</t>
  </si>
  <si>
    <t xml:space="preserve">ORSE 1028</t>
  </si>
  <si>
    <t xml:space="preserve">Tubo pvc rígido soldável marrom p/ água, d = 25 mm (3/4")</t>
  </si>
  <si>
    <t xml:space="preserve">13.22</t>
  </si>
  <si>
    <t xml:space="preserve">ORSE 1029</t>
  </si>
  <si>
    <t xml:space="preserve">Tubo pvc rígido soldável marrom p/ água, d = 32 mm (1")</t>
  </si>
  <si>
    <t xml:space="preserve">13.23</t>
  </si>
  <si>
    <t xml:space="preserve">ORSE 1030</t>
  </si>
  <si>
    <t xml:space="preserve">Tubo pvc rígido soldável marrom p/ água, d = 40 mm (1 1/4")</t>
  </si>
  <si>
    <t xml:space="preserve">13.24</t>
  </si>
  <si>
    <t xml:space="preserve">ORSE 1031</t>
  </si>
  <si>
    <t xml:space="preserve">Tubo pvc rígido soldável marrom p/ água, d = 50 mm (1 1/2")</t>
  </si>
  <si>
    <t xml:space="preserve">13.25</t>
  </si>
  <si>
    <t xml:space="preserve">ORSE 1678</t>
  </si>
  <si>
    <t xml:space="preserve">Ponto de esgoto com tubo de pvc rígido soldável de  Ø 50 mm (pias de cozinha, máquinas de lavar, etc...)</t>
  </si>
  <si>
    <t xml:space="preserve">13.26</t>
  </si>
  <si>
    <t xml:space="preserve">ORSE 1679</t>
  </si>
  <si>
    <t xml:space="preserve">Ponto de esgoto com tubo de pvc rígido soldável de  Ø 40 mm (lavatórios, mictórios, ralos sifonados, etc...)</t>
  </si>
  <si>
    <t xml:space="preserve">13.27</t>
  </si>
  <si>
    <t xml:space="preserve">SINAPI 89714</t>
  </si>
  <si>
    <t xml:space="preserve">Tubo pvc, serie normal, esgoto predial, dn 100 mm, fornecido e instalado em ramal de descarga ou ramal de esgoto sanitário. af_12/2014_p</t>
  </si>
  <si>
    <t xml:space="preserve">13.28</t>
  </si>
  <si>
    <t xml:space="preserve">SINAPI 88503</t>
  </si>
  <si>
    <t xml:space="preserve">Caixa d´água em polietileno, 1000 litros, com acessórios</t>
  </si>
  <si>
    <t xml:space="preserve">13.29</t>
  </si>
  <si>
    <t xml:space="preserve">SINAPI 741041</t>
  </si>
  <si>
    <t xml:space="preserve">Caixa de inspeção em alvenaria de tijolo maciço 60x60x60cm, revestida internamento com barra lisa (cimento e areia, traço 1:4) e=2,0cm, com tampa pré-moldada de concreto e fundo de concreto 15mpa tipo c - escavação e confecção</t>
  </si>
  <si>
    <t xml:space="preserve">13.30</t>
  </si>
  <si>
    <t xml:space="preserve">ORSE 9375</t>
  </si>
  <si>
    <t xml:space="preserve">Caixa de gordura  "cg"  60 x 60 x 65cm</t>
  </si>
  <si>
    <t xml:space="preserve">13.31</t>
  </si>
  <si>
    <t xml:space="preserve">SINAPI 89495</t>
  </si>
  <si>
    <t xml:space="preserve">Ralo sifonado, pvc, dn 100 x 40 mm, junta soldável, fornecido e instalado em ramais de encaminhamento de água pluvial. af_12/2014</t>
  </si>
  <si>
    <t xml:space="preserve">SERVIÇOS COMPLEMENTARES</t>
  </si>
  <si>
    <t xml:space="preserve">14.1</t>
  </si>
  <si>
    <t xml:space="preserve">10602/ORSE</t>
  </si>
  <si>
    <t xml:space="preserve">Sinalização horizontal padrão p/deficientes a base de resina acrilica sobre piso cimentado</t>
  </si>
  <si>
    <t xml:space="preserve">14.2</t>
  </si>
  <si>
    <t xml:space="preserve">2383/ORSE</t>
  </si>
  <si>
    <t xml:space="preserve">Revisão em cerca com estaca de concreto h=2,50, altura útil 2,00m, c/ 10 fios de arame, c/ reposição de 6 fios de arame por metro e de estaca a cada 10m</t>
  </si>
  <si>
    <t xml:space="preserve">14.3</t>
  </si>
  <si>
    <t xml:space="preserve">3484/ORSE</t>
  </si>
  <si>
    <t xml:space="preserve">Cerca com estaca premoldada em concreto armado, seção quadrada 10 x 10 cm, espaçamento entre estacas de 1,80m, hu(e) = 2,00 m, ht(e) = 2,50 m, escoras a cada 12,60 m, com 10 fios de arame farpado</t>
  </si>
  <si>
    <t xml:space="preserve">14.4</t>
  </si>
  <si>
    <t xml:space="preserve">7394816/SINAPI</t>
  </si>
  <si>
    <t xml:space="preserve">Limpeza manual do terreno (c/ raspagem superficial)</t>
  </si>
  <si>
    <t xml:space="preserve">14.5</t>
  </si>
  <si>
    <t xml:space="preserve">103/ORSE</t>
  </si>
  <si>
    <t xml:space="preserve">Pavimentação c/ brita granítica  nº2, espalhada, e = 5,0cm</t>
  </si>
  <si>
    <t xml:space="preserve">14.6</t>
  </si>
  <si>
    <t xml:space="preserve">DESC/002</t>
  </si>
  <si>
    <t xml:space="preserve">Transporte comercial com basculante - 10m³, rodovia pavimentada</t>
  </si>
  <si>
    <t xml:space="preserve">m3xKm</t>
  </si>
  <si>
    <t xml:space="preserve">14.7</t>
  </si>
  <si>
    <t xml:space="preserve">9537/SINAPI</t>
  </si>
  <si>
    <t xml:space="preserve">Limpeza final da obra</t>
  </si>
  <si>
    <t xml:space="preserve">AMBIENTE</t>
  </si>
  <si>
    <t xml:space="preserve">SERVIÇO</t>
  </si>
  <si>
    <t xml:space="preserve">A</t>
  </si>
  <si>
    <t xml:space="preserve">B</t>
  </si>
  <si>
    <t xml:space="preserve">C</t>
  </si>
  <si>
    <t xml:space="preserve">D</t>
  </si>
  <si>
    <t xml:space="preserve">E</t>
  </si>
  <si>
    <t xml:space="preserve">QUANT.</t>
  </si>
  <si>
    <t xml:space="preserve">MEMORIA</t>
  </si>
  <si>
    <t xml:space="preserve">"A" = Altura de reboco a ser removido;
"B" Perimetro; "C" Esquadrias a descontar
= A x (B-C) = </t>
  </si>
  <si>
    <t xml:space="preserve">"A" = Pé direito; "B" = Perímetro; "C" = área de reboco a ser removido; "D" = área de aberturas; "E"  área de teto. 
= (A x B) - C - D + E = </t>
  </si>
  <si>
    <t xml:space="preserve">Área de piso</t>
  </si>
  <si>
    <t xml:space="preserve">"A" = área de pintura a recuperar;
"B" = Percentual de limpeza.
= A x B =</t>
  </si>
  <si>
    <t xml:space="preserve">Área de demolição de reboco, Item 3.2</t>
  </si>
  <si>
    <t xml:space="preserve">"A" = Perímetro; "B" = Esquadrias a descontar;
= A - B =</t>
  </si>
  <si>
    <t xml:space="preserve">"A" = área de piso; "B" Percentual de recuperação. = A x B = </t>
  </si>
  <si>
    <t xml:space="preserve">2</t>
  </si>
  <si>
    <t xml:space="preserve"> área de teto </t>
  </si>
  <si>
    <t xml:space="preserve">"A" = Pé direito; "B" = Perímetro; "C"  = área de aberturas. 
= (A x B) - C = </t>
  </si>
  <si>
    <t xml:space="preserve">"A" = área de reboco a ser removido; "B" = espessura do reboco; "C" = fator de empolamento; "D" = distância média de transporte (Km). = A x B x C x D =</t>
  </si>
  <si>
    <t xml:space="preserve">"A" = Altura de reboco a ser removido; "B" Perimetro; "C" Esquadrias a descontar
= A x (B-C) = </t>
  </si>
  <si>
    <t xml:space="preserve">"A" = Área porta</t>
  </si>
  <si>
    <t xml:space="preserve">"A" = Área de demolição de reboco, Item 3.2; "B" Área da parede a construir. = A + B =</t>
  </si>
  <si>
    <t xml:space="preserve">"A" = Perímetro;
"B" Esquadria a descontar.
= A - B =</t>
  </si>
  <si>
    <t xml:space="preserve">área teto forro</t>
  </si>
  <si>
    <t xml:space="preserve"> A= Folha; b=Caixão; C=Alizar;
= A + B + C =</t>
  </si>
  <si>
    <t xml:space="preserve">"A" Área de demolição de reboco; "B" Área de parede a contruir.
= A + B =</t>
  </si>
  <si>
    <t xml:space="preserve">"A" = Altura de reboco a ser removido; "B" Perimetro; "C" Esquadrias a descontar; 
= A x (B-C)  = </t>
  </si>
  <si>
    <t xml:space="preserve">"A" = Área da janela.</t>
  </si>
  <si>
    <t xml:space="preserve">"A" = comprimento da verga e contraverga.
"B" = área da verga e contraverga.
= A x B =</t>
  </si>
  <si>
    <t xml:space="preserve">"A" = comprimento de porta de ferro; 
"B" = folga em soleiras e peitorís.
= A + B = </t>
  </si>
  <si>
    <t xml:space="preserve">"A" = Área Porta de ferro </t>
  </si>
  <si>
    <t xml:space="preserve">"A" Área de demolição de reboco; 
</t>
  </si>
  <si>
    <t xml:space="preserve">"A" = área de teto </t>
  </si>
  <si>
    <t xml:space="preserve">"A" = área de reboco a ser removido; 
"B" = espessura do reboco; 
"C" Demolição de alvenaria
"D" = fator de empolamento; 
"E" = distância média de transporte (Km). = ((A x B) + C) x D x E =</t>
  </si>
  <si>
    <t xml:space="preserve"> </t>
  </si>
  <si>
    <t xml:space="preserve">ÁREA EXTERNA </t>
  </si>
  <si>
    <t xml:space="preserve">comprimento da cerca do fundo </t>
  </si>
  <si>
    <t xml:space="preserve">"A" = volume de pilar tipo;
"B" = quantidade de pilares;</t>
  </si>
  <si>
    <t xml:space="preserve">"A" = área de portão de ferro de </t>
  </si>
  <si>
    <t xml:space="preserve">"A" = área de piso a demolir;
 "B" = área do canteiro (árvore); "C" área do mastro; "D" espessura do piso de concreto;
=(A - B - C) x D  =</t>
  </si>
  <si>
    <t xml:space="preserve">  </t>
  </si>
  <si>
    <t xml:space="preserve">"A" = volume de pilar tipo;
"B" = quantidade de pilares;
"C" = taxa de ferro por m³ de concreto.
= A x B x C = </t>
  </si>
  <si>
    <t xml:space="preserve"> “A” = Volume de concreto.</t>
  </si>
  <si>
    <t xml:space="preserve">"A" = comprimento da cerca do fundo;
 "B" = seção da escavação do alicerce da cerca do fundo; = A x B =</t>
  </si>
  <si>
    <t xml:space="preserve">"A" = Área pilar (0,25x 0,25);
“B” = Altura (fundação + pilar);
“C” = número de pilares.
</t>
  </si>
  <si>
    <t xml:space="preserve">"A" = perímetro do pilar (0,25x 0,25);
“B” = Altura (pilar);
“C” = número de pilares.
</t>
  </si>
  <si>
    <t xml:space="preserve">"A" = comprimento da cerca do fundo;
 "B" = seção do alicerce da cerca do fundo (30 X 30); "D" = Volume do bloco de concreto a descontar. = (A X B) - C =
</t>
  </si>
  <si>
    <t xml:space="preserve">"A" = comprimento da cerca do fundo;
"B" = altura da mureta da cerca do fundo.
 = A x B =</t>
  </si>
  <si>
    <t xml:space="preserve">"A" = comprimento da cerca do fundo;
"B" = altura da mureta da cerca do fundo;
"C" = duas façes; "D" = área de recuperação da mureta da cerca existente(30%).
= A x B x C + D =</t>
  </si>
  <si>
    <t xml:space="preserve">"A" = comprimento da cerca do fundo;
"B" = altura da mureta da cerca do fundo;
"C" = duas façes; "D" = área de recuperação da mureta da cerca existente (30%).
= A x B x C + D =</t>
  </si>
  <si>
    <t xml:space="preserve">"A" = área de pavimentação em paralelepípedos em projeto.</t>
  </si>
  <si>
    <t xml:space="preserve">"A" = perimetétro do meio fio;
"B" = Comprimento do portão a desconsiderar. = A - B =</t>
  </si>
  <si>
    <t xml:space="preserve">"A" = área de pavimentação em paralelepípedos em projeto.
"B" = profundidade de escavação.
= A x B =</t>
  </si>
  <si>
    <t xml:space="preserve">"A" = Escavação
“B” = Empolamento
= A * B</t>
  </si>
  <si>
    <t xml:space="preserve">"A" Largura portão de  veiculo; 
"B" = Altura do portão de veículo;</t>
  </si>
  <si>
    <t xml:space="preserve">"A" = comprimento da cerca da frente </t>
  </si>
  <si>
    <t xml:space="preserve">"A" = comprimento da cerca do fundo </t>
  </si>
  <si>
    <t xml:space="preserve">"A" = área total do terreno + calçada da frente;
"B" = área do escritório;
“C” =  área do prédio antigo;
“D” = área pavimentada;
"E" = área EB3
= A - B – C – D- E =</t>
  </si>
  <si>
    <t xml:space="preserve">“A” = área de terreno</t>
  </si>
  <si>
    <t xml:space="preserve">"A" = Volume de concreto a demolir;
"B" vome de escavação;
"C" = fator de empolamento;
"D" = distância média de transporte.
= A x B x C =</t>
  </si>
  <si>
    <t xml:space="preserve">"A" = Área lateral da administração; 
"B" = Comprimento frontal da administração;
"C" = Comprimento fundo da administração; "D" = Altura de reboco a ser removido frente e fundo;  "E" = Esquadrias a descontar;
 = A + (( B + C ) X D) - E =</t>
  </si>
  <si>
    <t xml:space="preserve">"A" = Área externa prédio administrativo;
"B" = Área externa auditório;
  "C" = Esquadrias a descontar;
= A + B - D =</t>
  </si>
  <si>
    <t xml:space="preserve">"A" = Área da seção do pilar (0,15 x 0,15);
"B" = altura do pilar;
"C" = quantidade de pilares a remover;
= A x B x C =
</t>
  </si>
  <si>
    <t xml:space="preserve">"A" = Comprimento da frente; "B" = largura da calçada da frente; "C" = comprimento do contorno do Prédio Adm.; "D" largura da calçada do entrono;
"E" = Espessura do concreto.
= (( A X B) + ( C X D )) x E =</t>
  </si>
  <si>
    <t xml:space="preserve">“A” = Volume de concreto (fundação+cinta);
“B” = taxa de armação (kg/m³);
=A *B</t>
  </si>
  <si>
    <t xml:space="preserve">"A" = nº de pilares de alvenaria a construir;</t>
  </si>
  <si>
    <t xml:space="preserve"> Volume de concreto.</t>
  </si>
  <si>
    <t xml:space="preserve">"A" =  Fundação dos pilares;
"B" = Volume cinta (0,12 x 0,20);
= A + B =
</t>
  </si>
  <si>
    <t xml:space="preserve">"A" = Altura da cinta;
“B” = Número de lados;
“C” = Comprimento da cinta;
= A * B * C</t>
  </si>
  <si>
    <t xml:space="preserve">"A" = Altura de reboco; "B" Perimetro; "C" Esquadrias a descontar; 
= A x (B-C)  = </t>
  </si>
  <si>
    <t xml:space="preserve">"A" = Área de reboco; 
"B" = Área de impermeabilização;
= A - B = </t>
  </si>
  <si>
    <t xml:space="preserve">"A" = Comprimento da frente; "B" = largura da calçada da frente; "C" = comprimento do contorno do Prédio Adm.; "D" largura da calçada do entrono; "E" Espessura da calçada.
= (( A X B) + ( C X D )) x E =</t>
  </si>
  <si>
    <t xml:space="preserve">1</t>
  </si>
  <si>
    <t xml:space="preserve">área do ícone de acessibilidade </t>
  </si>
  <si>
    <t xml:space="preserve">"A" = Volume de piso a demolir;
"B" Volume de reboco;
"C" = Volume de concreto a demolir;
"D" = fator de empolamento;
"E" = distância média de transporte.
= (A + B + C) x D x E =</t>
  </si>
  <si>
    <t xml:space="preserve">"A" = área do auditório;
"B" percentual a construir</t>
  </si>
  <si>
    <t xml:space="preserve">"A" = área do auditório;</t>
  </si>
  <si>
    <t xml:space="preserve">"A" = área do auditório;
"B" percentual de aproveitamento</t>
  </si>
  <si>
    <t xml:space="preserve">"A" = número de janelas;
“B” = área de esquadria </t>
  </si>
  <si>
    <t xml:space="preserve">Lavabo</t>
  </si>
  <si>
    <t xml:space="preserve">"A" = Altura do revestimento a ser removido;
"B" Perimetro; "C" Esquadrias a descontar
= A x (B-C) = </t>
  </si>
  <si>
    <t xml:space="preserve">"A" = Pé direito;
"B" Perimetro; "C" Esquadrias a descontar
= A x (B-C) = </t>
  </si>
  <si>
    <t xml:space="preserve">“A” = Área de piso;
“B” = Espessura;
= A x B </t>
  </si>
  <si>
    <t xml:space="preserve">Vaso sanitario c/caixa de descarga acoplada, c/saída horizontal, linha ravena, DECA ou similar, inclusive assento ASTRA TPK ou similar, conj. de fixação DECA SP13 ou similar, anel de vedação e engate plástico</t>
  </si>
  <si>
    <t xml:space="preserve">"A" = área de piso a ser removido; "B" = espessura do piso; "C" = fator de empolamento; "D" = distância média de transporte (Km). = A x B x C x D =</t>
  </si>
  <si>
    <t xml:space="preserve">AUDITÓRIO / WC MAS</t>
  </si>
  <si>
    <t xml:space="preserve">"A" = comprimento do telhado do auditório;
"B" = largura do telhado do auditório;
"C" = inclinação do telhado.
= A x B x C =</t>
  </si>
  <si>
    <t xml:space="preserve">"A" = comprimento do telhado do prédio administrativo;
"B" = largura do telhado do prédio administrativo;
"C" = inclinação do telhado.
= A x B x C =</t>
  </si>
  <si>
    <t xml:space="preserve">área reformada </t>
  </si>
  <si>
    <t xml:space="preserve">nº de tesouras a serem instaladas</t>
  </si>
  <si>
    <t xml:space="preserve">Comprimento reformado</t>
  </si>
  <si>
    <t xml:space="preserve">"A" = área de piso a demolir</t>
  </si>
  <si>
    <t xml:space="preserve">"A" = área do balcão; "B" =   abertura  porta </t>
  </si>
  <si>
    <t xml:space="preserve">Remocao de azulejo e substrato de aderencia em argamassa</t>
  </si>
  <si>
    <t xml:space="preserve">"A" = Altura do revestimento a ser removido; "B" Perimetro; 
= A x B = </t>
  </si>
  <si>
    <t xml:space="preserve">"A" = área pia</t>
  </si>
  <si>
    <t xml:space="preserve">área de teto</t>
  </si>
  <si>
    <t xml:space="preserve">"A" = Alicece para parede a contruir.</t>
  </si>
  <si>
    <t xml:space="preserve">"A" = área de parede a construir.</t>
  </si>
  <si>
    <t xml:space="preserve">"A" = Área de demolição de reboco; 
"B" = área de parede a construir.
= A + B =</t>
  </si>
  <si>
    <t xml:space="preserve">"A" = largura de porta +folga em soleiras; 
"B" = quantidade de portas.
= A x B =</t>
  </si>
  <si>
    <t xml:space="preserve">Revestimento cerâmico para piso com placas tipo esmaltada extra de dimensões 45x45 cm aplicada em ambientes de área maior que 10 m2. af_06/2014</t>
  </si>
  <si>
    <t xml:space="preserve">"A" = Volume de piso a demolir;
"B" Volume de reboco;
"C" = Volume de alvenaria;
"D" = fator de empolamento;
"E" = distância média de transporte.</t>
  </si>
  <si>
    <t xml:space="preserve">"A" = largura de porta +folga em soleiras </t>
  </si>
  <si>
    <t xml:space="preserve">"A" = área de esquadria </t>
  </si>
  <si>
    <t xml:space="preserve">"A" = largura de porta +folga em soleiras; </t>
  </si>
  <si>
    <t xml:space="preserve">"A" Área de demolição de reboco; </t>
  </si>
  <si>
    <t xml:space="preserve">"A" = Altura do revestimento a ser removido; "B" Perimetro; "C" Esquadrias a descontar
= A x (B-C) =  </t>
  </si>
  <si>
    <t xml:space="preserve">Espelho 0,6 x 0,8</t>
  </si>
  <si>
    <t xml:space="preserve">"A" = Volume de piso a demolir;
"B" Volume de reboco;
"C" = Volume de alvenaria;
"D" = fator de empolamento;
"E" = distância média de transporte.
= (A + B) x C x D =</t>
  </si>
  <si>
    <t xml:space="preserve">"A" = Pé direito; "B" = Perímetro; "C"  = área de aberturas; "D" = área teto. 
= (A x B) - C + D = </t>
  </si>
  <si>
    <t xml:space="preserve">"A" = área a demolir. </t>
  </si>
  <si>
    <t xml:space="preserve">"A" Área de demolição de azulejo; 
</t>
  </si>
  <si>
    <t xml:space="preserve">SERVIÇOS</t>
  </si>
  <si>
    <t xml:space="preserve">MEMÓRIA</t>
  </si>
  <si>
    <t xml:space="preserve">INSTALAÇÕES HIDRÁULICA</t>
  </si>
</sst>
</file>

<file path=xl/styles.xml><?xml version="1.0" encoding="utf-8"?>
<styleSheet xmlns="http://schemas.openxmlformats.org/spreadsheetml/2006/main">
  <numFmts count="4">
    <numFmt numFmtId="164" formatCode="General"/>
    <numFmt numFmtId="165" formatCode="#,##0.00"/>
    <numFmt numFmtId="166" formatCode="0.00"/>
    <numFmt numFmtId="167" formatCode="0%"/>
  </numFmts>
  <fonts count="10">
    <font>
      <sz val="11"/>
      <color rgb="FF000000"/>
      <name val="Calibri"/>
      <family val="2"/>
      <charset val="1"/>
    </font>
    <font>
      <sz val="10"/>
      <name val="Arial"/>
      <family val="0"/>
    </font>
    <font>
      <sz val="10"/>
      <name val="Arial"/>
      <family val="0"/>
    </font>
    <font>
      <sz val="10"/>
      <name val="Arial"/>
      <family val="0"/>
    </font>
    <font>
      <b val="true"/>
      <sz val="16"/>
      <name val="Calibri"/>
      <family val="2"/>
      <charset val="1"/>
    </font>
    <font>
      <b val="true"/>
      <sz val="15"/>
      <color rgb="FF000000"/>
      <name val="Calibri"/>
      <family val="2"/>
      <charset val="1"/>
    </font>
    <font>
      <b val="true"/>
      <sz val="11"/>
      <color rgb="FF000000"/>
      <name val="Calibri"/>
      <family val="2"/>
      <charset val="1"/>
    </font>
    <font>
      <b val="true"/>
      <sz val="14"/>
      <name val="Calibri"/>
      <family val="2"/>
      <charset val="1"/>
    </font>
    <font>
      <sz val="11"/>
      <name val="Calibri"/>
      <family val="2"/>
      <charset val="1"/>
    </font>
    <font>
      <b val="true"/>
      <sz val="12"/>
      <color rgb="FF000000"/>
      <name val="Calibri"/>
      <family val="2"/>
      <charset val="1"/>
    </font>
  </fonts>
  <fills count="3">
    <fill>
      <patternFill patternType="none"/>
    </fill>
    <fill>
      <patternFill patternType="gray125"/>
    </fill>
    <fill>
      <patternFill patternType="solid">
        <fgColor rgb="FFFFFFFF"/>
        <bgColor rgb="FFFFFFCC"/>
      </patternFill>
    </fill>
  </fills>
  <borders count="11">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hair"/>
      <right style="hair"/>
      <top style="hair"/>
      <bottom style="hair"/>
      <diagonal/>
    </border>
    <border diagonalUp="false" diagonalDown="false">
      <left style="medium"/>
      <right style="medium"/>
      <top style="medium"/>
      <bottom style="medium"/>
      <diagonal/>
    </border>
    <border diagonalUp="false" diagonalDown="false">
      <left style="hair"/>
      <right style="hair"/>
      <top style="hair"/>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medium"/>
      <right style="medium"/>
      <top style="medium"/>
      <bottom/>
      <diagonal/>
    </border>
    <border diagonalUp="false" diagonalDown="false">
      <left/>
      <right style="medium"/>
      <top style="medium"/>
      <bottom style="medium"/>
      <diagonal/>
    </border>
    <border diagonalUp="false" diagonalDown="false">
      <left style="hair"/>
      <right style="hair"/>
      <top style="medium"/>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7" fontId="0" fillId="0" borderId="0" applyFont="true" applyBorder="false" applyAlignment="true" applyProtection="false">
      <alignment horizontal="general" vertical="bottom" textRotation="0" wrapText="false" indent="0" shrinkToFit="false"/>
    </xf>
  </cellStyleXfs>
  <cellXfs count="4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1" xfId="0" applyFont="true" applyBorder="true" applyAlignment="true" applyProtection="false">
      <alignment horizontal="center" vertical="center" textRotation="0" wrapText="fals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5" fontId="7"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center" textRotation="0" wrapText="fals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top" textRotation="0" wrapText="false" indent="0" shrinkToFit="false"/>
      <protection locked="true" hidden="false"/>
    </xf>
    <xf numFmtId="164" fontId="8" fillId="0" borderId="1" xfId="0" applyFont="true" applyBorder="true" applyAlignment="true" applyProtection="false">
      <alignment horizontal="left" vertical="top" textRotation="0" wrapText="true" indent="0" shrinkToFit="false"/>
      <protection locked="true" hidden="false"/>
    </xf>
    <xf numFmtId="164" fontId="8" fillId="0" borderId="1" xfId="0" applyFont="true" applyBorder="true" applyAlignment="true" applyProtection="false">
      <alignment horizontal="center" vertical="center" textRotation="0" wrapText="false" indent="0" shrinkToFit="false"/>
      <protection locked="true" hidden="false"/>
    </xf>
    <xf numFmtId="166" fontId="8" fillId="0" borderId="1" xfId="0" applyFont="true" applyBorder="true" applyAlignment="true" applyProtection="false">
      <alignment horizontal="center" vertical="center" textRotation="0" wrapText="false" indent="0" shrinkToFit="false"/>
      <protection locked="true" hidden="false"/>
    </xf>
    <xf numFmtId="166" fontId="0" fillId="0" borderId="1"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center" vertical="center" textRotation="0" wrapText="true" indent="0" shrinkToFit="false"/>
      <protection locked="true" hidden="false"/>
    </xf>
    <xf numFmtId="164" fontId="6" fillId="0" borderId="2" xfId="0" applyFont="true" applyBorder="true" applyAlignment="true" applyProtection="false">
      <alignment horizontal="general" vertical="center" textRotation="0" wrapText="true" indent="0" shrinkToFit="false"/>
      <protection locked="true" hidden="false"/>
    </xf>
    <xf numFmtId="164" fontId="8" fillId="2" borderId="1" xfId="0" applyFont="true" applyBorder="true" applyAlignment="true" applyProtection="false">
      <alignment horizontal="center" vertical="top" textRotation="0" wrapText="false" indent="0" shrinkToFit="false"/>
      <protection locked="true" hidden="false"/>
    </xf>
    <xf numFmtId="164" fontId="6" fillId="0" borderId="1" xfId="0" applyFont="true" applyBorder="true" applyAlignment="true" applyProtection="true">
      <alignment horizontal="center" vertical="center" textRotation="0" wrapText="true" indent="0" shrinkToFit="false"/>
      <protection locked="false" hidden="false"/>
    </xf>
    <xf numFmtId="164" fontId="6" fillId="0" borderId="3"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left" vertical="center"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9" fillId="0" borderId="4"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6" fontId="0" fillId="0" borderId="3"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left" vertical="center" textRotation="0" wrapText="tru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7" fontId="0" fillId="0" borderId="3" xfId="0" applyFont="true" applyBorder="true" applyAlignment="true" applyProtection="false">
      <alignment horizontal="center" vertical="center" textRotation="0" wrapText="true" indent="0" shrinkToFit="false"/>
      <protection locked="true" hidden="false"/>
    </xf>
    <xf numFmtId="166" fontId="0" fillId="0" borderId="3" xfId="0" applyFont="true" applyBorder="true" applyAlignment="true" applyProtection="false">
      <alignment horizontal="left" vertical="center" textRotation="0" wrapText="true" indent="0" shrinkToFit="false"/>
      <protection locked="true" hidden="false"/>
    </xf>
    <xf numFmtId="164" fontId="0" fillId="0" borderId="5" xfId="0" applyFont="true" applyBorder="true" applyAlignment="true" applyProtection="false">
      <alignment horizontal="general" vertical="center" textRotation="0" wrapText="true" indent="0" shrinkToFit="false"/>
      <protection locked="true" hidden="false"/>
    </xf>
    <xf numFmtId="164" fontId="0" fillId="0" borderId="6" xfId="0" applyFont="true" applyBorder="true" applyAlignment="true" applyProtection="false">
      <alignment horizontal="general" vertical="center" textRotation="0" wrapText="true" indent="0" shrinkToFit="false"/>
      <protection locked="true" hidden="false"/>
    </xf>
    <xf numFmtId="164" fontId="8" fillId="0" borderId="3" xfId="0" applyFont="true" applyBorder="true" applyAlignment="true" applyProtection="false">
      <alignment horizontal="left" vertical="top" textRotation="0" wrapText="true" indent="0" shrinkToFit="false"/>
      <protection locked="true" hidden="false"/>
    </xf>
    <xf numFmtId="166" fontId="8" fillId="0" borderId="3" xfId="0" applyFont="true" applyBorder="true" applyAlignment="true" applyProtection="false">
      <alignment horizontal="center" vertical="center" textRotation="0" wrapText="true" indent="0" shrinkToFit="false"/>
      <protection locked="true" hidden="false"/>
    </xf>
    <xf numFmtId="164" fontId="0" fillId="0" borderId="7" xfId="0" applyFont="true" applyBorder="true" applyAlignment="true" applyProtection="false">
      <alignment horizontal="general" vertical="center" textRotation="0" wrapText="true" indent="0" shrinkToFit="false"/>
      <protection locked="true" hidden="false"/>
    </xf>
    <xf numFmtId="164" fontId="9" fillId="2" borderId="4"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9" fillId="0" borderId="8" xfId="0" applyFont="true" applyBorder="true" applyAlignment="true" applyProtection="false">
      <alignment horizontal="center" vertical="center" textRotation="0" wrapText="true" indent="0" shrinkToFit="false"/>
      <protection locked="true" hidden="false"/>
    </xf>
    <xf numFmtId="167" fontId="0" fillId="0" borderId="3" xfId="19" applyFont="true" applyBorder="true" applyAlignment="true" applyProtection="true">
      <alignment horizontal="left" vertical="center" textRotation="0" wrapText="true" indent="0" shrinkToFit="false"/>
      <protection locked="true" hidden="false"/>
    </xf>
    <xf numFmtId="167" fontId="0" fillId="0" borderId="3" xfId="0" applyFont="true" applyBorder="true" applyAlignment="true" applyProtection="false">
      <alignment horizontal="left" vertical="center" textRotation="0" wrapText="true" indent="0" shrinkToFit="false"/>
      <protection locked="true" hidden="false"/>
    </xf>
    <xf numFmtId="164" fontId="9" fillId="0" borderId="9"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2" borderId="0" xfId="0" applyFont="false" applyBorder="false" applyAlignment="true" applyProtection="false">
      <alignment horizontal="left"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AA135"/>
  <sheetViews>
    <sheetView windowProtection="true" showFormulas="false" showGridLines="true" showRowColHeaders="true" showZeros="true" rightToLeft="false" tabSelected="false" showOutlineSymbols="true" defaultGridColor="true" view="normal" topLeftCell="A1" colorId="64" zoomScale="90" zoomScaleNormal="90" zoomScalePageLayoutView="100" workbookViewId="0">
      <pane xSplit="6" ySplit="2" topLeftCell="G3" activePane="bottomRight" state="frozen"/>
      <selection pane="topLeft" activeCell="A1" activeCellId="0" sqref="A1"/>
      <selection pane="topRight" activeCell="G1" activeCellId="0" sqref="G1"/>
      <selection pane="bottomLeft" activeCell="A3" activeCellId="0" sqref="A3"/>
      <selection pane="bottomRight" activeCell="AB3" activeCellId="0" sqref="AB3"/>
    </sheetView>
  </sheetViews>
  <sheetFormatPr defaultRowHeight="13.8"/>
  <cols>
    <col collapsed="false" hidden="false" max="1" min="1" style="1" width="10.530612244898"/>
    <col collapsed="false" hidden="false" max="2" min="2" style="1" width="8.10204081632653"/>
    <col collapsed="false" hidden="false" max="3" min="3" style="2" width="13.7704081632653"/>
    <col collapsed="false" hidden="false" max="4" min="4" style="0" width="54.4030612244898"/>
    <col collapsed="false" hidden="false" max="5" min="5" style="1" width="10.8010204081633"/>
    <col collapsed="false" hidden="false" max="6" min="6" style="1" width="15.7959183673469"/>
    <col collapsed="false" hidden="false" max="9" min="9" style="0" width="12.6887755102041"/>
    <col collapsed="false" hidden="false" max="10" min="10" style="0" width="14.0408163265306"/>
    <col collapsed="false" hidden="false" max="11" min="11" style="0" width="17.280612244898"/>
    <col collapsed="false" hidden="false" max="12" min="12" style="0" width="9.85204081632653"/>
    <col collapsed="false" hidden="false" max="13" min="13" style="0" width="12.9591836734694"/>
    <col collapsed="false" hidden="false" max="14" min="14" style="0" width="10.530612244898"/>
    <col collapsed="false" hidden="false" max="15" min="15" style="0" width="14.5816326530612"/>
    <col collapsed="false" hidden="false" max="16" min="16" style="0" width="8.23469387755102"/>
    <col collapsed="false" hidden="false" max="17" min="17" style="0" width="9.98979591836735"/>
    <col collapsed="false" hidden="false" max="18" min="18" style="0" width="15.7959183673469"/>
    <col collapsed="false" hidden="false" max="19" min="19" style="0" width="18.4948979591837"/>
    <col collapsed="false" hidden="false" max="20" min="20" style="0" width="8.36734693877551"/>
    <col collapsed="false" hidden="false" max="21" min="21" style="0" width="10.1224489795918"/>
    <col collapsed="false" hidden="false" max="22" min="22" style="0" width="8.23469387755102"/>
    <col collapsed="false" hidden="false" max="23" min="23" style="0" width="9.58673469387755"/>
    <col collapsed="false" hidden="false" max="24" min="24" style="0" width="8.23469387755102"/>
    <col collapsed="false" hidden="false" max="25" min="25" style="0" width="10.3928571428571"/>
    <col collapsed="false" hidden="false" max="26" min="26" style="0" width="10.1224489795918"/>
    <col collapsed="false" hidden="false" max="27" min="27" style="0" width="10.6632653061225"/>
    <col collapsed="false" hidden="false" max="1025" min="28" style="0" width="8.23469387755102"/>
  </cols>
  <sheetData>
    <row r="1" customFormat="false" ht="61.2" hidden="false" customHeight="true" outlineLevel="0" collapsed="false">
      <c r="A1" s="3" t="s">
        <v>0</v>
      </c>
      <c r="B1" s="3"/>
      <c r="C1" s="3"/>
      <c r="D1" s="3"/>
      <c r="E1" s="3"/>
      <c r="F1" s="3"/>
      <c r="G1" s="4" t="s">
        <v>1</v>
      </c>
      <c r="H1" s="4"/>
      <c r="I1" s="4"/>
      <c r="J1" s="4"/>
      <c r="K1" s="4"/>
      <c r="L1" s="4"/>
      <c r="M1" s="4"/>
      <c r="N1" s="4"/>
      <c r="O1" s="4"/>
      <c r="P1" s="4"/>
      <c r="Q1" s="4"/>
      <c r="R1" s="4"/>
      <c r="S1" s="4"/>
      <c r="T1" s="4"/>
      <c r="U1" s="4"/>
      <c r="V1" s="4"/>
      <c r="W1" s="4"/>
      <c r="X1" s="4"/>
      <c r="Y1" s="4"/>
      <c r="Z1" s="4"/>
      <c r="AA1" s="5"/>
    </row>
    <row r="2" customFormat="false" ht="41.75" hidden="false" customHeight="false" outlineLevel="0" collapsed="false">
      <c r="A2" s="6" t="s">
        <v>2</v>
      </c>
      <c r="B2" s="6" t="s">
        <v>3</v>
      </c>
      <c r="C2" s="7" t="s">
        <v>4</v>
      </c>
      <c r="D2" s="8" t="s">
        <v>5</v>
      </c>
      <c r="E2" s="8" t="s">
        <v>6</v>
      </c>
      <c r="F2" s="8" t="s">
        <v>7</v>
      </c>
      <c r="G2" s="9" t="s">
        <v>8</v>
      </c>
      <c r="H2" s="9" t="s">
        <v>9</v>
      </c>
      <c r="I2" s="9" t="s">
        <v>10</v>
      </c>
      <c r="J2" s="9" t="s">
        <v>11</v>
      </c>
      <c r="K2" s="9" t="s">
        <v>12</v>
      </c>
      <c r="L2" s="9" t="s">
        <v>13</v>
      </c>
      <c r="M2" s="9" t="s">
        <v>14</v>
      </c>
      <c r="N2" s="9" t="s">
        <v>15</v>
      </c>
      <c r="O2" s="9" t="s">
        <v>16</v>
      </c>
      <c r="P2" s="9" t="s">
        <v>17</v>
      </c>
      <c r="Q2" s="9" t="s">
        <v>18</v>
      </c>
      <c r="R2" s="9" t="s">
        <v>19</v>
      </c>
      <c r="S2" s="9" t="s">
        <v>20</v>
      </c>
      <c r="T2" s="9" t="s">
        <v>21</v>
      </c>
      <c r="U2" s="9" t="s">
        <v>22</v>
      </c>
      <c r="V2" s="9" t="s">
        <v>23</v>
      </c>
      <c r="W2" s="9" t="s">
        <v>24</v>
      </c>
      <c r="X2" s="9" t="s">
        <v>25</v>
      </c>
      <c r="Y2" s="9" t="s">
        <v>26</v>
      </c>
      <c r="Z2" s="9" t="s">
        <v>27</v>
      </c>
      <c r="AA2" s="9" t="s">
        <v>28</v>
      </c>
    </row>
    <row r="3" customFormat="false" ht="18" hidden="false" customHeight="true" outlineLevel="0" collapsed="false">
      <c r="A3" s="9" t="s">
        <v>29</v>
      </c>
      <c r="B3" s="9" t="s">
        <v>30</v>
      </c>
      <c r="C3" s="10" t="s">
        <v>31</v>
      </c>
      <c r="D3" s="11" t="s">
        <v>32</v>
      </c>
      <c r="E3" s="12" t="s">
        <v>33</v>
      </c>
      <c r="F3" s="13" t="n">
        <f aca="false">ROUND(SUM(G3:AA3),2)</f>
        <v>13.98</v>
      </c>
      <c r="G3" s="14" t="str">
        <f aca="false">IF(ISNA(VLOOKUP($B3,'CORREDOR 01'!$B$2:$J$19,8,0)),"",VLOOKUP($B3,'CORREDOR 01'!$B$2:$J$19,8,0))</f>
        <v/>
      </c>
      <c r="H3" s="14" t="str">
        <f aca="false">IF(ISNA(VLOOKUP($B3,'CORREDOR O2'!$B$2:$J$22,8,0)),"",VLOOKUP($B3,'CORREDOR O2'!$B$2:$J$22,8,0))</f>
        <v/>
      </c>
      <c r="I3" s="14" t="str">
        <f aca="false">IF(ISNA(VLOOKUP($B3,'Á. DE VENTIL.'!$B$2:$J$20,8,0)),"",VLOOKUP($B3,'Á. DE VENTIL.'!$B$2:$J$20,8,0))</f>
        <v/>
      </c>
      <c r="J3" s="14" t="str">
        <f aca="false">IF(ISNA(VLOOKUP($B3,'Á. EXTER '!$B$2:$J$24,8,0)),"",VLOOKUP($B3,'Á. EXTER '!$B$2:$J$24,8,0))</f>
        <v/>
      </c>
      <c r="K3" s="14" t="str">
        <f aca="false">IF(ISNA(VLOOKUP($B3,'ÁREA DE CIR. EXTER.'!$B$2:$J$22,8,0)),"",VLOOKUP($B3,'ÁREA DE CIR. EXTER.'!$B$2:$J$22,8,0))</f>
        <v/>
      </c>
      <c r="L3" s="14" t="str">
        <f aca="false">IF(ISNA(VLOOKUP($B3,AUDITÓRIO!$B$2:$J$14,8,0)),"",VLOOKUP($B3,AUDITÓRIO!$B$2:$J$14,8,0))</f>
        <v/>
      </c>
      <c r="M3" s="14" t="n">
        <f aca="false">IF(ISNA(VLOOKUP($B3,'AUD.   WC FEM'!$B$2:$J$14,8,0)),"",VLOOKUP($B3,'AUD.   WC FEM'!$B$2:$J$14,8,0))</f>
        <v>3</v>
      </c>
      <c r="N3" s="14" t="n">
        <f aca="false">IF(ISNA(VLOOKUP($B3,'AUD.   WC MAS'!$B$2:$J$14,8,0)),"",VLOOKUP($B3,'AUD.   WC MAS'!$B$2:$J$14,8,0))</f>
        <v>3</v>
      </c>
      <c r="O3" s="14" t="str">
        <f aca="false">IF(ISNA(VLOOKUP($B3,'COBERT.'!$B$2:$J$8,8,0)),"",VLOOKUP($B3,'COBERT.'!$B$2:$J$8,8,0))</f>
        <v/>
      </c>
      <c r="P3" s="14" t="n">
        <f aca="false">IF(ISNA(VLOOKUP($B3,COPA!$B$2:$J$31,8,0)),"",VLOOKUP($B3,COPA!$B$2:$J$31,8,0))</f>
        <v>7.98</v>
      </c>
      <c r="Q3" s="14" t="str">
        <f aca="false">IF(ISNA(VLOOKUP($B3,RECEPÇÃO!$B$2:$J$24,8,0)),"",VLOOKUP($B3,RECEPÇÃO!$B$2:$J$24,8,0))</f>
        <v/>
      </c>
      <c r="R3" s="14" t="str">
        <f aca="false">IF(ISNA(VLOOKUP($B3,'S.  DA ADM.'!$B$2:$J$24,8,0)),"",VLOOKUP($B3,'S.  DA ADM.'!$B$2:$J$24,8,0))</f>
        <v/>
      </c>
      <c r="S3" s="14" t="str">
        <f aca="false">IF(ISNA(VLOOKUP($B3,'S.  DA ADM.   WC'!$B$2:$J$27,8,0)),"",VLOOKUP($B3,'S.  DA ADM.   WC'!$B$2:$J$27,8,0))</f>
        <v/>
      </c>
      <c r="T3" s="14" t="str">
        <f aca="false">IF(ISNA(VLOOKUP($B3,'S. DA ATER'!$B$2:$J$23,8,0)),"",VLOOKUP($B3,'S. DA ATER'!$B$2:$J$23,8,0))</f>
        <v/>
      </c>
      <c r="U3" s="14" t="str">
        <f aca="false">IF(ISNA(VLOOKUP($B3,'S. DA GERÊNCIA'!$B$2:$J$27,8,0)),"",VLOOKUP($B3,'S. DA GERÊNCIA'!$B$2:$J$27,8,0))</f>
        <v/>
      </c>
      <c r="V3" s="14" t="str">
        <f aca="false">IF(ISNA(VLOOKUP($B3,'S. DE ESPERA'!$B$2:$J$23,8,0)),"",VLOOKUP($B3,'S. DE ESPERA'!$B$2:$J$23,8,0))</f>
        <v/>
      </c>
      <c r="W3" s="14" t="str">
        <f aca="false">IF(ISNA(VLOOKUP($B3,'S. DE REUNIÃO'!$B$2:$J$25,8,0)),"",VLOOKUP($B3,'S. DE REUNIÃO'!$B$2:$J$25,8,0))</f>
        <v/>
      </c>
      <c r="X3" s="14" t="str">
        <f aca="false">IF(ISNA(VLOOKUP($B3,'S. DO VIGIA'!$B$2:$J$23,8,0)),"",VLOOKUP($B3,'S. DO VIGIA'!$B$2:$J$23,8,0))</f>
        <v/>
      </c>
      <c r="Y3" s="14" t="str">
        <f aca="false">IF(ISNA(VLOOKUP($B3,'WC SOCIAL FEM'!$B$2:$J$28,8,0)),"",VLOOKUP($B3,'WC SOCIAL FEM'!$B$2:$J$28,8,0))</f>
        <v/>
      </c>
      <c r="Z3" s="14" t="str">
        <f aca="false">IF(ISNA(VLOOKUP($B3,'WC SOCIAL MAS'!$B$2:$J$29,8,0)),"",VLOOKUP($B3,'WC SOCIAL MAS'!$B$2:$J$29,8,0))</f>
        <v/>
      </c>
      <c r="AA3" s="14" t="str">
        <f aca="false">IF(ISNA(VLOOKUP($B3,HIDRÁULICA!$B$2:$J$32,8,0)),"",VLOOKUP($B3,HIDRÁULICA!$B$2:$J$32,8,0))</f>
        <v/>
      </c>
    </row>
    <row r="4" customFormat="false" ht="15" hidden="false" customHeight="true" outlineLevel="0" collapsed="false">
      <c r="A4" s="9"/>
      <c r="B4" s="9" t="s">
        <v>34</v>
      </c>
      <c r="C4" s="10" t="s">
        <v>35</v>
      </c>
      <c r="D4" s="11" t="s">
        <v>36</v>
      </c>
      <c r="E4" s="12" t="s">
        <v>33</v>
      </c>
      <c r="F4" s="13" t="n">
        <f aca="false">ROUND(SUM(G4:AA4),2)</f>
        <v>217.92</v>
      </c>
      <c r="G4" s="14" t="n">
        <f aca="false">IF(ISNA(VLOOKUP($B4,'CORREDOR 01'!$B$2:$J$19,8,0)),"",VLOOKUP($B4,'CORREDOR 01'!$B$2:$J$19,8,0))</f>
        <v>13.09</v>
      </c>
      <c r="H4" s="14" t="n">
        <f aca="false">IF(ISNA(VLOOKUP($B4,'CORREDOR O2'!$B$2:$J$22,8,0)),"",VLOOKUP($B4,'CORREDOR O2'!$B$2:$J$22,8,0))</f>
        <v>6.44</v>
      </c>
      <c r="I4" s="14" t="n">
        <f aca="false">IF(ISNA(VLOOKUP($B4,'Á. DE VENTIL.'!$B$2:$J$20,8,0)),"",VLOOKUP($B4,'Á. DE VENTIL.'!$B$2:$J$20,8,0))</f>
        <v>14.4</v>
      </c>
      <c r="J4" s="14" t="str">
        <f aca="false">IF(ISNA(VLOOKUP($B4,'Á. EXTER '!$B$2:$J$24,8,0)),"",VLOOKUP($B4,'Á. EXTER '!$B$2:$J$24,8,0))</f>
        <v/>
      </c>
      <c r="K4" s="14" t="n">
        <f aca="false">IF(ISNA(VLOOKUP($B4,'ÁREA DE CIR. EXTER.'!$B$2:$J$22,8,0)),"",VLOOKUP($B4,'ÁREA DE CIR. EXTER.'!$B$2:$J$22,8,0))</f>
        <v>101.8</v>
      </c>
      <c r="L4" s="14" t="str">
        <f aca="false">IF(ISNA(VLOOKUP($B4,AUDITÓRIO!$B$2:$J$14,8,0)),"",VLOOKUP($B4,AUDITÓRIO!$B$2:$J$14,8,0))</f>
        <v/>
      </c>
      <c r="M4" s="14" t="str">
        <f aca="false">IF(ISNA(VLOOKUP($B4,'AUD.   WC FEM'!$B$2:$J$14,8,0)),"",VLOOKUP($B4,'AUD.   WC FEM'!$B$2:$J$14,8,0))</f>
        <v/>
      </c>
      <c r="N4" s="14" t="str">
        <f aca="false">IF(ISNA(VLOOKUP($B4,'AUD.   WC MAS'!$B$2:$J$14,8,0)),"",VLOOKUP($B4,'AUD.   WC MAS'!$B$2:$J$14,8,0))</f>
        <v/>
      </c>
      <c r="O4" s="14" t="str">
        <f aca="false">IF(ISNA(VLOOKUP($B4,'COBERT.'!$B$2:$J$8,8,0)),"",VLOOKUP($B4,'COBERT.'!$B$2:$J$8,8,0))</f>
        <v/>
      </c>
      <c r="P4" s="14" t="n">
        <f aca="false">IF(ISNA(VLOOKUP($B4,COPA!$B$2:$J$31,8,0)),"",VLOOKUP($B4,COPA!$B$2:$J$31,8,0))</f>
        <v>3.58</v>
      </c>
      <c r="Q4" s="14" t="n">
        <f aca="false">IF(ISNA(VLOOKUP($B4,RECEPÇÃO!$B$2:$J$24,8,0)),"",VLOOKUP($B4,RECEPÇÃO!$B$2:$J$24,8,0))</f>
        <v>10.22</v>
      </c>
      <c r="R4" s="14" t="n">
        <f aca="false">IF(ISNA(VLOOKUP($B4,'S.  DA ADM.'!$B$2:$J$24,8,0)),"",VLOOKUP($B4,'S.  DA ADM.'!$B$2:$J$24,8,0))</f>
        <v>9.8</v>
      </c>
      <c r="S4" s="14" t="n">
        <f aca="false">IF(ISNA(VLOOKUP($B4,'S.  DA ADM.   WC'!$B$2:$J$27,8,0)),"",VLOOKUP($B4,'S.  DA ADM.   WC'!$B$2:$J$27,8,0))</f>
        <v>4.76</v>
      </c>
      <c r="T4" s="14" t="n">
        <f aca="false">IF(ISNA(VLOOKUP($B4,'S. DA ATER'!$B$2:$J$23,8,0)),"",VLOOKUP($B4,'S. DA ATER'!$B$2:$J$23,8,0))</f>
        <v>10.01</v>
      </c>
      <c r="U4" s="14" t="n">
        <f aca="false">IF(ISNA(VLOOKUP($B4,'S. DA GERÊNCIA'!$B$2:$J$27,8,0)),"",VLOOKUP($B4,'S. DA GERÊNCIA'!$B$2:$J$27,8,0))</f>
        <v>8.47</v>
      </c>
      <c r="V4" s="14" t="n">
        <f aca="false">IF(ISNA(VLOOKUP($B4,'S. DE ESPERA'!$B$2:$J$23,8,0)),"",VLOOKUP($B4,'S. DE ESPERA'!$B$2:$J$23,8,0))</f>
        <v>7.77</v>
      </c>
      <c r="W4" s="14" t="n">
        <f aca="false">IF(ISNA(VLOOKUP($B4,'S. DE REUNIÃO'!$B$2:$J$25,8,0)),"",VLOOKUP($B4,'S. DE REUNIÃO'!$B$2:$J$25,8,0))</f>
        <v>9.8</v>
      </c>
      <c r="X4" s="14" t="n">
        <f aca="false">IF(ISNA(VLOOKUP($B4,'S. DO VIGIA'!$B$2:$J$23,8,0)),"",VLOOKUP($B4,'S. DO VIGIA'!$B$2:$J$23,8,0))</f>
        <v>8.26</v>
      </c>
      <c r="Y4" s="14" t="n">
        <f aca="false">IF(ISNA(VLOOKUP($B4,'WC SOCIAL FEM'!$B$2:$J$28,8,0)),"",VLOOKUP($B4,'WC SOCIAL FEM'!$B$2:$J$28,8,0))</f>
        <v>4.76</v>
      </c>
      <c r="Z4" s="14" t="n">
        <f aca="false">IF(ISNA(VLOOKUP($B4,'WC SOCIAL MAS'!$B$2:$J$29,8,0)),"",VLOOKUP($B4,'WC SOCIAL MAS'!$B$2:$J$29,8,0))</f>
        <v>4.76</v>
      </c>
      <c r="AA4" s="14" t="str">
        <f aca="false">IF(ISNA(VLOOKUP($B4,HIDRÁULICA!$B$2:$J$32,8,0)),"",VLOOKUP($B4,HIDRÁULICA!$B$2:$J$32,8,0))</f>
        <v/>
      </c>
    </row>
    <row r="5" customFormat="false" ht="15" hidden="false" customHeight="true" outlineLevel="0" collapsed="false">
      <c r="A5" s="9"/>
      <c r="B5" s="9" t="s">
        <v>37</v>
      </c>
      <c r="C5" s="10" t="s">
        <v>38</v>
      </c>
      <c r="D5" s="11" t="s">
        <v>39</v>
      </c>
      <c r="E5" s="12" t="s">
        <v>33</v>
      </c>
      <c r="F5" s="13" t="n">
        <f aca="false">ROUND(SUM(G5:AA5),2)</f>
        <v>18.52</v>
      </c>
      <c r="G5" s="14" t="str">
        <f aca="false">IF(ISNA(VLOOKUP($B5,'CORREDOR 01'!$B$2:$J$19,8,0)),"",VLOOKUP($B5,'CORREDOR 01'!$B$2:$J$19,8,0))</f>
        <v/>
      </c>
      <c r="H5" s="14" t="str">
        <f aca="false">IF(ISNA(VLOOKUP($B5,'CORREDOR O2'!$B$2:$J$22,8,0)),"",VLOOKUP($B5,'CORREDOR O2'!$B$2:$J$22,8,0))</f>
        <v/>
      </c>
      <c r="I5" s="14" t="str">
        <f aca="false">IF(ISNA(VLOOKUP($B5,'Á. DE VENTIL.'!$B$2:$J$20,8,0)),"",VLOOKUP($B5,'Á. DE VENTIL.'!$B$2:$J$20,8,0))</f>
        <v/>
      </c>
      <c r="J5" s="14" t="str">
        <f aca="false">IF(ISNA(VLOOKUP($B5,'Á. EXTER '!$B$2:$J$24,8,0)),"",VLOOKUP($B5,'Á. EXTER '!$B$2:$J$24,8,0))</f>
        <v/>
      </c>
      <c r="K5" s="14" t="str">
        <f aca="false">IF(ISNA(VLOOKUP($B5,'ÁREA DE CIR. EXTER.'!$B$2:$J$22,8,0)),"",VLOOKUP($B5,'ÁREA DE CIR. EXTER.'!$B$2:$J$22,8,0))</f>
        <v/>
      </c>
      <c r="L5" s="14" t="str">
        <f aca="false">IF(ISNA(VLOOKUP($B5,AUDITÓRIO!$B$2:$J$14,8,0)),"",VLOOKUP($B5,AUDITÓRIO!$B$2:$J$14,8,0))</f>
        <v/>
      </c>
      <c r="M5" s="14" t="str">
        <f aca="false">IF(ISNA(VLOOKUP($B5,'AUD.   WC FEM'!$B$2:$J$14,8,0)),"",VLOOKUP($B5,'AUD.   WC FEM'!$B$2:$J$14,8,0))</f>
        <v/>
      </c>
      <c r="N5" s="14" t="str">
        <f aca="false">IF(ISNA(VLOOKUP($B5,'AUD.   WC MAS'!$B$2:$J$14,8,0)),"",VLOOKUP($B5,'AUD.   WC MAS'!$B$2:$J$14,8,0))</f>
        <v/>
      </c>
      <c r="O5" s="14" t="str">
        <f aca="false">IF(ISNA(VLOOKUP($B5,'COBERT.'!$B$2:$J$8,8,0)),"",VLOOKUP($B5,'COBERT.'!$B$2:$J$8,8,0))</f>
        <v/>
      </c>
      <c r="P5" s="14" t="str">
        <f aca="false">IF(ISNA(VLOOKUP($B5,COPA!$B$2:$J$31,8,0)),"",VLOOKUP($B5,COPA!$B$2:$J$31,8,0))</f>
        <v/>
      </c>
      <c r="Q5" s="14" t="str">
        <f aca="false">IF(ISNA(VLOOKUP($B5,RECEPÇÃO!$B$2:$J$24,8,0)),"",VLOOKUP($B5,RECEPÇÃO!$B$2:$J$24,8,0))</f>
        <v/>
      </c>
      <c r="R5" s="14" t="str">
        <f aca="false">IF(ISNA(VLOOKUP($B5,'S.  DA ADM.'!$B$2:$J$24,8,0)),"",VLOOKUP($B5,'S.  DA ADM.'!$B$2:$J$24,8,0))</f>
        <v/>
      </c>
      <c r="S5" s="14" t="n">
        <f aca="false">IF(ISNA(VLOOKUP($B5,'S.  DA ADM.   WC'!$B$2:$J$27,8,0)),"",VLOOKUP($B5,'S.  DA ADM.   WC'!$B$2:$J$27,8,0))</f>
        <v>2.7</v>
      </c>
      <c r="T5" s="14" t="str">
        <f aca="false">IF(ISNA(VLOOKUP($B5,'S. DA ATER'!$B$2:$J$23,8,0)),"",VLOOKUP($B5,'S. DA ATER'!$B$2:$J$23,8,0))</f>
        <v/>
      </c>
      <c r="U5" s="14" t="n">
        <f aca="false">IF(ISNA(VLOOKUP($B5,'S. DA GERÊNCIA'!$B$2:$J$27,8,0)),"",VLOOKUP($B5,'S. DA GERÊNCIA'!$B$2:$J$27,8,0))</f>
        <v>10.22</v>
      </c>
      <c r="V5" s="14" t="str">
        <f aca="false">IF(ISNA(VLOOKUP($B5,'S. DE ESPERA'!$B$2:$J$23,8,0)),"",VLOOKUP($B5,'S. DE ESPERA'!$B$2:$J$23,8,0))</f>
        <v/>
      </c>
      <c r="W5" s="14" t="str">
        <f aca="false">IF(ISNA(VLOOKUP($B5,'S. DE REUNIÃO'!$B$2:$J$25,8,0)),"",VLOOKUP($B5,'S. DE REUNIÃO'!$B$2:$J$25,8,0))</f>
        <v/>
      </c>
      <c r="X5" s="14" t="str">
        <f aca="false">IF(ISNA(VLOOKUP($B5,'S. DO VIGIA'!$B$2:$J$23,8,0)),"",VLOOKUP($B5,'S. DO VIGIA'!$B$2:$J$23,8,0))</f>
        <v/>
      </c>
      <c r="Y5" s="14" t="n">
        <f aca="false">IF(ISNA(VLOOKUP($B5,'WC SOCIAL FEM'!$B$2:$J$28,8,0)),"",VLOOKUP($B5,'WC SOCIAL FEM'!$B$2:$J$28,8,0))</f>
        <v>2.8</v>
      </c>
      <c r="Z5" s="14" t="n">
        <f aca="false">IF(ISNA(VLOOKUP($B5,'WC SOCIAL MAS'!$B$2:$J$29,8,0)),"",VLOOKUP($B5,'WC SOCIAL MAS'!$B$2:$J$29,8,0))</f>
        <v>2.8</v>
      </c>
      <c r="AA5" s="14" t="str">
        <f aca="false">IF(ISNA(VLOOKUP($B5,HIDRÁULICA!$B$2:$J$32,8,0)),"",VLOOKUP($B5,HIDRÁULICA!$B$2:$J$32,8,0))</f>
        <v/>
      </c>
    </row>
    <row r="6" customFormat="false" ht="28.35" hidden="false" customHeight="false" outlineLevel="0" collapsed="false">
      <c r="A6" s="9"/>
      <c r="B6" s="9" t="s">
        <v>40</v>
      </c>
      <c r="C6" s="10" t="s">
        <v>41</v>
      </c>
      <c r="D6" s="11" t="s">
        <v>42</v>
      </c>
      <c r="E6" s="12" t="s">
        <v>43</v>
      </c>
      <c r="F6" s="13" t="n">
        <f aca="false">ROUND(SUM(G6:AA6),2)</f>
        <v>26</v>
      </c>
      <c r="G6" s="14" t="str">
        <f aca="false">IF(ISNA(VLOOKUP($B6,'CORREDOR 01'!$B$2:$J$19,8,0)),"",VLOOKUP($B6,'CORREDOR 01'!$B$2:$J$19,8,0))</f>
        <v/>
      </c>
      <c r="H6" s="14" t="str">
        <f aca="false">IF(ISNA(VLOOKUP($B6,'CORREDOR O2'!$B$2:$J$22,8,0)),"",VLOOKUP($B6,'CORREDOR O2'!$B$2:$J$22,8,0))</f>
        <v/>
      </c>
      <c r="I6" s="14" t="str">
        <f aca="false">IF(ISNA(VLOOKUP($B6,'Á. DE VENTIL.'!$B$2:$J$20,8,0)),"",VLOOKUP($B6,'Á. DE VENTIL.'!$B$2:$J$20,8,0))</f>
        <v/>
      </c>
      <c r="J6" s="14" t="n">
        <f aca="false">IF(ISNA(VLOOKUP($B6,'Á. EXTER '!$B$2:$J$24,8,0)),"",VLOOKUP($B6,'Á. EXTER '!$B$2:$J$24,8,0))</f>
        <v>26</v>
      </c>
      <c r="K6" s="14" t="str">
        <f aca="false">IF(ISNA(VLOOKUP($B6,'ÁREA DE CIR. EXTER.'!$B$2:$J$22,8,0)),"",VLOOKUP($B6,'ÁREA DE CIR. EXTER.'!$B$2:$J$22,8,0))</f>
        <v/>
      </c>
      <c r="L6" s="14" t="str">
        <f aca="false">IF(ISNA(VLOOKUP($B6,AUDITÓRIO!$B$2:$J$14,8,0)),"",VLOOKUP($B6,AUDITÓRIO!$B$2:$J$14,8,0))</f>
        <v/>
      </c>
      <c r="M6" s="14" t="str">
        <f aca="false">IF(ISNA(VLOOKUP($B6,'AUD.   WC FEM'!$B$2:$J$14,8,0)),"",VLOOKUP($B6,'AUD.   WC FEM'!$B$2:$J$14,8,0))</f>
        <v/>
      </c>
      <c r="N6" s="14" t="str">
        <f aca="false">IF(ISNA(VLOOKUP($B6,'AUD.   WC MAS'!$B$2:$J$14,8,0)),"",VLOOKUP($B6,'AUD.   WC MAS'!$B$2:$J$14,8,0))</f>
        <v/>
      </c>
      <c r="O6" s="14" t="str">
        <f aca="false">IF(ISNA(VLOOKUP($B6,'COBERT.'!$B$2:$J$8,8,0)),"",VLOOKUP($B6,'COBERT.'!$B$2:$J$8,8,0))</f>
        <v/>
      </c>
      <c r="P6" s="14" t="str">
        <f aca="false">IF(ISNA(VLOOKUP($B6,COPA!$B$2:$J$31,8,0)),"",VLOOKUP($B6,COPA!$B$2:$J$31,8,0))</f>
        <v/>
      </c>
      <c r="Q6" s="14" t="str">
        <f aca="false">IF(ISNA(VLOOKUP($B6,RECEPÇÃO!$B$2:$J$24,8,0)),"",VLOOKUP($B6,RECEPÇÃO!$B$2:$J$24,8,0))</f>
        <v/>
      </c>
      <c r="R6" s="14" t="str">
        <f aca="false">IF(ISNA(VLOOKUP($B6,'S.  DA ADM.'!$B$2:$J$24,8,0)),"",VLOOKUP($B6,'S.  DA ADM.'!$B$2:$J$24,8,0))</f>
        <v/>
      </c>
      <c r="S6" s="14" t="str">
        <f aca="false">IF(ISNA(VLOOKUP($B6,'S.  DA ADM.   WC'!$B$2:$J$27,8,0)),"",VLOOKUP($B6,'S.  DA ADM.   WC'!$B$2:$J$27,8,0))</f>
        <v/>
      </c>
      <c r="T6" s="14" t="str">
        <f aca="false">IF(ISNA(VLOOKUP($B6,'S. DA ATER'!$B$2:$J$23,8,0)),"",VLOOKUP($B6,'S. DA ATER'!$B$2:$J$23,8,0))</f>
        <v/>
      </c>
      <c r="U6" s="14" t="str">
        <f aca="false">IF(ISNA(VLOOKUP($B6,'S. DA GERÊNCIA'!$B$2:$J$27,8,0)),"",VLOOKUP($B6,'S. DA GERÊNCIA'!$B$2:$J$27,8,0))</f>
        <v/>
      </c>
      <c r="V6" s="14" t="str">
        <f aca="false">IF(ISNA(VLOOKUP($B6,'S. DE ESPERA'!$B$2:$J$23,8,0)),"",VLOOKUP($B6,'S. DE ESPERA'!$B$2:$J$23,8,0))</f>
        <v/>
      </c>
      <c r="W6" s="14" t="str">
        <f aca="false">IF(ISNA(VLOOKUP($B6,'S. DE REUNIÃO'!$B$2:$J$25,8,0)),"",VLOOKUP($B6,'S. DE REUNIÃO'!$B$2:$J$25,8,0))</f>
        <v/>
      </c>
      <c r="X6" s="14" t="str">
        <f aca="false">IF(ISNA(VLOOKUP($B6,'S. DO VIGIA'!$B$2:$J$23,8,0)),"",VLOOKUP($B6,'S. DO VIGIA'!$B$2:$J$23,8,0))</f>
        <v/>
      </c>
      <c r="Y6" s="14" t="str">
        <f aca="false">IF(ISNA(VLOOKUP($B6,'WC SOCIAL FEM'!$B$2:$J$28,8,0)),"",VLOOKUP($B6,'WC SOCIAL FEM'!$B$2:$J$28,8,0))</f>
        <v/>
      </c>
      <c r="Z6" s="14" t="str">
        <f aca="false">IF(ISNA(VLOOKUP($B6,'WC SOCIAL MAS'!$B$2:$J$29,8,0)),"",VLOOKUP($B6,'WC SOCIAL MAS'!$B$2:$J$29,8,0))</f>
        <v/>
      </c>
      <c r="AA6" s="14" t="str">
        <f aca="false">IF(ISNA(VLOOKUP($B6,HIDRÁULICA!$B$2:$J$32,8,0)),"",VLOOKUP($B6,HIDRÁULICA!$B$2:$J$32,8,0))</f>
        <v/>
      </c>
    </row>
    <row r="7" customFormat="false" ht="15" hidden="false" customHeight="true" outlineLevel="0" collapsed="false">
      <c r="A7" s="9"/>
      <c r="B7" s="9" t="s">
        <v>44</v>
      </c>
      <c r="C7" s="10" t="s">
        <v>45</v>
      </c>
      <c r="D7" s="11" t="s">
        <v>46</v>
      </c>
      <c r="E7" s="12" t="s">
        <v>33</v>
      </c>
      <c r="F7" s="13" t="n">
        <f aca="false">ROUND(SUM(G7:AA7),2)</f>
        <v>9.24</v>
      </c>
      <c r="G7" s="14" t="str">
        <f aca="false">IF(ISNA(VLOOKUP($B7,'CORREDOR 01'!$B$2:$J$19,8,0)),"",VLOOKUP($B7,'CORREDOR 01'!$B$2:$J$19,8,0))</f>
        <v/>
      </c>
      <c r="H7" s="14" t="n">
        <f aca="false">IF(ISNA(VLOOKUP($B7,'CORREDOR O2'!$B$2:$J$22,8,0)),"",VLOOKUP($B7,'CORREDOR O2'!$B$2:$J$22,8,0))</f>
        <v>2.52</v>
      </c>
      <c r="I7" s="14" t="str">
        <f aca="false">IF(ISNA(VLOOKUP($B7,'Á. DE VENTIL.'!$B$2:$J$20,8,0)),"",VLOOKUP($B7,'Á. DE VENTIL.'!$B$2:$J$20,8,0))</f>
        <v/>
      </c>
      <c r="J7" s="14" t="str">
        <f aca="false">IF(ISNA(VLOOKUP($B7,'Á. EXTER '!$B$2:$J$24,8,0)),"",VLOOKUP($B7,'Á. EXTER '!$B$2:$J$24,8,0))</f>
        <v/>
      </c>
      <c r="K7" s="14" t="str">
        <f aca="false">IF(ISNA(VLOOKUP($B7,'ÁREA DE CIR. EXTER.'!$B$2:$J$22,8,0)),"",VLOOKUP($B7,'ÁREA DE CIR. EXTER.'!$B$2:$J$22,8,0))</f>
        <v/>
      </c>
      <c r="L7" s="14" t="n">
        <f aca="false">IF(ISNA(VLOOKUP($B7,AUDITÓRIO!$B$2:$J$14,8,0)),"",VLOOKUP($B7,AUDITÓRIO!$B$2:$J$14,8,0))</f>
        <v>2.52</v>
      </c>
      <c r="M7" s="14" t="n">
        <f aca="false">IF(ISNA(VLOOKUP($B7,'AUD.   WC FEM'!$B$2:$J$14,8,0)),"",VLOOKUP($B7,'AUD.   WC FEM'!$B$2:$J$14,8,0))</f>
        <v>2.1</v>
      </c>
      <c r="N7" s="14" t="n">
        <f aca="false">IF(ISNA(VLOOKUP($B7,'AUD.   WC MAS'!$B$2:$J$14,8,0)),"",VLOOKUP($B7,'AUD.   WC MAS'!$B$2:$J$14,8,0))</f>
        <v>2.1</v>
      </c>
      <c r="O7" s="14" t="str">
        <f aca="false">IF(ISNA(VLOOKUP($B7,'COBERT.'!$B$2:$J$8,8,0)),"",VLOOKUP($B7,'COBERT.'!$B$2:$J$8,8,0))</f>
        <v/>
      </c>
      <c r="P7" s="14" t="str">
        <f aca="false">IF(ISNA(VLOOKUP($B7,COPA!$B$2:$J$31,8,0)),"",VLOOKUP($B7,COPA!$B$2:$J$31,8,0))</f>
        <v/>
      </c>
      <c r="Q7" s="14" t="str">
        <f aca="false">IF(ISNA(VLOOKUP($B7,RECEPÇÃO!$B$2:$J$24,8,0)),"",VLOOKUP($B7,RECEPÇÃO!$B$2:$J$24,8,0))</f>
        <v/>
      </c>
      <c r="R7" s="14" t="str">
        <f aca="false">IF(ISNA(VLOOKUP($B7,'S.  DA ADM.'!$B$2:$J$24,8,0)),"",VLOOKUP($B7,'S.  DA ADM.'!$B$2:$J$24,8,0))</f>
        <v/>
      </c>
      <c r="S7" s="14" t="str">
        <f aca="false">IF(ISNA(VLOOKUP($B7,'S.  DA ADM.   WC'!$B$2:$J$27,8,0)),"",VLOOKUP($B7,'S.  DA ADM.   WC'!$B$2:$J$27,8,0))</f>
        <v/>
      </c>
      <c r="T7" s="14" t="str">
        <f aca="false">IF(ISNA(VLOOKUP($B7,'S. DA ATER'!$B$2:$J$23,8,0)),"",VLOOKUP($B7,'S. DA ATER'!$B$2:$J$23,8,0))</f>
        <v/>
      </c>
      <c r="U7" s="14" t="str">
        <f aca="false">IF(ISNA(VLOOKUP($B7,'S. DA GERÊNCIA'!$B$2:$J$27,8,0)),"",VLOOKUP($B7,'S. DA GERÊNCIA'!$B$2:$J$27,8,0))</f>
        <v/>
      </c>
      <c r="V7" s="14" t="str">
        <f aca="false">IF(ISNA(VLOOKUP($B7,'S. DE ESPERA'!$B$2:$J$23,8,0)),"",VLOOKUP($B7,'S. DE ESPERA'!$B$2:$J$23,8,0))</f>
        <v/>
      </c>
      <c r="W7" s="14" t="str">
        <f aca="false">IF(ISNA(VLOOKUP($B7,'S. DE REUNIÃO'!$B$2:$J$25,8,0)),"",VLOOKUP($B7,'S. DE REUNIÃO'!$B$2:$J$25,8,0))</f>
        <v/>
      </c>
      <c r="X7" s="14" t="str">
        <f aca="false">IF(ISNA(VLOOKUP($B7,'S. DO VIGIA'!$B$2:$J$23,8,0)),"",VLOOKUP($B7,'S. DO VIGIA'!$B$2:$J$23,8,0))</f>
        <v/>
      </c>
      <c r="Y7" s="14" t="str">
        <f aca="false">IF(ISNA(VLOOKUP($B7,'WC SOCIAL FEM'!$B$2:$J$28,8,0)),"",VLOOKUP($B7,'WC SOCIAL FEM'!$B$2:$J$28,8,0))</f>
        <v/>
      </c>
      <c r="Z7" s="14" t="str">
        <f aca="false">IF(ISNA(VLOOKUP($B7,'WC SOCIAL MAS'!$B$2:$J$29,8,0)),"",VLOOKUP($B7,'WC SOCIAL MAS'!$B$2:$J$29,8,0))</f>
        <v/>
      </c>
      <c r="AA7" s="14" t="str">
        <f aca="false">IF(ISNA(VLOOKUP($B7,HIDRÁULICA!$B$2:$J$32,8,0)),"",VLOOKUP($B7,HIDRÁULICA!$B$2:$J$32,8,0))</f>
        <v/>
      </c>
    </row>
    <row r="8" customFormat="false" ht="15" hidden="false" customHeight="true" outlineLevel="0" collapsed="false">
      <c r="A8" s="9"/>
      <c r="B8" s="9" t="s">
        <v>47</v>
      </c>
      <c r="C8" s="10" t="s">
        <v>48</v>
      </c>
      <c r="D8" s="11" t="s">
        <v>49</v>
      </c>
      <c r="E8" s="12" t="s">
        <v>50</v>
      </c>
      <c r="F8" s="13" t="n">
        <f aca="false">ROUND(SUM(G8:AA8),2)</f>
        <v>3</v>
      </c>
      <c r="G8" s="14" t="str">
        <f aca="false">IF(ISNA(VLOOKUP($B8,'CORREDOR 01'!$B$2:$J$19,8,0)),"",VLOOKUP($B8,'CORREDOR 01'!$B$2:$J$19,8,0))</f>
        <v/>
      </c>
      <c r="H8" s="14" t="str">
        <f aca="false">IF(ISNA(VLOOKUP($B8,'CORREDOR O2'!$B$2:$J$22,8,0)),"",VLOOKUP($B8,'CORREDOR O2'!$B$2:$J$22,8,0))</f>
        <v/>
      </c>
      <c r="I8" s="14" t="str">
        <f aca="false">IF(ISNA(VLOOKUP($B8,'Á. DE VENTIL.'!$B$2:$J$20,8,0)),"",VLOOKUP($B8,'Á. DE VENTIL.'!$B$2:$J$20,8,0))</f>
        <v/>
      </c>
      <c r="J8" s="14" t="str">
        <f aca="false">IF(ISNA(VLOOKUP($B8,'Á. EXTER '!$B$2:$J$24,8,0)),"",VLOOKUP($B8,'Á. EXTER '!$B$2:$J$24,8,0))</f>
        <v/>
      </c>
      <c r="K8" s="14" t="str">
        <f aca="false">IF(ISNA(VLOOKUP($B8,'ÁREA DE CIR. EXTER.'!$B$2:$J$22,8,0)),"",VLOOKUP($B8,'ÁREA DE CIR. EXTER.'!$B$2:$J$22,8,0))</f>
        <v/>
      </c>
      <c r="L8" s="14" t="str">
        <f aca="false">IF(ISNA(VLOOKUP($B8,AUDITÓRIO!$B$2:$J$14,8,0)),"",VLOOKUP($B8,AUDITÓRIO!$B$2:$J$14,8,0))</f>
        <v/>
      </c>
      <c r="M8" s="14" t="str">
        <f aca="false">IF(ISNA(VLOOKUP($B8,'AUD.   WC FEM'!$B$2:$J$14,8,0)),"",VLOOKUP($B8,'AUD.   WC FEM'!$B$2:$J$14,8,0))</f>
        <v/>
      </c>
      <c r="N8" s="14" t="str">
        <f aca="false">IF(ISNA(VLOOKUP($B8,'AUD.   WC MAS'!$B$2:$J$14,8,0)),"",VLOOKUP($B8,'AUD.   WC MAS'!$B$2:$J$14,8,0))</f>
        <v/>
      </c>
      <c r="O8" s="14" t="str">
        <f aca="false">IF(ISNA(VLOOKUP($B8,'COBERT.'!$B$2:$J$8,8,0)),"",VLOOKUP($B8,'COBERT.'!$B$2:$J$8,8,0))</f>
        <v/>
      </c>
      <c r="P8" s="14" t="str">
        <f aca="false">IF(ISNA(VLOOKUP($B8,COPA!$B$2:$J$31,8,0)),"",VLOOKUP($B8,COPA!$B$2:$J$31,8,0))</f>
        <v/>
      </c>
      <c r="Q8" s="14" t="str">
        <f aca="false">IF(ISNA(VLOOKUP($B8,RECEPÇÃO!$B$2:$J$24,8,0)),"",VLOOKUP($B8,RECEPÇÃO!$B$2:$J$24,8,0))</f>
        <v/>
      </c>
      <c r="R8" s="14" t="str">
        <f aca="false">IF(ISNA(VLOOKUP($B8,'S.  DA ADM.'!$B$2:$J$24,8,0)),"",VLOOKUP($B8,'S.  DA ADM.'!$B$2:$J$24,8,0))</f>
        <v/>
      </c>
      <c r="S8" s="14" t="n">
        <f aca="false">IF(ISNA(VLOOKUP($B8,'S.  DA ADM.   WC'!$B$2:$J$27,8,0)),"",VLOOKUP($B8,'S.  DA ADM.   WC'!$B$2:$J$27,8,0))</f>
        <v>1</v>
      </c>
      <c r="T8" s="14" t="str">
        <f aca="false">IF(ISNA(VLOOKUP($B8,'S. DA ATER'!$B$2:$J$23,8,0)),"",VLOOKUP($B8,'S. DA ATER'!$B$2:$J$23,8,0))</f>
        <v/>
      </c>
      <c r="U8" s="14" t="str">
        <f aca="false">IF(ISNA(VLOOKUP($B8,'S. DA GERÊNCIA'!$B$2:$J$27,8,0)),"",VLOOKUP($B8,'S. DA GERÊNCIA'!$B$2:$J$27,8,0))</f>
        <v/>
      </c>
      <c r="V8" s="14" t="str">
        <f aca="false">IF(ISNA(VLOOKUP($B8,'S. DE ESPERA'!$B$2:$J$23,8,0)),"",VLOOKUP($B8,'S. DE ESPERA'!$B$2:$J$23,8,0))</f>
        <v/>
      </c>
      <c r="W8" s="14" t="str">
        <f aca="false">IF(ISNA(VLOOKUP($B8,'S. DE REUNIÃO'!$B$2:$J$25,8,0)),"",VLOOKUP($B8,'S. DE REUNIÃO'!$B$2:$J$25,8,0))</f>
        <v/>
      </c>
      <c r="X8" s="14" t="str">
        <f aca="false">IF(ISNA(VLOOKUP($B8,'S. DO VIGIA'!$B$2:$J$23,8,0)),"",VLOOKUP($B8,'S. DO VIGIA'!$B$2:$J$23,8,0))</f>
        <v/>
      </c>
      <c r="Y8" s="14" t="n">
        <f aca="false">IF(ISNA(VLOOKUP($B8,'WC SOCIAL FEM'!$B$2:$J$28,8,0)),"",VLOOKUP($B8,'WC SOCIAL FEM'!$B$2:$J$28,8,0))</f>
        <v>1</v>
      </c>
      <c r="Z8" s="14" t="n">
        <f aca="false">IF(ISNA(VLOOKUP($B8,'WC SOCIAL MAS'!$B$2:$J$29,8,0)),"",VLOOKUP($B8,'WC SOCIAL MAS'!$B$2:$J$29,8,0))</f>
        <v>1</v>
      </c>
      <c r="AA8" s="14" t="str">
        <f aca="false">IF(ISNA(VLOOKUP($B8,HIDRÁULICA!$B$2:$J$32,8,0)),"",VLOOKUP($B8,HIDRÁULICA!$B$2:$J$32,8,0))</f>
        <v/>
      </c>
    </row>
    <row r="9" customFormat="false" ht="15" hidden="false" customHeight="true" outlineLevel="0" collapsed="false">
      <c r="A9" s="9"/>
      <c r="B9" s="9" t="s">
        <v>51</v>
      </c>
      <c r="C9" s="10" t="s">
        <v>52</v>
      </c>
      <c r="D9" s="11" t="s">
        <v>53</v>
      </c>
      <c r="E9" s="12" t="s">
        <v>54</v>
      </c>
      <c r="F9" s="13" t="n">
        <f aca="false">ROUND(SUM(G9:AA9),2)</f>
        <v>9.12</v>
      </c>
      <c r="G9" s="14" t="str">
        <f aca="false">IF(ISNA(VLOOKUP($B9,'CORREDOR 01'!$B$2:$J$19,8,0)),"",VLOOKUP($B9,'CORREDOR 01'!$B$2:$J$19,8,0))</f>
        <v/>
      </c>
      <c r="H9" s="14" t="str">
        <f aca="false">IF(ISNA(VLOOKUP($B9,'CORREDOR O2'!$B$2:$J$22,8,0)),"",VLOOKUP($B9,'CORREDOR O2'!$B$2:$J$22,8,0))</f>
        <v/>
      </c>
      <c r="I9" s="14" t="n">
        <f aca="false">IF(ISNA(VLOOKUP($B9,'Á. DE VENTIL.'!$B$2:$J$20,8,0)),"",VLOOKUP($B9,'Á. DE VENTIL.'!$B$2:$J$20,8,0))</f>
        <v>2.16</v>
      </c>
      <c r="J9" s="14" t="str">
        <f aca="false">IF(ISNA(VLOOKUP($B9,'Á. EXTER '!$B$2:$J$24,8,0)),"",VLOOKUP($B9,'Á. EXTER '!$B$2:$J$24,8,0))</f>
        <v/>
      </c>
      <c r="K9" s="14" t="str">
        <f aca="false">IF(ISNA(VLOOKUP($B9,'ÁREA DE CIR. EXTER.'!$B$2:$J$22,8,0)),"",VLOOKUP($B9,'ÁREA DE CIR. EXTER.'!$B$2:$J$22,8,0))</f>
        <v/>
      </c>
      <c r="L9" s="14" t="str">
        <f aca="false">IF(ISNA(VLOOKUP($B9,AUDITÓRIO!$B$2:$J$14,8,0)),"",VLOOKUP($B9,AUDITÓRIO!$B$2:$J$14,8,0))</f>
        <v/>
      </c>
      <c r="M9" s="14" t="str">
        <f aca="false">IF(ISNA(VLOOKUP($B9,'AUD.   WC FEM'!$B$2:$J$14,8,0)),"",VLOOKUP($B9,'AUD.   WC FEM'!$B$2:$J$14,8,0))</f>
        <v/>
      </c>
      <c r="N9" s="14" t="str">
        <f aca="false">IF(ISNA(VLOOKUP($B9,'AUD.   WC MAS'!$B$2:$J$14,8,0)),"",VLOOKUP($B9,'AUD.   WC MAS'!$B$2:$J$14,8,0))</f>
        <v/>
      </c>
      <c r="O9" s="14" t="str">
        <f aca="false">IF(ISNA(VLOOKUP($B9,'COBERT.'!$B$2:$J$8,8,0)),"",VLOOKUP($B9,'COBERT.'!$B$2:$J$8,8,0))</f>
        <v/>
      </c>
      <c r="P9" s="14" t="n">
        <f aca="false">IF(ISNA(VLOOKUP($B9,COPA!$B$2:$J$31,8,0)),"",VLOOKUP($B9,COPA!$B$2:$J$31,8,0))</f>
        <v>5.76</v>
      </c>
      <c r="Q9" s="14" t="str">
        <f aca="false">IF(ISNA(VLOOKUP($B9,RECEPÇÃO!$B$2:$J$24,8,0)),"",VLOOKUP($B9,RECEPÇÃO!$B$2:$J$24,8,0))</f>
        <v/>
      </c>
      <c r="R9" s="14" t="str">
        <f aca="false">IF(ISNA(VLOOKUP($B9,'S.  DA ADM.'!$B$2:$J$24,8,0)),"",VLOOKUP($B9,'S.  DA ADM.'!$B$2:$J$24,8,0))</f>
        <v/>
      </c>
      <c r="S9" s="14" t="str">
        <f aca="false">IF(ISNA(VLOOKUP($B9,'S.  DA ADM.   WC'!$B$2:$J$27,8,0)),"",VLOOKUP($B9,'S.  DA ADM.   WC'!$B$2:$J$27,8,0))</f>
        <v/>
      </c>
      <c r="T9" s="14" t="str">
        <f aca="false">IF(ISNA(VLOOKUP($B9,'S. DA ATER'!$B$2:$J$23,8,0)),"",VLOOKUP($B9,'S. DA ATER'!$B$2:$J$23,8,0))</f>
        <v/>
      </c>
      <c r="U9" s="14" t="n">
        <f aca="false">IF(ISNA(VLOOKUP($B9,'S. DA GERÊNCIA'!$B$2:$J$27,8,0)),"",VLOOKUP($B9,'S. DA GERÊNCIA'!$B$2:$J$27,8,0))</f>
        <v>1.2</v>
      </c>
      <c r="V9" s="14" t="str">
        <f aca="false">IF(ISNA(VLOOKUP($B9,'S. DE ESPERA'!$B$2:$J$23,8,0)),"",VLOOKUP($B9,'S. DE ESPERA'!$B$2:$J$23,8,0))</f>
        <v/>
      </c>
      <c r="W9" s="14" t="str">
        <f aca="false">IF(ISNA(VLOOKUP($B9,'S. DE REUNIÃO'!$B$2:$J$25,8,0)),"",VLOOKUP($B9,'S. DE REUNIÃO'!$B$2:$J$25,8,0))</f>
        <v/>
      </c>
      <c r="X9" s="14" t="str">
        <f aca="false">IF(ISNA(VLOOKUP($B9,'S. DO VIGIA'!$B$2:$J$23,8,0)),"",VLOOKUP($B9,'S. DO VIGIA'!$B$2:$J$23,8,0))</f>
        <v/>
      </c>
      <c r="Y9" s="14" t="str">
        <f aca="false">IF(ISNA(VLOOKUP($B9,'WC SOCIAL FEM'!$B$2:$J$28,8,0)),"",VLOOKUP($B9,'WC SOCIAL FEM'!$B$2:$J$28,8,0))</f>
        <v/>
      </c>
      <c r="Z9" s="14" t="str">
        <f aca="false">IF(ISNA(VLOOKUP($B9,'WC SOCIAL MAS'!$B$2:$J$29,8,0)),"",VLOOKUP($B9,'WC SOCIAL MAS'!$B$2:$J$29,8,0))</f>
        <v/>
      </c>
      <c r="AA9" s="14" t="str">
        <f aca="false">IF(ISNA(VLOOKUP($B9,HIDRÁULICA!$B$2:$J$32,8,0)),"",VLOOKUP($B9,HIDRÁULICA!$B$2:$J$32,8,0))</f>
        <v/>
      </c>
    </row>
    <row r="10" customFormat="false" ht="15" hidden="false" customHeight="true" outlineLevel="0" collapsed="false">
      <c r="A10" s="9"/>
      <c r="B10" s="9" t="s">
        <v>55</v>
      </c>
      <c r="C10" s="10" t="s">
        <v>56</v>
      </c>
      <c r="D10" s="11" t="s">
        <v>57</v>
      </c>
      <c r="E10" s="12" t="s">
        <v>33</v>
      </c>
      <c r="F10" s="13" t="n">
        <f aca="false">ROUND(SUM(G10:AA10),2)</f>
        <v>625.71</v>
      </c>
      <c r="G10" s="14" t="n">
        <f aca="false">IF(ISNA(VLOOKUP($B10,'CORREDOR 01'!$B$2:$J$19,8,0)),"",VLOOKUP($B10,'CORREDOR 01'!$B$2:$J$19,8,0))</f>
        <v>50.554</v>
      </c>
      <c r="H10" s="14" t="n">
        <f aca="false">IF(ISNA(VLOOKUP($B10,'CORREDOR O2'!$B$2:$J$22,8,0)),"",VLOOKUP($B10,'CORREDOR O2'!$B$2:$J$22,8,0))</f>
        <v>26.458</v>
      </c>
      <c r="I10" s="14" t="n">
        <f aca="false">IF(ISNA(VLOOKUP($B10,'Á. DE VENTIL.'!$B$2:$J$20,8,0)),"",VLOOKUP($B10,'Á. DE VENTIL.'!$B$2:$J$20,8,0))</f>
        <v>27.892</v>
      </c>
      <c r="J10" s="14" t="str">
        <f aca="false">IF(ISNA(VLOOKUP($B10,'Á. EXTER '!$B$2:$J$24,8,0)),"",VLOOKUP($B10,'Á. EXTER '!$B$2:$J$24,8,0))</f>
        <v/>
      </c>
      <c r="K10" s="14" t="n">
        <f aca="false">IF(ISNA(VLOOKUP($B10,'ÁREA DE CIR. EXTER.'!$B$2:$J$22,8,0)),"",VLOOKUP($B10,'ÁREA DE CIR. EXTER.'!$B$2:$J$22,8,0))</f>
        <v>149.4775</v>
      </c>
      <c r="L10" s="14" t="n">
        <f aca="false">IF(ISNA(VLOOKUP($B10,AUDITÓRIO!$B$2:$J$14,8,0)),"",VLOOKUP($B10,AUDITÓRIO!$B$2:$J$14,8,0))</f>
        <v>93.18</v>
      </c>
      <c r="M10" s="14" t="str">
        <f aca="false">IF(ISNA(VLOOKUP($B10,'AUD.   WC FEM'!$B$2:$J$14,8,0)),"",VLOOKUP($B10,'AUD.   WC FEM'!$B$2:$J$14,8,0))</f>
        <v/>
      </c>
      <c r="N10" s="14" t="str">
        <f aca="false">IF(ISNA(VLOOKUP($B10,'AUD.   WC MAS'!$B$2:$J$14,8,0)),"",VLOOKUP($B10,'AUD.   WC MAS'!$B$2:$J$14,8,0))</f>
        <v/>
      </c>
      <c r="O10" s="14" t="str">
        <f aca="false">IF(ISNA(VLOOKUP($B10,'COBERT.'!$B$2:$J$8,8,0)),"",VLOOKUP($B10,'COBERT.'!$B$2:$J$8,8,0))</f>
        <v/>
      </c>
      <c r="P10" s="14" t="n">
        <f aca="false">IF(ISNA(VLOOKUP($B10,COPA!$B$2:$J$31,8,0)),"",VLOOKUP($B10,COPA!$B$2:$J$31,8,0))</f>
        <v>7.98</v>
      </c>
      <c r="Q10" s="14" t="n">
        <f aca="false">IF(ISNA(VLOOKUP($B10,RECEPÇÃO!$B$2:$J$24,8,0)),"",VLOOKUP($B10,RECEPÇÃO!$B$2:$J$24,8,0))</f>
        <v>41.012</v>
      </c>
      <c r="R10" s="14" t="n">
        <f aca="false">IF(ISNA(VLOOKUP($B10,'S.  DA ADM.'!$B$2:$J$24,8,0)),"",VLOOKUP($B10,'S.  DA ADM.'!$B$2:$J$24,8,0))</f>
        <v>40.092</v>
      </c>
      <c r="S10" s="14" t="str">
        <f aca="false">IF(ISNA(VLOOKUP($B10,'S.  DA ADM.   WC'!$B$2:$J$27,8,0)),"",VLOOKUP($B10,'S.  DA ADM.   WC'!$B$2:$J$27,8,0))</f>
        <v/>
      </c>
      <c r="T10" s="14" t="n">
        <f aca="false">IF(ISNA(VLOOKUP($B10,'S. DA ATER'!$B$2:$J$23,8,0)),"",VLOOKUP($B10,'S. DA ATER'!$B$2:$J$23,8,0))</f>
        <v>39.848</v>
      </c>
      <c r="U10" s="14" t="n">
        <f aca="false">IF(ISNA(VLOOKUP($B10,'S. DA GERÊNCIA'!$B$2:$J$27,8,0)),"",VLOOKUP($B10,'S. DA GERÊNCIA'!$B$2:$J$27,8,0))</f>
        <v>33.412</v>
      </c>
      <c r="V10" s="14" t="n">
        <f aca="false">IF(ISNA(VLOOKUP($B10,'S. DE ESPERA'!$B$2:$J$23,8,0)),"",VLOOKUP($B10,'S. DE ESPERA'!$B$2:$J$23,8,0))</f>
        <v>46.326</v>
      </c>
      <c r="W10" s="14" t="n">
        <f aca="false">IF(ISNA(VLOOKUP($B10,'S. DE REUNIÃO'!$B$2:$J$25,8,0)),"",VLOOKUP($B10,'S. DE REUNIÃO'!$B$2:$J$25,8,0))</f>
        <v>38.854</v>
      </c>
      <c r="X10" s="14" t="n">
        <f aca="false">IF(ISNA(VLOOKUP($B10,'S. DO VIGIA'!$B$2:$J$23,8,0)),"",VLOOKUP($B10,'S. DO VIGIA'!$B$2:$J$23,8,0))</f>
        <v>30.628</v>
      </c>
      <c r="Y10" s="14" t="str">
        <f aca="false">IF(ISNA(VLOOKUP($B10,'WC SOCIAL FEM'!$B$2:$J$28,8,0)),"",VLOOKUP($B10,'WC SOCIAL FEM'!$B$2:$J$28,8,0))</f>
        <v/>
      </c>
      <c r="Z10" s="14" t="str">
        <f aca="false">IF(ISNA(VLOOKUP($B10,'WC SOCIAL MAS'!$B$2:$J$29,8,0)),"",VLOOKUP($B10,'WC SOCIAL MAS'!$B$2:$J$29,8,0))</f>
        <v/>
      </c>
      <c r="AA10" s="14" t="str">
        <f aca="false">IF(ISNA(VLOOKUP($B10,HIDRÁULICA!$B$2:$J$32,8,0)),"",VLOOKUP($B10,HIDRÁULICA!$B$2:$J$32,8,0))</f>
        <v/>
      </c>
    </row>
    <row r="11" customFormat="false" ht="28.35" hidden="false" customHeight="false" outlineLevel="0" collapsed="false">
      <c r="A11" s="9"/>
      <c r="B11" s="9" t="s">
        <v>58</v>
      </c>
      <c r="C11" s="10" t="s">
        <v>59</v>
      </c>
      <c r="D11" s="11" t="s">
        <v>60</v>
      </c>
      <c r="E11" s="12" t="s">
        <v>54</v>
      </c>
      <c r="F11" s="13" t="n">
        <f aca="false">ROUND(SUM(G11:AA11),2)</f>
        <v>1</v>
      </c>
      <c r="G11" s="14" t="str">
        <f aca="false">IF(ISNA(VLOOKUP($B11,'CORREDOR 01'!$B$2:$J$19,8,0)),"",VLOOKUP($B11,'CORREDOR 01'!$B$2:$J$19,8,0))</f>
        <v/>
      </c>
      <c r="H11" s="14" t="str">
        <f aca="false">IF(ISNA(VLOOKUP($B11,'CORREDOR O2'!$B$2:$J$22,8,0)),"",VLOOKUP($B11,'CORREDOR O2'!$B$2:$J$22,8,0))</f>
        <v/>
      </c>
      <c r="I11" s="14" t="str">
        <f aca="false">IF(ISNA(VLOOKUP($B11,'Á. DE VENTIL.'!$B$2:$J$20,8,0)),"",VLOOKUP($B11,'Á. DE VENTIL.'!$B$2:$J$20,8,0))</f>
        <v/>
      </c>
      <c r="J11" s="14" t="n">
        <f aca="false">IF(ISNA(VLOOKUP($B11,'Á. EXTER '!$B$2:$J$24,8,0)),"",VLOOKUP($B11,'Á. EXTER '!$B$2:$J$24,8,0))</f>
        <v>0.24</v>
      </c>
      <c r="K11" s="14" t="n">
        <f aca="false">IF(ISNA(VLOOKUP($B11,'ÁREA DE CIR. EXTER.'!$B$2:$J$22,8,0)),"",VLOOKUP($B11,'ÁREA DE CIR. EXTER.'!$B$2:$J$22,8,0))</f>
        <v>0.756</v>
      </c>
      <c r="L11" s="14" t="str">
        <f aca="false">IF(ISNA(VLOOKUP($B11,AUDITÓRIO!$B$2:$J$14,8,0)),"",VLOOKUP($B11,AUDITÓRIO!$B$2:$J$14,8,0))</f>
        <v/>
      </c>
      <c r="M11" s="14" t="str">
        <f aca="false">IF(ISNA(VLOOKUP($B11,'AUD.   WC FEM'!$B$2:$J$14,8,0)),"",VLOOKUP($B11,'AUD.   WC FEM'!$B$2:$J$14,8,0))</f>
        <v/>
      </c>
      <c r="N11" s="14" t="str">
        <f aca="false">IF(ISNA(VLOOKUP($B11,'AUD.   WC MAS'!$B$2:$J$14,8,0)),"",VLOOKUP($B11,'AUD.   WC MAS'!$B$2:$J$14,8,0))</f>
        <v/>
      </c>
      <c r="O11" s="14" t="str">
        <f aca="false">IF(ISNA(VLOOKUP($B11,'COBERT.'!$B$2:$J$8,8,0)),"",VLOOKUP($B11,'COBERT.'!$B$2:$J$8,8,0))</f>
        <v/>
      </c>
      <c r="P11" s="14" t="str">
        <f aca="false">IF(ISNA(VLOOKUP($B11,COPA!$B$2:$J$31,8,0)),"",VLOOKUP($B11,COPA!$B$2:$J$31,8,0))</f>
        <v/>
      </c>
      <c r="Q11" s="14" t="str">
        <f aca="false">IF(ISNA(VLOOKUP($B11,RECEPÇÃO!$B$2:$J$24,8,0)),"",VLOOKUP($B11,RECEPÇÃO!$B$2:$J$24,8,0))</f>
        <v/>
      </c>
      <c r="R11" s="14" t="str">
        <f aca="false">IF(ISNA(VLOOKUP($B11,'S.  DA ADM.'!$B$2:$J$24,8,0)),"",VLOOKUP($B11,'S.  DA ADM.'!$B$2:$J$24,8,0))</f>
        <v/>
      </c>
      <c r="S11" s="14" t="str">
        <f aca="false">IF(ISNA(VLOOKUP($B11,'S.  DA ADM.   WC'!$B$2:$J$27,8,0)),"",VLOOKUP($B11,'S.  DA ADM.   WC'!$B$2:$J$27,8,0))</f>
        <v/>
      </c>
      <c r="T11" s="14" t="str">
        <f aca="false">IF(ISNA(VLOOKUP($B11,'S. DA ATER'!$B$2:$J$23,8,0)),"",VLOOKUP($B11,'S. DA ATER'!$B$2:$J$23,8,0))</f>
        <v/>
      </c>
      <c r="U11" s="14" t="str">
        <f aca="false">IF(ISNA(VLOOKUP($B11,'S. DA GERÊNCIA'!$B$2:$J$27,8,0)),"",VLOOKUP($B11,'S. DA GERÊNCIA'!$B$2:$J$27,8,0))</f>
        <v/>
      </c>
      <c r="V11" s="14" t="str">
        <f aca="false">IF(ISNA(VLOOKUP($B11,'S. DE ESPERA'!$B$2:$J$23,8,0)),"",VLOOKUP($B11,'S. DE ESPERA'!$B$2:$J$23,8,0))</f>
        <v/>
      </c>
      <c r="W11" s="14" t="str">
        <f aca="false">IF(ISNA(VLOOKUP($B11,'S. DE REUNIÃO'!$B$2:$J$25,8,0)),"",VLOOKUP($B11,'S. DE REUNIÃO'!$B$2:$J$25,8,0))</f>
        <v/>
      </c>
      <c r="X11" s="14" t="str">
        <f aca="false">IF(ISNA(VLOOKUP($B11,'S. DO VIGIA'!$B$2:$J$23,8,0)),"",VLOOKUP($B11,'S. DO VIGIA'!$B$2:$J$23,8,0))</f>
        <v/>
      </c>
      <c r="Y11" s="14" t="str">
        <f aca="false">IF(ISNA(VLOOKUP($B11,'WC SOCIAL FEM'!$B$2:$J$28,8,0)),"",VLOOKUP($B11,'WC SOCIAL FEM'!$B$2:$J$28,8,0))</f>
        <v/>
      </c>
      <c r="Z11" s="14" t="str">
        <f aca="false">IF(ISNA(VLOOKUP($B11,'WC SOCIAL MAS'!$B$2:$J$29,8,0)),"",VLOOKUP($B11,'WC SOCIAL MAS'!$B$2:$J$29,8,0))</f>
        <v/>
      </c>
      <c r="AA11" s="14" t="str">
        <f aca="false">IF(ISNA(VLOOKUP($B11,HIDRÁULICA!$B$2:$J$32,8,0)),"",VLOOKUP($B11,HIDRÁULICA!$B$2:$J$32,8,0))</f>
        <v/>
      </c>
    </row>
    <row r="12" customFormat="false" ht="15" hidden="false" customHeight="true" outlineLevel="0" collapsed="false">
      <c r="A12" s="9"/>
      <c r="B12" s="9" t="s">
        <v>61</v>
      </c>
      <c r="C12" s="10" t="s">
        <v>62</v>
      </c>
      <c r="D12" s="11" t="s">
        <v>63</v>
      </c>
      <c r="E12" s="12" t="s">
        <v>50</v>
      </c>
      <c r="F12" s="13" t="n">
        <f aca="false">ROUND(SUM(G12:AA12),2)</f>
        <v>5</v>
      </c>
      <c r="G12" s="14" t="str">
        <f aca="false">IF(ISNA(VLOOKUP($B12,'CORREDOR 01'!$B$2:$J$19,8,0)),"",VLOOKUP($B12,'CORREDOR 01'!$B$2:$J$19,8,0))</f>
        <v/>
      </c>
      <c r="H12" s="14" t="str">
        <f aca="false">IF(ISNA(VLOOKUP($B12,'CORREDOR O2'!$B$2:$J$22,8,0)),"",VLOOKUP($B12,'CORREDOR O2'!$B$2:$J$22,8,0))</f>
        <v/>
      </c>
      <c r="I12" s="14" t="str">
        <f aca="false">IF(ISNA(VLOOKUP($B12,'Á. DE VENTIL.'!$B$2:$J$20,8,0)),"",VLOOKUP($B12,'Á. DE VENTIL.'!$B$2:$J$20,8,0))</f>
        <v/>
      </c>
      <c r="J12" s="14" t="str">
        <f aca="false">IF(ISNA(VLOOKUP($B12,'Á. EXTER '!$B$2:$J$24,8,0)),"",VLOOKUP($B12,'Á. EXTER '!$B$2:$J$24,8,0))</f>
        <v/>
      </c>
      <c r="K12" s="14" t="str">
        <f aca="false">IF(ISNA(VLOOKUP($B12,'ÁREA DE CIR. EXTER.'!$B$2:$J$22,8,0)),"",VLOOKUP($B12,'ÁREA DE CIR. EXTER.'!$B$2:$J$22,8,0))</f>
        <v/>
      </c>
      <c r="L12" s="14" t="str">
        <f aca="false">IF(ISNA(VLOOKUP($B12,AUDITÓRIO!$B$2:$J$14,8,0)),"",VLOOKUP($B12,AUDITÓRIO!$B$2:$J$14,8,0))</f>
        <v/>
      </c>
      <c r="M12" s="14" t="n">
        <f aca="false">IF(ISNA(VLOOKUP($B12,'AUD.   WC FEM'!$B$2:$J$14,8,0)),"",VLOOKUP($B12,'AUD.   WC FEM'!$B$2:$J$14,8,0))</f>
        <v>1</v>
      </c>
      <c r="N12" s="14" t="n">
        <f aca="false">IF(ISNA(VLOOKUP($B12,'AUD.   WC MAS'!$B$2:$J$14,8,0)),"",VLOOKUP($B12,'AUD.   WC MAS'!$B$2:$J$14,8,0))</f>
        <v>1</v>
      </c>
      <c r="O12" s="14" t="str">
        <f aca="false">IF(ISNA(VLOOKUP($B12,'COBERT.'!$B$2:$J$8,8,0)),"",VLOOKUP($B12,'COBERT.'!$B$2:$J$8,8,0))</f>
        <v/>
      </c>
      <c r="P12" s="14" t="str">
        <f aca="false">IF(ISNA(VLOOKUP($B12,COPA!$B$2:$J$31,8,0)),"",VLOOKUP($B12,COPA!$B$2:$J$31,8,0))</f>
        <v/>
      </c>
      <c r="Q12" s="14" t="str">
        <f aca="false">IF(ISNA(VLOOKUP($B12,RECEPÇÃO!$B$2:$J$24,8,0)),"",VLOOKUP($B12,RECEPÇÃO!$B$2:$J$24,8,0))</f>
        <v/>
      </c>
      <c r="R12" s="14" t="str">
        <f aca="false">IF(ISNA(VLOOKUP($B12,'S.  DA ADM.'!$B$2:$J$24,8,0)),"",VLOOKUP($B12,'S.  DA ADM.'!$B$2:$J$24,8,0))</f>
        <v/>
      </c>
      <c r="S12" s="14" t="n">
        <f aca="false">IF(ISNA(VLOOKUP($B12,'S.  DA ADM.   WC'!$B$2:$J$27,8,0)),"",VLOOKUP($B12,'S.  DA ADM.   WC'!$B$2:$J$27,8,0))</f>
        <v>1</v>
      </c>
      <c r="T12" s="14" t="str">
        <f aca="false">IF(ISNA(VLOOKUP($B12,'S. DA ATER'!$B$2:$J$23,8,0)),"",VLOOKUP($B12,'S. DA ATER'!$B$2:$J$23,8,0))</f>
        <v/>
      </c>
      <c r="U12" s="14" t="str">
        <f aca="false">IF(ISNA(VLOOKUP($B12,'S. DA GERÊNCIA'!$B$2:$J$27,8,0)),"",VLOOKUP($B12,'S. DA GERÊNCIA'!$B$2:$J$27,8,0))</f>
        <v/>
      </c>
      <c r="V12" s="14" t="str">
        <f aca="false">IF(ISNA(VLOOKUP($B12,'S. DE ESPERA'!$B$2:$J$23,8,0)),"",VLOOKUP($B12,'S. DE ESPERA'!$B$2:$J$23,8,0))</f>
        <v/>
      </c>
      <c r="W12" s="14" t="str">
        <f aca="false">IF(ISNA(VLOOKUP($B12,'S. DE REUNIÃO'!$B$2:$J$25,8,0)),"",VLOOKUP($B12,'S. DE REUNIÃO'!$B$2:$J$25,8,0))</f>
        <v/>
      </c>
      <c r="X12" s="14" t="str">
        <f aca="false">IF(ISNA(VLOOKUP($B12,'S. DO VIGIA'!$B$2:$J$23,8,0)),"",VLOOKUP($B12,'S. DO VIGIA'!$B$2:$J$23,8,0))</f>
        <v/>
      </c>
      <c r="Y12" s="14" t="n">
        <f aca="false">IF(ISNA(VLOOKUP($B12,'WC SOCIAL FEM'!$B$2:$J$28,8,0)),"",VLOOKUP($B12,'WC SOCIAL FEM'!$B$2:$J$28,8,0))</f>
        <v>1</v>
      </c>
      <c r="Z12" s="14" t="n">
        <f aca="false">IF(ISNA(VLOOKUP($B12,'WC SOCIAL MAS'!$B$2:$J$29,8,0)),"",VLOOKUP($B12,'WC SOCIAL MAS'!$B$2:$J$29,8,0))</f>
        <v>1</v>
      </c>
      <c r="AA12" s="14" t="str">
        <f aca="false">IF(ISNA(VLOOKUP($B12,HIDRÁULICA!$B$2:$J$32,8,0)),"",VLOOKUP($B12,HIDRÁULICA!$B$2:$J$32,8,0))</f>
        <v/>
      </c>
    </row>
    <row r="13" customFormat="false" ht="15" hidden="false" customHeight="true" outlineLevel="0" collapsed="false">
      <c r="A13" s="9"/>
      <c r="B13" s="9" t="s">
        <v>64</v>
      </c>
      <c r="C13" s="10" t="s">
        <v>65</v>
      </c>
      <c r="D13" s="11" t="s">
        <v>66</v>
      </c>
      <c r="E13" s="12" t="s">
        <v>33</v>
      </c>
      <c r="F13" s="13" t="n">
        <f aca="false">ROUND(SUM(G13:AA13),2)</f>
        <v>5.88</v>
      </c>
      <c r="G13" s="14" t="str">
        <f aca="false">IF(ISNA(VLOOKUP($B13,'CORREDOR 01'!$B$2:$J$19,8,0)),"",VLOOKUP($B13,'CORREDOR 01'!$B$2:$J$19,8,0))</f>
        <v/>
      </c>
      <c r="H13" s="14" t="str">
        <f aca="false">IF(ISNA(VLOOKUP($B13,'CORREDOR O2'!$B$2:$J$22,8,0)),"",VLOOKUP($B13,'CORREDOR O2'!$B$2:$J$22,8,0))</f>
        <v/>
      </c>
      <c r="I13" s="14" t="str">
        <f aca="false">IF(ISNA(VLOOKUP($B13,'Á. DE VENTIL.'!$B$2:$J$20,8,0)),"",VLOOKUP($B13,'Á. DE VENTIL.'!$B$2:$J$20,8,0))</f>
        <v/>
      </c>
      <c r="J13" s="14" t="n">
        <f aca="false">IF(ISNA(VLOOKUP($B13,'Á. EXTER '!$B$2:$J$24,8,0)),"",VLOOKUP($B13,'Á. EXTER '!$B$2:$J$24,8,0))</f>
        <v>5.88</v>
      </c>
      <c r="K13" s="14" t="str">
        <f aca="false">IF(ISNA(VLOOKUP($B13,'ÁREA DE CIR. EXTER.'!$B$2:$J$22,8,0)),"",VLOOKUP($B13,'ÁREA DE CIR. EXTER.'!$B$2:$J$22,8,0))</f>
        <v/>
      </c>
      <c r="L13" s="14" t="str">
        <f aca="false">IF(ISNA(VLOOKUP($B13,AUDITÓRIO!$B$2:$J$14,8,0)),"",VLOOKUP($B13,AUDITÓRIO!$B$2:$J$14,8,0))</f>
        <v/>
      </c>
      <c r="M13" s="14" t="str">
        <f aca="false">IF(ISNA(VLOOKUP($B13,'AUD.   WC FEM'!$B$2:$J$14,8,0)),"",VLOOKUP($B13,'AUD.   WC FEM'!$B$2:$J$14,8,0))</f>
        <v/>
      </c>
      <c r="N13" s="14" t="str">
        <f aca="false">IF(ISNA(VLOOKUP($B13,'AUD.   WC MAS'!$B$2:$J$14,8,0)),"",VLOOKUP($B13,'AUD.   WC MAS'!$B$2:$J$14,8,0))</f>
        <v/>
      </c>
      <c r="O13" s="14" t="str">
        <f aca="false">IF(ISNA(VLOOKUP($B13,'COBERT.'!$B$2:$J$8,8,0)),"",VLOOKUP($B13,'COBERT.'!$B$2:$J$8,8,0))</f>
        <v/>
      </c>
      <c r="P13" s="14" t="str">
        <f aca="false">IF(ISNA(VLOOKUP($B13,COPA!$B$2:$J$31,8,0)),"",VLOOKUP($B13,COPA!$B$2:$J$31,8,0))</f>
        <v/>
      </c>
      <c r="Q13" s="14" t="str">
        <f aca="false">IF(ISNA(VLOOKUP($B13,RECEPÇÃO!$B$2:$J$24,8,0)),"",VLOOKUP($B13,RECEPÇÃO!$B$2:$J$24,8,0))</f>
        <v/>
      </c>
      <c r="R13" s="14" t="str">
        <f aca="false">IF(ISNA(VLOOKUP($B13,'S.  DA ADM.'!$B$2:$J$24,8,0)),"",VLOOKUP($B13,'S.  DA ADM.'!$B$2:$J$24,8,0))</f>
        <v/>
      </c>
      <c r="S13" s="14" t="str">
        <f aca="false">IF(ISNA(VLOOKUP($B13,'S.  DA ADM.   WC'!$B$2:$J$27,8,0)),"",VLOOKUP($B13,'S.  DA ADM.   WC'!$B$2:$J$27,8,0))</f>
        <v/>
      </c>
      <c r="T13" s="14" t="str">
        <f aca="false">IF(ISNA(VLOOKUP($B13,'S. DA ATER'!$B$2:$J$23,8,0)),"",VLOOKUP($B13,'S. DA ATER'!$B$2:$J$23,8,0))</f>
        <v/>
      </c>
      <c r="U13" s="14" t="str">
        <f aca="false">IF(ISNA(VLOOKUP($B13,'S. DA GERÊNCIA'!$B$2:$J$27,8,0)),"",VLOOKUP($B13,'S. DA GERÊNCIA'!$B$2:$J$27,8,0))</f>
        <v/>
      </c>
      <c r="V13" s="14" t="str">
        <f aca="false">IF(ISNA(VLOOKUP($B13,'S. DE ESPERA'!$B$2:$J$23,8,0)),"",VLOOKUP($B13,'S. DE ESPERA'!$B$2:$J$23,8,0))</f>
        <v/>
      </c>
      <c r="W13" s="14" t="str">
        <f aca="false">IF(ISNA(VLOOKUP($B13,'S. DE REUNIÃO'!$B$2:$J$25,8,0)),"",VLOOKUP($B13,'S. DE REUNIÃO'!$B$2:$J$25,8,0))</f>
        <v/>
      </c>
      <c r="X13" s="14" t="str">
        <f aca="false">IF(ISNA(VLOOKUP($B13,'S. DO VIGIA'!$B$2:$J$23,8,0)),"",VLOOKUP($B13,'S. DO VIGIA'!$B$2:$J$23,8,0))</f>
        <v/>
      </c>
      <c r="Y13" s="14" t="str">
        <f aca="false">IF(ISNA(VLOOKUP($B13,'WC SOCIAL FEM'!$B$2:$J$28,8,0)),"",VLOOKUP($B13,'WC SOCIAL FEM'!$B$2:$J$28,8,0))</f>
        <v/>
      </c>
      <c r="Z13" s="14" t="str">
        <f aca="false">IF(ISNA(VLOOKUP($B13,'WC SOCIAL MAS'!$B$2:$J$29,8,0)),"",VLOOKUP($B13,'WC SOCIAL MAS'!$B$2:$J$29,8,0))</f>
        <v/>
      </c>
      <c r="AA13" s="14" t="str">
        <f aca="false">IF(ISNA(VLOOKUP($B13,HIDRÁULICA!$B$2:$J$32,8,0)),"",VLOOKUP($B13,HIDRÁULICA!$B$2:$J$32,8,0))</f>
        <v/>
      </c>
    </row>
    <row r="14" customFormat="false" ht="15" hidden="false" customHeight="true" outlineLevel="0" collapsed="false">
      <c r="A14" s="9"/>
      <c r="B14" s="9" t="s">
        <v>67</v>
      </c>
      <c r="C14" s="10" t="s">
        <v>68</v>
      </c>
      <c r="D14" s="11" t="s">
        <v>69</v>
      </c>
      <c r="E14" s="12" t="s">
        <v>33</v>
      </c>
      <c r="F14" s="13" t="n">
        <f aca="false">ROUND(SUM(G14:AA14),2)</f>
        <v>91.6</v>
      </c>
      <c r="G14" s="14" t="str">
        <f aca="false">IF(ISNA(VLOOKUP($B14,'CORREDOR 01'!$B$2:$J$19,8,0)),"",VLOOKUP($B14,'CORREDOR 01'!$B$2:$J$19,8,0))</f>
        <v/>
      </c>
      <c r="H14" s="14" t="str">
        <f aca="false">IF(ISNA(VLOOKUP($B14,'CORREDOR O2'!$B$2:$J$22,8,0)),"",VLOOKUP($B14,'CORREDOR O2'!$B$2:$J$22,8,0))</f>
        <v/>
      </c>
      <c r="I14" s="14" t="str">
        <f aca="false">IF(ISNA(VLOOKUP($B14,'Á. DE VENTIL.'!$B$2:$J$20,8,0)),"",VLOOKUP($B14,'Á. DE VENTIL.'!$B$2:$J$20,8,0))</f>
        <v/>
      </c>
      <c r="J14" s="14" t="str">
        <f aca="false">IF(ISNA(VLOOKUP($B14,'Á. EXTER '!$B$2:$J$24,8,0)),"",VLOOKUP($B14,'Á. EXTER '!$B$2:$J$24,8,0))</f>
        <v/>
      </c>
      <c r="K14" s="14" t="str">
        <f aca="false">IF(ISNA(VLOOKUP($B14,'ÁREA DE CIR. EXTER.'!$B$2:$J$22,8,0)),"",VLOOKUP($B14,'ÁREA DE CIR. EXTER.'!$B$2:$J$22,8,0))</f>
        <v/>
      </c>
      <c r="L14" s="14" t="str">
        <f aca="false">IF(ISNA(VLOOKUP($B14,AUDITÓRIO!$B$2:$J$14,8,0)),"",VLOOKUP($B14,AUDITÓRIO!$B$2:$J$14,8,0))</f>
        <v/>
      </c>
      <c r="M14" s="14" t="n">
        <f aca="false">IF(ISNA(VLOOKUP($B14,'AUD.   WC FEM'!$B$2:$J$14,8,0)),"",VLOOKUP($B14,'AUD.   WC FEM'!$B$2:$J$14,8,0))</f>
        <v>6.6</v>
      </c>
      <c r="N14" s="14" t="n">
        <f aca="false">IF(ISNA(VLOOKUP($B14,'AUD.   WC MAS'!$B$2:$J$14,8,0)),"",VLOOKUP($B14,'AUD.   WC MAS'!$B$2:$J$14,8,0))</f>
        <v>6.6</v>
      </c>
      <c r="O14" s="14" t="str">
        <f aca="false">IF(ISNA(VLOOKUP($B14,'COBERT.'!$B$2:$J$8,8,0)),"",VLOOKUP($B14,'COBERT.'!$B$2:$J$8,8,0))</f>
        <v/>
      </c>
      <c r="P14" s="14" t="n">
        <f aca="false">IF(ISNA(VLOOKUP($B14,COPA!$B$2:$J$31,8,0)),"",VLOOKUP($B14,COPA!$B$2:$J$31,8,0))</f>
        <v>10.608</v>
      </c>
      <c r="Q14" s="14" t="str">
        <f aca="false">IF(ISNA(VLOOKUP($B14,RECEPÇÃO!$B$2:$J$24,8,0)),"",VLOOKUP($B14,RECEPÇÃO!$B$2:$J$24,8,0))</f>
        <v/>
      </c>
      <c r="R14" s="14" t="str">
        <f aca="false">IF(ISNA(VLOOKUP($B14,'S.  DA ADM.'!$B$2:$J$24,8,0)),"",VLOOKUP($B14,'S.  DA ADM.'!$B$2:$J$24,8,0))</f>
        <v/>
      </c>
      <c r="S14" s="14" t="n">
        <f aca="false">IF(ISNA(VLOOKUP($B14,'S.  DA ADM.   WC'!$B$2:$J$27,8,0)),"",VLOOKUP($B14,'S.  DA ADM.   WC'!$B$2:$J$27,8,0))</f>
        <v>15.1962</v>
      </c>
      <c r="T14" s="14" t="str">
        <f aca="false">IF(ISNA(VLOOKUP($B14,'S. DA ATER'!$B$2:$J$23,8,0)),"",VLOOKUP($B14,'S. DA ATER'!$B$2:$J$23,8,0))</f>
        <v/>
      </c>
      <c r="U14" s="14" t="n">
        <f aca="false">IF(ISNA(VLOOKUP($B14,'S. DA GERÊNCIA'!$B$2:$J$27,8,0)),"",VLOOKUP($B14,'S. DA GERÊNCIA'!$B$2:$J$27,8,0))</f>
        <v>21.175</v>
      </c>
      <c r="V14" s="14" t="str">
        <f aca="false">IF(ISNA(VLOOKUP($B14,'S. DE ESPERA'!$B$2:$J$23,8,0)),"",VLOOKUP($B14,'S. DE ESPERA'!$B$2:$J$23,8,0))</f>
        <v/>
      </c>
      <c r="W14" s="14" t="str">
        <f aca="false">IF(ISNA(VLOOKUP($B14,'S. DE REUNIÃO'!$B$2:$J$25,8,0)),"",VLOOKUP($B14,'S. DE REUNIÃO'!$B$2:$J$25,8,0))</f>
        <v/>
      </c>
      <c r="X14" s="14" t="str">
        <f aca="false">IF(ISNA(VLOOKUP($B14,'S. DO VIGIA'!$B$2:$J$23,8,0)),"",VLOOKUP($B14,'S. DO VIGIA'!$B$2:$J$23,8,0))</f>
        <v/>
      </c>
      <c r="Y14" s="14" t="n">
        <f aca="false">IF(ISNA(VLOOKUP($B14,'WC SOCIAL FEM'!$B$2:$J$28,8,0)),"",VLOOKUP($B14,'WC SOCIAL FEM'!$B$2:$J$28,8,0))</f>
        <v>15.7122</v>
      </c>
      <c r="Z14" s="14" t="n">
        <f aca="false">IF(ISNA(VLOOKUP($B14,'WC SOCIAL MAS'!$B$2:$J$29,8,0)),"",VLOOKUP($B14,'WC SOCIAL MAS'!$B$2:$J$29,8,0))</f>
        <v>15.7122</v>
      </c>
      <c r="AA14" s="14" t="str">
        <f aca="false">IF(ISNA(VLOOKUP($B14,HIDRÁULICA!$B$2:$J$32,8,0)),"",VLOOKUP($B14,HIDRÁULICA!$B$2:$J$32,8,0))</f>
        <v/>
      </c>
    </row>
    <row r="15" customFormat="false" ht="15" hidden="false" customHeight="true" outlineLevel="0" collapsed="false">
      <c r="A15" s="9"/>
      <c r="B15" s="9" t="s">
        <v>70</v>
      </c>
      <c r="C15" s="10" t="s">
        <v>71</v>
      </c>
      <c r="D15" s="11" t="s">
        <v>72</v>
      </c>
      <c r="E15" s="12" t="s">
        <v>33</v>
      </c>
      <c r="F15" s="13" t="n">
        <f aca="false">ROUND(SUM(G15:AA15),2)</f>
        <v>0.72</v>
      </c>
      <c r="G15" s="14" t="str">
        <f aca="false">IF(ISNA(VLOOKUP($B15,'CORREDOR 01'!$B$2:$J$19,8,0)),"",VLOOKUP($B15,'CORREDOR 01'!$B$2:$J$19,8,0))</f>
        <v/>
      </c>
      <c r="H15" s="14" t="str">
        <f aca="false">IF(ISNA(VLOOKUP($B15,'CORREDOR O2'!$B$2:$J$22,8,0)),"",VLOOKUP($B15,'CORREDOR O2'!$B$2:$J$22,8,0))</f>
        <v/>
      </c>
      <c r="I15" s="14" t="str">
        <f aca="false">IF(ISNA(VLOOKUP($B15,'Á. DE VENTIL.'!$B$2:$J$20,8,0)),"",VLOOKUP($B15,'Á. DE VENTIL.'!$B$2:$J$20,8,0))</f>
        <v/>
      </c>
      <c r="J15" s="14" t="str">
        <f aca="false">IF(ISNA(VLOOKUP($B15,'Á. EXTER '!$B$2:$J$24,8,0)),"",VLOOKUP($B15,'Á. EXTER '!$B$2:$J$24,8,0))</f>
        <v/>
      </c>
      <c r="K15" s="14" t="str">
        <f aca="false">IF(ISNA(VLOOKUP($B15,'ÁREA DE CIR. EXTER.'!$B$2:$J$22,8,0)),"",VLOOKUP($B15,'ÁREA DE CIR. EXTER.'!$B$2:$J$22,8,0))</f>
        <v/>
      </c>
      <c r="L15" s="14" t="str">
        <f aca="false">IF(ISNA(VLOOKUP($B15,AUDITÓRIO!$B$2:$J$14,8,0)),"",VLOOKUP($B15,AUDITÓRIO!$B$2:$J$14,8,0))</f>
        <v/>
      </c>
      <c r="M15" s="14" t="str">
        <f aca="false">IF(ISNA(VLOOKUP($B15,'AUD.   WC FEM'!$B$2:$J$14,8,0)),"",VLOOKUP($B15,'AUD.   WC FEM'!$B$2:$J$14,8,0))</f>
        <v/>
      </c>
      <c r="N15" s="14" t="str">
        <f aca="false">IF(ISNA(VLOOKUP($B15,'AUD.   WC MAS'!$B$2:$J$14,8,0)),"",VLOOKUP($B15,'AUD.   WC MAS'!$B$2:$J$14,8,0))</f>
        <v/>
      </c>
      <c r="O15" s="14" t="str">
        <f aca="false">IF(ISNA(VLOOKUP($B15,'COBERT.'!$B$2:$J$8,8,0)),"",VLOOKUP($B15,'COBERT.'!$B$2:$J$8,8,0))</f>
        <v/>
      </c>
      <c r="P15" s="14" t="n">
        <f aca="false">IF(ISNA(VLOOKUP($B15,COPA!$B$2:$J$31,8,0)),"",VLOOKUP($B15,COPA!$B$2:$J$31,8,0))</f>
        <v>0.72</v>
      </c>
      <c r="Q15" s="14" t="str">
        <f aca="false">IF(ISNA(VLOOKUP($B15,RECEPÇÃO!$B$2:$J$24,8,0)),"",VLOOKUP($B15,RECEPÇÃO!$B$2:$J$24,8,0))</f>
        <v/>
      </c>
      <c r="R15" s="14" t="str">
        <f aca="false">IF(ISNA(VLOOKUP($B15,'S.  DA ADM.'!$B$2:$J$24,8,0)),"",VLOOKUP($B15,'S.  DA ADM.'!$B$2:$J$24,8,0))</f>
        <v/>
      </c>
      <c r="S15" s="14" t="str">
        <f aca="false">IF(ISNA(VLOOKUP($B15,'S.  DA ADM.   WC'!$B$2:$J$27,8,0)),"",VLOOKUP($B15,'S.  DA ADM.   WC'!$B$2:$J$27,8,0))</f>
        <v/>
      </c>
      <c r="T15" s="14" t="str">
        <f aca="false">IF(ISNA(VLOOKUP($B15,'S. DA ATER'!$B$2:$J$23,8,0)),"",VLOOKUP($B15,'S. DA ATER'!$B$2:$J$23,8,0))</f>
        <v/>
      </c>
      <c r="U15" s="14" t="str">
        <f aca="false">IF(ISNA(VLOOKUP($B15,'S. DA GERÊNCIA'!$B$2:$J$27,8,0)),"",VLOOKUP($B15,'S. DA GERÊNCIA'!$B$2:$J$27,8,0))</f>
        <v/>
      </c>
      <c r="V15" s="14" t="str">
        <f aca="false">IF(ISNA(VLOOKUP($B15,'S. DE ESPERA'!$B$2:$J$23,8,0)),"",VLOOKUP($B15,'S. DE ESPERA'!$B$2:$J$23,8,0))</f>
        <v/>
      </c>
      <c r="W15" s="14" t="str">
        <f aca="false">IF(ISNA(VLOOKUP($B15,'S. DE REUNIÃO'!$B$2:$J$25,8,0)),"",VLOOKUP($B15,'S. DE REUNIÃO'!$B$2:$J$25,8,0))</f>
        <v/>
      </c>
      <c r="X15" s="14" t="str">
        <f aca="false">IF(ISNA(VLOOKUP($B15,'S. DO VIGIA'!$B$2:$J$23,8,0)),"",VLOOKUP($B15,'S. DO VIGIA'!$B$2:$J$23,8,0))</f>
        <v/>
      </c>
      <c r="Y15" s="14" t="str">
        <f aca="false">IF(ISNA(VLOOKUP($B15,'WC SOCIAL FEM'!$B$2:$J$28,8,0)),"",VLOOKUP($B15,'WC SOCIAL FEM'!$B$2:$J$28,8,0))</f>
        <v/>
      </c>
      <c r="Z15" s="14" t="str">
        <f aca="false">IF(ISNA(VLOOKUP($B15,'WC SOCIAL MAS'!$B$2:$J$29,8,0)),"",VLOOKUP($B15,'WC SOCIAL MAS'!$B$2:$J$29,8,0))</f>
        <v/>
      </c>
      <c r="AA15" s="14" t="str">
        <f aca="false">IF(ISNA(VLOOKUP($B15,HIDRÁULICA!$B$2:$J$32,8,0)),"",VLOOKUP($B15,HIDRÁULICA!$B$2:$J$32,8,0))</f>
        <v/>
      </c>
    </row>
    <row r="16" customFormat="false" ht="15" hidden="false" customHeight="true" outlineLevel="0" collapsed="false">
      <c r="A16" s="9"/>
      <c r="B16" s="9" t="s">
        <v>73</v>
      </c>
      <c r="C16" s="10" t="s">
        <v>74</v>
      </c>
      <c r="D16" s="11" t="s">
        <v>75</v>
      </c>
      <c r="E16" s="12" t="s">
        <v>33</v>
      </c>
      <c r="F16" s="13" t="n">
        <f aca="false">ROUND(SUM(G16:AA16),2)</f>
        <v>110.77</v>
      </c>
      <c r="G16" s="14" t="n">
        <f aca="false">IF(ISNA(VLOOKUP($B16,'CORREDOR 01'!$B$2:$J$19,8,0)),"",VLOOKUP($B16,'CORREDOR 01'!$B$2:$J$19,8,0))</f>
        <v>11.15</v>
      </c>
      <c r="H16" s="14" t="n">
        <f aca="false">IF(ISNA(VLOOKUP($B16,'CORREDOR O2'!$B$2:$J$22,8,0)),"",VLOOKUP($B16,'CORREDOR O2'!$B$2:$J$22,8,0))</f>
        <v>10.4</v>
      </c>
      <c r="I16" s="14" t="n">
        <f aca="false">IF(ISNA(VLOOKUP($B16,'Á. DE VENTIL.'!$B$2:$J$20,8,0)),"",VLOOKUP($B16,'Á. DE VENTIL.'!$B$2:$J$20,8,0))</f>
        <v>6.12</v>
      </c>
      <c r="J16" s="14" t="str">
        <f aca="false">IF(ISNA(VLOOKUP($B16,'Á. EXTER '!$B$2:$J$24,8,0)),"",VLOOKUP($B16,'Á. EXTER '!$B$2:$J$24,8,0))</f>
        <v/>
      </c>
      <c r="K16" s="14" t="str">
        <f aca="false">IF(ISNA(VLOOKUP($B16,'ÁREA DE CIR. EXTER.'!$B$2:$J$22,8,0)),"",VLOOKUP($B16,'ÁREA DE CIR. EXTER.'!$B$2:$J$22,8,0))</f>
        <v/>
      </c>
      <c r="L16" s="14" t="str">
        <f aca="false">IF(ISNA(VLOOKUP($B16,AUDITÓRIO!$B$2:$J$14,8,0)),"",VLOOKUP($B16,AUDITÓRIO!$B$2:$J$14,8,0))</f>
        <v/>
      </c>
      <c r="M16" s="14" t="str">
        <f aca="false">IF(ISNA(VLOOKUP($B16,'AUD.   WC FEM'!$B$2:$J$14,8,0)),"",VLOOKUP($B16,'AUD.   WC FEM'!$B$2:$J$14,8,0))</f>
        <v/>
      </c>
      <c r="N16" s="14" t="str">
        <f aca="false">IF(ISNA(VLOOKUP($B16,'AUD.   WC MAS'!$B$2:$J$14,8,0)),"",VLOOKUP($B16,'AUD.   WC MAS'!$B$2:$J$14,8,0))</f>
        <v/>
      </c>
      <c r="O16" s="14" t="str">
        <f aca="false">IF(ISNA(VLOOKUP($B16,'COBERT.'!$B$2:$J$8,8,0)),"",VLOOKUP($B16,'COBERT.'!$B$2:$J$8,8,0))</f>
        <v/>
      </c>
      <c r="P16" s="14" t="str">
        <f aca="false">IF(ISNA(VLOOKUP($B16,COPA!$B$2:$J$31,8,0)),"",VLOOKUP($B16,COPA!$B$2:$J$31,8,0))</f>
        <v/>
      </c>
      <c r="Q16" s="14" t="n">
        <f aca="false">IF(ISNA(VLOOKUP($B16,RECEPÇÃO!$B$2:$J$24,8,0)),"",VLOOKUP($B16,RECEPÇÃO!$B$2:$J$24,8,0))</f>
        <v>13.72</v>
      </c>
      <c r="R16" s="14" t="n">
        <f aca="false">IF(ISNA(VLOOKUP($B16,'S.  DA ADM.'!$B$2:$J$24,8,0)),"",VLOOKUP($B16,'S.  DA ADM.'!$B$2:$J$24,8,0))</f>
        <v>13.5</v>
      </c>
      <c r="S16" s="14" t="str">
        <f aca="false">IF(ISNA(VLOOKUP($B16,'S.  DA ADM.   WC'!$B$2:$J$27,8,0)),"",VLOOKUP($B16,'S.  DA ADM.   WC'!$B$2:$J$27,8,0))</f>
        <v/>
      </c>
      <c r="T16" s="14" t="n">
        <f aca="false">IF(ISNA(VLOOKUP($B16,'S. DA ATER'!$B$2:$J$23,8,0)),"",VLOOKUP($B16,'S. DA ATER'!$B$2:$J$23,8,0))</f>
        <v>14.22</v>
      </c>
      <c r="U16" s="14" t="str">
        <f aca="false">IF(ISNA(VLOOKUP($B16,'S. DA GERÊNCIA'!$B$2:$J$27,8,0)),"",VLOOKUP($B16,'S. DA GERÊNCIA'!$B$2:$J$27,8,0))</f>
        <v/>
      </c>
      <c r="V16" s="14" t="n">
        <f aca="false">IF(ISNA(VLOOKUP($B16,'S. DE ESPERA'!$B$2:$J$23,8,0)),"",VLOOKUP($B16,'S. DE ESPERA'!$B$2:$J$23,8,0))</f>
        <v>19.25</v>
      </c>
      <c r="W16" s="14" t="n">
        <f aca="false">IF(ISNA(VLOOKUP($B16,'S. DE REUNIÃO'!$B$2:$J$25,8,0)),"",VLOOKUP($B16,'S. DE REUNIÃO'!$B$2:$J$25,8,0))</f>
        <v>12.69</v>
      </c>
      <c r="X16" s="14" t="n">
        <f aca="false">IF(ISNA(VLOOKUP($B16,'S. DO VIGIA'!$B$2:$J$23,8,0)),"",VLOOKUP($B16,'S. DO VIGIA'!$B$2:$J$23,8,0))</f>
        <v>9.72</v>
      </c>
      <c r="Y16" s="14" t="str">
        <f aca="false">IF(ISNA(VLOOKUP($B16,'WC SOCIAL FEM'!$B$2:$J$28,8,0)),"",VLOOKUP($B16,'WC SOCIAL FEM'!$B$2:$J$28,8,0))</f>
        <v/>
      </c>
      <c r="Z16" s="14" t="str">
        <f aca="false">IF(ISNA(VLOOKUP($B16,'WC SOCIAL MAS'!$B$2:$J$29,8,0)),"",VLOOKUP($B16,'WC SOCIAL MAS'!$B$2:$J$29,8,0))</f>
        <v/>
      </c>
      <c r="AA16" s="14" t="str">
        <f aca="false">IF(ISNA(VLOOKUP($B16,HIDRÁULICA!$B$2:$J$32,8,0)),"",VLOOKUP($B16,HIDRÁULICA!$B$2:$J$32,8,0))</f>
        <v/>
      </c>
    </row>
    <row r="17" customFormat="false" ht="15" hidden="false" customHeight="true" outlineLevel="0" collapsed="false">
      <c r="A17" s="9"/>
      <c r="B17" s="9" t="s">
        <v>76</v>
      </c>
      <c r="C17" s="10" t="s">
        <v>77</v>
      </c>
      <c r="D17" s="11" t="s">
        <v>78</v>
      </c>
      <c r="E17" s="12" t="s">
        <v>54</v>
      </c>
      <c r="F17" s="13" t="n">
        <f aca="false">ROUND(SUM(G17:AA17),2)</f>
        <v>34.37</v>
      </c>
      <c r="G17" s="14" t="str">
        <f aca="false">IF(ISNA(VLOOKUP($B17,'CORREDOR 01'!$B$2:$J$19,8,0)),"",VLOOKUP($B17,'CORREDOR 01'!$B$2:$J$19,8,0))</f>
        <v/>
      </c>
      <c r="H17" s="14" t="str">
        <f aca="false">IF(ISNA(VLOOKUP($B17,'CORREDOR O2'!$B$2:$J$22,8,0)),"",VLOOKUP($B17,'CORREDOR O2'!$B$2:$J$22,8,0))</f>
        <v/>
      </c>
      <c r="I17" s="14" t="str">
        <f aca="false">IF(ISNA(VLOOKUP($B17,'Á. DE VENTIL.'!$B$2:$J$20,8,0)),"",VLOOKUP($B17,'Á. DE VENTIL.'!$B$2:$J$20,8,0))</f>
        <v/>
      </c>
      <c r="J17" s="14" t="n">
        <f aca="false">IF(ISNA(VLOOKUP($B17,'Á. EXTER '!$B$2:$J$24,8,0)),"",VLOOKUP($B17,'Á. EXTER '!$B$2:$J$24,8,0))</f>
        <v>28.6854</v>
      </c>
      <c r="K17" s="14" t="n">
        <f aca="false">IF(ISNA(VLOOKUP($B17,'ÁREA DE CIR. EXTER.'!$B$2:$J$22,8,0)),"",VLOOKUP($B17,'ÁREA DE CIR. EXTER.'!$B$2:$J$22,8,0))</f>
        <v>5.688</v>
      </c>
      <c r="L17" s="14" t="str">
        <f aca="false">IF(ISNA(VLOOKUP($B17,AUDITÓRIO!$B$2:$J$14,8,0)),"",VLOOKUP($B17,AUDITÓRIO!$B$2:$J$14,8,0))</f>
        <v/>
      </c>
      <c r="M17" s="14" t="str">
        <f aca="false">IF(ISNA(VLOOKUP($B17,'AUD.   WC FEM'!$B$2:$J$14,8,0)),"",VLOOKUP($B17,'AUD.   WC FEM'!$B$2:$J$14,8,0))</f>
        <v/>
      </c>
      <c r="N17" s="14" t="str">
        <f aca="false">IF(ISNA(VLOOKUP($B17,'AUD.   WC MAS'!$B$2:$J$14,8,0)),"",VLOOKUP($B17,'AUD.   WC MAS'!$B$2:$J$14,8,0))</f>
        <v/>
      </c>
      <c r="O17" s="14" t="str">
        <f aca="false">IF(ISNA(VLOOKUP($B17,'COBERT.'!$B$2:$J$8,8,0)),"",VLOOKUP($B17,'COBERT.'!$B$2:$J$8,8,0))</f>
        <v/>
      </c>
      <c r="P17" s="14" t="str">
        <f aca="false">IF(ISNA(VLOOKUP($B17,COPA!$B$2:$J$31,8,0)),"",VLOOKUP($B17,COPA!$B$2:$J$31,8,0))</f>
        <v/>
      </c>
      <c r="Q17" s="14" t="str">
        <f aca="false">IF(ISNA(VLOOKUP($B17,RECEPÇÃO!$B$2:$J$24,8,0)),"",VLOOKUP($B17,RECEPÇÃO!$B$2:$J$24,8,0))</f>
        <v/>
      </c>
      <c r="R17" s="14" t="str">
        <f aca="false">IF(ISNA(VLOOKUP($B17,'S.  DA ADM.'!$B$2:$J$24,8,0)),"",VLOOKUP($B17,'S.  DA ADM.'!$B$2:$J$24,8,0))</f>
        <v/>
      </c>
      <c r="S17" s="14" t="str">
        <f aca="false">IF(ISNA(VLOOKUP($B17,'S.  DA ADM.   WC'!$B$2:$J$27,8,0)),"",VLOOKUP($B17,'S.  DA ADM.   WC'!$B$2:$J$27,8,0))</f>
        <v/>
      </c>
      <c r="T17" s="14" t="str">
        <f aca="false">IF(ISNA(VLOOKUP($B17,'S. DA ATER'!$B$2:$J$23,8,0)),"",VLOOKUP($B17,'S. DA ATER'!$B$2:$J$23,8,0))</f>
        <v/>
      </c>
      <c r="U17" s="14" t="str">
        <f aca="false">IF(ISNA(VLOOKUP($B17,'S. DA GERÊNCIA'!$B$2:$J$27,8,0)),"",VLOOKUP($B17,'S. DA GERÊNCIA'!$B$2:$J$27,8,0))</f>
        <v/>
      </c>
      <c r="V17" s="14" t="str">
        <f aca="false">IF(ISNA(VLOOKUP($B17,'S. DE ESPERA'!$B$2:$J$23,8,0)),"",VLOOKUP($B17,'S. DE ESPERA'!$B$2:$J$23,8,0))</f>
        <v/>
      </c>
      <c r="W17" s="14" t="str">
        <f aca="false">IF(ISNA(VLOOKUP($B17,'S. DE REUNIÃO'!$B$2:$J$25,8,0)),"",VLOOKUP($B17,'S. DE REUNIÃO'!$B$2:$J$25,8,0))</f>
        <v/>
      </c>
      <c r="X17" s="14" t="str">
        <f aca="false">IF(ISNA(VLOOKUP($B17,'S. DO VIGIA'!$B$2:$J$23,8,0)),"",VLOOKUP($B17,'S. DO VIGIA'!$B$2:$J$23,8,0))</f>
        <v/>
      </c>
      <c r="Y17" s="14" t="str">
        <f aca="false">IF(ISNA(VLOOKUP($B17,'WC SOCIAL FEM'!$B$2:$J$28,8,0)),"",VLOOKUP($B17,'WC SOCIAL FEM'!$B$2:$J$28,8,0))</f>
        <v/>
      </c>
      <c r="Z17" s="14" t="str">
        <f aca="false">IF(ISNA(VLOOKUP($B17,'WC SOCIAL MAS'!$B$2:$J$29,8,0)),"",VLOOKUP($B17,'WC SOCIAL MAS'!$B$2:$J$29,8,0))</f>
        <v/>
      </c>
      <c r="AA17" s="14" t="str">
        <f aca="false">IF(ISNA(VLOOKUP($B17,HIDRÁULICA!$B$2:$J$32,8,0)),"",VLOOKUP($B17,HIDRÁULICA!$B$2:$J$32,8,0))</f>
        <v/>
      </c>
    </row>
    <row r="18" customFormat="false" ht="15" hidden="false" customHeight="true" outlineLevel="0" collapsed="false">
      <c r="A18" s="9"/>
      <c r="B18" s="9" t="s">
        <v>79</v>
      </c>
      <c r="C18" s="10" t="s">
        <v>71</v>
      </c>
      <c r="D18" s="11" t="s">
        <v>80</v>
      </c>
      <c r="E18" s="12" t="s">
        <v>33</v>
      </c>
      <c r="F18" s="13" t="n">
        <f aca="false">ROUND(SUM(G18:AA18),2)</f>
        <v>13.03</v>
      </c>
      <c r="G18" s="14" t="n">
        <f aca="false">IF(ISNA(VLOOKUP($B18,'CORREDOR 01'!$B$2:$J$19,8,0)),"",VLOOKUP($B18,'CORREDOR 01'!$B$2:$J$19,8,0))</f>
        <v>5.0554</v>
      </c>
      <c r="H18" s="14" t="str">
        <f aca="false">IF(ISNA(VLOOKUP($B18,'CORREDOR O2'!$B$2:$J$22,8,0)),"",VLOOKUP($B18,'CORREDOR O2'!$B$2:$J$22,8,0))</f>
        <v/>
      </c>
      <c r="I18" s="14" t="str">
        <f aca="false">IF(ISNA(VLOOKUP($B18,'Á. DE VENTIL.'!$B$2:$J$20,8,0)),"",VLOOKUP($B18,'Á. DE VENTIL.'!$B$2:$J$20,8,0))</f>
        <v/>
      </c>
      <c r="J18" s="14" t="str">
        <f aca="false">IF(ISNA(VLOOKUP($B18,'Á. EXTER '!$B$2:$J$24,8,0)),"",VLOOKUP($B18,'Á. EXTER '!$B$2:$J$24,8,0))</f>
        <v/>
      </c>
      <c r="K18" s="14" t="str">
        <f aca="false">IF(ISNA(VLOOKUP($B18,'ÁREA DE CIR. EXTER.'!$B$2:$J$22,8,0)),"",VLOOKUP($B18,'ÁREA DE CIR. EXTER.'!$B$2:$J$22,8,0))</f>
        <v/>
      </c>
      <c r="L18" s="14" t="str">
        <f aca="false">IF(ISNA(VLOOKUP($B18,AUDITÓRIO!$B$2:$J$14,8,0)),"",VLOOKUP($B18,AUDITÓRIO!$B$2:$J$14,8,0))</f>
        <v/>
      </c>
      <c r="M18" s="14" t="str">
        <f aca="false">IF(ISNA(VLOOKUP($B18,'AUD.   WC FEM'!$B$2:$J$14,8,0)),"",VLOOKUP($B18,'AUD.   WC FEM'!$B$2:$J$14,8,0))</f>
        <v/>
      </c>
      <c r="N18" s="14" t="str">
        <f aca="false">IF(ISNA(VLOOKUP($B18,'AUD.   WC MAS'!$B$2:$J$14,8,0)),"",VLOOKUP($B18,'AUD.   WC MAS'!$B$2:$J$14,8,0))</f>
        <v/>
      </c>
      <c r="O18" s="14" t="str">
        <f aca="false">IF(ISNA(VLOOKUP($B18,'COBERT.'!$B$2:$J$8,8,0)),"",VLOOKUP($B18,'COBERT.'!$B$2:$J$8,8,0))</f>
        <v/>
      </c>
      <c r="P18" s="14" t="str">
        <f aca="false">IF(ISNA(VLOOKUP($B18,COPA!$B$2:$J$31,8,0)),"",VLOOKUP($B18,COPA!$B$2:$J$31,8,0))</f>
        <v/>
      </c>
      <c r="Q18" s="14" t="str">
        <f aca="false">IF(ISNA(VLOOKUP($B18,RECEPÇÃO!$B$2:$J$24,8,0)),"",VLOOKUP($B18,RECEPÇÃO!$B$2:$J$24,8,0))</f>
        <v/>
      </c>
      <c r="R18" s="14" t="str">
        <f aca="false">IF(ISNA(VLOOKUP($B18,'S.  DA ADM.'!$B$2:$J$24,8,0)),"",VLOOKUP($B18,'S.  DA ADM.'!$B$2:$J$24,8,0))</f>
        <v/>
      </c>
      <c r="S18" s="14" t="str">
        <f aca="false">IF(ISNA(VLOOKUP($B18,'S.  DA ADM.   WC'!$B$2:$J$27,8,0)),"",VLOOKUP($B18,'S.  DA ADM.   WC'!$B$2:$J$27,8,0))</f>
        <v/>
      </c>
      <c r="T18" s="14" t="str">
        <f aca="false">IF(ISNA(VLOOKUP($B18,'S. DA ATER'!$B$2:$J$23,8,0)),"",VLOOKUP($B18,'S. DA ATER'!$B$2:$J$23,8,0))</f>
        <v/>
      </c>
      <c r="U18" s="14" t="n">
        <f aca="false">IF(ISNA(VLOOKUP($B18,'S. DA GERÊNCIA'!$B$2:$J$27,8,0)),"",VLOOKUP($B18,'S. DA GERÊNCIA'!$B$2:$J$27,8,0))</f>
        <v>3.3412</v>
      </c>
      <c r="V18" s="14" t="n">
        <f aca="false">IF(ISNA(VLOOKUP($B18,'S. DE ESPERA'!$B$2:$J$23,8,0)),"",VLOOKUP($B18,'S. DE ESPERA'!$B$2:$J$23,8,0))</f>
        <v>4.6326</v>
      </c>
      <c r="W18" s="14" t="str">
        <f aca="false">IF(ISNA(VLOOKUP($B18,'S. DE REUNIÃO'!$B$2:$J$25,8,0)),"",VLOOKUP($B18,'S. DE REUNIÃO'!$B$2:$J$25,8,0))</f>
        <v/>
      </c>
      <c r="X18" s="14" t="str">
        <f aca="false">IF(ISNA(VLOOKUP($B18,'S. DO VIGIA'!$B$2:$J$23,8,0)),"",VLOOKUP($B18,'S. DO VIGIA'!$B$2:$J$23,8,0))</f>
        <v/>
      </c>
      <c r="Y18" s="14" t="str">
        <f aca="false">IF(ISNA(VLOOKUP($B18,'WC SOCIAL FEM'!$B$2:$J$28,8,0)),"",VLOOKUP($B18,'WC SOCIAL FEM'!$B$2:$J$28,8,0))</f>
        <v/>
      </c>
      <c r="Z18" s="14" t="str">
        <f aca="false">IF(ISNA(VLOOKUP($B18,'WC SOCIAL MAS'!$B$2:$J$29,8,0)),"",VLOOKUP($B18,'WC SOCIAL MAS'!$B$2:$J$29,8,0))</f>
        <v/>
      </c>
      <c r="AA18" s="14" t="str">
        <f aca="false">IF(ISNA(VLOOKUP($B18,HIDRÁULICA!$B$2:$J$32,8,0)),"",VLOOKUP($B18,HIDRÁULICA!$B$2:$J$32,8,0))</f>
        <v/>
      </c>
    </row>
    <row r="19" customFormat="false" ht="41.7" hidden="false" customHeight="true" outlineLevel="0" collapsed="false">
      <c r="A19" s="15" t="s">
        <v>81</v>
      </c>
      <c r="B19" s="9" t="s">
        <v>82</v>
      </c>
      <c r="C19" s="10" t="s">
        <v>83</v>
      </c>
      <c r="D19" s="11" t="s">
        <v>84</v>
      </c>
      <c r="E19" s="12" t="s">
        <v>85</v>
      </c>
      <c r="F19" s="13" t="n">
        <f aca="false">ROUND(SUM(G19:AA19),2)</f>
        <v>122.68</v>
      </c>
      <c r="G19" s="14" t="str">
        <f aca="false">IF(ISNA(VLOOKUP($B19,'CORREDOR 01'!$B$2:$J$19,8,0)),"",VLOOKUP($B19,'CORREDOR 01'!$B$2:$J$19,8,0))</f>
        <v/>
      </c>
      <c r="H19" s="14" t="str">
        <f aca="false">IF(ISNA(VLOOKUP($B19,'CORREDOR O2'!$B$2:$J$22,8,0)),"",VLOOKUP($B19,'CORREDOR O2'!$B$2:$J$22,8,0))</f>
        <v/>
      </c>
      <c r="I19" s="14" t="str">
        <f aca="false">IF(ISNA(VLOOKUP($B19,'Á. DE VENTIL.'!$B$2:$J$20,8,0)),"",VLOOKUP($B19,'Á. DE VENTIL.'!$B$2:$J$20,8,0))</f>
        <v/>
      </c>
      <c r="J19" s="14" t="n">
        <f aca="false">IF(ISNA(VLOOKUP($B19,'Á. EXTER '!$B$2:$J$24,8,0)),"",VLOOKUP($B19,'Á. EXTER '!$B$2:$J$24,8,0))</f>
        <v>25</v>
      </c>
      <c r="K19" s="14" t="n">
        <f aca="false">IF(ISNA(VLOOKUP($B19,'ÁREA DE CIR. EXTER.'!$B$2:$J$22,8,0)),"",VLOOKUP($B19,'ÁREA DE CIR. EXTER.'!$B$2:$J$22,8,0))</f>
        <v>97.68</v>
      </c>
      <c r="L19" s="14" t="str">
        <f aca="false">IF(ISNA(VLOOKUP($B19,AUDITÓRIO!$B$2:$J$14,8,0)),"",VLOOKUP($B19,AUDITÓRIO!$B$2:$J$14,8,0))</f>
        <v/>
      </c>
      <c r="M19" s="14"/>
      <c r="N19" s="14" t="str">
        <f aca="false">IF(ISNA(VLOOKUP($B19,'AUD.   WC MAS'!$B$2:$J$14,8,0)),"",VLOOKUP($B19,'AUD.   WC MAS'!$B$2:$J$14,8,0))</f>
        <v/>
      </c>
      <c r="O19" s="14" t="str">
        <f aca="false">IF(ISNA(VLOOKUP($B19,'COBERT.'!$B$2:$J$8,8,0)),"",VLOOKUP($B19,'COBERT.'!$B$2:$J$8,8,0))</f>
        <v/>
      </c>
      <c r="P19" s="14" t="str">
        <f aca="false">IF(ISNA(VLOOKUP($B19,COPA!$B$2:$J$31,8,0)),"",VLOOKUP($B19,COPA!$B$2:$J$31,8,0))</f>
        <v/>
      </c>
      <c r="Q19" s="14" t="str">
        <f aca="false">IF(ISNA(VLOOKUP($B19,RECEPÇÃO!$B$2:$J$24,8,0)),"",VLOOKUP($B19,RECEPÇÃO!$B$2:$J$24,8,0))</f>
        <v/>
      </c>
      <c r="R19" s="14" t="str">
        <f aca="false">IF(ISNA(VLOOKUP($B19,'S.  DA ADM.'!$B$2:$J$24,8,0)),"",VLOOKUP($B19,'S.  DA ADM.'!$B$2:$J$24,8,0))</f>
        <v/>
      </c>
      <c r="S19" s="14" t="str">
        <f aca="false">IF(ISNA(VLOOKUP($B19,'S.  DA ADM.   WC'!$B$2:$J$27,8,0)),"",VLOOKUP($B19,'S.  DA ADM.   WC'!$B$2:$J$27,8,0))</f>
        <v/>
      </c>
      <c r="T19" s="14" t="str">
        <f aca="false">IF(ISNA(VLOOKUP($B19,'S. DA ATER'!$B$2:$J$23,8,0)),"",VLOOKUP($B19,'S. DA ATER'!$B$2:$J$23,8,0))</f>
        <v/>
      </c>
      <c r="U19" s="14" t="str">
        <f aca="false">IF(ISNA(VLOOKUP($B19,'S. DA GERÊNCIA'!$B$2:$J$27,8,0)),"",VLOOKUP($B19,'S. DA GERÊNCIA'!$B$2:$J$27,8,0))</f>
        <v/>
      </c>
      <c r="V19" s="14" t="str">
        <f aca="false">IF(ISNA(VLOOKUP($B19,'S. DE ESPERA'!$B$2:$J$23,8,0)),"",VLOOKUP($B19,'S. DE ESPERA'!$B$2:$J$23,8,0))</f>
        <v/>
      </c>
      <c r="W19" s="14" t="str">
        <f aca="false">IF(ISNA(VLOOKUP($B19,'S. DE REUNIÃO'!$B$2:$J$25,8,0)),"",VLOOKUP($B19,'S. DE REUNIÃO'!$B$2:$J$25,8,0))</f>
        <v/>
      </c>
      <c r="X19" s="14" t="str">
        <f aca="false">IF(ISNA(VLOOKUP($B19,'S. DO VIGIA'!$B$2:$J$23,8,0)),"",VLOOKUP($B19,'S. DO VIGIA'!$B$2:$J$23,8,0))</f>
        <v/>
      </c>
      <c r="Y19" s="14" t="str">
        <f aca="false">IF(ISNA(VLOOKUP($B19,'WC SOCIAL FEM'!$B$2:$J$28,8,0)),"",VLOOKUP($B19,'WC SOCIAL FEM'!$B$2:$J$28,8,0))</f>
        <v/>
      </c>
      <c r="Z19" s="14" t="str">
        <f aca="false">IF(ISNA(VLOOKUP($B19,'WC SOCIAL MAS'!$B$2:$J$29,8,0)),"",VLOOKUP($B19,'WC SOCIAL MAS'!$B$2:$J$29,8,0))</f>
        <v/>
      </c>
      <c r="AA19" s="14" t="str">
        <f aca="false">IF(ISNA(VLOOKUP($B19,HIDRÁULICA!$B$2:$J$32,8,0)),"",VLOOKUP($B19,HIDRÁULICA!$B$2:$J$32,8,0))</f>
        <v/>
      </c>
    </row>
    <row r="20" customFormat="false" ht="28.35" hidden="false" customHeight="false" outlineLevel="0" collapsed="false">
      <c r="A20" s="15"/>
      <c r="B20" s="9" t="s">
        <v>86</v>
      </c>
      <c r="C20" s="10" t="s">
        <v>87</v>
      </c>
      <c r="D20" s="11" t="s">
        <v>88</v>
      </c>
      <c r="E20" s="12" t="s">
        <v>43</v>
      </c>
      <c r="F20" s="13" t="n">
        <f aca="false">ROUND(SUM(G20:AA20),2)</f>
        <v>8</v>
      </c>
      <c r="G20" s="14" t="str">
        <f aca="false">IF(ISNA(VLOOKUP($B20,'CORREDOR 01'!$B$2:$J$19,8,0)),"",VLOOKUP($B20,'CORREDOR 01'!$B$2:$J$19,8,0))</f>
        <v/>
      </c>
      <c r="H20" s="14" t="str">
        <f aca="false">IF(ISNA(VLOOKUP($B20,'CORREDOR O2'!$B$2:$J$22,8,0)),"",VLOOKUP($B20,'CORREDOR O2'!$B$2:$J$22,8,0))</f>
        <v/>
      </c>
      <c r="I20" s="14" t="str">
        <f aca="false">IF(ISNA(VLOOKUP($B20,'Á. DE VENTIL.'!$B$2:$J$20,8,0)),"",VLOOKUP($B20,'Á. DE VENTIL.'!$B$2:$J$20,8,0))</f>
        <v/>
      </c>
      <c r="J20" s="14" t="str">
        <f aca="false">IF(ISNA(VLOOKUP($B20,'Á. EXTER '!$B$2:$J$24,8,0)),"",VLOOKUP($B20,'Á. EXTER '!$B$2:$J$24,8,0))</f>
        <v/>
      </c>
      <c r="K20" s="14" t="n">
        <f aca="false">IF(ISNA(VLOOKUP($B20,'ÁREA DE CIR. EXTER.'!$B$2:$J$22,8,0)),"",VLOOKUP($B20,'ÁREA DE CIR. EXTER.'!$B$2:$J$22,8,0))</f>
        <v>8</v>
      </c>
      <c r="L20" s="14" t="str">
        <f aca="false">IF(ISNA(VLOOKUP($B20,AUDITÓRIO!$B$2:$J$14,8,0)),"",VLOOKUP($B20,AUDITÓRIO!$B$2:$J$14,8,0))</f>
        <v/>
      </c>
      <c r="M20" s="14" t="str">
        <f aca="false">IF(ISNA(VLOOKUP($B20,'AUD.   WC FEM'!$B$2:$J$14,8,0)),"",VLOOKUP($B20,'AUD.   WC FEM'!$B$2:$J$14,8,0))</f>
        <v/>
      </c>
      <c r="N20" s="14" t="str">
        <f aca="false">IF(ISNA(VLOOKUP($B20,'AUD.   WC MAS'!$B$2:$J$14,8,0)),"",VLOOKUP($B20,'AUD.   WC MAS'!$B$2:$J$14,8,0))</f>
        <v/>
      </c>
      <c r="O20" s="14" t="str">
        <f aca="false">IF(ISNA(VLOOKUP($B20,'COBERT.'!$B$2:$J$8,8,0)),"",VLOOKUP($B20,'COBERT.'!$B$2:$J$8,8,0))</f>
        <v/>
      </c>
      <c r="P20" s="14" t="str">
        <f aca="false">IF(ISNA(VLOOKUP($B20,COPA!$B$2:$J$31,8,0)),"",VLOOKUP($B20,COPA!$B$2:$J$31,8,0))</f>
        <v/>
      </c>
      <c r="Q20" s="14" t="str">
        <f aca="false">IF(ISNA(VLOOKUP($B20,RECEPÇÃO!$B$2:$J$24,8,0)),"",VLOOKUP($B20,RECEPÇÃO!$B$2:$J$24,8,0))</f>
        <v/>
      </c>
      <c r="R20" s="14" t="str">
        <f aca="false">IF(ISNA(VLOOKUP($B20,'S.  DA ADM.'!$B$2:$J$24,8,0)),"",VLOOKUP($B20,'S.  DA ADM.'!$B$2:$J$24,8,0))</f>
        <v/>
      </c>
      <c r="S20" s="14" t="str">
        <f aca="false">IF(ISNA(VLOOKUP($B20,'S.  DA ADM.   WC'!$B$2:$J$27,8,0)),"",VLOOKUP($B20,'S.  DA ADM.   WC'!$B$2:$J$27,8,0))</f>
        <v/>
      </c>
      <c r="T20" s="14" t="str">
        <f aca="false">IF(ISNA(VLOOKUP($B20,'S. DA ATER'!$B$2:$J$23,8,0)),"",VLOOKUP($B20,'S. DA ATER'!$B$2:$J$23,8,0))</f>
        <v/>
      </c>
      <c r="U20" s="14" t="str">
        <f aca="false">IF(ISNA(VLOOKUP($B20,'S. DA GERÊNCIA'!$B$2:$J$27,8,0)),"",VLOOKUP($B20,'S. DA GERÊNCIA'!$B$2:$J$27,8,0))</f>
        <v/>
      </c>
      <c r="V20" s="14" t="str">
        <f aca="false">IF(ISNA(VLOOKUP($B20,'S. DE ESPERA'!$B$2:$J$23,8,0)),"",VLOOKUP($B20,'S. DE ESPERA'!$B$2:$J$23,8,0))</f>
        <v/>
      </c>
      <c r="W20" s="14" t="str">
        <f aca="false">IF(ISNA(VLOOKUP($B20,'S. DE REUNIÃO'!$B$2:$J$25,8,0)),"",VLOOKUP($B20,'S. DE REUNIÃO'!$B$2:$J$25,8,0))</f>
        <v/>
      </c>
      <c r="X20" s="14" t="str">
        <f aca="false">IF(ISNA(VLOOKUP($B20,'S. DO VIGIA'!$B$2:$J$23,8,0)),"",VLOOKUP($B20,'S. DO VIGIA'!$B$2:$J$23,8,0))</f>
        <v/>
      </c>
      <c r="Y20" s="14" t="str">
        <f aca="false">IF(ISNA(VLOOKUP($B20,'WC SOCIAL FEM'!$B$2:$J$28,8,0)),"",VLOOKUP($B20,'WC SOCIAL FEM'!$B$2:$J$28,8,0))</f>
        <v/>
      </c>
      <c r="Z20" s="14" t="str">
        <f aca="false">IF(ISNA(VLOOKUP($B20,'WC SOCIAL MAS'!$B$2:$J$29,8,0)),"",VLOOKUP($B20,'WC SOCIAL MAS'!$B$2:$J$29,8,0))</f>
        <v/>
      </c>
      <c r="AA20" s="14" t="str">
        <f aca="false">IF(ISNA(VLOOKUP($B20,HIDRÁULICA!$B$2:$J$32,8,0)),"",VLOOKUP($B20,HIDRÁULICA!$B$2:$J$32,8,0))</f>
        <v/>
      </c>
    </row>
    <row r="21" customFormat="false" ht="14.9" hidden="false" customHeight="false" outlineLevel="0" collapsed="false">
      <c r="A21" s="15"/>
      <c r="B21" s="9" t="s">
        <v>89</v>
      </c>
      <c r="C21" s="10" t="s">
        <v>90</v>
      </c>
      <c r="D21" s="11" t="s">
        <v>91</v>
      </c>
      <c r="E21" s="12" t="s">
        <v>54</v>
      </c>
      <c r="F21" s="13" t="n">
        <f aca="false">ROUND(SUM(G21:AA21),2)</f>
        <v>1.23</v>
      </c>
      <c r="G21" s="14" t="str">
        <f aca="false">IF(ISNA(VLOOKUP($B21,'CORREDOR 01'!$B$2:$J$19,8,0)),"",VLOOKUP($B21,'CORREDOR 01'!$B$2:$J$19,8,0))</f>
        <v/>
      </c>
      <c r="H21" s="14" t="str">
        <f aca="false">IF(ISNA(VLOOKUP($B21,'CORREDOR O2'!$B$2:$J$22,8,0)),"",VLOOKUP($B21,'CORREDOR O2'!$B$2:$J$22,8,0))</f>
        <v/>
      </c>
      <c r="I21" s="14" t="str">
        <f aca="false">IF(ISNA(VLOOKUP($B21,'Á. DE VENTIL.'!$B$2:$J$20,8,0)),"",VLOOKUP($B21,'Á. DE VENTIL.'!$B$2:$J$20,8,0))</f>
        <v/>
      </c>
      <c r="J21" s="14" t="n">
        <f aca="false">IF(ISNA(VLOOKUP($B21,'Á. EXTER '!$B$2:$J$24,8,0)),"",VLOOKUP($B21,'Á. EXTER '!$B$2:$J$24,8,0))</f>
        <v>0.34375</v>
      </c>
      <c r="K21" s="14" t="n">
        <f aca="false">IF(ISNA(VLOOKUP($B21,'ÁREA DE CIR. EXTER.'!$B$2:$J$22,8,0)),"",VLOOKUP($B21,'ÁREA DE CIR. EXTER.'!$B$2:$J$22,8,0))</f>
        <v>0.888</v>
      </c>
      <c r="L21" s="14" t="str">
        <f aca="false">IF(ISNA(VLOOKUP($B21,AUDITÓRIO!$B$2:$J$14,8,0)),"",VLOOKUP($B21,AUDITÓRIO!$B$2:$J$14,8,0))</f>
        <v/>
      </c>
      <c r="M21" s="14" t="str">
        <f aca="false">IF(ISNA(VLOOKUP($B21,'AUD.   WC FEM'!$B$2:$J$14,8,0)),"",VLOOKUP($B21,'AUD.   WC FEM'!$B$2:$J$14,8,0))</f>
        <v/>
      </c>
      <c r="N21" s="14" t="str">
        <f aca="false">IF(ISNA(VLOOKUP($B21,'AUD.   WC MAS'!$B$2:$J$14,8,0)),"",VLOOKUP($B21,'AUD.   WC MAS'!$B$2:$J$14,8,0))</f>
        <v/>
      </c>
      <c r="O21" s="14" t="str">
        <f aca="false">IF(ISNA(VLOOKUP($B21,'COBERT.'!$B$2:$J$8,8,0)),"",VLOOKUP($B21,'COBERT.'!$B$2:$J$8,8,0))</f>
        <v/>
      </c>
      <c r="P21" s="14" t="str">
        <f aca="false">IF(ISNA(VLOOKUP($B21,COPA!$B$2:$J$31,8,0)),"",VLOOKUP($B21,COPA!$B$2:$J$31,8,0))</f>
        <v/>
      </c>
      <c r="Q21" s="14" t="str">
        <f aca="false">IF(ISNA(VLOOKUP($B21,RECEPÇÃO!$B$2:$J$24,8,0)),"",VLOOKUP($B21,RECEPÇÃO!$B$2:$J$24,8,0))</f>
        <v/>
      </c>
      <c r="R21" s="14" t="str">
        <f aca="false">IF(ISNA(VLOOKUP($B21,'S.  DA ADM.'!$B$2:$J$24,8,0)),"",VLOOKUP($B21,'S.  DA ADM.'!$B$2:$J$24,8,0))</f>
        <v/>
      </c>
      <c r="S21" s="14" t="str">
        <f aca="false">IF(ISNA(VLOOKUP($B21,'S.  DA ADM.   WC'!$B$2:$J$27,8,0)),"",VLOOKUP($B21,'S.  DA ADM.   WC'!$B$2:$J$27,8,0))</f>
        <v/>
      </c>
      <c r="T21" s="14" t="str">
        <f aca="false">IF(ISNA(VLOOKUP($B21,'S. DA ATER'!$B$2:$J$23,8,0)),"",VLOOKUP($B21,'S. DA ATER'!$B$2:$J$23,8,0))</f>
        <v/>
      </c>
      <c r="U21" s="14" t="str">
        <f aca="false">IF(ISNA(VLOOKUP($B21,'S. DA GERÊNCIA'!$B$2:$J$27,8,0)),"",VLOOKUP($B21,'S. DA GERÊNCIA'!$B$2:$J$27,8,0))</f>
        <v/>
      </c>
      <c r="V21" s="14" t="str">
        <f aca="false">IF(ISNA(VLOOKUP($B21,'S. DE ESPERA'!$B$2:$J$23,8,0)),"",VLOOKUP($B21,'S. DE ESPERA'!$B$2:$J$23,8,0))</f>
        <v/>
      </c>
      <c r="W21" s="14" t="str">
        <f aca="false">IF(ISNA(VLOOKUP($B21,'S. DE REUNIÃO'!$B$2:$J$25,8,0)),"",VLOOKUP($B21,'S. DE REUNIÃO'!$B$2:$J$25,8,0))</f>
        <v/>
      </c>
      <c r="X21" s="14" t="str">
        <f aca="false">IF(ISNA(VLOOKUP($B21,'S. DO VIGIA'!$B$2:$J$23,8,0)),"",VLOOKUP($B21,'S. DO VIGIA'!$B$2:$J$23,8,0))</f>
        <v/>
      </c>
      <c r="Y21" s="14" t="str">
        <f aca="false">IF(ISNA(VLOOKUP($B21,'WC SOCIAL FEM'!$B$2:$J$28,8,0)),"",VLOOKUP($B21,'WC SOCIAL FEM'!$B$2:$J$28,8,0))</f>
        <v/>
      </c>
      <c r="Z21" s="14" t="str">
        <f aca="false">IF(ISNA(VLOOKUP($B21,'WC SOCIAL MAS'!$B$2:$J$29,8,0)),"",VLOOKUP($B21,'WC SOCIAL MAS'!$B$2:$J$29,8,0))</f>
        <v/>
      </c>
      <c r="AA21" s="14" t="str">
        <f aca="false">IF(ISNA(VLOOKUP($B21,HIDRÁULICA!$B$2:$J$32,8,0)),"",VLOOKUP($B21,HIDRÁULICA!$B$2:$J$32,8,0))</f>
        <v/>
      </c>
    </row>
    <row r="22" customFormat="false" ht="28.35" hidden="false" customHeight="false" outlineLevel="0" collapsed="false">
      <c r="A22" s="15"/>
      <c r="B22" s="9" t="s">
        <v>92</v>
      </c>
      <c r="C22" s="10" t="s">
        <v>93</v>
      </c>
      <c r="D22" s="11" t="s">
        <v>94</v>
      </c>
      <c r="E22" s="12" t="s">
        <v>54</v>
      </c>
      <c r="F22" s="13" t="n">
        <f aca="false">ROUND(SUM(G22:AA22),2)</f>
        <v>7.36</v>
      </c>
      <c r="G22" s="14" t="str">
        <f aca="false">IF(ISNA(VLOOKUP($B22,'CORREDOR 01'!$B$2:$J$19,8,0)),"",VLOOKUP($B22,'CORREDOR 01'!$B$2:$J$19,8,0))</f>
        <v/>
      </c>
      <c r="H22" s="14" t="str">
        <f aca="false">IF(ISNA(VLOOKUP($B22,'CORREDOR O2'!$B$2:$J$22,8,0)),"",VLOOKUP($B22,'CORREDOR O2'!$B$2:$J$22,8,0))</f>
        <v/>
      </c>
      <c r="I22" s="14" t="str">
        <f aca="false">IF(ISNA(VLOOKUP($B22,'Á. DE VENTIL.'!$B$2:$J$20,8,0)),"",VLOOKUP($B22,'Á. DE VENTIL.'!$B$2:$J$20,8,0))</f>
        <v/>
      </c>
      <c r="J22" s="14" t="n">
        <f aca="false">IF(ISNA(VLOOKUP($B22,'Á. EXTER '!$B$2:$J$24,8,0)),"",VLOOKUP($B22,'Á. EXTER '!$B$2:$J$24,8,0))</f>
        <v>7.362</v>
      </c>
      <c r="K22" s="14" t="str">
        <f aca="false">IF(ISNA(VLOOKUP($B22,'ÁREA DE CIR. EXTER.'!$B$2:$J$22,8,0)),"",VLOOKUP($B22,'ÁREA DE CIR. EXTER.'!$B$2:$J$22,8,0))</f>
        <v/>
      </c>
      <c r="L22" s="14" t="str">
        <f aca="false">IF(ISNA(VLOOKUP($B22,AUDITÓRIO!$B$2:$J$14,8,0)),"",VLOOKUP($B22,AUDITÓRIO!$B$2:$J$14,8,0))</f>
        <v/>
      </c>
      <c r="M22" s="14" t="str">
        <f aca="false">IF(ISNA(VLOOKUP($B22,'AUD.   WC FEM'!$B$2:$J$14,8,0)),"",VLOOKUP($B22,'AUD.   WC FEM'!$B$2:$J$14,8,0))</f>
        <v/>
      </c>
      <c r="N22" s="14" t="str">
        <f aca="false">IF(ISNA(VLOOKUP($B22,'AUD.   WC MAS'!$B$2:$J$14,8,0)),"",VLOOKUP($B22,'AUD.   WC MAS'!$B$2:$J$14,8,0))</f>
        <v/>
      </c>
      <c r="O22" s="14" t="str">
        <f aca="false">IF(ISNA(VLOOKUP($B22,'COBERT.'!$B$2:$J$8,8,0)),"",VLOOKUP($B22,'COBERT.'!$B$2:$J$8,8,0))</f>
        <v/>
      </c>
      <c r="P22" s="14" t="str">
        <f aca="false">IF(ISNA(VLOOKUP($B22,COPA!$B$2:$J$31,8,0)),"",VLOOKUP($B22,COPA!$B$2:$J$31,8,0))</f>
        <v/>
      </c>
      <c r="Q22" s="14" t="str">
        <f aca="false">IF(ISNA(VLOOKUP($B22,RECEPÇÃO!$B$2:$J$24,8,0)),"",VLOOKUP($B22,RECEPÇÃO!$B$2:$J$24,8,0))</f>
        <v/>
      </c>
      <c r="R22" s="14" t="str">
        <f aca="false">IF(ISNA(VLOOKUP($B22,'S.  DA ADM.'!$B$2:$J$24,8,0)),"",VLOOKUP($B22,'S.  DA ADM.'!$B$2:$J$24,8,0))</f>
        <v/>
      </c>
      <c r="S22" s="14" t="str">
        <f aca="false">IF(ISNA(VLOOKUP($B22,'S.  DA ADM.   WC'!$B$2:$J$27,8,0)),"",VLOOKUP($B22,'S.  DA ADM.   WC'!$B$2:$J$27,8,0))</f>
        <v/>
      </c>
      <c r="T22" s="14" t="str">
        <f aca="false">IF(ISNA(VLOOKUP($B22,'S. DA ATER'!$B$2:$J$23,8,0)),"",VLOOKUP($B22,'S. DA ATER'!$B$2:$J$23,8,0))</f>
        <v/>
      </c>
      <c r="U22" s="14" t="str">
        <f aca="false">IF(ISNA(VLOOKUP($B22,'S. DA GERÊNCIA'!$B$2:$J$27,8,0)),"",VLOOKUP($B22,'S. DA GERÊNCIA'!$B$2:$J$27,8,0))</f>
        <v/>
      </c>
      <c r="V22" s="14" t="str">
        <f aca="false">IF(ISNA(VLOOKUP($B22,'S. DE ESPERA'!$B$2:$J$23,8,0)),"",VLOOKUP($B22,'S. DE ESPERA'!$B$2:$J$23,8,0))</f>
        <v/>
      </c>
      <c r="W22" s="14" t="str">
        <f aca="false">IF(ISNA(VLOOKUP($B22,'S. DE REUNIÃO'!$B$2:$J$25,8,0)),"",VLOOKUP($B22,'S. DE REUNIÃO'!$B$2:$J$25,8,0))</f>
        <v/>
      </c>
      <c r="X22" s="14" t="str">
        <f aca="false">IF(ISNA(VLOOKUP($B22,'S. DO VIGIA'!$B$2:$J$23,8,0)),"",VLOOKUP($B22,'S. DO VIGIA'!$B$2:$J$23,8,0))</f>
        <v/>
      </c>
      <c r="Y22" s="14" t="str">
        <f aca="false">IF(ISNA(VLOOKUP($B22,'WC SOCIAL FEM'!$B$2:$J$28,8,0)),"",VLOOKUP($B22,'WC SOCIAL FEM'!$B$2:$J$28,8,0))</f>
        <v/>
      </c>
      <c r="Z22" s="14" t="str">
        <f aca="false">IF(ISNA(VLOOKUP($B22,'WC SOCIAL MAS'!$B$2:$J$29,8,0)),"",VLOOKUP($B22,'WC SOCIAL MAS'!$B$2:$J$29,8,0))</f>
        <v/>
      </c>
      <c r="AA22" s="14" t="str">
        <f aca="false">IF(ISNA(VLOOKUP($B22,HIDRÁULICA!$B$2:$J$32,8,0)),"",VLOOKUP($B22,HIDRÁULICA!$B$2:$J$32,8,0))</f>
        <v/>
      </c>
    </row>
    <row r="23" customFormat="false" ht="28.35" hidden="false" customHeight="false" outlineLevel="0" collapsed="false">
      <c r="A23" s="15"/>
      <c r="B23" s="9" t="s">
        <v>95</v>
      </c>
      <c r="C23" s="10" t="s">
        <v>96</v>
      </c>
      <c r="D23" s="11" t="s">
        <v>97</v>
      </c>
      <c r="E23" s="12" t="s">
        <v>54</v>
      </c>
      <c r="F23" s="13" t="n">
        <f aca="false">ROUND(SUM(G23:AA23),2)</f>
        <v>1.23</v>
      </c>
      <c r="G23" s="14" t="str">
        <f aca="false">IF(ISNA(VLOOKUP($B23,'CORREDOR 01'!$B$2:$J$19,8,0)),"",VLOOKUP($B23,'CORREDOR 01'!$B$2:$J$19,8,0))</f>
        <v/>
      </c>
      <c r="H23" s="14" t="str">
        <f aca="false">IF(ISNA(VLOOKUP($B23,'CORREDOR O2'!$B$2:$J$22,8,0)),"",VLOOKUP($B23,'CORREDOR O2'!$B$2:$J$22,8,0))</f>
        <v/>
      </c>
      <c r="I23" s="14" t="str">
        <f aca="false">IF(ISNA(VLOOKUP($B23,'Á. DE VENTIL.'!$B$2:$J$20,8,0)),"",VLOOKUP($B23,'Á. DE VENTIL.'!$B$2:$J$20,8,0))</f>
        <v/>
      </c>
      <c r="J23" s="14" t="n">
        <f aca="false">IF(ISNA(VLOOKUP($B23,'Á. EXTER '!$B$2:$J$24,8,0)),"",VLOOKUP($B23,'Á. EXTER '!$B$2:$J$24,8,0))</f>
        <v>0.34375</v>
      </c>
      <c r="K23" s="14" t="n">
        <f aca="false">IF(ISNA(VLOOKUP($B23,'ÁREA DE CIR. EXTER.'!$B$2:$J$22,8,0)),"",VLOOKUP($B23,'ÁREA DE CIR. EXTER.'!$B$2:$J$22,8,0))</f>
        <v>0.888</v>
      </c>
      <c r="L23" s="14" t="str">
        <f aca="false">IF(ISNA(VLOOKUP($B23,AUDITÓRIO!$B$2:$J$14,8,0)),"",VLOOKUP($B23,AUDITÓRIO!$B$2:$J$14,8,0))</f>
        <v/>
      </c>
      <c r="M23" s="14" t="str">
        <f aca="false">IF(ISNA(VLOOKUP($B23,'AUD.   WC FEM'!$B$2:$J$14,8,0)),"",VLOOKUP($B23,'AUD.   WC FEM'!$B$2:$J$14,8,0))</f>
        <v/>
      </c>
      <c r="N23" s="14" t="str">
        <f aca="false">IF(ISNA(VLOOKUP($B23,'AUD.   WC MAS'!$B$2:$J$14,8,0)),"",VLOOKUP($B23,'AUD.   WC MAS'!$B$2:$J$14,8,0))</f>
        <v/>
      </c>
      <c r="O23" s="14" t="str">
        <f aca="false">IF(ISNA(VLOOKUP($B23,'COBERT.'!$B$2:$J$8,8,0)),"",VLOOKUP($B23,'COBERT.'!$B$2:$J$8,8,0))</f>
        <v/>
      </c>
      <c r="P23" s="14" t="str">
        <f aca="false">IF(ISNA(VLOOKUP($B23,COPA!$B$2:$J$31,8,0)),"",VLOOKUP($B23,COPA!$B$2:$J$31,8,0))</f>
        <v/>
      </c>
      <c r="Q23" s="14" t="str">
        <f aca="false">IF(ISNA(VLOOKUP($B23,RECEPÇÃO!$B$2:$J$24,8,0)),"",VLOOKUP($B23,RECEPÇÃO!$B$2:$J$24,8,0))</f>
        <v/>
      </c>
      <c r="R23" s="14" t="str">
        <f aca="false">IF(ISNA(VLOOKUP($B23,'S.  DA ADM.'!$B$2:$J$24,8,0)),"",VLOOKUP($B23,'S.  DA ADM.'!$B$2:$J$24,8,0))</f>
        <v/>
      </c>
      <c r="S23" s="14" t="str">
        <f aca="false">IF(ISNA(VLOOKUP($B23,'S.  DA ADM.   WC'!$B$2:$J$27,8,0)),"",VLOOKUP($B23,'S.  DA ADM.   WC'!$B$2:$J$27,8,0))</f>
        <v/>
      </c>
      <c r="T23" s="14" t="str">
        <f aca="false">IF(ISNA(VLOOKUP($B23,'S. DA ATER'!$B$2:$J$23,8,0)),"",VLOOKUP($B23,'S. DA ATER'!$B$2:$J$23,8,0))</f>
        <v/>
      </c>
      <c r="U23" s="14" t="str">
        <f aca="false">IF(ISNA(VLOOKUP($B23,'S. DA GERÊNCIA'!$B$2:$J$27,8,0)),"",VLOOKUP($B23,'S. DA GERÊNCIA'!$B$2:$J$27,8,0))</f>
        <v/>
      </c>
      <c r="V23" s="14" t="str">
        <f aca="false">IF(ISNA(VLOOKUP($B23,'S. DE ESPERA'!$B$2:$J$23,8,0)),"",VLOOKUP($B23,'S. DE ESPERA'!$B$2:$J$23,8,0))</f>
        <v/>
      </c>
      <c r="W23" s="14" t="str">
        <f aca="false">IF(ISNA(VLOOKUP($B23,'S. DE REUNIÃO'!$B$2:$J$25,8,0)),"",VLOOKUP($B23,'S. DE REUNIÃO'!$B$2:$J$25,8,0))</f>
        <v/>
      </c>
      <c r="X23" s="14" t="str">
        <f aca="false">IF(ISNA(VLOOKUP($B23,'S. DO VIGIA'!$B$2:$J$23,8,0)),"",VLOOKUP($B23,'S. DO VIGIA'!$B$2:$J$23,8,0))</f>
        <v/>
      </c>
      <c r="Y23" s="14" t="str">
        <f aca="false">IF(ISNA(VLOOKUP($B23,'WC SOCIAL FEM'!$B$2:$J$28,8,0)),"",VLOOKUP($B23,'WC SOCIAL FEM'!$B$2:$J$28,8,0))</f>
        <v/>
      </c>
      <c r="Z23" s="14" t="str">
        <f aca="false">IF(ISNA(VLOOKUP($B23,'WC SOCIAL MAS'!$B$2:$J$29,8,0)),"",VLOOKUP($B23,'WC SOCIAL MAS'!$B$2:$J$29,8,0))</f>
        <v/>
      </c>
      <c r="AA23" s="14" t="str">
        <f aca="false">IF(ISNA(VLOOKUP($B23,HIDRÁULICA!$B$2:$J$32,8,0)),"",VLOOKUP($B23,HIDRÁULICA!$B$2:$J$32,8,0))</f>
        <v/>
      </c>
    </row>
    <row r="24" customFormat="false" ht="14.9" hidden="false" customHeight="false" outlineLevel="0" collapsed="false">
      <c r="A24" s="15"/>
      <c r="B24" s="9" t="s">
        <v>98</v>
      </c>
      <c r="C24" s="10" t="s">
        <v>99</v>
      </c>
      <c r="D24" s="11" t="s">
        <v>100</v>
      </c>
      <c r="E24" s="12" t="s">
        <v>101</v>
      </c>
      <c r="F24" s="13" t="n">
        <f aca="false">ROUND(SUM(G24:AA24),2)</f>
        <v>0.12</v>
      </c>
      <c r="G24" s="14" t="str">
        <f aca="false">IF(ISNA(VLOOKUP($B24,'CORREDOR 01'!$B$2:$J$19,8,0)),"",VLOOKUP($B24,'CORREDOR 01'!$B$2:$J$19,8,0))</f>
        <v/>
      </c>
      <c r="H24" s="14" t="str">
        <f aca="false">IF(ISNA(VLOOKUP($B24,'CORREDOR O2'!$B$2:$J$22,8,0)),"",VLOOKUP($B24,'CORREDOR O2'!$B$2:$J$22,8,0))</f>
        <v/>
      </c>
      <c r="I24" s="14" t="str">
        <f aca="false">IF(ISNA(VLOOKUP($B24,'Á. DE VENTIL.'!$B$2:$J$20,8,0)),"",VLOOKUP($B24,'Á. DE VENTIL.'!$B$2:$J$20,8,0))</f>
        <v/>
      </c>
      <c r="J24" s="14" t="str">
        <f aca="false">IF(ISNA(VLOOKUP($B24,'Á. EXTER '!$B$2:$J$24,8,0)),"",VLOOKUP($B24,'Á. EXTER '!$B$2:$J$24,8,0))</f>
        <v/>
      </c>
      <c r="K24" s="14" t="n">
        <f aca="false">IF(ISNA(VLOOKUP($B24,'ÁREA DE CIR. EXTER.'!$B$2:$J$22,8,0)),"",VLOOKUP($B24,'ÁREA DE CIR. EXTER.'!$B$2:$J$22,8,0))</f>
        <v>0.12</v>
      </c>
      <c r="L24" s="14" t="str">
        <f aca="false">IF(ISNA(VLOOKUP($B24,AUDITÓRIO!$B$2:$J$14,8,0)),"",VLOOKUP($B24,AUDITÓRIO!$B$2:$J$14,8,0))</f>
        <v/>
      </c>
      <c r="M24" s="14" t="str">
        <f aca="false">IF(ISNA(VLOOKUP($B24,'AUD.   WC FEM'!$B$2:$J$14,8,0)),"",VLOOKUP($B24,'AUD.   WC FEM'!$B$2:$J$14,8,0))</f>
        <v/>
      </c>
      <c r="N24" s="14" t="str">
        <f aca="false">IF(ISNA(VLOOKUP($B24,'AUD.   WC MAS'!$B$2:$J$14,8,0)),"",VLOOKUP($B24,'AUD.   WC MAS'!$B$2:$J$14,8,0))</f>
        <v/>
      </c>
      <c r="O24" s="14" t="str">
        <f aca="false">IF(ISNA(VLOOKUP($B24,'COBERT.'!$B$2:$J$8,8,0)),"",VLOOKUP($B24,'COBERT.'!$B$2:$J$8,8,0))</f>
        <v/>
      </c>
      <c r="P24" s="14" t="str">
        <f aca="false">IF(ISNA(VLOOKUP($B24,COPA!$B$2:$J$31,8,0)),"",VLOOKUP($B24,COPA!$B$2:$J$31,8,0))</f>
        <v/>
      </c>
      <c r="Q24" s="14" t="str">
        <f aca="false">IF(ISNA(VLOOKUP($B24,RECEPÇÃO!$B$2:$J$24,8,0)),"",VLOOKUP($B24,RECEPÇÃO!$B$2:$J$24,8,0))</f>
        <v/>
      </c>
      <c r="R24" s="14" t="str">
        <f aca="false">IF(ISNA(VLOOKUP($B24,'S.  DA ADM.'!$B$2:$J$24,8,0)),"",VLOOKUP($B24,'S.  DA ADM.'!$B$2:$J$24,8,0))</f>
        <v/>
      </c>
      <c r="S24" s="14" t="str">
        <f aca="false">IF(ISNA(VLOOKUP($B24,'S.  DA ADM.   WC'!$B$2:$J$27,8,0)),"",VLOOKUP($B24,'S.  DA ADM.   WC'!$B$2:$J$27,8,0))</f>
        <v/>
      </c>
      <c r="T24" s="14" t="str">
        <f aca="false">IF(ISNA(VLOOKUP($B24,'S. DA ATER'!$B$2:$J$23,8,0)),"",VLOOKUP($B24,'S. DA ATER'!$B$2:$J$23,8,0))</f>
        <v/>
      </c>
      <c r="U24" s="14" t="str">
        <f aca="false">IF(ISNA(VLOOKUP($B24,'S. DA GERÊNCIA'!$B$2:$J$27,8,0)),"",VLOOKUP($B24,'S. DA GERÊNCIA'!$B$2:$J$27,8,0))</f>
        <v/>
      </c>
      <c r="V24" s="14" t="str">
        <f aca="false">IF(ISNA(VLOOKUP($B24,'S. DE ESPERA'!$B$2:$J$23,8,0)),"",VLOOKUP($B24,'S. DE ESPERA'!$B$2:$J$23,8,0))</f>
        <v/>
      </c>
      <c r="W24" s="14" t="str">
        <f aca="false">IF(ISNA(VLOOKUP($B24,'S. DE REUNIÃO'!$B$2:$J$25,8,0)),"",VLOOKUP($B24,'S. DE REUNIÃO'!$B$2:$J$25,8,0))</f>
        <v/>
      </c>
      <c r="X24" s="14" t="str">
        <f aca="false">IF(ISNA(VLOOKUP($B24,'S. DO VIGIA'!$B$2:$J$23,8,0)),"",VLOOKUP($B24,'S. DO VIGIA'!$B$2:$J$23,8,0))</f>
        <v/>
      </c>
      <c r="Y24" s="14" t="str">
        <f aca="false">IF(ISNA(VLOOKUP($B24,'WC SOCIAL FEM'!$B$2:$J$28,8,0)),"",VLOOKUP($B24,'WC SOCIAL FEM'!$B$2:$J$28,8,0))</f>
        <v/>
      </c>
      <c r="Z24" s="14" t="str">
        <f aca="false">IF(ISNA(VLOOKUP($B24,'WC SOCIAL MAS'!$B$2:$J$29,8,0)),"",VLOOKUP($B24,'WC SOCIAL MAS'!$B$2:$J$29,8,0))</f>
        <v/>
      </c>
      <c r="AA24" s="14" t="str">
        <f aca="false">IF(ISNA(VLOOKUP($B24,HIDRÁULICA!$B$2:$J$32,8,0)),"",VLOOKUP($B24,HIDRÁULICA!$B$2:$J$32,8,0))</f>
        <v/>
      </c>
    </row>
    <row r="25" customFormat="false" ht="41.75" hidden="false" customHeight="false" outlineLevel="0" collapsed="false">
      <c r="A25" s="15"/>
      <c r="B25" s="9" t="s">
        <v>102</v>
      </c>
      <c r="C25" s="10" t="s">
        <v>103</v>
      </c>
      <c r="D25" s="11" t="s">
        <v>104</v>
      </c>
      <c r="E25" s="12" t="s">
        <v>54</v>
      </c>
      <c r="F25" s="13" t="n">
        <f aca="false">ROUND(SUM(G25:AA25),2)</f>
        <v>6.54</v>
      </c>
      <c r="G25" s="14" t="str">
        <f aca="false">IF(ISNA(VLOOKUP($B25,'CORREDOR 01'!$B$2:$J$19,8,0)),"",VLOOKUP($B25,'CORREDOR 01'!$B$2:$J$19,8,0))</f>
        <v/>
      </c>
      <c r="H25" s="14" t="str">
        <f aca="false">IF(ISNA(VLOOKUP($B25,'CORREDOR O2'!$B$2:$J$22,8,0)),"",VLOOKUP($B25,'CORREDOR O2'!$B$2:$J$22,8,0))</f>
        <v/>
      </c>
      <c r="I25" s="14" t="str">
        <f aca="false">IF(ISNA(VLOOKUP($B25,'Á. DE VENTIL.'!$B$2:$J$20,8,0)),"",VLOOKUP($B25,'Á. DE VENTIL.'!$B$2:$J$20,8,0))</f>
        <v/>
      </c>
      <c r="J25" s="14" t="n">
        <f aca="false">IF(ISNA(VLOOKUP($B25,'Á. EXTER '!$B$2:$J$24,8,0)),"",VLOOKUP($B25,'Á. EXTER '!$B$2:$J$24,8,0))</f>
        <v>6.19957894736842</v>
      </c>
      <c r="K25" s="14" t="str">
        <f aca="false">IF(ISNA(VLOOKUP($B25,'ÁREA DE CIR. EXTER.'!$B$2:$J$22,8,0)),"",VLOOKUP($B25,'ÁREA DE CIR. EXTER.'!$B$2:$J$22,8,0))</f>
        <v/>
      </c>
      <c r="L25" s="14" t="str">
        <f aca="false">IF(ISNA(VLOOKUP($B25,AUDITÓRIO!$B$2:$J$14,8,0)),"",VLOOKUP($B25,AUDITÓRIO!$B$2:$J$14,8,0))</f>
        <v/>
      </c>
      <c r="M25" s="14" t="str">
        <f aca="false">IF(ISNA(VLOOKUP($B25,'AUD.   WC FEM'!$B$2:$J$14,8,0)),"",VLOOKUP($B25,'AUD.   WC FEM'!$B$2:$J$14,8,0))</f>
        <v/>
      </c>
      <c r="N25" s="14" t="str">
        <f aca="false">IF(ISNA(VLOOKUP($B25,'AUD.   WC MAS'!$B$2:$J$14,8,0)),"",VLOOKUP($B25,'AUD.   WC MAS'!$B$2:$J$14,8,0))</f>
        <v/>
      </c>
      <c r="O25" s="14" t="str">
        <f aca="false">IF(ISNA(VLOOKUP($B25,'COBERT.'!$B$2:$J$8,8,0)),"",VLOOKUP($B25,'COBERT.'!$B$2:$J$8,8,0))</f>
        <v/>
      </c>
      <c r="P25" s="14" t="n">
        <f aca="false">IF(ISNA(VLOOKUP($B25,COPA!$B$2:$J$31,8,0)),"",VLOOKUP($B25,COPA!$B$2:$J$31,8,0))</f>
        <v>0.336</v>
      </c>
      <c r="Q25" s="14" t="str">
        <f aca="false">IF(ISNA(VLOOKUP($B25,RECEPÇÃO!$B$2:$J$24,8,0)),"",VLOOKUP($B25,RECEPÇÃO!$B$2:$J$24,8,0))</f>
        <v/>
      </c>
      <c r="R25" s="14" t="str">
        <f aca="false">IF(ISNA(VLOOKUP($B25,'S.  DA ADM.'!$B$2:$J$24,8,0)),"",VLOOKUP($B25,'S.  DA ADM.'!$B$2:$J$24,8,0))</f>
        <v/>
      </c>
      <c r="S25" s="14" t="str">
        <f aca="false">IF(ISNA(VLOOKUP($B25,'S.  DA ADM.   WC'!$B$2:$J$27,8,0)),"",VLOOKUP($B25,'S.  DA ADM.   WC'!$B$2:$J$27,8,0))</f>
        <v/>
      </c>
      <c r="T25" s="14" t="str">
        <f aca="false">IF(ISNA(VLOOKUP($B25,'S. DA ATER'!$B$2:$J$23,8,0)),"",VLOOKUP($B25,'S. DA ATER'!$B$2:$J$23,8,0))</f>
        <v/>
      </c>
      <c r="U25" s="14" t="str">
        <f aca="false">IF(ISNA(VLOOKUP($B25,'S. DA GERÊNCIA'!$B$2:$J$27,8,0)),"",VLOOKUP($B25,'S. DA GERÊNCIA'!$B$2:$J$27,8,0))</f>
        <v/>
      </c>
      <c r="V25" s="14" t="str">
        <f aca="false">IF(ISNA(VLOOKUP($B25,'S. DE ESPERA'!$B$2:$J$23,8,0)),"",VLOOKUP($B25,'S. DE ESPERA'!$B$2:$J$23,8,0))</f>
        <v/>
      </c>
      <c r="W25" s="14" t="str">
        <f aca="false">IF(ISNA(VLOOKUP($B25,'S. DE REUNIÃO'!$B$2:$J$25,8,0)),"",VLOOKUP($B25,'S. DE REUNIÃO'!$B$2:$J$25,8,0))</f>
        <v/>
      </c>
      <c r="X25" s="14" t="str">
        <f aca="false">IF(ISNA(VLOOKUP($B25,'S. DO VIGIA'!$B$2:$J$23,8,0)),"",VLOOKUP($B25,'S. DO VIGIA'!$B$2:$J$23,8,0))</f>
        <v/>
      </c>
      <c r="Y25" s="14" t="str">
        <f aca="false">IF(ISNA(VLOOKUP($B25,'WC SOCIAL FEM'!$B$2:$J$28,8,0)),"",VLOOKUP($B25,'WC SOCIAL FEM'!$B$2:$J$28,8,0))</f>
        <v/>
      </c>
      <c r="Z25" s="14" t="str">
        <f aca="false">IF(ISNA(VLOOKUP($B25,'WC SOCIAL MAS'!$B$2:$J$29,8,0)),"",VLOOKUP($B25,'WC SOCIAL MAS'!$B$2:$J$29,8,0))</f>
        <v/>
      </c>
      <c r="AA25" s="14" t="str">
        <f aca="false">IF(ISNA(VLOOKUP($B25,HIDRÁULICA!$B$2:$J$32,8,0)),"",VLOOKUP($B25,HIDRÁULICA!$B$2:$J$32,8,0))</f>
        <v/>
      </c>
    </row>
    <row r="26" customFormat="false" ht="28.35" hidden="false" customHeight="false" outlineLevel="0" collapsed="false">
      <c r="A26" s="15"/>
      <c r="B26" s="9" t="s">
        <v>105</v>
      </c>
      <c r="C26" s="10" t="s">
        <v>106</v>
      </c>
      <c r="D26" s="11" t="s">
        <v>107</v>
      </c>
      <c r="E26" s="12" t="s">
        <v>101</v>
      </c>
      <c r="F26" s="13" t="n">
        <f aca="false">ROUND(SUM(G26:AA26),2)</f>
        <v>4.16</v>
      </c>
      <c r="G26" s="14" t="str">
        <f aca="false">IF(ISNA(VLOOKUP($B26,'CORREDOR 01'!$B$2:$J$19,8,0)),"",VLOOKUP($B26,'CORREDOR 01'!$B$2:$J$19,8,0))</f>
        <v/>
      </c>
      <c r="H26" s="14" t="str">
        <f aca="false">IF(ISNA(VLOOKUP($B26,'CORREDOR O2'!$B$2:$J$22,8,0)),"",VLOOKUP($B26,'CORREDOR O2'!$B$2:$J$22,8,0))</f>
        <v/>
      </c>
      <c r="I26" s="14" t="str">
        <f aca="false">IF(ISNA(VLOOKUP($B26,'Á. DE VENTIL.'!$B$2:$J$20,8,0)),"",VLOOKUP($B26,'Á. DE VENTIL.'!$B$2:$J$20,8,0))</f>
        <v/>
      </c>
      <c r="J26" s="14" t="n">
        <f aca="false">IF(ISNA(VLOOKUP($B26,'Á. EXTER '!$B$2:$J$24,8,0)),"",VLOOKUP($B26,'Á. EXTER '!$B$2:$J$24,8,0))</f>
        <v>4.16</v>
      </c>
      <c r="K26" s="14" t="str">
        <f aca="false">IF(ISNA(VLOOKUP($B26,'ÁREA DE CIR. EXTER.'!$B$2:$J$22,8,0)),"",VLOOKUP($B26,'ÁREA DE CIR. EXTER.'!$B$2:$J$22,8,0))</f>
        <v/>
      </c>
      <c r="L26" s="14" t="str">
        <f aca="false">IF(ISNA(VLOOKUP($B26,AUDITÓRIO!$B$2:$J$14,8,0)),"",VLOOKUP($B26,AUDITÓRIO!$B$2:$J$14,8,0))</f>
        <v/>
      </c>
      <c r="M26" s="14" t="str">
        <f aca="false">IF(ISNA(VLOOKUP($B26,'AUD.   WC FEM'!$B$2:$J$14,8,0)),"",VLOOKUP($B26,'AUD.   WC FEM'!$B$2:$J$14,8,0))</f>
        <v/>
      </c>
      <c r="N26" s="14" t="str">
        <f aca="false">IF(ISNA(VLOOKUP($B26,'AUD.   WC MAS'!$B$2:$J$14,8,0)),"",VLOOKUP($B26,'AUD.   WC MAS'!$B$2:$J$14,8,0))</f>
        <v/>
      </c>
      <c r="O26" s="14" t="str">
        <f aca="false">IF(ISNA(VLOOKUP($B26,'COBERT.'!$B$2:$J$8,8,0)),"",VLOOKUP($B26,'COBERT.'!$B$2:$J$8,8,0))</f>
        <v/>
      </c>
      <c r="P26" s="14" t="str">
        <f aca="false">IF(ISNA(VLOOKUP($B26,COPA!$B$2:$J$31,8,0)),"",VLOOKUP($B26,COPA!$B$2:$J$31,8,0))</f>
        <v/>
      </c>
      <c r="Q26" s="14" t="str">
        <f aca="false">IF(ISNA(VLOOKUP($B26,RECEPÇÃO!$B$2:$J$24,8,0)),"",VLOOKUP($B26,RECEPÇÃO!$B$2:$J$24,8,0))</f>
        <v/>
      </c>
      <c r="R26" s="14" t="str">
        <f aca="false">IF(ISNA(VLOOKUP($B26,'S.  DA ADM.'!$B$2:$J$24,8,0)),"",VLOOKUP($B26,'S.  DA ADM.'!$B$2:$J$24,8,0))</f>
        <v/>
      </c>
      <c r="S26" s="14" t="str">
        <f aca="false">IF(ISNA(VLOOKUP($B26,'S.  DA ADM.   WC'!$B$2:$J$27,8,0)),"",VLOOKUP($B26,'S.  DA ADM.   WC'!$B$2:$J$27,8,0))</f>
        <v/>
      </c>
      <c r="T26" s="14" t="str">
        <f aca="false">IF(ISNA(VLOOKUP($B26,'S. DA ATER'!$B$2:$J$23,8,0)),"",VLOOKUP($B26,'S. DA ATER'!$B$2:$J$23,8,0))</f>
        <v/>
      </c>
      <c r="U26" s="14" t="str">
        <f aca="false">IF(ISNA(VLOOKUP($B26,'S. DA GERÊNCIA'!$B$2:$J$27,8,0)),"",VLOOKUP($B26,'S. DA GERÊNCIA'!$B$2:$J$27,8,0))</f>
        <v/>
      </c>
      <c r="V26" s="14" t="str">
        <f aca="false">IF(ISNA(VLOOKUP($B26,'S. DE ESPERA'!$B$2:$J$23,8,0)),"",VLOOKUP($B26,'S. DE ESPERA'!$B$2:$J$23,8,0))</f>
        <v/>
      </c>
      <c r="W26" s="14" t="str">
        <f aca="false">IF(ISNA(VLOOKUP($B26,'S. DE REUNIÃO'!$B$2:$J$25,8,0)),"",VLOOKUP($B26,'S. DE REUNIÃO'!$B$2:$J$25,8,0))</f>
        <v/>
      </c>
      <c r="X26" s="14" t="str">
        <f aca="false">IF(ISNA(VLOOKUP($B26,'S. DO VIGIA'!$B$2:$J$23,8,0)),"",VLOOKUP($B26,'S. DO VIGIA'!$B$2:$J$23,8,0))</f>
        <v/>
      </c>
      <c r="Y26" s="14" t="str">
        <f aca="false">IF(ISNA(VLOOKUP($B26,'WC SOCIAL FEM'!$B$2:$J$28,8,0)),"",VLOOKUP($B26,'WC SOCIAL FEM'!$B$2:$J$28,8,0))</f>
        <v/>
      </c>
      <c r="Z26" s="14" t="str">
        <f aca="false">IF(ISNA(VLOOKUP($B26,'WC SOCIAL MAS'!$B$2:$J$29,8,0)),"",VLOOKUP($B26,'WC SOCIAL MAS'!$B$2:$J$29,8,0))</f>
        <v/>
      </c>
      <c r="AA26" s="14" t="str">
        <f aca="false">IF(ISNA(VLOOKUP($B26,HIDRÁULICA!$B$2:$J$32,8,0)),"",VLOOKUP($B26,HIDRÁULICA!$B$2:$J$32,8,0))</f>
        <v/>
      </c>
    </row>
    <row r="27" customFormat="false" ht="28.35" hidden="false" customHeight="false" outlineLevel="0" collapsed="false">
      <c r="A27" s="15"/>
      <c r="B27" s="9" t="s">
        <v>108</v>
      </c>
      <c r="C27" s="10" t="s">
        <v>109</v>
      </c>
      <c r="D27" s="11" t="s">
        <v>110</v>
      </c>
      <c r="E27" s="12" t="s">
        <v>101</v>
      </c>
      <c r="F27" s="13" t="n">
        <f aca="false">ROUND(SUM(G27:AA27),2)</f>
        <v>5</v>
      </c>
      <c r="G27" s="14" t="str">
        <f aca="false">IF(ISNA(VLOOKUP($B27,'CORREDOR 01'!$B$2:$J$19,8,0)),"",VLOOKUP($B27,'CORREDOR 01'!$B$2:$J$19,8,0))</f>
        <v/>
      </c>
      <c r="H27" s="14" t="str">
        <f aca="false">IF(ISNA(VLOOKUP($B27,'CORREDOR O2'!$B$2:$J$22,8,0)),"",VLOOKUP($B27,'CORREDOR O2'!$B$2:$J$22,8,0))</f>
        <v/>
      </c>
      <c r="I27" s="14" t="str">
        <f aca="false">IF(ISNA(VLOOKUP($B27,'Á. DE VENTIL.'!$B$2:$J$20,8,0)),"",VLOOKUP($B27,'Á. DE VENTIL.'!$B$2:$J$20,8,0))</f>
        <v/>
      </c>
      <c r="J27" s="14" t="str">
        <f aca="false">IF(ISNA(VLOOKUP($B27,'Á. EXTER '!$B$2:$J$24,8,0)),"",VLOOKUP($B27,'Á. EXTER '!$B$2:$J$24,8,0))</f>
        <v/>
      </c>
      <c r="K27" s="14" t="n">
        <f aca="false">IF(ISNA(VLOOKUP($B27,'ÁREA DE CIR. EXTER.'!$B$2:$J$22,8,0)),"",VLOOKUP($B27,'ÁREA DE CIR. EXTER.'!$B$2:$J$22,8,0))</f>
        <v>5</v>
      </c>
      <c r="L27" s="14" t="str">
        <f aca="false">IF(ISNA(VLOOKUP($B27,AUDITÓRIO!$B$2:$J$14,8,0)),"",VLOOKUP($B27,AUDITÓRIO!$B$2:$J$14,8,0))</f>
        <v/>
      </c>
      <c r="M27" s="14" t="str">
        <f aca="false">IF(ISNA(VLOOKUP($B27,'AUD.   WC FEM'!$B$2:$J$14,8,0)),"",VLOOKUP($B27,'AUD.   WC FEM'!$B$2:$J$14,8,0))</f>
        <v/>
      </c>
      <c r="N27" s="14" t="str">
        <f aca="false">IF(ISNA(VLOOKUP($B27,'AUD.   WC MAS'!$B$2:$J$14,8,0)),"",VLOOKUP($B27,'AUD.   WC MAS'!$B$2:$J$14,8,0))</f>
        <v/>
      </c>
      <c r="O27" s="14" t="str">
        <f aca="false">IF(ISNA(VLOOKUP($B27,'COBERT.'!$B$2:$J$8,8,0)),"",VLOOKUP($B27,'COBERT.'!$B$2:$J$8,8,0))</f>
        <v/>
      </c>
      <c r="P27" s="14" t="str">
        <f aca="false">IF(ISNA(VLOOKUP($B27,COPA!$B$2:$J$31,8,0)),"",VLOOKUP($B27,COPA!$B$2:$J$31,8,0))</f>
        <v/>
      </c>
      <c r="Q27" s="14" t="str">
        <f aca="false">IF(ISNA(VLOOKUP($B27,RECEPÇÃO!$B$2:$J$24,8,0)),"",VLOOKUP($B27,RECEPÇÃO!$B$2:$J$24,8,0))</f>
        <v/>
      </c>
      <c r="R27" s="14" t="str">
        <f aca="false">IF(ISNA(VLOOKUP($B27,'S.  DA ADM.'!$B$2:$J$24,8,0)),"",VLOOKUP($B27,'S.  DA ADM.'!$B$2:$J$24,8,0))</f>
        <v/>
      </c>
      <c r="S27" s="14" t="str">
        <f aca="false">IF(ISNA(VLOOKUP($B27,'S.  DA ADM.   WC'!$B$2:$J$27,8,0)),"",VLOOKUP($B27,'S.  DA ADM.   WC'!$B$2:$J$27,8,0))</f>
        <v/>
      </c>
      <c r="T27" s="14" t="str">
        <f aca="false">IF(ISNA(VLOOKUP($B27,'S. DA ATER'!$B$2:$J$23,8,0)),"",VLOOKUP($B27,'S. DA ATER'!$B$2:$J$23,8,0))</f>
        <v/>
      </c>
      <c r="U27" s="14" t="str">
        <f aca="false">IF(ISNA(VLOOKUP($B27,'S. DA GERÊNCIA'!$B$2:$J$27,8,0)),"",VLOOKUP($B27,'S. DA GERÊNCIA'!$B$2:$J$27,8,0))</f>
        <v/>
      </c>
      <c r="V27" s="14" t="str">
        <f aca="false">IF(ISNA(VLOOKUP($B27,'S. DE ESPERA'!$B$2:$J$23,8,0)),"",VLOOKUP($B27,'S. DE ESPERA'!$B$2:$J$23,8,0))</f>
        <v/>
      </c>
      <c r="W27" s="14" t="str">
        <f aca="false">IF(ISNA(VLOOKUP($B27,'S. DE REUNIÃO'!$B$2:$J$25,8,0)),"",VLOOKUP($B27,'S. DE REUNIÃO'!$B$2:$J$25,8,0))</f>
        <v/>
      </c>
      <c r="X27" s="14" t="str">
        <f aca="false">IF(ISNA(VLOOKUP($B27,'S. DO VIGIA'!$B$2:$J$23,8,0)),"",VLOOKUP($B27,'S. DO VIGIA'!$B$2:$J$23,8,0))</f>
        <v/>
      </c>
      <c r="Y27" s="14" t="str">
        <f aca="false">IF(ISNA(VLOOKUP($B27,'WC SOCIAL FEM'!$B$2:$J$28,8,0)),"",VLOOKUP($B27,'WC SOCIAL FEM'!$B$2:$J$28,8,0))</f>
        <v/>
      </c>
      <c r="Z27" s="14" t="str">
        <f aca="false">IF(ISNA(VLOOKUP($B27,'WC SOCIAL MAS'!$B$2:$J$29,8,0)),"",VLOOKUP($B27,'WC SOCIAL MAS'!$B$2:$J$29,8,0))</f>
        <v/>
      </c>
      <c r="AA27" s="14" t="str">
        <f aca="false">IF(ISNA(VLOOKUP($B27,HIDRÁULICA!$B$2:$J$32,8,0)),"",VLOOKUP($B27,HIDRÁULICA!$B$2:$J$32,8,0))</f>
        <v/>
      </c>
    </row>
    <row r="28" customFormat="false" ht="41.75" hidden="false" customHeight="false" outlineLevel="0" collapsed="false">
      <c r="A28" s="15"/>
      <c r="B28" s="9" t="s">
        <v>111</v>
      </c>
      <c r="C28" s="10" t="s">
        <v>112</v>
      </c>
      <c r="D28" s="11" t="s">
        <v>113</v>
      </c>
      <c r="E28" s="12" t="s">
        <v>54</v>
      </c>
      <c r="F28" s="13" t="n">
        <f aca="false">ROUND(SUM(G28:AA28),2)</f>
        <v>0.23</v>
      </c>
      <c r="G28" s="14" t="str">
        <f aca="false">IF(ISNA(VLOOKUP($B28,'CORREDOR 01'!$B$2:$J$19,8,0)),"",VLOOKUP($B28,'CORREDOR 01'!$B$2:$J$19,8,0))</f>
        <v/>
      </c>
      <c r="H28" s="14" t="str">
        <f aca="false">IF(ISNA(VLOOKUP($B28,'CORREDOR O2'!$B$2:$J$22,8,0)),"",VLOOKUP($B28,'CORREDOR O2'!$B$2:$J$22,8,0))</f>
        <v/>
      </c>
      <c r="I28" s="14" t="n">
        <f aca="false">IF(ISNA(VLOOKUP($B28,'Á. DE VENTIL.'!$B$2:$J$20,8,0)),"",VLOOKUP($B28,'Á. DE VENTIL.'!$B$2:$J$20,8,0))</f>
        <v>0.2304</v>
      </c>
      <c r="J28" s="14" t="str">
        <f aca="false">IF(ISNA(VLOOKUP($B28,'Á. EXTER '!$B$2:$J$24,8,0)),"",VLOOKUP($B28,'Á. EXTER '!$B$2:$J$24,8,0))</f>
        <v/>
      </c>
      <c r="K28" s="14" t="str">
        <f aca="false">IF(ISNA(VLOOKUP($B28,'ÁREA DE CIR. EXTER.'!$B$2:$J$22,8,0)),"",VLOOKUP($B28,'ÁREA DE CIR. EXTER.'!$B$2:$J$22,8,0))</f>
        <v/>
      </c>
      <c r="L28" s="14" t="str">
        <f aca="false">IF(ISNA(VLOOKUP($B28,AUDITÓRIO!$B$2:$J$14,8,0)),"",VLOOKUP($B28,AUDITÓRIO!$B$2:$J$14,8,0))</f>
        <v/>
      </c>
      <c r="M28" s="14" t="str">
        <f aca="false">IF(ISNA(VLOOKUP($B28,'AUD.   WC FEM'!$B$2:$J$14,8,0)),"",VLOOKUP($B28,'AUD.   WC FEM'!$B$2:$J$14,8,0))</f>
        <v/>
      </c>
      <c r="N28" s="14" t="str">
        <f aca="false">IF(ISNA(VLOOKUP($B28,'AUD.   WC MAS'!$B$2:$J$14,8,0)),"",VLOOKUP($B28,'AUD.   WC MAS'!$B$2:$J$14,8,0))</f>
        <v/>
      </c>
      <c r="O28" s="14" t="str">
        <f aca="false">IF(ISNA(VLOOKUP($B28,'COBERT.'!$B$2:$J$8,8,0)),"",VLOOKUP($B28,'COBERT.'!$B$2:$J$8,8,0))</f>
        <v/>
      </c>
      <c r="P28" s="14" t="str">
        <f aca="false">IF(ISNA(VLOOKUP($B28,COPA!$B$2:$J$31,8,0)),"",VLOOKUP($B28,COPA!$B$2:$J$31,8,0))</f>
        <v/>
      </c>
      <c r="Q28" s="14" t="str">
        <f aca="false">IF(ISNA(VLOOKUP($B28,RECEPÇÃO!$B$2:$J$24,8,0)),"",VLOOKUP($B28,RECEPÇÃO!$B$2:$J$24,8,0))</f>
        <v/>
      </c>
      <c r="R28" s="14" t="str">
        <f aca="false">IF(ISNA(VLOOKUP($B28,'S.  DA ADM.'!$B$2:$J$24,8,0)),"",VLOOKUP($B28,'S.  DA ADM.'!$B$2:$J$24,8,0))</f>
        <v/>
      </c>
      <c r="S28" s="14" t="str">
        <f aca="false">IF(ISNA(VLOOKUP($B28,'S.  DA ADM.   WC'!$B$2:$J$27,8,0)),"",VLOOKUP($B28,'S.  DA ADM.   WC'!$B$2:$J$27,8,0))</f>
        <v/>
      </c>
      <c r="T28" s="14" t="str">
        <f aca="false">IF(ISNA(VLOOKUP($B28,'S. DA ATER'!$B$2:$J$23,8,0)),"",VLOOKUP($B28,'S. DA ATER'!$B$2:$J$23,8,0))</f>
        <v/>
      </c>
      <c r="U28" s="14" t="str">
        <f aca="false">IF(ISNA(VLOOKUP($B28,'S. DA GERÊNCIA'!$B$2:$J$27,8,0)),"",VLOOKUP($B28,'S. DA GERÊNCIA'!$B$2:$J$27,8,0))</f>
        <v/>
      </c>
      <c r="V28" s="14" t="str">
        <f aca="false">IF(ISNA(VLOOKUP($B28,'S. DE ESPERA'!$B$2:$J$23,8,0)),"",VLOOKUP($B28,'S. DE ESPERA'!$B$2:$J$23,8,0))</f>
        <v/>
      </c>
      <c r="W28" s="14" t="str">
        <f aca="false">IF(ISNA(VLOOKUP($B28,'S. DE REUNIÃO'!$B$2:$J$25,8,0)),"",VLOOKUP($B28,'S. DE REUNIÃO'!$B$2:$J$25,8,0))</f>
        <v/>
      </c>
      <c r="X28" s="14" t="str">
        <f aca="false">IF(ISNA(VLOOKUP($B28,'S. DO VIGIA'!$B$2:$J$23,8,0)),"",VLOOKUP($B28,'S. DO VIGIA'!$B$2:$J$23,8,0))</f>
        <v/>
      </c>
      <c r="Y28" s="14" t="str">
        <f aca="false">IF(ISNA(VLOOKUP($B28,'WC SOCIAL FEM'!$B$2:$J$28,8,0)),"",VLOOKUP($B28,'WC SOCIAL FEM'!$B$2:$J$28,8,0))</f>
        <v/>
      </c>
      <c r="Z28" s="14" t="str">
        <f aca="false">IF(ISNA(VLOOKUP($B28,'WC SOCIAL MAS'!$B$2:$J$29,8,0)),"",VLOOKUP($B28,'WC SOCIAL MAS'!$B$2:$J$29,8,0))</f>
        <v/>
      </c>
      <c r="AA28" s="14" t="str">
        <f aca="false">IF(ISNA(VLOOKUP($B28,HIDRÁULICA!$B$2:$J$32,8,0)),"",VLOOKUP($B28,HIDRÁULICA!$B$2:$J$32,8,0))</f>
        <v/>
      </c>
    </row>
    <row r="29" customFormat="false" ht="28.35" hidden="false" customHeight="false" outlineLevel="0" collapsed="false">
      <c r="A29" s="16" t="s">
        <v>114</v>
      </c>
      <c r="B29" s="9" t="s">
        <v>115</v>
      </c>
      <c r="C29" s="10" t="s">
        <v>116</v>
      </c>
      <c r="D29" s="11" t="s">
        <v>117</v>
      </c>
      <c r="E29" s="12" t="s">
        <v>33</v>
      </c>
      <c r="F29" s="13" t="n">
        <f aca="false">ROUND(SUM(G29:AA29),2)</f>
        <v>89.78</v>
      </c>
      <c r="G29" s="14" t="str">
        <f aca="false">IF(ISNA(VLOOKUP($B29,'CORREDOR 01'!$B$2:$J$19,8,0)),"",VLOOKUP($B29,'CORREDOR 01'!$B$2:$J$19,8,0))</f>
        <v/>
      </c>
      <c r="H29" s="14" t="str">
        <f aca="false">IF(ISNA(VLOOKUP($B29,'CORREDOR O2'!$B$2:$J$22,8,0)),"",VLOOKUP($B29,'CORREDOR O2'!$B$2:$J$22,8,0))</f>
        <v/>
      </c>
      <c r="I29" s="14" t="str">
        <f aca="false">IF(ISNA(VLOOKUP($B29,'Á. DE VENTIL.'!$B$2:$J$20,8,0)),"",VLOOKUP($B29,'Á. DE VENTIL.'!$B$2:$J$20,8,0))</f>
        <v/>
      </c>
      <c r="J29" s="14" t="n">
        <f aca="false">IF(ISNA(VLOOKUP($B29,'Á. EXTER '!$B$2:$J$24,8,0)),"",VLOOKUP($B29,'Á. EXTER '!$B$2:$J$24,8,0))</f>
        <v>81.8</v>
      </c>
      <c r="K29" s="14" t="str">
        <f aca="false">IF(ISNA(VLOOKUP($B29,'ÁREA DE CIR. EXTER.'!$B$2:$J$22,8,0)),"",VLOOKUP($B29,'ÁREA DE CIR. EXTER.'!$B$2:$J$22,8,0))</f>
        <v/>
      </c>
      <c r="L29" s="14" t="str">
        <f aca="false">IF(ISNA(VLOOKUP($B29,AUDITÓRIO!$B$2:$J$14,8,0)),"",VLOOKUP($B29,AUDITÓRIO!$B$2:$J$14,8,0))</f>
        <v/>
      </c>
      <c r="M29" s="14" t="str">
        <f aca="false">IF(ISNA(VLOOKUP($B29,'AUD.   WC FEM'!$B$2:$J$14,8,0)),"",VLOOKUP($B29,'AUD.   WC FEM'!$B$2:$J$14,8,0))</f>
        <v/>
      </c>
      <c r="N29" s="14" t="str">
        <f aca="false">IF(ISNA(VLOOKUP($B29,'AUD.   WC MAS'!$B$2:$J$14,8,0)),"",VLOOKUP($B29,'AUD.   WC MAS'!$B$2:$J$14,8,0))</f>
        <v/>
      </c>
      <c r="O29" s="14" t="str">
        <f aca="false">IF(ISNA(VLOOKUP($B29,'COBERT.'!$B$2:$J$8,8,0)),"",VLOOKUP($B29,'COBERT.'!$B$2:$J$8,8,0))</f>
        <v/>
      </c>
      <c r="P29" s="14" t="n">
        <f aca="false">IF(ISNA(VLOOKUP($B29,COPA!$B$2:$J$31,8,0)),"",VLOOKUP($B29,COPA!$B$2:$J$31,8,0))</f>
        <v>7.98</v>
      </c>
      <c r="Q29" s="14" t="str">
        <f aca="false">IF(ISNA(VLOOKUP($B29,RECEPÇÃO!$B$2:$J$24,8,0)),"",VLOOKUP($B29,RECEPÇÃO!$B$2:$J$24,8,0))</f>
        <v/>
      </c>
      <c r="R29" s="14" t="str">
        <f aca="false">IF(ISNA(VLOOKUP($B29,'S.  DA ADM.'!$B$2:$J$24,8,0)),"",VLOOKUP($B29,'S.  DA ADM.'!$B$2:$J$24,8,0))</f>
        <v/>
      </c>
      <c r="S29" s="14" t="str">
        <f aca="false">IF(ISNA(VLOOKUP($B29,'S.  DA ADM.   WC'!$B$2:$J$27,8,0)),"",VLOOKUP($B29,'S.  DA ADM.   WC'!$B$2:$J$27,8,0))</f>
        <v/>
      </c>
      <c r="T29" s="14" t="str">
        <f aca="false">IF(ISNA(VLOOKUP($B29,'S. DA ATER'!$B$2:$J$23,8,0)),"",VLOOKUP($B29,'S. DA ATER'!$B$2:$J$23,8,0))</f>
        <v/>
      </c>
      <c r="U29" s="14" t="str">
        <f aca="false">IF(ISNA(VLOOKUP($B29,'S. DA GERÊNCIA'!$B$2:$J$27,8,0)),"",VLOOKUP($B29,'S. DA GERÊNCIA'!$B$2:$J$27,8,0))</f>
        <v/>
      </c>
      <c r="V29" s="14" t="str">
        <f aca="false">IF(ISNA(VLOOKUP($B29,'S. DE ESPERA'!$B$2:$J$23,8,0)),"",VLOOKUP($B29,'S. DE ESPERA'!$B$2:$J$23,8,0))</f>
        <v/>
      </c>
      <c r="W29" s="14" t="str">
        <f aca="false">IF(ISNA(VLOOKUP($B29,'S. DE REUNIÃO'!$B$2:$J$25,8,0)),"",VLOOKUP($B29,'S. DE REUNIÃO'!$B$2:$J$25,8,0))</f>
        <v/>
      </c>
      <c r="X29" s="14" t="str">
        <f aca="false">IF(ISNA(VLOOKUP($B29,'S. DO VIGIA'!$B$2:$J$23,8,0)),"",VLOOKUP($B29,'S. DO VIGIA'!$B$2:$J$23,8,0))</f>
        <v/>
      </c>
      <c r="Y29" s="14" t="str">
        <f aca="false">IF(ISNA(VLOOKUP($B29,'WC SOCIAL FEM'!$B$2:$J$28,8,0)),"",VLOOKUP($B29,'WC SOCIAL FEM'!$B$2:$J$28,8,0))</f>
        <v/>
      </c>
      <c r="Z29" s="14" t="str">
        <f aca="false">IF(ISNA(VLOOKUP($B29,'WC SOCIAL MAS'!$B$2:$J$29,8,0)),"",VLOOKUP($B29,'WC SOCIAL MAS'!$B$2:$J$29,8,0))</f>
        <v/>
      </c>
      <c r="AA29" s="14" t="str">
        <f aca="false">IF(ISNA(VLOOKUP($B29,HIDRÁULICA!$B$2:$J$32,8,0)),"",VLOOKUP($B29,HIDRÁULICA!$B$2:$J$32,8,0))</f>
        <v/>
      </c>
    </row>
    <row r="30" customFormat="false" ht="28.8" hidden="false" customHeight="true" outlineLevel="0" collapsed="false">
      <c r="A30" s="9" t="s">
        <v>118</v>
      </c>
      <c r="B30" s="9" t="s">
        <v>119</v>
      </c>
      <c r="C30" s="10" t="s">
        <v>120</v>
      </c>
      <c r="D30" s="11" t="s">
        <v>121</v>
      </c>
      <c r="E30" s="12" t="s">
        <v>33</v>
      </c>
      <c r="F30" s="13" t="n">
        <f aca="false">ROUND(SUM(G30:AA30),2)</f>
        <v>175.44</v>
      </c>
      <c r="G30" s="14" t="n">
        <f aca="false">IF(ISNA(VLOOKUP($B30,'CORREDOR 01'!$B$2:$J$19,8,0)),"",VLOOKUP($B30,'CORREDOR 01'!$B$2:$J$19,8,0))</f>
        <v>13.09</v>
      </c>
      <c r="H30" s="14" t="n">
        <f aca="false">IF(ISNA(VLOOKUP($B30,'CORREDOR O2'!$B$2:$J$22,8,0)),"",VLOOKUP($B30,'CORREDOR O2'!$B$2:$J$22,8,0))</f>
        <v>14.42</v>
      </c>
      <c r="I30" s="14" t="n">
        <f aca="false">IF(ISNA(VLOOKUP($B30,'Á. DE VENTIL.'!$B$2:$J$20,8,0)),"",VLOOKUP($B30,'Á. DE VENTIL.'!$B$2:$J$20,8,0))</f>
        <v>14.4</v>
      </c>
      <c r="J30" s="14" t="str">
        <f aca="false">IF(ISNA(VLOOKUP($B30,'Á. EXTER '!$B$2:$J$24,8,0)),"",VLOOKUP($B30,'Á. EXTER '!$B$2:$J$24,8,0))</f>
        <v/>
      </c>
      <c r="K30" s="14" t="n">
        <f aca="false">IF(ISNA(VLOOKUP($B30,'ÁREA DE CIR. EXTER.'!$B$2:$J$22,8,0)),"",VLOOKUP($B30,'ÁREA DE CIR. EXTER.'!$B$2:$J$22,8,0))</f>
        <v>43.36</v>
      </c>
      <c r="L30" s="14" t="str">
        <f aca="false">IF(ISNA(VLOOKUP($B30,AUDITÓRIO!$B$2:$J$14,8,0)),"",VLOOKUP($B30,AUDITÓRIO!$B$2:$J$14,8,0))</f>
        <v/>
      </c>
      <c r="M30" s="14" t="str">
        <f aca="false">IF(ISNA(VLOOKUP($B30,'AUD.   WC FEM'!$B$2:$J$14,8,0)),"",VLOOKUP($B30,'AUD.   WC FEM'!$B$2:$J$14,8,0))</f>
        <v/>
      </c>
      <c r="N30" s="14" t="str">
        <f aca="false">IF(ISNA(VLOOKUP($B30,'AUD.   WC MAS'!$B$2:$J$14,8,0)),"",VLOOKUP($B30,'AUD.   WC MAS'!$B$2:$J$14,8,0))</f>
        <v/>
      </c>
      <c r="O30" s="14" t="str">
        <f aca="false">IF(ISNA(VLOOKUP($B30,'COBERT.'!$B$2:$J$8,8,0)),"",VLOOKUP($B30,'COBERT.'!$B$2:$J$8,8,0))</f>
        <v/>
      </c>
      <c r="P30" s="14" t="n">
        <f aca="false">IF(ISNA(VLOOKUP($B30,COPA!$B$2:$J$31,8,0)),"",VLOOKUP($B30,COPA!$B$2:$J$31,8,0))</f>
        <v>11.56</v>
      </c>
      <c r="Q30" s="14" t="n">
        <f aca="false">IF(ISNA(VLOOKUP($B30,RECEPÇÃO!$B$2:$J$24,8,0)),"",VLOOKUP($B30,RECEPÇÃO!$B$2:$J$24,8,0))</f>
        <v>10.22</v>
      </c>
      <c r="R30" s="14" t="n">
        <f aca="false">IF(ISNA(VLOOKUP($B30,'S.  DA ADM.'!$B$2:$J$24,8,0)),"",VLOOKUP($B30,'S.  DA ADM.'!$B$2:$J$24,8,0))</f>
        <v>9.8</v>
      </c>
      <c r="S30" s="14" t="n">
        <f aca="false">IF(ISNA(VLOOKUP($B30,'S.  DA ADM.   WC'!$B$2:$J$27,8,0)),"",VLOOKUP($B30,'S.  DA ADM.   WC'!$B$2:$J$27,8,0))</f>
        <v>4.76</v>
      </c>
      <c r="T30" s="14" t="n">
        <f aca="false">IF(ISNA(VLOOKUP($B30,'S. DA ATER'!$B$2:$J$23,8,0)),"",VLOOKUP($B30,'S. DA ATER'!$B$2:$J$23,8,0))</f>
        <v>10.01</v>
      </c>
      <c r="U30" s="14" t="n">
        <f aca="false">IF(ISNA(VLOOKUP($B30,'S. DA GERÊNCIA'!$B$2:$J$27,8,0)),"",VLOOKUP($B30,'S. DA GERÊNCIA'!$B$2:$J$27,8,0))</f>
        <v>8.47</v>
      </c>
      <c r="V30" s="14" t="n">
        <f aca="false">IF(ISNA(VLOOKUP($B30,'S. DE ESPERA'!$B$2:$J$23,8,0)),"",VLOOKUP($B30,'S. DE ESPERA'!$B$2:$J$23,8,0))</f>
        <v>7.77</v>
      </c>
      <c r="W30" s="14" t="n">
        <f aca="false">IF(ISNA(VLOOKUP($B30,'S. DE REUNIÃO'!$B$2:$J$25,8,0)),"",VLOOKUP($B30,'S. DE REUNIÃO'!$B$2:$J$25,8,0))</f>
        <v>9.8</v>
      </c>
      <c r="X30" s="14" t="n">
        <f aca="false">IF(ISNA(VLOOKUP($B30,'S. DO VIGIA'!$B$2:$J$23,8,0)),"",VLOOKUP($B30,'S. DO VIGIA'!$B$2:$J$23,8,0))</f>
        <v>8.26</v>
      </c>
      <c r="Y30" s="14" t="n">
        <f aca="false">IF(ISNA(VLOOKUP($B30,'WC SOCIAL FEM'!$B$2:$J$28,8,0)),"",VLOOKUP($B30,'WC SOCIAL FEM'!$B$2:$J$28,8,0))</f>
        <v>4.76</v>
      </c>
      <c r="Z30" s="14" t="n">
        <f aca="false">IF(ISNA(VLOOKUP($B30,'WC SOCIAL MAS'!$B$2:$J$29,8,0)),"",VLOOKUP($B30,'WC SOCIAL MAS'!$B$2:$J$29,8,0))</f>
        <v>4.76</v>
      </c>
      <c r="AA30" s="14" t="str">
        <f aca="false">IF(ISNA(VLOOKUP($B30,HIDRÁULICA!$B$2:$J$32,8,0)),"",VLOOKUP($B30,HIDRÁULICA!$B$2:$J$32,8,0))</f>
        <v/>
      </c>
    </row>
    <row r="31" customFormat="false" ht="55.2" hidden="false" customHeight="false" outlineLevel="0" collapsed="false">
      <c r="A31" s="9"/>
      <c r="B31" s="9" t="s">
        <v>122</v>
      </c>
      <c r="C31" s="10" t="s">
        <v>123</v>
      </c>
      <c r="D31" s="11" t="s">
        <v>124</v>
      </c>
      <c r="E31" s="12" t="s">
        <v>33</v>
      </c>
      <c r="F31" s="13" t="n">
        <f aca="false">ROUND(SUM(G31:AA31),2)</f>
        <v>290.68</v>
      </c>
      <c r="G31" s="14" t="str">
        <f aca="false">IF(ISNA(VLOOKUP($B31,'CORREDOR 01'!$B$2:$J$19,8,0)),"",VLOOKUP($B31,'CORREDOR 01'!$B$2:$J$19,8,0))</f>
        <v/>
      </c>
      <c r="H31" s="14" t="str">
        <f aca="false">IF(ISNA(VLOOKUP($B31,'CORREDOR O2'!$B$2:$J$22,8,0)),"",VLOOKUP($B31,'CORREDOR O2'!$B$2:$J$22,8,0))</f>
        <v/>
      </c>
      <c r="I31" s="14" t="str">
        <f aca="false">IF(ISNA(VLOOKUP($B31,'Á. DE VENTIL.'!$B$2:$J$20,8,0)),"",VLOOKUP($B31,'Á. DE VENTIL.'!$B$2:$J$20,8,0))</f>
        <v/>
      </c>
      <c r="J31" s="14" t="n">
        <f aca="false">IF(ISNA(VLOOKUP($B31,'Á. EXTER '!$B$2:$J$24,8,0)),"",VLOOKUP($B31,'Á. EXTER '!$B$2:$J$24,8,0))</f>
        <v>232.24</v>
      </c>
      <c r="K31" s="14" t="n">
        <f aca="false">IF(ISNA(VLOOKUP($B31,'ÁREA DE CIR. EXTER.'!$B$2:$J$22,8,0)),"",VLOOKUP($B31,'ÁREA DE CIR. EXTER.'!$B$2:$J$22,8,0))</f>
        <v>58.44</v>
      </c>
      <c r="L31" s="14" t="str">
        <f aca="false">IF(ISNA(VLOOKUP($B31,AUDITÓRIO!$B$2:$J$14,8,0)),"",VLOOKUP($B31,AUDITÓRIO!$B$2:$J$14,8,0))</f>
        <v/>
      </c>
      <c r="M31" s="14" t="str">
        <f aca="false">IF(ISNA(VLOOKUP($B31,'AUD.   WC FEM'!$B$2:$J$14,8,0)),"",VLOOKUP($B31,'AUD.   WC FEM'!$B$2:$J$14,8,0))</f>
        <v/>
      </c>
      <c r="N31" s="14" t="str">
        <f aca="false">IF(ISNA(VLOOKUP($B31,'AUD.   WC MAS'!$B$2:$J$14,8,0)),"",VLOOKUP($B31,'AUD.   WC MAS'!$B$2:$J$14,8,0))</f>
        <v/>
      </c>
      <c r="O31" s="14" t="str">
        <f aca="false">IF(ISNA(VLOOKUP($B31,'COBERT.'!$B$2:$J$8,8,0)),"",VLOOKUP($B31,'COBERT.'!$B$2:$J$8,8,0))</f>
        <v/>
      </c>
      <c r="P31" s="14" t="str">
        <f aca="false">IF(ISNA(VLOOKUP($B31,COPA!$B$2:$J$31,8,0)),"",VLOOKUP($B31,COPA!$B$2:$J$31,8,0))</f>
        <v/>
      </c>
      <c r="Q31" s="14" t="str">
        <f aca="false">IF(ISNA(VLOOKUP($B31,RECEPÇÃO!$B$2:$J$24,8,0)),"",VLOOKUP($B31,RECEPÇÃO!$B$2:$J$24,8,0))</f>
        <v/>
      </c>
      <c r="R31" s="14" t="str">
        <f aca="false">IF(ISNA(VLOOKUP($B31,'S.  DA ADM.'!$B$2:$J$24,8,0)),"",VLOOKUP($B31,'S.  DA ADM.'!$B$2:$J$24,8,0))</f>
        <v/>
      </c>
      <c r="S31" s="14" t="str">
        <f aca="false">IF(ISNA(VLOOKUP($B31,'S.  DA ADM.   WC'!$B$2:$J$27,8,0)),"",VLOOKUP($B31,'S.  DA ADM.   WC'!$B$2:$J$27,8,0))</f>
        <v/>
      </c>
      <c r="T31" s="14" t="str">
        <f aca="false">IF(ISNA(VLOOKUP($B31,'S. DA ATER'!$B$2:$J$23,8,0)),"",VLOOKUP($B31,'S. DA ATER'!$B$2:$J$23,8,0))</f>
        <v/>
      </c>
      <c r="U31" s="14" t="str">
        <f aca="false">IF(ISNA(VLOOKUP($B31,'S. DA GERÊNCIA'!$B$2:$J$27,8,0)),"",VLOOKUP($B31,'S. DA GERÊNCIA'!$B$2:$J$27,8,0))</f>
        <v/>
      </c>
      <c r="V31" s="14" t="str">
        <f aca="false">IF(ISNA(VLOOKUP($B31,'S. DE ESPERA'!$B$2:$J$23,8,0)),"",VLOOKUP($B31,'S. DE ESPERA'!$B$2:$J$23,8,0))</f>
        <v/>
      </c>
      <c r="W31" s="14" t="str">
        <f aca="false">IF(ISNA(VLOOKUP($B31,'S. DE REUNIÃO'!$B$2:$J$25,8,0)),"",VLOOKUP($B31,'S. DE REUNIÃO'!$B$2:$J$25,8,0))</f>
        <v/>
      </c>
      <c r="X31" s="14" t="str">
        <f aca="false">IF(ISNA(VLOOKUP($B31,'S. DO VIGIA'!$B$2:$J$23,8,0)),"",VLOOKUP($B31,'S. DO VIGIA'!$B$2:$J$23,8,0))</f>
        <v/>
      </c>
      <c r="Y31" s="14" t="str">
        <f aca="false">IF(ISNA(VLOOKUP($B31,'WC SOCIAL FEM'!$B$2:$J$28,8,0)),"",VLOOKUP($B31,'WC SOCIAL FEM'!$B$2:$J$28,8,0))</f>
        <v/>
      </c>
      <c r="Z31" s="14" t="str">
        <f aca="false">IF(ISNA(VLOOKUP($B31,'WC SOCIAL MAS'!$B$2:$J$29,8,0)),"",VLOOKUP($B31,'WC SOCIAL MAS'!$B$2:$J$29,8,0))</f>
        <v/>
      </c>
      <c r="AA31" s="14" t="str">
        <f aca="false">IF(ISNA(VLOOKUP($B31,HIDRÁULICA!$B$2:$J$32,8,0)),"",VLOOKUP($B31,HIDRÁULICA!$B$2:$J$32,8,0))</f>
        <v/>
      </c>
    </row>
    <row r="32" customFormat="false" ht="41.75" hidden="false" customHeight="false" outlineLevel="0" collapsed="false">
      <c r="A32" s="9"/>
      <c r="B32" s="9" t="s">
        <v>125</v>
      </c>
      <c r="C32" s="10" t="s">
        <v>126</v>
      </c>
      <c r="D32" s="11" t="s">
        <v>127</v>
      </c>
      <c r="E32" s="12" t="s">
        <v>33</v>
      </c>
      <c r="F32" s="13" t="n">
        <f aca="false">ROUND(SUM(G32:AA32),2)</f>
        <v>466.12</v>
      </c>
      <c r="G32" s="14" t="n">
        <f aca="false">IF(ISNA(VLOOKUP($B32,'CORREDOR 01'!$B$2:$J$19,8,0)),"",VLOOKUP($B32,'CORREDOR 01'!$B$2:$J$19,8,0))</f>
        <v>13.09</v>
      </c>
      <c r="H32" s="14" t="n">
        <f aca="false">IF(ISNA(VLOOKUP($B32,'CORREDOR O2'!$B$2:$J$22,8,0)),"",VLOOKUP($B32,'CORREDOR O2'!$B$2:$J$22,8,0))</f>
        <v>14.42</v>
      </c>
      <c r="I32" s="14" t="n">
        <f aca="false">IF(ISNA(VLOOKUP($B32,'Á. DE VENTIL.'!$B$2:$J$20,8,0)),"",VLOOKUP($B32,'Á. DE VENTIL.'!$B$2:$J$20,8,0))</f>
        <v>14.4</v>
      </c>
      <c r="J32" s="14" t="n">
        <f aca="false">IF(ISNA(VLOOKUP($B32,'Á. EXTER '!$B$2:$J$24,8,0)),"",VLOOKUP($B32,'Á. EXTER '!$B$2:$J$24,8,0))</f>
        <v>232.24</v>
      </c>
      <c r="K32" s="14" t="n">
        <f aca="false">IF(ISNA(VLOOKUP($B32,'ÁREA DE CIR. EXTER.'!$B$2:$J$22,8,0)),"",VLOOKUP($B32,'ÁREA DE CIR. EXTER.'!$B$2:$J$22,8,0))</f>
        <v>101.8</v>
      </c>
      <c r="L32" s="14" t="str">
        <f aca="false">IF(ISNA(VLOOKUP($B32,AUDITÓRIO!$B$2:$J$14,8,0)),"",VLOOKUP($B32,AUDITÓRIO!$B$2:$J$14,8,0))</f>
        <v/>
      </c>
      <c r="M32" s="14" t="str">
        <f aca="false">IF(ISNA(VLOOKUP($B32,'AUD.   WC FEM'!$B$2:$J$14,8,0)),"",VLOOKUP($B32,'AUD.   WC FEM'!$B$2:$J$14,8,0))</f>
        <v/>
      </c>
      <c r="N32" s="14" t="str">
        <f aca="false">IF(ISNA(VLOOKUP($B32,'AUD.   WC MAS'!$B$2:$J$14,8,0)),"",VLOOKUP($B32,'AUD.   WC MAS'!$B$2:$J$14,8,0))</f>
        <v/>
      </c>
      <c r="O32" s="14" t="str">
        <f aca="false">IF(ISNA(VLOOKUP($B32,'COBERT.'!$B$2:$J$8,8,0)),"",VLOOKUP($B32,'COBERT.'!$B$2:$J$8,8,0))</f>
        <v/>
      </c>
      <c r="P32" s="14" t="n">
        <f aca="false">IF(ISNA(VLOOKUP($B32,COPA!$B$2:$J$31,8,0)),"",VLOOKUP($B32,COPA!$B$2:$J$31,8,0))</f>
        <v>11.56</v>
      </c>
      <c r="Q32" s="14" t="n">
        <f aca="false">IF(ISNA(VLOOKUP($B32,RECEPÇÃO!$B$2:$J$24,8,0)),"",VLOOKUP($B32,RECEPÇÃO!$B$2:$J$24,8,0))</f>
        <v>10.22</v>
      </c>
      <c r="R32" s="14" t="n">
        <f aca="false">IF(ISNA(VLOOKUP($B32,'S.  DA ADM.'!$B$2:$J$24,8,0)),"",VLOOKUP($B32,'S.  DA ADM.'!$B$2:$J$24,8,0))</f>
        <v>9.8</v>
      </c>
      <c r="S32" s="14" t="n">
        <f aca="false">IF(ISNA(VLOOKUP($B32,'S.  DA ADM.   WC'!$B$2:$J$27,8,0)),"",VLOOKUP($B32,'S.  DA ADM.   WC'!$B$2:$J$27,8,0))</f>
        <v>4.76</v>
      </c>
      <c r="T32" s="14" t="n">
        <f aca="false">IF(ISNA(VLOOKUP($B32,'S. DA ATER'!$B$2:$J$23,8,0)),"",VLOOKUP($B32,'S. DA ATER'!$B$2:$J$23,8,0))</f>
        <v>10.01</v>
      </c>
      <c r="U32" s="14" t="n">
        <f aca="false">IF(ISNA(VLOOKUP($B32,'S. DA GERÊNCIA'!$B$2:$J$27,8,0)),"",VLOOKUP($B32,'S. DA GERÊNCIA'!$B$2:$J$27,8,0))</f>
        <v>8.47</v>
      </c>
      <c r="V32" s="14" t="n">
        <f aca="false">IF(ISNA(VLOOKUP($B32,'S. DE ESPERA'!$B$2:$J$23,8,0)),"",VLOOKUP($B32,'S. DE ESPERA'!$B$2:$J$23,8,0))</f>
        <v>7.77</v>
      </c>
      <c r="W32" s="14" t="n">
        <f aca="false">IF(ISNA(VLOOKUP($B32,'S. DE REUNIÃO'!$B$2:$J$25,8,0)),"",VLOOKUP($B32,'S. DE REUNIÃO'!$B$2:$J$25,8,0))</f>
        <v>9.8</v>
      </c>
      <c r="X32" s="14" t="n">
        <f aca="false">IF(ISNA(VLOOKUP($B32,'S. DO VIGIA'!$B$2:$J$23,8,0)),"",VLOOKUP($B32,'S. DO VIGIA'!$B$2:$J$23,8,0))</f>
        <v>8.26</v>
      </c>
      <c r="Y32" s="14" t="n">
        <f aca="false">IF(ISNA(VLOOKUP($B32,'WC SOCIAL FEM'!$B$2:$J$28,8,0)),"",VLOOKUP($B32,'WC SOCIAL FEM'!$B$2:$J$28,8,0))</f>
        <v>4.76</v>
      </c>
      <c r="Z32" s="14" t="n">
        <f aca="false">IF(ISNA(VLOOKUP($B32,'WC SOCIAL MAS'!$B$2:$J$29,8,0)),"",VLOOKUP($B32,'WC SOCIAL MAS'!$B$2:$J$29,8,0))</f>
        <v>4.76</v>
      </c>
      <c r="AA32" s="14" t="str">
        <f aca="false">IF(ISNA(VLOOKUP($B32,HIDRÁULICA!$B$2:$J$32,8,0)),"",VLOOKUP($B32,HIDRÁULICA!$B$2:$J$32,8,0))</f>
        <v/>
      </c>
    </row>
    <row r="33" customFormat="false" ht="55.2" hidden="false" customHeight="false" outlineLevel="0" collapsed="false">
      <c r="A33" s="9"/>
      <c r="B33" s="9" t="s">
        <v>128</v>
      </c>
      <c r="C33" s="17" t="s">
        <v>129</v>
      </c>
      <c r="D33" s="11" t="s">
        <v>130</v>
      </c>
      <c r="E33" s="12" t="s">
        <v>33</v>
      </c>
      <c r="F33" s="13" t="n">
        <f aca="false">ROUND(SUM(G33:AA33),2)</f>
        <v>79.11</v>
      </c>
      <c r="G33" s="14" t="str">
        <f aca="false">IF(ISNA(VLOOKUP($B33,'CORREDOR 01'!$B$2:$J$19,8,0)),"",VLOOKUP($B33,'CORREDOR 01'!$B$2:$J$19,8,0))</f>
        <v/>
      </c>
      <c r="H33" s="14" t="str">
        <f aca="false">IF(ISNA(VLOOKUP($B33,'CORREDOR O2'!$B$2:$J$22,8,0)),"",VLOOKUP($B33,'CORREDOR O2'!$B$2:$J$22,8,0))</f>
        <v/>
      </c>
      <c r="I33" s="14" t="str">
        <f aca="false">IF(ISNA(VLOOKUP($B33,'Á. DE VENTIL.'!$B$2:$J$20,8,0)),"",VLOOKUP($B33,'Á. DE VENTIL.'!$B$2:$J$20,8,0))</f>
        <v/>
      </c>
      <c r="J33" s="14" t="str">
        <f aca="false">IF(ISNA(VLOOKUP($B33,'Á. EXTER '!$B$2:$J$24,8,0)),"",VLOOKUP($B33,'Á. EXTER '!$B$2:$J$24,8,0))</f>
        <v/>
      </c>
      <c r="K33" s="14" t="str">
        <f aca="false">IF(ISNA(VLOOKUP($B33,'ÁREA DE CIR. EXTER.'!$B$2:$J$22,8,0)),"",VLOOKUP($B33,'ÁREA DE CIR. EXTER.'!$B$2:$J$22,8,0))</f>
        <v/>
      </c>
      <c r="L33" s="14" t="str">
        <f aca="false">IF(ISNA(VLOOKUP($B33,AUDITÓRIO!$B$2:$J$14,8,0)),"",VLOOKUP($B33,AUDITÓRIO!$B$2:$J$14,8,0))</f>
        <v/>
      </c>
      <c r="M33" s="14" t="n">
        <f aca="false">IF(ISNA(VLOOKUP($B33,'AUD.   WC FEM'!$B$2:$J$14,8,0)),"",VLOOKUP($B33,'AUD.   WC FEM'!$B$2:$J$14,8,0))</f>
        <v>13.2</v>
      </c>
      <c r="N33" s="14" t="n">
        <f aca="false">IF(ISNA(VLOOKUP($B33,'AUD.   WC MAS'!$B$2:$J$14,8,0)),"",VLOOKUP($B33,'AUD.   WC MAS'!$B$2:$J$14,8,0))</f>
        <v>13.2</v>
      </c>
      <c r="O33" s="14" t="str">
        <f aca="false">IF(ISNA(VLOOKUP($B33,'COBERT.'!$B$2:$J$8,8,0)),"",VLOOKUP($B33,'COBERT.'!$B$2:$J$8,8,0))</f>
        <v/>
      </c>
      <c r="P33" s="14" t="n">
        <f aca="false">IF(ISNA(VLOOKUP($B33,COPA!$B$2:$J$31,8,0)),"",VLOOKUP($B33,COPA!$B$2:$J$31,8,0))</f>
        <v>6.0888</v>
      </c>
      <c r="Q33" s="14" t="str">
        <f aca="false">IF(ISNA(VLOOKUP($B33,RECEPÇÃO!$B$2:$J$24,8,0)),"",VLOOKUP($B33,RECEPÇÃO!$B$2:$J$24,8,0))</f>
        <v/>
      </c>
      <c r="R33" s="14" t="str">
        <f aca="false">IF(ISNA(VLOOKUP($B33,'S.  DA ADM.'!$B$2:$J$24,8,0)),"",VLOOKUP($B33,'S.  DA ADM.'!$B$2:$J$24,8,0))</f>
        <v/>
      </c>
      <c r="S33" s="14" t="n">
        <f aca="false">IF(ISNA(VLOOKUP($B33,'S.  DA ADM.   WC'!$B$2:$J$27,8,0)),"",VLOOKUP($B33,'S.  DA ADM.   WC'!$B$2:$J$27,8,0))</f>
        <v>15.1962</v>
      </c>
      <c r="T33" s="14" t="str">
        <f aca="false">IF(ISNA(VLOOKUP($B33,'S. DA ATER'!$B$2:$J$23,8,0)),"",VLOOKUP($B33,'S. DA ATER'!$B$2:$J$23,8,0))</f>
        <v/>
      </c>
      <c r="U33" s="14" t="str">
        <f aca="false">IF(ISNA(VLOOKUP($B33,'S. DA GERÊNCIA'!$B$2:$J$27,8,0)),"",VLOOKUP($B33,'S. DA GERÊNCIA'!$B$2:$J$27,8,0))</f>
        <v/>
      </c>
      <c r="V33" s="14" t="str">
        <f aca="false">IF(ISNA(VLOOKUP($B33,'S. DE ESPERA'!$B$2:$J$23,8,0)),"",VLOOKUP($B33,'S. DE ESPERA'!$B$2:$J$23,8,0))</f>
        <v/>
      </c>
      <c r="W33" s="14" t="str">
        <f aca="false">IF(ISNA(VLOOKUP($B33,'S. DE REUNIÃO'!$B$2:$J$25,8,0)),"",VLOOKUP($B33,'S. DE REUNIÃO'!$B$2:$J$25,8,0))</f>
        <v/>
      </c>
      <c r="X33" s="14" t="str">
        <f aca="false">IF(ISNA(VLOOKUP($B33,'S. DO VIGIA'!$B$2:$J$23,8,0)),"",VLOOKUP($B33,'S. DO VIGIA'!$B$2:$J$23,8,0))</f>
        <v/>
      </c>
      <c r="Y33" s="14" t="n">
        <f aca="false">IF(ISNA(VLOOKUP($B33,'WC SOCIAL FEM'!$B$2:$J$28,8,0)),"",VLOOKUP($B33,'WC SOCIAL FEM'!$B$2:$J$28,8,0))</f>
        <v>15.7122</v>
      </c>
      <c r="Z33" s="14" t="n">
        <f aca="false">IF(ISNA(VLOOKUP($B33,'WC SOCIAL MAS'!$B$2:$J$29,8,0)),"",VLOOKUP($B33,'WC SOCIAL MAS'!$B$2:$J$29,8,0))</f>
        <v>15.7122</v>
      </c>
      <c r="AA33" s="14" t="str">
        <f aca="false">IF(ISNA(VLOOKUP($B33,HIDRÁULICA!$B$2:$J$32,8,0)),"",VLOOKUP($B33,HIDRÁULICA!$B$2:$J$32,8,0))</f>
        <v/>
      </c>
    </row>
    <row r="34" customFormat="false" ht="30" hidden="false" customHeight="true" outlineLevel="0" collapsed="false">
      <c r="A34" s="18" t="s">
        <v>131</v>
      </c>
      <c r="B34" s="9" t="s">
        <v>132</v>
      </c>
      <c r="C34" s="10" t="s">
        <v>133</v>
      </c>
      <c r="D34" s="11" t="s">
        <v>134</v>
      </c>
      <c r="E34" s="12" t="s">
        <v>43</v>
      </c>
      <c r="F34" s="13" t="n">
        <f aca="false">ROUND(SUM(G34:AA34),2)</f>
        <v>10.58</v>
      </c>
      <c r="G34" s="14" t="str">
        <f aca="false">IF(ISNA(VLOOKUP($B34,'CORREDOR 01'!$B$2:$J$19,8,0)),"",VLOOKUP($B34,'CORREDOR 01'!$B$2:$J$19,8,0))</f>
        <v/>
      </c>
      <c r="H34" s="14" t="str">
        <f aca="false">IF(ISNA(VLOOKUP($B34,'CORREDOR O2'!$B$2:$J$22,8,0)),"",VLOOKUP($B34,'CORREDOR O2'!$B$2:$J$22,8,0))</f>
        <v/>
      </c>
      <c r="I34" s="14" t="n">
        <f aca="false">IF(ISNA(VLOOKUP($B34,'Á. DE VENTIL.'!$B$2:$J$20,8,0)),"",VLOOKUP($B34,'Á. DE VENTIL.'!$B$2:$J$20,8,0))</f>
        <v>1.06</v>
      </c>
      <c r="J34" s="14" t="str">
        <f aca="false">IF(ISNA(VLOOKUP($B34,'Á. EXTER '!$B$2:$J$24,8,0)),"",VLOOKUP($B34,'Á. EXTER '!$B$2:$J$24,8,0))</f>
        <v/>
      </c>
      <c r="K34" s="14" t="str">
        <f aca="false">IF(ISNA(VLOOKUP($B34,'ÁREA DE CIR. EXTER.'!$B$2:$J$22,8,0)),"",VLOOKUP($B34,'ÁREA DE CIR. EXTER.'!$B$2:$J$22,8,0))</f>
        <v/>
      </c>
      <c r="L34" s="14" t="str">
        <f aca="false">IF(ISNA(VLOOKUP($B34,AUDITÓRIO!$B$2:$J$14,8,0)),"",VLOOKUP($B34,AUDITÓRIO!$B$2:$J$14,8,0))</f>
        <v/>
      </c>
      <c r="M34" s="14" t="str">
        <f aca="false">IF(ISNA(VLOOKUP($B34,'AUD.   WC FEM'!$B$2:$J$14,8,0)),"",VLOOKUP($B34,'AUD.   WC FEM'!$B$2:$J$14,8,0))</f>
        <v/>
      </c>
      <c r="N34" s="14" t="str">
        <f aca="false">IF(ISNA(VLOOKUP($B34,'AUD.   WC MAS'!$B$2:$J$14,8,0)),"",VLOOKUP($B34,'AUD.   WC MAS'!$B$2:$J$14,8,0))</f>
        <v/>
      </c>
      <c r="O34" s="14" t="str">
        <f aca="false">IF(ISNA(VLOOKUP($B34,'COBERT.'!$B$2:$J$8,8,0)),"",VLOOKUP($B34,'COBERT.'!$B$2:$J$8,8,0))</f>
        <v/>
      </c>
      <c r="P34" s="14" t="n">
        <f aca="false">IF(ISNA(VLOOKUP($B34,COPA!$B$2:$J$31,8,0)),"",VLOOKUP($B34,COPA!$B$2:$J$31,8,0))</f>
        <v>1.724</v>
      </c>
      <c r="Q34" s="14" t="n">
        <f aca="false">IF(ISNA(VLOOKUP($B34,RECEPÇÃO!$B$2:$J$24,8,0)),"",VLOOKUP($B34,RECEPÇÃO!$B$2:$J$24,8,0))</f>
        <v>0.86</v>
      </c>
      <c r="R34" s="14" t="n">
        <f aca="false">IF(ISNA(VLOOKUP($B34,'S.  DA ADM.'!$B$2:$J$24,8,0)),"",VLOOKUP($B34,'S.  DA ADM.'!$B$2:$J$24,8,0))</f>
        <v>1.52</v>
      </c>
      <c r="S34" s="14" t="n">
        <f aca="false">IF(ISNA(VLOOKUP($B34,'S.  DA ADM.   WC'!$B$2:$J$27,8,0)),"",VLOOKUP($B34,'S.  DA ADM.   WC'!$B$2:$J$27,8,0))</f>
        <v>0.66</v>
      </c>
      <c r="T34" s="14" t="n">
        <f aca="false">IF(ISNA(VLOOKUP($B34,'S. DA ATER'!$B$2:$J$23,8,0)),"",VLOOKUP($B34,'S. DA ATER'!$B$2:$J$23,8,0))</f>
        <v>0.86</v>
      </c>
      <c r="U34" s="14" t="n">
        <f aca="false">IF(ISNA(VLOOKUP($B34,'S. DA GERÊNCIA'!$B$2:$J$27,8,0)),"",VLOOKUP($B34,'S. DA GERÊNCIA'!$B$2:$J$27,8,0))</f>
        <v>0.86</v>
      </c>
      <c r="V34" s="14" t="str">
        <f aca="false">IF(ISNA(VLOOKUP($B34,'S. DE ESPERA'!$B$2:$J$23,8,0)),"",VLOOKUP($B34,'S. DE ESPERA'!$B$2:$J$23,8,0))</f>
        <v/>
      </c>
      <c r="W34" s="14" t="n">
        <f aca="false">IF(ISNA(VLOOKUP($B34,'S. DE REUNIÃO'!$B$2:$J$25,8,0)),"",VLOOKUP($B34,'S. DE REUNIÃO'!$B$2:$J$25,8,0))</f>
        <v>0.86</v>
      </c>
      <c r="X34" s="14" t="n">
        <f aca="false">IF(ISNA(VLOOKUP($B34,'S. DO VIGIA'!$B$2:$J$23,8,0)),"",VLOOKUP($B34,'S. DO VIGIA'!$B$2:$J$23,8,0))</f>
        <v>0.86</v>
      </c>
      <c r="Y34" s="14" t="n">
        <f aca="false">IF(ISNA(VLOOKUP($B34,'WC SOCIAL FEM'!$B$2:$J$28,8,0)),"",VLOOKUP($B34,'WC SOCIAL FEM'!$B$2:$J$28,8,0))</f>
        <v>0.66</v>
      </c>
      <c r="Z34" s="14" t="n">
        <f aca="false">IF(ISNA(VLOOKUP($B34,'WC SOCIAL MAS'!$B$2:$J$29,8,0)),"",VLOOKUP($B34,'WC SOCIAL MAS'!$B$2:$J$29,8,0))</f>
        <v>0.66</v>
      </c>
      <c r="AA34" s="14" t="str">
        <f aca="false">IF(ISNA(VLOOKUP($B34,HIDRÁULICA!$B$2:$J$32,8,0)),"",VLOOKUP($B34,HIDRÁULICA!$B$2:$J$32,8,0))</f>
        <v/>
      </c>
    </row>
    <row r="35" customFormat="false" ht="28.35" hidden="false" customHeight="false" outlineLevel="0" collapsed="false">
      <c r="A35" s="18"/>
      <c r="B35" s="9" t="s">
        <v>135</v>
      </c>
      <c r="C35" s="10" t="s">
        <v>136</v>
      </c>
      <c r="D35" s="11" t="s">
        <v>137</v>
      </c>
      <c r="E35" s="12" t="s">
        <v>43</v>
      </c>
      <c r="F35" s="13" t="n">
        <f aca="false">ROUND(SUM(G35:AA35),2)</f>
        <v>137</v>
      </c>
      <c r="G35" s="14" t="n">
        <f aca="false">IF(ISNA(VLOOKUP($B35,'CORREDOR 01'!$B$2:$J$19,8,0)),"",VLOOKUP($B35,'CORREDOR 01'!$B$2:$J$19,8,0))</f>
        <v>18.7</v>
      </c>
      <c r="H35" s="14" t="n">
        <f aca="false">IF(ISNA(VLOOKUP($B35,'CORREDOR O2'!$B$2:$J$22,8,0)),"",VLOOKUP($B35,'CORREDOR O2'!$B$2:$J$22,8,0))</f>
        <v>12</v>
      </c>
      <c r="I35" s="14" t="n">
        <f aca="false">IF(ISNA(VLOOKUP($B35,'Á. DE VENTIL.'!$B$2:$J$20,8,0)),"",VLOOKUP($B35,'Á. DE VENTIL.'!$B$2:$J$20,8,0))</f>
        <v>14.4</v>
      </c>
      <c r="J35" s="14" t="str">
        <f aca="false">IF(ISNA(VLOOKUP($B35,'Á. EXTER '!$B$2:$J$24,8,0)),"",VLOOKUP($B35,'Á. EXTER '!$B$2:$J$24,8,0))</f>
        <v/>
      </c>
      <c r="K35" s="14" t="str">
        <f aca="false">IF(ISNA(VLOOKUP($B35,'ÁREA DE CIR. EXTER.'!$B$2:$J$22,8,0)),"",VLOOKUP($B35,'ÁREA DE CIR. EXTER.'!$B$2:$J$22,8,0))</f>
        <v/>
      </c>
      <c r="L35" s="14" t="str">
        <f aca="false">IF(ISNA(VLOOKUP($B35,AUDITÓRIO!$B$2:$J$14,8,0)),"",VLOOKUP($B35,AUDITÓRIO!$B$2:$J$14,8,0))</f>
        <v/>
      </c>
      <c r="M35" s="14" t="str">
        <f aca="false">IF(ISNA(VLOOKUP($B35,'AUD.   WC FEM'!$B$2:$J$14,8,0)),"",VLOOKUP($B35,'AUD.   WC FEM'!$B$2:$J$14,8,0))</f>
        <v/>
      </c>
      <c r="N35" s="14" t="str">
        <f aca="false">IF(ISNA(VLOOKUP($B35,'AUD.   WC MAS'!$B$2:$J$14,8,0)),"",VLOOKUP($B35,'AUD.   WC MAS'!$B$2:$J$14,8,0))</f>
        <v/>
      </c>
      <c r="O35" s="14" t="str">
        <f aca="false">IF(ISNA(VLOOKUP($B35,'COBERT.'!$B$2:$J$8,8,0)),"",VLOOKUP($B35,'COBERT.'!$B$2:$J$8,8,0))</f>
        <v/>
      </c>
      <c r="P35" s="14" t="str">
        <f aca="false">IF(ISNA(VLOOKUP($B35,COPA!$B$2:$J$31,8,0)),"",VLOOKUP($B35,COPA!$B$2:$J$31,8,0))</f>
        <v/>
      </c>
      <c r="Q35" s="14" t="n">
        <f aca="false">IF(ISNA(VLOOKUP($B35,RECEPÇÃO!$B$2:$J$24,8,0)),"",VLOOKUP($B35,RECEPÇÃO!$B$2:$J$24,8,0))</f>
        <v>14.6</v>
      </c>
      <c r="R35" s="14" t="n">
        <f aca="false">IF(ISNA(VLOOKUP($B35,'S.  DA ADM.'!$B$2:$J$24,8,0)),"",VLOOKUP($B35,'S.  DA ADM.'!$B$2:$J$24,8,0))</f>
        <v>14</v>
      </c>
      <c r="S35" s="14" t="str">
        <f aca="false">IF(ISNA(VLOOKUP($B35,'S.  DA ADM.   WC'!$B$2:$J$27,8,0)),"",VLOOKUP($B35,'S.  DA ADM.   WC'!$B$2:$J$27,8,0))</f>
        <v/>
      </c>
      <c r="T35" s="14" t="n">
        <f aca="false">IF(ISNA(VLOOKUP($B35,'S. DA ATER'!$B$2:$J$23,8,0)),"",VLOOKUP($B35,'S. DA ATER'!$B$2:$J$23,8,0))</f>
        <v>14.3</v>
      </c>
      <c r="U35" s="14" t="n">
        <f aca="false">IF(ISNA(VLOOKUP($B35,'S. DA GERÊNCIA'!$B$2:$J$27,8,0)),"",VLOOKUP($B35,'S. DA GERÊNCIA'!$B$2:$J$27,8,0))</f>
        <v>12.1</v>
      </c>
      <c r="V35" s="14" t="n">
        <f aca="false">IF(ISNA(VLOOKUP($B35,'S. DE ESPERA'!$B$2:$J$23,8,0)),"",VLOOKUP($B35,'S. DE ESPERA'!$B$2:$J$23,8,0))</f>
        <v>11.1</v>
      </c>
      <c r="W35" s="14" t="n">
        <f aca="false">IF(ISNA(VLOOKUP($B35,'S. DE REUNIÃO'!$B$2:$J$25,8,0)),"",VLOOKUP($B35,'S. DE REUNIÃO'!$B$2:$J$25,8,0))</f>
        <v>14</v>
      </c>
      <c r="X35" s="14" t="n">
        <f aca="false">IF(ISNA(VLOOKUP($B35,'S. DO VIGIA'!$B$2:$J$23,8,0)),"",VLOOKUP($B35,'S. DO VIGIA'!$B$2:$J$23,8,0))</f>
        <v>11.8</v>
      </c>
      <c r="Y35" s="14" t="str">
        <f aca="false">IF(ISNA(VLOOKUP($B35,'WC SOCIAL FEM'!$B$2:$J$28,8,0)),"",VLOOKUP($B35,'WC SOCIAL FEM'!$B$2:$J$28,8,0))</f>
        <v/>
      </c>
      <c r="Z35" s="14" t="str">
        <f aca="false">IF(ISNA(VLOOKUP($B35,'WC SOCIAL MAS'!$B$2:$J$29,8,0)),"",VLOOKUP($B35,'WC SOCIAL MAS'!$B$2:$J$29,8,0))</f>
        <v/>
      </c>
      <c r="AA35" s="14" t="str">
        <f aca="false">IF(ISNA(VLOOKUP($B35,HIDRÁULICA!$B$2:$J$32,8,0)),"",VLOOKUP($B35,HIDRÁULICA!$B$2:$J$32,8,0))</f>
        <v/>
      </c>
    </row>
    <row r="36" customFormat="false" ht="41.75" hidden="false" customHeight="false" outlineLevel="0" collapsed="false">
      <c r="A36" s="18"/>
      <c r="B36" s="9" t="s">
        <v>138</v>
      </c>
      <c r="C36" s="10" t="s">
        <v>139</v>
      </c>
      <c r="D36" s="11" t="s">
        <v>140</v>
      </c>
      <c r="E36" s="12" t="s">
        <v>33</v>
      </c>
      <c r="F36" s="13" t="n">
        <f aca="false">ROUND(SUM(G36:AA36),2)</f>
        <v>494.35</v>
      </c>
      <c r="G36" s="14" t="str">
        <f aca="false">IF(ISNA(VLOOKUP($B36,'CORREDOR 01'!$B$2:$J$19,8,0)),"",VLOOKUP($B36,'CORREDOR 01'!$B$2:$J$19,8,0))</f>
        <v/>
      </c>
      <c r="H36" s="14" t="str">
        <f aca="false">IF(ISNA(VLOOKUP($B36,'CORREDOR O2'!$B$2:$J$22,8,0)),"",VLOOKUP($B36,'CORREDOR O2'!$B$2:$J$22,8,0))</f>
        <v/>
      </c>
      <c r="I36" s="14" t="str">
        <f aca="false">IF(ISNA(VLOOKUP($B36,'Á. DE VENTIL.'!$B$2:$J$20,8,0)),"",VLOOKUP($B36,'Á. DE VENTIL.'!$B$2:$J$20,8,0))</f>
        <v/>
      </c>
      <c r="J36" s="14" t="n">
        <f aca="false">IF(ISNA(VLOOKUP($B36,'Á. EXTER '!$B$2:$J$24,8,0)),"",VLOOKUP($B36,'Á. EXTER '!$B$2:$J$24,8,0))</f>
        <v>494.35</v>
      </c>
      <c r="K36" s="14" t="str">
        <f aca="false">IF(ISNA(VLOOKUP($B36,'ÁREA DE CIR. EXTER.'!$B$2:$J$22,8,0)),"",VLOOKUP($B36,'ÁREA DE CIR. EXTER.'!$B$2:$J$22,8,0))</f>
        <v/>
      </c>
      <c r="L36" s="14" t="str">
        <f aca="false">IF(ISNA(VLOOKUP($B36,AUDITÓRIO!$B$2:$J$14,8,0)),"",VLOOKUP($B36,AUDITÓRIO!$B$2:$J$14,8,0))</f>
        <v/>
      </c>
      <c r="M36" s="14" t="str">
        <f aca="false">IF(ISNA(VLOOKUP($B36,'AUD.   WC FEM'!$B$2:$J$14,8,0)),"",VLOOKUP($B36,'AUD.   WC FEM'!$B$2:$J$14,8,0))</f>
        <v/>
      </c>
      <c r="N36" s="14" t="str">
        <f aca="false">IF(ISNA(VLOOKUP($B36,'AUD.   WC MAS'!$B$2:$J$14,8,0)),"",VLOOKUP($B36,'AUD.   WC MAS'!$B$2:$J$14,8,0))</f>
        <v/>
      </c>
      <c r="O36" s="14" t="str">
        <f aca="false">IF(ISNA(VLOOKUP($B36,'COBERT.'!$B$2:$J$8,8,0)),"",VLOOKUP($B36,'COBERT.'!$B$2:$J$8,8,0))</f>
        <v/>
      </c>
      <c r="P36" s="14" t="str">
        <f aca="false">IF(ISNA(VLOOKUP($B36,COPA!$B$2:$J$31,8,0)),"",VLOOKUP($B36,COPA!$B$2:$J$31,8,0))</f>
        <v/>
      </c>
      <c r="Q36" s="14" t="str">
        <f aca="false">IF(ISNA(VLOOKUP($B36,RECEPÇÃO!$B$2:$J$24,8,0)),"",VLOOKUP($B36,RECEPÇÃO!$B$2:$J$24,8,0))</f>
        <v/>
      </c>
      <c r="R36" s="14" t="str">
        <f aca="false">IF(ISNA(VLOOKUP($B36,'S.  DA ADM.'!$B$2:$J$24,8,0)),"",VLOOKUP($B36,'S.  DA ADM.'!$B$2:$J$24,8,0))</f>
        <v/>
      </c>
      <c r="S36" s="14" t="str">
        <f aca="false">IF(ISNA(VLOOKUP($B36,'S.  DA ADM.   WC'!$B$2:$J$27,8,0)),"",VLOOKUP($B36,'S.  DA ADM.   WC'!$B$2:$J$27,8,0))</f>
        <v/>
      </c>
      <c r="T36" s="14" t="str">
        <f aca="false">IF(ISNA(VLOOKUP($B36,'S. DA ATER'!$B$2:$J$23,8,0)),"",VLOOKUP($B36,'S. DA ATER'!$B$2:$J$23,8,0))</f>
        <v/>
      </c>
      <c r="U36" s="14" t="str">
        <f aca="false">IF(ISNA(VLOOKUP($B36,'S. DA GERÊNCIA'!$B$2:$J$27,8,0)),"",VLOOKUP($B36,'S. DA GERÊNCIA'!$B$2:$J$27,8,0))</f>
        <v/>
      </c>
      <c r="V36" s="14" t="str">
        <f aca="false">IF(ISNA(VLOOKUP($B36,'S. DE ESPERA'!$B$2:$J$23,8,0)),"",VLOOKUP($B36,'S. DE ESPERA'!$B$2:$J$23,8,0))</f>
        <v/>
      </c>
      <c r="W36" s="14" t="str">
        <f aca="false">IF(ISNA(VLOOKUP($B36,'S. DE REUNIÃO'!$B$2:$J$25,8,0)),"",VLOOKUP($B36,'S. DE REUNIÃO'!$B$2:$J$25,8,0))</f>
        <v/>
      </c>
      <c r="X36" s="14" t="str">
        <f aca="false">IF(ISNA(VLOOKUP($B36,'S. DO VIGIA'!$B$2:$J$23,8,0)),"",VLOOKUP($B36,'S. DO VIGIA'!$B$2:$J$23,8,0))</f>
        <v/>
      </c>
      <c r="Y36" s="14" t="str">
        <f aca="false">IF(ISNA(VLOOKUP($B36,'WC SOCIAL FEM'!$B$2:$J$28,8,0)),"",VLOOKUP($B36,'WC SOCIAL FEM'!$B$2:$J$28,8,0))</f>
        <v/>
      </c>
      <c r="Z36" s="14" t="str">
        <f aca="false">IF(ISNA(VLOOKUP($B36,'WC SOCIAL MAS'!$B$2:$J$29,8,0)),"",VLOOKUP($B36,'WC SOCIAL MAS'!$B$2:$J$29,8,0))</f>
        <v/>
      </c>
      <c r="AA36" s="14" t="str">
        <f aca="false">IF(ISNA(VLOOKUP($B36,HIDRÁULICA!$B$2:$J$32,8,0)),"",VLOOKUP($B36,HIDRÁULICA!$B$2:$J$32,8,0))</f>
        <v/>
      </c>
    </row>
    <row r="37" customFormat="false" ht="28.35" hidden="false" customHeight="false" outlineLevel="0" collapsed="false">
      <c r="A37" s="18"/>
      <c r="B37" s="9" t="s">
        <v>141</v>
      </c>
      <c r="C37" s="10" t="s">
        <v>142</v>
      </c>
      <c r="D37" s="11" t="s">
        <v>143</v>
      </c>
      <c r="E37" s="12" t="s">
        <v>54</v>
      </c>
      <c r="F37" s="13" t="n">
        <f aca="false">ROUND(SUM(G37:AA37),2)</f>
        <v>0.84</v>
      </c>
      <c r="G37" s="14" t="str">
        <f aca="false">IF(ISNA(VLOOKUP($B37,'CORREDOR 01'!$B$2:$J$19,8,0)),"",VLOOKUP($B37,'CORREDOR 01'!$B$2:$J$19,8,0))</f>
        <v/>
      </c>
      <c r="H37" s="14" t="str">
        <f aca="false">IF(ISNA(VLOOKUP($B37,'CORREDOR O2'!$B$2:$J$22,8,0)),"",VLOOKUP($B37,'CORREDOR O2'!$B$2:$J$22,8,0))</f>
        <v/>
      </c>
      <c r="I37" s="14" t="str">
        <f aca="false">IF(ISNA(VLOOKUP($B37,'Á. DE VENTIL.'!$B$2:$J$20,8,0)),"",VLOOKUP($B37,'Á. DE VENTIL.'!$B$2:$J$20,8,0))</f>
        <v/>
      </c>
      <c r="J37" s="14" t="str">
        <f aca="false">IF(ISNA(VLOOKUP($B37,'Á. EXTER '!$B$2:$J$24,8,0)),"",VLOOKUP($B37,'Á. EXTER '!$B$2:$J$24,8,0))</f>
        <v/>
      </c>
      <c r="K37" s="14" t="str">
        <f aca="false">IF(ISNA(VLOOKUP($B37,'ÁREA DE CIR. EXTER.'!$B$2:$J$22,8,0)),"",VLOOKUP($B37,'ÁREA DE CIR. EXTER.'!$B$2:$J$22,8,0))</f>
        <v/>
      </c>
      <c r="L37" s="14" t="str">
        <f aca="false">IF(ISNA(VLOOKUP($B37,AUDITÓRIO!$B$2:$J$14,8,0)),"",VLOOKUP($B37,AUDITÓRIO!$B$2:$J$14,8,0))</f>
        <v/>
      </c>
      <c r="M37" s="14" t="n">
        <f aca="false">IF(ISNA(VLOOKUP($B37,'AUD.   WC FEM'!$B$2:$J$14,8,0)),"",VLOOKUP($B37,'AUD.   WC FEM'!$B$2:$J$14,8,0))</f>
        <v>0.18</v>
      </c>
      <c r="N37" s="14" t="n">
        <f aca="false">IF(ISNA(VLOOKUP($B37,'AUD.   WC MAS'!$B$2:$J$14,8,0)),"",VLOOKUP($B37,'AUD.   WC MAS'!$B$2:$J$14,8,0))</f>
        <v>0.18</v>
      </c>
      <c r="O37" s="14" t="str">
        <f aca="false">IF(ISNA(VLOOKUP($B37,'COBERT.'!$B$2:$J$8,8,0)),"",VLOOKUP($B37,'COBERT.'!$B$2:$J$8,8,0))</f>
        <v/>
      </c>
      <c r="P37" s="14" t="n">
        <f aca="false">IF(ISNA(VLOOKUP($B37,COPA!$B$2:$J$31,8,0)),"",VLOOKUP($B37,COPA!$B$2:$J$31,8,0))</f>
        <v>0.4788</v>
      </c>
      <c r="Q37" s="14" t="str">
        <f aca="false">IF(ISNA(VLOOKUP($B37,RECEPÇÃO!$B$2:$J$24,8,0)),"",VLOOKUP($B37,RECEPÇÃO!$B$2:$J$24,8,0))</f>
        <v/>
      </c>
      <c r="R37" s="14" t="str">
        <f aca="false">IF(ISNA(VLOOKUP($B37,'S.  DA ADM.'!$B$2:$J$24,8,0)),"",VLOOKUP($B37,'S.  DA ADM.'!$B$2:$J$24,8,0))</f>
        <v/>
      </c>
      <c r="S37" s="14" t="str">
        <f aca="false">IF(ISNA(VLOOKUP($B37,'S.  DA ADM.   WC'!$B$2:$J$27,8,0)),"",VLOOKUP($B37,'S.  DA ADM.   WC'!$B$2:$J$27,8,0))</f>
        <v/>
      </c>
      <c r="T37" s="14" t="str">
        <f aca="false">IF(ISNA(VLOOKUP($B37,'S. DA ATER'!$B$2:$J$23,8,0)),"",VLOOKUP($B37,'S. DA ATER'!$B$2:$J$23,8,0))</f>
        <v/>
      </c>
      <c r="U37" s="14" t="str">
        <f aca="false">IF(ISNA(VLOOKUP($B37,'S. DA GERÊNCIA'!$B$2:$J$27,8,0)),"",VLOOKUP($B37,'S. DA GERÊNCIA'!$B$2:$J$27,8,0))</f>
        <v/>
      </c>
      <c r="V37" s="14" t="str">
        <f aca="false">IF(ISNA(VLOOKUP($B37,'S. DE ESPERA'!$B$2:$J$23,8,0)),"",VLOOKUP($B37,'S. DE ESPERA'!$B$2:$J$23,8,0))</f>
        <v/>
      </c>
      <c r="W37" s="14" t="str">
        <f aca="false">IF(ISNA(VLOOKUP($B37,'S. DE REUNIÃO'!$B$2:$J$25,8,0)),"",VLOOKUP($B37,'S. DE REUNIÃO'!$B$2:$J$25,8,0))</f>
        <v/>
      </c>
      <c r="X37" s="14" t="str">
        <f aca="false">IF(ISNA(VLOOKUP($B37,'S. DO VIGIA'!$B$2:$J$23,8,0)),"",VLOOKUP($B37,'S. DO VIGIA'!$B$2:$J$23,8,0))</f>
        <v/>
      </c>
      <c r="Y37" s="14" t="str">
        <f aca="false">IF(ISNA(VLOOKUP($B37,'WC SOCIAL FEM'!$B$2:$J$28,8,0)),"",VLOOKUP($B37,'WC SOCIAL FEM'!$B$2:$J$28,8,0))</f>
        <v/>
      </c>
      <c r="Z37" s="14" t="str">
        <f aca="false">IF(ISNA(VLOOKUP($B37,'WC SOCIAL MAS'!$B$2:$J$29,8,0)),"",VLOOKUP($B37,'WC SOCIAL MAS'!$B$2:$J$29,8,0))</f>
        <v/>
      </c>
      <c r="AA37" s="14" t="str">
        <f aca="false">IF(ISNA(VLOOKUP($B37,HIDRÁULICA!$B$2:$J$32,8,0)),"",VLOOKUP($B37,HIDRÁULICA!$B$2:$J$32,8,0))</f>
        <v/>
      </c>
    </row>
    <row r="38" customFormat="false" ht="41.75" hidden="false" customHeight="false" outlineLevel="0" collapsed="false">
      <c r="A38" s="18"/>
      <c r="B38" s="9" t="s">
        <v>144</v>
      </c>
      <c r="C38" s="10" t="s">
        <v>145</v>
      </c>
      <c r="D38" s="11" t="s">
        <v>146</v>
      </c>
      <c r="E38" s="12" t="s">
        <v>33</v>
      </c>
      <c r="F38" s="13" t="n">
        <f aca="false">ROUND(SUM(G38:AA38),2)</f>
        <v>143.27</v>
      </c>
      <c r="G38" s="14" t="n">
        <f aca="false">IF(ISNA(VLOOKUP($B38,'CORREDOR 01'!$B$2:$J$19,8,0)),"",VLOOKUP($B38,'CORREDOR 01'!$B$2:$J$19,8,0))</f>
        <v>11.15</v>
      </c>
      <c r="H38" s="14" t="n">
        <f aca="false">IF(ISNA(VLOOKUP($B38,'CORREDOR O2'!$B$2:$J$22,8,0)),"",VLOOKUP($B38,'CORREDOR O2'!$B$2:$J$22,8,0))</f>
        <v>10.4</v>
      </c>
      <c r="I38" s="14" t="n">
        <f aca="false">IF(ISNA(VLOOKUP($B38,'Á. DE VENTIL.'!$B$2:$J$20,8,0)),"",VLOOKUP($B38,'Á. DE VENTIL.'!$B$2:$J$20,8,0))</f>
        <v>6.12</v>
      </c>
      <c r="J38" s="14" t="str">
        <f aca="false">IF(ISNA(VLOOKUP($B38,'Á. EXTER '!$B$2:$J$24,8,0)),"",VLOOKUP($B38,'Á. EXTER '!$B$2:$J$24,8,0))</f>
        <v/>
      </c>
      <c r="K38" s="14" t="str">
        <f aca="false">IF(ISNA(VLOOKUP($B38,'ÁREA DE CIR. EXTER.'!$B$2:$J$22,8,0)),"",VLOOKUP($B38,'ÁREA DE CIR. EXTER.'!$B$2:$J$22,8,0))</f>
        <v/>
      </c>
      <c r="L38" s="14" t="str">
        <f aca="false">IF(ISNA(VLOOKUP($B38,AUDITÓRIO!$B$2:$J$14,8,0)),"",VLOOKUP($B38,AUDITÓRIO!$B$2:$J$14,8,0))</f>
        <v/>
      </c>
      <c r="M38" s="14" t="n">
        <f aca="false">IF(ISNA(VLOOKUP($B38,'AUD.   WC FEM'!$B$2:$J$14,8,0)),"",VLOOKUP($B38,'AUD.   WC FEM'!$B$2:$J$14,8,0))</f>
        <v>3</v>
      </c>
      <c r="N38" s="14" t="n">
        <f aca="false">IF(ISNA(VLOOKUP($B38,'AUD.   WC MAS'!$B$2:$J$14,8,0)),"",VLOOKUP($B38,'AUD.   WC MAS'!$B$2:$J$14,8,0))</f>
        <v>3</v>
      </c>
      <c r="O38" s="14" t="str">
        <f aca="false">IF(ISNA(VLOOKUP($B38,'COBERT.'!$B$2:$J$8,8,0)),"",VLOOKUP($B38,'COBERT.'!$B$2:$J$8,8,0))</f>
        <v/>
      </c>
      <c r="P38" s="14" t="n">
        <f aca="false">IF(ISNA(VLOOKUP($B38,COPA!$B$2:$J$31,8,0)),"",VLOOKUP($B38,COPA!$B$2:$J$31,8,0))</f>
        <v>7.98</v>
      </c>
      <c r="Q38" s="14" t="n">
        <f aca="false">IF(ISNA(VLOOKUP($B38,RECEPÇÃO!$B$2:$J$24,8,0)),"",VLOOKUP($B38,RECEPÇÃO!$B$2:$J$24,8,0))</f>
        <v>13.72</v>
      </c>
      <c r="R38" s="14" t="n">
        <f aca="false">IF(ISNA(VLOOKUP($B38,'S.  DA ADM.'!$B$2:$J$24,8,0)),"",VLOOKUP($B38,'S.  DA ADM.'!$B$2:$J$24,8,0))</f>
        <v>13.5</v>
      </c>
      <c r="S38" s="14" t="n">
        <f aca="false">IF(ISNA(VLOOKUP($B38,'S.  DA ADM.   WC'!$B$2:$J$27,8,0)),"",VLOOKUP($B38,'S.  DA ADM.   WC'!$B$2:$J$27,8,0))</f>
        <v>2.7</v>
      </c>
      <c r="T38" s="14" t="n">
        <f aca="false">IF(ISNA(VLOOKUP($B38,'S. DA ATER'!$B$2:$J$23,8,0)),"",VLOOKUP($B38,'S. DA ATER'!$B$2:$J$23,8,0))</f>
        <v>14.22</v>
      </c>
      <c r="U38" s="14" t="n">
        <f aca="false">IF(ISNA(VLOOKUP($B38,'S. DA GERÊNCIA'!$B$2:$J$27,8,0)),"",VLOOKUP($B38,'S. DA GERÊNCIA'!$B$2:$J$27,8,0))</f>
        <v>10.22</v>
      </c>
      <c r="V38" s="14" t="n">
        <f aca="false">IF(ISNA(VLOOKUP($B38,'S. DE ESPERA'!$B$2:$J$23,8,0)),"",VLOOKUP($B38,'S. DE ESPERA'!$B$2:$J$23,8,0))</f>
        <v>19.25</v>
      </c>
      <c r="W38" s="14" t="n">
        <f aca="false">IF(ISNA(VLOOKUP($B38,'S. DE REUNIÃO'!$B$2:$J$25,8,0)),"",VLOOKUP($B38,'S. DE REUNIÃO'!$B$2:$J$25,8,0))</f>
        <v>12.69</v>
      </c>
      <c r="X38" s="14" t="n">
        <f aca="false">IF(ISNA(VLOOKUP($B38,'S. DO VIGIA'!$B$2:$J$23,8,0)),"",VLOOKUP($B38,'S. DO VIGIA'!$B$2:$J$23,8,0))</f>
        <v>9.72</v>
      </c>
      <c r="Y38" s="14" t="n">
        <f aca="false">IF(ISNA(VLOOKUP($B38,'WC SOCIAL FEM'!$B$2:$J$28,8,0)),"",VLOOKUP($B38,'WC SOCIAL FEM'!$B$2:$J$28,8,0))</f>
        <v>2.8</v>
      </c>
      <c r="Z38" s="14" t="n">
        <f aca="false">IF(ISNA(VLOOKUP($B38,'WC SOCIAL MAS'!$B$2:$J$29,8,0)),"",VLOOKUP($B38,'WC SOCIAL MAS'!$B$2:$J$29,8,0))</f>
        <v>2.8</v>
      </c>
      <c r="AA38" s="14" t="str">
        <f aca="false">IF(ISNA(VLOOKUP($B38,HIDRÁULICA!$B$2:$J$32,8,0)),"",VLOOKUP($B38,HIDRÁULICA!$B$2:$J$32,8,0))</f>
        <v/>
      </c>
    </row>
    <row r="39" customFormat="false" ht="28.35" hidden="false" customHeight="false" outlineLevel="0" collapsed="false">
      <c r="A39" s="18"/>
      <c r="B39" s="9" t="s">
        <v>147</v>
      </c>
      <c r="C39" s="10" t="s">
        <v>148</v>
      </c>
      <c r="D39" s="11" t="s">
        <v>149</v>
      </c>
      <c r="E39" s="12" t="s">
        <v>33</v>
      </c>
      <c r="F39" s="13" t="n">
        <f aca="false">ROUND(SUM(G39:AA39),2)</f>
        <v>52.77</v>
      </c>
      <c r="G39" s="14" t="n">
        <f aca="false">IF(ISNA(VLOOKUP($B39,'CORREDOR 01'!$B$2:$J$19,8,0)),"",VLOOKUP($B39,'CORREDOR 01'!$B$2:$J$19,8,0))</f>
        <v>3.345</v>
      </c>
      <c r="H39" s="14" t="n">
        <f aca="false">IF(ISNA(VLOOKUP($B39,'CORREDOR O2'!$B$2:$J$22,8,0)),"",VLOOKUP($B39,'CORREDOR O2'!$B$2:$J$22,8,0))</f>
        <v>3.12</v>
      </c>
      <c r="I39" s="14" t="n">
        <f aca="false">IF(ISNA(VLOOKUP($B39,'Á. DE VENTIL.'!$B$2:$J$20,8,0)),"",VLOOKUP($B39,'Á. DE VENTIL.'!$B$2:$J$20,8,0))</f>
        <v>1.836</v>
      </c>
      <c r="J39" s="14" t="str">
        <f aca="false">IF(ISNA(VLOOKUP($B39,'Á. EXTER '!$B$2:$J$24,8,0)),"",VLOOKUP($B39,'Á. EXTER '!$B$2:$J$24,8,0))</f>
        <v/>
      </c>
      <c r="K39" s="14" t="str">
        <f aca="false">IF(ISNA(VLOOKUP($B39,'ÁREA DE CIR. EXTER.'!$B$2:$J$22,8,0)),"",VLOOKUP($B39,'ÁREA DE CIR. EXTER.'!$B$2:$J$22,8,0))</f>
        <v/>
      </c>
      <c r="L39" s="14" t="str">
        <f aca="false">IF(ISNA(VLOOKUP($B39,AUDITÓRIO!$B$2:$J$14,8,0)),"",VLOOKUP($B39,AUDITÓRIO!$B$2:$J$14,8,0))</f>
        <v/>
      </c>
      <c r="M39" s="14" t="n">
        <f aca="false">IF(ISNA(VLOOKUP($B39,'AUD.   WC FEM'!$B$2:$J$14,8,0)),"",VLOOKUP($B39,'AUD.   WC FEM'!$B$2:$J$14,8,0))</f>
        <v>3</v>
      </c>
      <c r="N39" s="14" t="n">
        <f aca="false">IF(ISNA(VLOOKUP($B39,'AUD.   WC MAS'!$B$2:$J$14,8,0)),"",VLOOKUP($B39,'AUD.   WC MAS'!$B$2:$J$14,8,0))</f>
        <v>3</v>
      </c>
      <c r="O39" s="14" t="str">
        <f aca="false">IF(ISNA(VLOOKUP($B39,'COBERT.'!$B$2:$J$8,8,0)),"",VLOOKUP($B39,'COBERT.'!$B$2:$J$8,8,0))</f>
        <v/>
      </c>
      <c r="P39" s="14" t="n">
        <f aca="false">IF(ISNA(VLOOKUP($B39,COPA!$B$2:$J$31,8,0)),"",VLOOKUP($B39,COPA!$B$2:$J$31,8,0))</f>
        <v>7.98</v>
      </c>
      <c r="Q39" s="14" t="n">
        <f aca="false">IF(ISNA(VLOOKUP($B39,RECEPÇÃO!$B$2:$J$24,8,0)),"",VLOOKUP($B39,RECEPÇÃO!$B$2:$J$24,8,0))</f>
        <v>4.116</v>
      </c>
      <c r="R39" s="14" t="n">
        <f aca="false">IF(ISNA(VLOOKUP($B39,'S.  DA ADM.'!$B$2:$J$24,8,0)),"",VLOOKUP($B39,'S.  DA ADM.'!$B$2:$J$24,8,0))</f>
        <v>4.05</v>
      </c>
      <c r="S39" s="14" t="n">
        <f aca="false">IF(ISNA(VLOOKUP($B39,'S.  DA ADM.   WC'!$B$2:$J$27,8,0)),"",VLOOKUP($B39,'S.  DA ADM.   WC'!$B$2:$J$27,8,0))</f>
        <v>0.81</v>
      </c>
      <c r="T39" s="14" t="n">
        <f aca="false">IF(ISNA(VLOOKUP($B39,'S. DA ATER'!$B$2:$J$23,8,0)),"",VLOOKUP($B39,'S. DA ATER'!$B$2:$J$23,8,0))</f>
        <v>4.266</v>
      </c>
      <c r="U39" s="14" t="n">
        <f aca="false">IF(ISNA(VLOOKUP($B39,'S. DA GERÊNCIA'!$B$2:$J$27,8,0)),"",VLOOKUP($B39,'S. DA GERÊNCIA'!$B$2:$J$27,8,0))</f>
        <v>3.066</v>
      </c>
      <c r="V39" s="14" t="n">
        <f aca="false">IF(ISNA(VLOOKUP($B39,'S. DE ESPERA'!$B$2:$J$23,8,0)),"",VLOOKUP($B39,'S. DE ESPERA'!$B$2:$J$23,8,0))</f>
        <v>5.775</v>
      </c>
      <c r="W39" s="14" t="n">
        <f aca="false">IF(ISNA(VLOOKUP($B39,'S. DE REUNIÃO'!$B$2:$J$25,8,0)),"",VLOOKUP($B39,'S. DE REUNIÃO'!$B$2:$J$25,8,0))</f>
        <v>3.807</v>
      </c>
      <c r="X39" s="14" t="n">
        <f aca="false">IF(ISNA(VLOOKUP($B39,'S. DO VIGIA'!$B$2:$J$23,8,0)),"",VLOOKUP($B39,'S. DO VIGIA'!$B$2:$J$23,8,0))</f>
        <v>2.916</v>
      </c>
      <c r="Y39" s="14" t="n">
        <f aca="false">IF(ISNA(VLOOKUP($B39,'WC SOCIAL FEM'!$B$2:$J$28,8,0)),"",VLOOKUP($B39,'WC SOCIAL FEM'!$B$2:$J$28,8,0))</f>
        <v>0.84</v>
      </c>
      <c r="Z39" s="14" t="n">
        <f aca="false">IF(ISNA(VLOOKUP($B39,'WC SOCIAL MAS'!$B$2:$J$29,8,0)),"",VLOOKUP($B39,'WC SOCIAL MAS'!$B$2:$J$29,8,0))</f>
        <v>0.84</v>
      </c>
      <c r="AA39" s="14" t="str">
        <f aca="false">IF(ISNA(VLOOKUP($B39,HIDRÁULICA!$B$2:$J$32,8,0)),"",VLOOKUP($B39,HIDRÁULICA!$B$2:$J$32,8,0))</f>
        <v/>
      </c>
    </row>
    <row r="40" customFormat="false" ht="41.75" hidden="false" customHeight="false" outlineLevel="0" collapsed="false">
      <c r="A40" s="18"/>
      <c r="B40" s="9" t="s">
        <v>150</v>
      </c>
      <c r="C40" s="10" t="s">
        <v>151</v>
      </c>
      <c r="D40" s="11" t="s">
        <v>152</v>
      </c>
      <c r="E40" s="12" t="s">
        <v>54</v>
      </c>
      <c r="F40" s="13" t="n">
        <f aca="false">ROUND(SUM(G40:AA40),2)</f>
        <v>4.74</v>
      </c>
      <c r="G40" s="14" t="str">
        <f aca="false">IF(ISNA(VLOOKUP($B40,'CORREDOR 01'!$B$2:$J$19,8,0)),"",VLOOKUP($B40,'CORREDOR 01'!$B$2:$J$19,8,0))</f>
        <v/>
      </c>
      <c r="H40" s="14" t="str">
        <f aca="false">IF(ISNA(VLOOKUP($B40,'CORREDOR O2'!$B$2:$J$22,8,0)),"",VLOOKUP($B40,'CORREDOR O2'!$B$2:$J$22,8,0))</f>
        <v/>
      </c>
      <c r="I40" s="14" t="str">
        <f aca="false">IF(ISNA(VLOOKUP($B40,'Á. DE VENTIL.'!$B$2:$J$20,8,0)),"",VLOOKUP($B40,'Á. DE VENTIL.'!$B$2:$J$20,8,0))</f>
        <v/>
      </c>
      <c r="J40" s="14" t="str">
        <f aca="false">IF(ISNA(VLOOKUP($B40,'Á. EXTER '!$B$2:$J$24,8,0)),"",VLOOKUP($B40,'Á. EXTER '!$B$2:$J$24,8,0))</f>
        <v/>
      </c>
      <c r="K40" s="14" t="n">
        <f aca="false">IF(ISNA(VLOOKUP($B40,'ÁREA DE CIR. EXTER.'!$B$2:$J$22,8,0)),"",VLOOKUP($B40,'ÁREA DE CIR. EXTER.'!$B$2:$J$22,8,0))</f>
        <v>4.7388</v>
      </c>
      <c r="L40" s="14" t="str">
        <f aca="false">IF(ISNA(VLOOKUP($B40,AUDITÓRIO!$B$2:$J$14,8,0)),"",VLOOKUP($B40,AUDITÓRIO!$B$2:$J$14,8,0))</f>
        <v/>
      </c>
      <c r="M40" s="14" t="str">
        <f aca="false">IF(ISNA(VLOOKUP($B40,'AUD.   WC FEM'!$B$2:$J$14,8,0)),"",VLOOKUP($B40,'AUD.   WC FEM'!$B$2:$J$14,8,0))</f>
        <v/>
      </c>
      <c r="N40" s="14" t="str">
        <f aca="false">IF(ISNA(VLOOKUP($B40,'AUD.   WC MAS'!$B$2:$J$14,8,0)),"",VLOOKUP($B40,'AUD.   WC MAS'!$B$2:$J$14,8,0))</f>
        <v/>
      </c>
      <c r="O40" s="14" t="str">
        <f aca="false">IF(ISNA(VLOOKUP($B40,'COBERT.'!$B$2:$J$8,8,0)),"",VLOOKUP($B40,'COBERT.'!$B$2:$J$8,8,0))</f>
        <v/>
      </c>
      <c r="P40" s="14" t="str">
        <f aca="false">IF(ISNA(VLOOKUP($B40,COPA!$B$2:$J$31,8,0)),"",VLOOKUP($B40,COPA!$B$2:$J$31,8,0))</f>
        <v/>
      </c>
      <c r="Q40" s="14" t="str">
        <f aca="false">IF(ISNA(VLOOKUP($B40,RECEPÇÃO!$B$2:$J$24,8,0)),"",VLOOKUP($B40,RECEPÇÃO!$B$2:$J$24,8,0))</f>
        <v/>
      </c>
      <c r="R40" s="14" t="str">
        <f aca="false">IF(ISNA(VLOOKUP($B40,'S.  DA ADM.'!$B$2:$J$24,8,0)),"",VLOOKUP($B40,'S.  DA ADM.'!$B$2:$J$24,8,0))</f>
        <v/>
      </c>
      <c r="S40" s="14" t="str">
        <f aca="false">IF(ISNA(VLOOKUP($B40,'S.  DA ADM.   WC'!$B$2:$J$27,8,0)),"",VLOOKUP($B40,'S.  DA ADM.   WC'!$B$2:$J$27,8,0))</f>
        <v/>
      </c>
      <c r="T40" s="14" t="str">
        <f aca="false">IF(ISNA(VLOOKUP($B40,'S. DA ATER'!$B$2:$J$23,8,0)),"",VLOOKUP($B40,'S. DA ATER'!$B$2:$J$23,8,0))</f>
        <v/>
      </c>
      <c r="U40" s="14" t="str">
        <f aca="false">IF(ISNA(VLOOKUP($B40,'S. DA GERÊNCIA'!$B$2:$J$27,8,0)),"",VLOOKUP($B40,'S. DA GERÊNCIA'!$B$2:$J$27,8,0))</f>
        <v/>
      </c>
      <c r="V40" s="14" t="str">
        <f aca="false">IF(ISNA(VLOOKUP($B40,'S. DE ESPERA'!$B$2:$J$23,8,0)),"",VLOOKUP($B40,'S. DE ESPERA'!$B$2:$J$23,8,0))</f>
        <v/>
      </c>
      <c r="W40" s="14" t="str">
        <f aca="false">IF(ISNA(VLOOKUP($B40,'S. DE REUNIÃO'!$B$2:$J$25,8,0)),"",VLOOKUP($B40,'S. DE REUNIÃO'!$B$2:$J$25,8,0))</f>
        <v/>
      </c>
      <c r="X40" s="14" t="str">
        <f aca="false">IF(ISNA(VLOOKUP($B40,'S. DO VIGIA'!$B$2:$J$23,8,0)),"",VLOOKUP($B40,'S. DO VIGIA'!$B$2:$J$23,8,0))</f>
        <v/>
      </c>
      <c r="Y40" s="14" t="str">
        <f aca="false">IF(ISNA(VLOOKUP($B40,'WC SOCIAL FEM'!$B$2:$J$28,8,0)),"",VLOOKUP($B40,'WC SOCIAL FEM'!$B$2:$J$28,8,0))</f>
        <v/>
      </c>
      <c r="Z40" s="14" t="str">
        <f aca="false">IF(ISNA(VLOOKUP($B40,'WC SOCIAL MAS'!$B$2:$J$29,8,0)),"",VLOOKUP($B40,'WC SOCIAL MAS'!$B$2:$J$29,8,0))</f>
        <v/>
      </c>
      <c r="AA40" s="14" t="str">
        <f aca="false">IF(ISNA(VLOOKUP($B40,HIDRÁULICA!$B$2:$J$32,8,0)),"",VLOOKUP($B40,HIDRÁULICA!$B$2:$J$32,8,0))</f>
        <v/>
      </c>
    </row>
    <row r="41" customFormat="false" ht="28.35" hidden="false" customHeight="false" outlineLevel="0" collapsed="false">
      <c r="A41" s="18"/>
      <c r="B41" s="9" t="s">
        <v>153</v>
      </c>
      <c r="C41" s="10" t="s">
        <v>154</v>
      </c>
      <c r="D41" s="11" t="s">
        <v>155</v>
      </c>
      <c r="E41" s="12" t="s">
        <v>43</v>
      </c>
      <c r="F41" s="13" t="n">
        <f aca="false">ROUND(SUM(G41:AA41),2)</f>
        <v>89.8</v>
      </c>
      <c r="G41" s="14" t="str">
        <f aca="false">IF(ISNA(VLOOKUP($B41,'CORREDOR 01'!$B$2:$J$19,8,0)),"",VLOOKUP($B41,'CORREDOR 01'!$B$2:$J$19,8,0))</f>
        <v/>
      </c>
      <c r="H41" s="14" t="str">
        <f aca="false">IF(ISNA(VLOOKUP($B41,'CORREDOR O2'!$B$2:$J$22,8,0)),"",VLOOKUP($B41,'CORREDOR O2'!$B$2:$J$22,8,0))</f>
        <v/>
      </c>
      <c r="I41" s="14" t="str">
        <f aca="false">IF(ISNA(VLOOKUP($B41,'Á. DE VENTIL.'!$B$2:$J$20,8,0)),"",VLOOKUP($B41,'Á. DE VENTIL.'!$B$2:$J$20,8,0))</f>
        <v/>
      </c>
      <c r="J41" s="14" t="n">
        <f aca="false">IF(ISNA(VLOOKUP($B41,'Á. EXTER '!$B$2:$J$24,8,0)),"",VLOOKUP($B41,'Á. EXTER '!$B$2:$J$24,8,0))</f>
        <v>89.8</v>
      </c>
      <c r="K41" s="14" t="str">
        <f aca="false">IF(ISNA(VLOOKUP($B41,'ÁREA DE CIR. EXTER.'!$B$2:$J$22,8,0)),"",VLOOKUP($B41,'ÁREA DE CIR. EXTER.'!$B$2:$J$22,8,0))</f>
        <v/>
      </c>
      <c r="L41" s="14" t="str">
        <f aca="false">IF(ISNA(VLOOKUP($B41,AUDITÓRIO!$B$2:$J$14,8,0)),"",VLOOKUP($B41,AUDITÓRIO!$B$2:$J$14,8,0))</f>
        <v/>
      </c>
      <c r="M41" s="14" t="str">
        <f aca="false">IF(ISNA(VLOOKUP($B41,'AUD.   WC FEM'!$B$2:$J$14,8,0)),"",VLOOKUP($B41,'AUD.   WC FEM'!$B$2:$J$14,8,0))</f>
        <v/>
      </c>
      <c r="N41" s="14" t="str">
        <f aca="false">IF(ISNA(VLOOKUP($B41,'AUD.   WC MAS'!$B$2:$J$14,8,0)),"",VLOOKUP($B41,'AUD.   WC MAS'!$B$2:$J$14,8,0))</f>
        <v/>
      </c>
      <c r="O41" s="14" t="str">
        <f aca="false">IF(ISNA(VLOOKUP($B41,'COBERT.'!$B$2:$J$8,8,0)),"",VLOOKUP($B41,'COBERT.'!$B$2:$J$8,8,0))</f>
        <v/>
      </c>
      <c r="P41" s="14" t="str">
        <f aca="false">IF(ISNA(VLOOKUP($B41,COPA!$B$2:$J$31,8,0)),"",VLOOKUP($B41,COPA!$B$2:$J$31,8,0))</f>
        <v/>
      </c>
      <c r="Q41" s="14" t="str">
        <f aca="false">IF(ISNA(VLOOKUP($B41,RECEPÇÃO!$B$2:$J$24,8,0)),"",VLOOKUP($B41,RECEPÇÃO!$B$2:$J$24,8,0))</f>
        <v/>
      </c>
      <c r="R41" s="14" t="str">
        <f aca="false">IF(ISNA(VLOOKUP($B41,'S.  DA ADM.'!$B$2:$J$24,8,0)),"",VLOOKUP($B41,'S.  DA ADM.'!$B$2:$J$24,8,0))</f>
        <v/>
      </c>
      <c r="S41" s="14" t="str">
        <f aca="false">IF(ISNA(VLOOKUP($B41,'S.  DA ADM.   WC'!$B$2:$J$27,8,0)),"",VLOOKUP($B41,'S.  DA ADM.   WC'!$B$2:$J$27,8,0))</f>
        <v/>
      </c>
      <c r="T41" s="14" t="str">
        <f aca="false">IF(ISNA(VLOOKUP($B41,'S. DA ATER'!$B$2:$J$23,8,0)),"",VLOOKUP($B41,'S. DA ATER'!$B$2:$J$23,8,0))</f>
        <v/>
      </c>
      <c r="U41" s="14" t="str">
        <f aca="false">IF(ISNA(VLOOKUP($B41,'S. DA GERÊNCIA'!$B$2:$J$27,8,0)),"",VLOOKUP($B41,'S. DA GERÊNCIA'!$B$2:$J$27,8,0))</f>
        <v/>
      </c>
      <c r="V41" s="14" t="str">
        <f aca="false">IF(ISNA(VLOOKUP($B41,'S. DE ESPERA'!$B$2:$J$23,8,0)),"",VLOOKUP($B41,'S. DE ESPERA'!$B$2:$J$23,8,0))</f>
        <v/>
      </c>
      <c r="W41" s="14" t="str">
        <f aca="false">IF(ISNA(VLOOKUP($B41,'S. DE REUNIÃO'!$B$2:$J$25,8,0)),"",VLOOKUP($B41,'S. DE REUNIÃO'!$B$2:$J$25,8,0))</f>
        <v/>
      </c>
      <c r="X41" s="14" t="str">
        <f aca="false">IF(ISNA(VLOOKUP($B41,'S. DO VIGIA'!$B$2:$J$23,8,0)),"",VLOOKUP($B41,'S. DO VIGIA'!$B$2:$J$23,8,0))</f>
        <v/>
      </c>
      <c r="Y41" s="14" t="str">
        <f aca="false">IF(ISNA(VLOOKUP($B41,'WC SOCIAL FEM'!$B$2:$J$28,8,0)),"",VLOOKUP($B41,'WC SOCIAL FEM'!$B$2:$J$28,8,0))</f>
        <v/>
      </c>
      <c r="Z41" s="14" t="str">
        <f aca="false">IF(ISNA(VLOOKUP($B41,'WC SOCIAL MAS'!$B$2:$J$29,8,0)),"",VLOOKUP($B41,'WC SOCIAL MAS'!$B$2:$J$29,8,0))</f>
        <v/>
      </c>
      <c r="AA41" s="14" t="str">
        <f aca="false">IF(ISNA(VLOOKUP($B41,HIDRÁULICA!$B$2:$J$32,8,0)),"",VLOOKUP($B41,HIDRÁULICA!$B$2:$J$32,8,0))</f>
        <v/>
      </c>
    </row>
    <row r="42" customFormat="false" ht="28.35" hidden="false" customHeight="false" outlineLevel="0" collapsed="false">
      <c r="A42" s="18"/>
      <c r="B42" s="9" t="s">
        <v>156</v>
      </c>
      <c r="C42" s="10" t="s">
        <v>157</v>
      </c>
      <c r="D42" s="11" t="s">
        <v>158</v>
      </c>
      <c r="E42" s="12" t="s">
        <v>54</v>
      </c>
      <c r="F42" s="13" t="n">
        <f aca="false">ROUND(SUM(G42:AA42),2)</f>
        <v>98.87</v>
      </c>
      <c r="G42" s="14" t="str">
        <f aca="false">IF(ISNA(VLOOKUP($B42,'CORREDOR 01'!$B$2:$J$19,8,0)),"",VLOOKUP($B42,'CORREDOR 01'!$B$2:$J$19,8,0))</f>
        <v/>
      </c>
      <c r="H42" s="14" t="str">
        <f aca="false">IF(ISNA(VLOOKUP($B42,'CORREDOR O2'!$B$2:$J$22,8,0)),"",VLOOKUP($B42,'CORREDOR O2'!$B$2:$J$22,8,0))</f>
        <v/>
      </c>
      <c r="I42" s="14" t="str">
        <f aca="false">IF(ISNA(VLOOKUP($B42,'Á. DE VENTIL.'!$B$2:$J$20,8,0)),"",VLOOKUP($B42,'Á. DE VENTIL.'!$B$2:$J$20,8,0))</f>
        <v/>
      </c>
      <c r="J42" s="14" t="n">
        <f aca="false">IF(ISNA(VLOOKUP($B42,'Á. EXTER '!$B$2:$J$24,8,0)),"",VLOOKUP($B42,'Á. EXTER '!$B$2:$J$24,8,0))</f>
        <v>98.87</v>
      </c>
      <c r="K42" s="14" t="str">
        <f aca="false">IF(ISNA(VLOOKUP($B42,'ÁREA DE CIR. EXTER.'!$B$2:$J$22,8,0)),"",VLOOKUP($B42,'ÁREA DE CIR. EXTER.'!$B$2:$J$22,8,0))</f>
        <v/>
      </c>
      <c r="L42" s="14" t="str">
        <f aca="false">IF(ISNA(VLOOKUP($B42,AUDITÓRIO!$B$2:$J$14,8,0)),"",VLOOKUP($B42,AUDITÓRIO!$B$2:$J$14,8,0))</f>
        <v/>
      </c>
      <c r="M42" s="14" t="str">
        <f aca="false">IF(ISNA(VLOOKUP($B42,'AUD.   WC FEM'!$B$2:$J$14,8,0)),"",VLOOKUP($B42,'AUD.   WC FEM'!$B$2:$J$14,8,0))</f>
        <v/>
      </c>
      <c r="N42" s="14" t="str">
        <f aca="false">IF(ISNA(VLOOKUP($B42,'AUD.   WC MAS'!$B$2:$J$14,8,0)),"",VLOOKUP($B42,'AUD.   WC MAS'!$B$2:$J$14,8,0))</f>
        <v/>
      </c>
      <c r="O42" s="14" t="str">
        <f aca="false">IF(ISNA(VLOOKUP($B42,'COBERT.'!$B$2:$J$8,8,0)),"",VLOOKUP($B42,'COBERT.'!$B$2:$J$8,8,0))</f>
        <v/>
      </c>
      <c r="P42" s="14" t="str">
        <f aca="false">IF(ISNA(VLOOKUP($B42,COPA!$B$2:$J$31,8,0)),"",VLOOKUP($B42,COPA!$B$2:$J$31,8,0))</f>
        <v/>
      </c>
      <c r="Q42" s="14" t="str">
        <f aca="false">IF(ISNA(VLOOKUP($B42,RECEPÇÃO!$B$2:$J$24,8,0)),"",VLOOKUP($B42,RECEPÇÃO!$B$2:$J$24,8,0))</f>
        <v/>
      </c>
      <c r="R42" s="14" t="str">
        <f aca="false">IF(ISNA(VLOOKUP($B42,'S.  DA ADM.'!$B$2:$J$24,8,0)),"",VLOOKUP($B42,'S.  DA ADM.'!$B$2:$J$24,8,0))</f>
        <v/>
      </c>
      <c r="S42" s="14" t="str">
        <f aca="false">IF(ISNA(VLOOKUP($B42,'S.  DA ADM.   WC'!$B$2:$J$27,8,0)),"",VLOOKUP($B42,'S.  DA ADM.   WC'!$B$2:$J$27,8,0))</f>
        <v/>
      </c>
      <c r="T42" s="14" t="str">
        <f aca="false">IF(ISNA(VLOOKUP($B42,'S. DA ATER'!$B$2:$J$23,8,0)),"",VLOOKUP($B42,'S. DA ATER'!$B$2:$J$23,8,0))</f>
        <v/>
      </c>
      <c r="U42" s="14" t="str">
        <f aca="false">IF(ISNA(VLOOKUP($B42,'S. DA GERÊNCIA'!$B$2:$J$27,8,0)),"",VLOOKUP($B42,'S. DA GERÊNCIA'!$B$2:$J$27,8,0))</f>
        <v/>
      </c>
      <c r="V42" s="14" t="str">
        <f aca="false">IF(ISNA(VLOOKUP($B42,'S. DE ESPERA'!$B$2:$J$23,8,0)),"",VLOOKUP($B42,'S. DE ESPERA'!$B$2:$J$23,8,0))</f>
        <v/>
      </c>
      <c r="W42" s="14" t="str">
        <f aca="false">IF(ISNA(VLOOKUP($B42,'S. DE REUNIÃO'!$B$2:$J$25,8,0)),"",VLOOKUP($B42,'S. DE REUNIÃO'!$B$2:$J$25,8,0))</f>
        <v/>
      </c>
      <c r="X42" s="14" t="str">
        <f aca="false">IF(ISNA(VLOOKUP($B42,'S. DO VIGIA'!$B$2:$J$23,8,0)),"",VLOOKUP($B42,'S. DO VIGIA'!$B$2:$J$23,8,0))</f>
        <v/>
      </c>
      <c r="Y42" s="14" t="str">
        <f aca="false">IF(ISNA(VLOOKUP($B42,'WC SOCIAL FEM'!$B$2:$J$28,8,0)),"",VLOOKUP($B42,'WC SOCIAL FEM'!$B$2:$J$28,8,0))</f>
        <v/>
      </c>
      <c r="Z42" s="14" t="str">
        <f aca="false">IF(ISNA(VLOOKUP($B42,'WC SOCIAL MAS'!$B$2:$J$29,8,0)),"",VLOOKUP($B42,'WC SOCIAL MAS'!$B$2:$J$29,8,0))</f>
        <v/>
      </c>
      <c r="AA42" s="14" t="str">
        <f aca="false">IF(ISNA(VLOOKUP($B42,HIDRÁULICA!$B$2:$J$32,8,0)),"",VLOOKUP($B42,HIDRÁULICA!$B$2:$J$32,8,0))</f>
        <v/>
      </c>
    </row>
    <row r="43" customFormat="false" ht="41.75" hidden="false" customHeight="false" outlineLevel="0" collapsed="false">
      <c r="A43" s="18"/>
      <c r="B43" s="9" t="s">
        <v>159</v>
      </c>
      <c r="C43" s="10" t="s">
        <v>160</v>
      </c>
      <c r="D43" s="11" t="s">
        <v>161</v>
      </c>
      <c r="E43" s="12" t="s">
        <v>54</v>
      </c>
      <c r="F43" s="13" t="n">
        <f aca="false">ROUND(SUM(G43:AA43),2)</f>
        <v>118.64</v>
      </c>
      <c r="G43" s="14" t="str">
        <f aca="false">IF(ISNA(VLOOKUP($B43,'CORREDOR 01'!$B$2:$J$19,8,0)),"",VLOOKUP($B43,'CORREDOR 01'!$B$2:$J$19,8,0))</f>
        <v/>
      </c>
      <c r="H43" s="14" t="str">
        <f aca="false">IF(ISNA(VLOOKUP($B43,'CORREDOR O2'!$B$2:$J$22,8,0)),"",VLOOKUP($B43,'CORREDOR O2'!$B$2:$J$22,8,0))</f>
        <v/>
      </c>
      <c r="I43" s="14" t="str">
        <f aca="false">IF(ISNA(VLOOKUP($B43,'Á. DE VENTIL.'!$B$2:$J$20,8,0)),"",VLOOKUP($B43,'Á. DE VENTIL.'!$B$2:$J$20,8,0))</f>
        <v/>
      </c>
      <c r="J43" s="14" t="n">
        <f aca="false">IF(ISNA(VLOOKUP($B43,'Á. EXTER '!$B$2:$J$24,8,0)),"",VLOOKUP($B43,'Á. EXTER '!$B$2:$J$24,8,0))</f>
        <v>118.644</v>
      </c>
      <c r="K43" s="14" t="str">
        <f aca="false">IF(ISNA(VLOOKUP($B43,'ÁREA DE CIR. EXTER.'!$B$2:$J$22,8,0)),"",VLOOKUP($B43,'ÁREA DE CIR. EXTER.'!$B$2:$J$22,8,0))</f>
        <v/>
      </c>
      <c r="L43" s="14" t="str">
        <f aca="false">IF(ISNA(VLOOKUP($B43,AUDITÓRIO!$B$2:$J$14,8,0)),"",VLOOKUP($B43,AUDITÓRIO!$B$2:$J$14,8,0))</f>
        <v/>
      </c>
      <c r="M43" s="14" t="str">
        <f aca="false">IF(ISNA(VLOOKUP($B43,'AUD.   WC FEM'!$B$2:$J$14,8,0)),"",VLOOKUP($B43,'AUD.   WC FEM'!$B$2:$J$14,8,0))</f>
        <v/>
      </c>
      <c r="N43" s="14" t="str">
        <f aca="false">IF(ISNA(VLOOKUP($B43,'AUD.   WC MAS'!$B$2:$J$14,8,0)),"",VLOOKUP($B43,'AUD.   WC MAS'!$B$2:$J$14,8,0))</f>
        <v/>
      </c>
      <c r="O43" s="14" t="str">
        <f aca="false">IF(ISNA(VLOOKUP($B43,'COBERT.'!$B$2:$J$8,8,0)),"",VLOOKUP($B43,'COBERT.'!$B$2:$J$8,8,0))</f>
        <v/>
      </c>
      <c r="P43" s="14" t="str">
        <f aca="false">IF(ISNA(VLOOKUP($B43,COPA!$B$2:$J$31,8,0)),"",VLOOKUP($B43,COPA!$B$2:$J$31,8,0))</f>
        <v/>
      </c>
      <c r="Q43" s="14" t="str">
        <f aca="false">IF(ISNA(VLOOKUP($B43,RECEPÇÃO!$B$2:$J$24,8,0)),"",VLOOKUP($B43,RECEPÇÃO!$B$2:$J$24,8,0))</f>
        <v/>
      </c>
      <c r="R43" s="14" t="str">
        <f aca="false">IF(ISNA(VLOOKUP($B43,'S.  DA ADM.'!$B$2:$J$24,8,0)),"",VLOOKUP($B43,'S.  DA ADM.'!$B$2:$J$24,8,0))</f>
        <v/>
      </c>
      <c r="S43" s="14" t="str">
        <f aca="false">IF(ISNA(VLOOKUP($B43,'S.  DA ADM.   WC'!$B$2:$J$27,8,0)),"",VLOOKUP($B43,'S.  DA ADM.   WC'!$B$2:$J$27,8,0))</f>
        <v/>
      </c>
      <c r="T43" s="14" t="str">
        <f aca="false">IF(ISNA(VLOOKUP($B43,'S. DA ATER'!$B$2:$J$23,8,0)),"",VLOOKUP($B43,'S. DA ATER'!$B$2:$J$23,8,0))</f>
        <v/>
      </c>
      <c r="U43" s="14" t="str">
        <f aca="false">IF(ISNA(VLOOKUP($B43,'S. DA GERÊNCIA'!$B$2:$J$27,8,0)),"",VLOOKUP($B43,'S. DA GERÊNCIA'!$B$2:$J$27,8,0))</f>
        <v/>
      </c>
      <c r="V43" s="14" t="str">
        <f aca="false">IF(ISNA(VLOOKUP($B43,'S. DE ESPERA'!$B$2:$J$23,8,0)),"",VLOOKUP($B43,'S. DE ESPERA'!$B$2:$J$23,8,0))</f>
        <v/>
      </c>
      <c r="W43" s="14" t="str">
        <f aca="false">IF(ISNA(VLOOKUP($B43,'S. DE REUNIÃO'!$B$2:$J$25,8,0)),"",VLOOKUP($B43,'S. DE REUNIÃO'!$B$2:$J$25,8,0))</f>
        <v/>
      </c>
      <c r="X43" s="14" t="str">
        <f aca="false">IF(ISNA(VLOOKUP($B43,'S. DO VIGIA'!$B$2:$J$23,8,0)),"",VLOOKUP($B43,'S. DO VIGIA'!$B$2:$J$23,8,0))</f>
        <v/>
      </c>
      <c r="Y43" s="14" t="str">
        <f aca="false">IF(ISNA(VLOOKUP($B43,'WC SOCIAL FEM'!$B$2:$J$28,8,0)),"",VLOOKUP($B43,'WC SOCIAL FEM'!$B$2:$J$28,8,0))</f>
        <v/>
      </c>
      <c r="Z43" s="14" t="str">
        <f aca="false">IF(ISNA(VLOOKUP($B43,'WC SOCIAL MAS'!$B$2:$J$29,8,0)),"",VLOOKUP($B43,'WC SOCIAL MAS'!$B$2:$J$29,8,0))</f>
        <v/>
      </c>
      <c r="AA43" s="14" t="str">
        <f aca="false">IF(ISNA(VLOOKUP($B43,HIDRÁULICA!$B$2:$J$32,8,0)),"",VLOOKUP($B43,HIDRÁULICA!$B$2:$J$32,8,0))</f>
        <v/>
      </c>
    </row>
    <row r="44" customFormat="false" ht="28.8" hidden="false" customHeight="true" outlineLevel="0" collapsed="false">
      <c r="A44" s="9" t="s">
        <v>162</v>
      </c>
      <c r="B44" s="9" t="s">
        <v>163</v>
      </c>
      <c r="C44" s="10" t="s">
        <v>164</v>
      </c>
      <c r="D44" s="11" t="s">
        <v>165</v>
      </c>
      <c r="E44" s="12" t="s">
        <v>33</v>
      </c>
      <c r="F44" s="13" t="n">
        <f aca="false">ROUND(SUM(G44:AA44),2)</f>
        <v>140.3</v>
      </c>
      <c r="G44" s="14" t="str">
        <f aca="false">IF(ISNA(VLOOKUP($B44,'CORREDOR 01'!$B$2:$J$19,8,0)),"",VLOOKUP($B44,'CORREDOR 01'!$B$2:$J$19,8,0))</f>
        <v/>
      </c>
      <c r="H44" s="14" t="str">
        <f aca="false">IF(ISNA(VLOOKUP($B44,'CORREDOR O2'!$B$2:$J$22,8,0)),"",VLOOKUP($B44,'CORREDOR O2'!$B$2:$J$22,8,0))</f>
        <v/>
      </c>
      <c r="I44" s="14" t="str">
        <f aca="false">IF(ISNA(VLOOKUP($B44,'Á. DE VENTIL.'!$B$2:$J$20,8,0)),"",VLOOKUP($B44,'Á. DE VENTIL.'!$B$2:$J$20,8,0))</f>
        <v/>
      </c>
      <c r="J44" s="14" t="str">
        <f aca="false">IF(ISNA(VLOOKUP($B44,'Á. EXTER '!$B$2:$J$24,8,0)),"",VLOOKUP($B44,'Á. EXTER '!$B$2:$J$24,8,0))</f>
        <v/>
      </c>
      <c r="K44" s="14" t="str">
        <f aca="false">IF(ISNA(VLOOKUP($B44,'ÁREA DE CIR. EXTER.'!$B$2:$J$22,8,0)),"",VLOOKUP($B44,'ÁREA DE CIR. EXTER.'!$B$2:$J$22,8,0))</f>
        <v/>
      </c>
      <c r="L44" s="14" t="str">
        <f aca="false">IF(ISNA(VLOOKUP($B44,AUDITÓRIO!$B$2:$J$14,8,0)),"",VLOOKUP($B44,AUDITÓRIO!$B$2:$J$14,8,0))</f>
        <v/>
      </c>
      <c r="M44" s="14" t="str">
        <f aca="false">IF(ISNA(VLOOKUP($B44,'AUD.   WC FEM'!$B$2:$J$14,8,0)),"",VLOOKUP($B44,'AUD.   WC FEM'!$B$2:$J$14,8,0))</f>
        <v/>
      </c>
      <c r="N44" s="14" t="str">
        <f aca="false">IF(ISNA(VLOOKUP($B44,'AUD.   WC MAS'!$B$2:$J$14,8,0)),"",VLOOKUP($B44,'AUD.   WC MAS'!$B$2:$J$14,8,0))</f>
        <v/>
      </c>
      <c r="O44" s="14" t="n">
        <f aca="false">IF(ISNA(VLOOKUP($B44,'COBERT.'!$B$2:$J$8,8,0)),"",VLOOKUP($B44,'COBERT.'!$B$2:$J$8,8,0))</f>
        <v>140.296</v>
      </c>
      <c r="P44" s="14" t="str">
        <f aca="false">IF(ISNA(VLOOKUP($B44,COPA!$B$2:$J$31,8,0)),"",VLOOKUP($B44,COPA!$B$2:$J$31,8,0))</f>
        <v/>
      </c>
      <c r="Q44" s="14" t="str">
        <f aca="false">IF(ISNA(VLOOKUP($B44,RECEPÇÃO!$B$2:$J$24,8,0)),"",VLOOKUP($B44,RECEPÇÃO!$B$2:$J$24,8,0))</f>
        <v/>
      </c>
      <c r="R44" s="14" t="str">
        <f aca="false">IF(ISNA(VLOOKUP($B44,'S.  DA ADM.'!$B$2:$J$24,8,0)),"",VLOOKUP($B44,'S.  DA ADM.'!$B$2:$J$24,8,0))</f>
        <v/>
      </c>
      <c r="S44" s="14" t="str">
        <f aca="false">IF(ISNA(VLOOKUP($B44,'S.  DA ADM.   WC'!$B$2:$J$27,8,0)),"",VLOOKUP($B44,'S.  DA ADM.   WC'!$B$2:$J$27,8,0))</f>
        <v/>
      </c>
      <c r="T44" s="14" t="str">
        <f aca="false">IF(ISNA(VLOOKUP($B44,'S. DA ATER'!$B$2:$J$23,8,0)),"",VLOOKUP($B44,'S. DA ATER'!$B$2:$J$23,8,0))</f>
        <v/>
      </c>
      <c r="U44" s="14" t="str">
        <f aca="false">IF(ISNA(VLOOKUP($B44,'S. DA GERÊNCIA'!$B$2:$J$27,8,0)),"",VLOOKUP($B44,'S. DA GERÊNCIA'!$B$2:$J$27,8,0))</f>
        <v/>
      </c>
      <c r="V44" s="14" t="str">
        <f aca="false">IF(ISNA(VLOOKUP($B44,'S. DE ESPERA'!$B$2:$J$23,8,0)),"",VLOOKUP($B44,'S. DE ESPERA'!$B$2:$J$23,8,0))</f>
        <v/>
      </c>
      <c r="W44" s="14" t="str">
        <f aca="false">IF(ISNA(VLOOKUP($B44,'S. DE REUNIÃO'!$B$2:$J$25,8,0)),"",VLOOKUP($B44,'S. DE REUNIÃO'!$B$2:$J$25,8,0))</f>
        <v/>
      </c>
      <c r="X44" s="14" t="str">
        <f aca="false">IF(ISNA(VLOOKUP($B44,'S. DO VIGIA'!$B$2:$J$23,8,0)),"",VLOOKUP($B44,'S. DO VIGIA'!$B$2:$J$23,8,0))</f>
        <v/>
      </c>
      <c r="Y44" s="14" t="str">
        <f aca="false">IF(ISNA(VLOOKUP($B44,'WC SOCIAL FEM'!$B$2:$J$28,8,0)),"",VLOOKUP($B44,'WC SOCIAL FEM'!$B$2:$J$28,8,0))</f>
        <v/>
      </c>
      <c r="Z44" s="14" t="str">
        <f aca="false">IF(ISNA(VLOOKUP($B44,'WC SOCIAL MAS'!$B$2:$J$29,8,0)),"",VLOOKUP($B44,'WC SOCIAL MAS'!$B$2:$J$29,8,0))</f>
        <v/>
      </c>
      <c r="AA44" s="14" t="str">
        <f aca="false">IF(ISNA(VLOOKUP($B44,HIDRÁULICA!$B$2:$J$32,8,0)),"",VLOOKUP($B44,HIDRÁULICA!$B$2:$J$32,8,0))</f>
        <v/>
      </c>
    </row>
    <row r="45" customFormat="false" ht="28.35" hidden="false" customHeight="false" outlineLevel="0" collapsed="false">
      <c r="A45" s="9"/>
      <c r="B45" s="9" t="s">
        <v>166</v>
      </c>
      <c r="C45" s="10" t="s">
        <v>167</v>
      </c>
      <c r="D45" s="11" t="s">
        <v>168</v>
      </c>
      <c r="E45" s="12" t="s">
        <v>33</v>
      </c>
      <c r="F45" s="13" t="n">
        <f aca="false">ROUND(SUM(G45:AA45),2)</f>
        <v>289.25</v>
      </c>
      <c r="G45" s="14" t="str">
        <f aca="false">IF(ISNA(VLOOKUP($B45,'CORREDOR 01'!$B$2:$J$19,8,0)),"",VLOOKUP($B45,'CORREDOR 01'!$B$2:$J$19,8,0))</f>
        <v/>
      </c>
      <c r="H45" s="14" t="str">
        <f aca="false">IF(ISNA(VLOOKUP($B45,'CORREDOR O2'!$B$2:$J$22,8,0)),"",VLOOKUP($B45,'CORREDOR O2'!$B$2:$J$22,8,0))</f>
        <v/>
      </c>
      <c r="I45" s="14" t="str">
        <f aca="false">IF(ISNA(VLOOKUP($B45,'Á. DE VENTIL.'!$B$2:$J$20,8,0)),"",VLOOKUP($B45,'Á. DE VENTIL.'!$B$2:$J$20,8,0))</f>
        <v/>
      </c>
      <c r="J45" s="14" t="str">
        <f aca="false">IF(ISNA(VLOOKUP($B45,'Á. EXTER '!$B$2:$J$24,8,0)),"",VLOOKUP($B45,'Á. EXTER '!$B$2:$J$24,8,0))</f>
        <v/>
      </c>
      <c r="K45" s="14" t="str">
        <f aca="false">IF(ISNA(VLOOKUP($B45,'ÁREA DE CIR. EXTER.'!$B$2:$J$22,8,0)),"",VLOOKUP($B45,'ÁREA DE CIR. EXTER.'!$B$2:$J$22,8,0))</f>
        <v/>
      </c>
      <c r="L45" s="14" t="str">
        <f aca="false">IF(ISNA(VLOOKUP($B45,AUDITÓRIO!$B$2:$J$14,8,0)),"",VLOOKUP($B45,AUDITÓRIO!$B$2:$J$14,8,0))</f>
        <v/>
      </c>
      <c r="M45" s="14" t="str">
        <f aca="false">IF(ISNA(VLOOKUP($B45,'AUD.   WC FEM'!$B$2:$J$14,8,0)),"",VLOOKUP($B45,'AUD.   WC FEM'!$B$2:$J$14,8,0))</f>
        <v/>
      </c>
      <c r="N45" s="14" t="str">
        <f aca="false">IF(ISNA(VLOOKUP($B45,'AUD.   WC MAS'!$B$2:$J$14,8,0)),"",VLOOKUP($B45,'AUD.   WC MAS'!$B$2:$J$14,8,0))</f>
        <v/>
      </c>
      <c r="O45" s="14" t="n">
        <f aca="false">IF(ISNA(VLOOKUP($B45,'COBERT.'!$B$2:$J$8,8,0)),"",VLOOKUP($B45,'COBERT.'!$B$2:$J$8,8,0))</f>
        <v>289.25</v>
      </c>
      <c r="P45" s="14" t="str">
        <f aca="false">IF(ISNA(VLOOKUP($B45,COPA!$B$2:$J$31,8,0)),"",VLOOKUP($B45,COPA!$B$2:$J$31,8,0))</f>
        <v/>
      </c>
      <c r="Q45" s="14" t="str">
        <f aca="false">IF(ISNA(VLOOKUP($B45,RECEPÇÃO!$B$2:$J$24,8,0)),"",VLOOKUP($B45,RECEPÇÃO!$B$2:$J$24,8,0))</f>
        <v/>
      </c>
      <c r="R45" s="14" t="str">
        <f aca="false">IF(ISNA(VLOOKUP($B45,'S.  DA ADM.'!$B$2:$J$24,8,0)),"",VLOOKUP($B45,'S.  DA ADM.'!$B$2:$J$24,8,0))</f>
        <v/>
      </c>
      <c r="S45" s="14" t="str">
        <f aca="false">IF(ISNA(VLOOKUP($B45,'S.  DA ADM.   WC'!$B$2:$J$27,8,0)),"",VLOOKUP($B45,'S.  DA ADM.   WC'!$B$2:$J$27,8,0))</f>
        <v/>
      </c>
      <c r="T45" s="14" t="str">
        <f aca="false">IF(ISNA(VLOOKUP($B45,'S. DA ATER'!$B$2:$J$23,8,0)),"",VLOOKUP($B45,'S. DA ATER'!$B$2:$J$23,8,0))</f>
        <v/>
      </c>
      <c r="U45" s="14" t="str">
        <f aca="false">IF(ISNA(VLOOKUP($B45,'S. DA GERÊNCIA'!$B$2:$J$27,8,0)),"",VLOOKUP($B45,'S. DA GERÊNCIA'!$B$2:$J$27,8,0))</f>
        <v/>
      </c>
      <c r="V45" s="14" t="str">
        <f aca="false">IF(ISNA(VLOOKUP($B45,'S. DE ESPERA'!$B$2:$J$23,8,0)),"",VLOOKUP($B45,'S. DE ESPERA'!$B$2:$J$23,8,0))</f>
        <v/>
      </c>
      <c r="W45" s="14" t="str">
        <f aca="false">IF(ISNA(VLOOKUP($B45,'S. DE REUNIÃO'!$B$2:$J$25,8,0)),"",VLOOKUP($B45,'S. DE REUNIÃO'!$B$2:$J$25,8,0))</f>
        <v/>
      </c>
      <c r="X45" s="14" t="str">
        <f aca="false">IF(ISNA(VLOOKUP($B45,'S. DO VIGIA'!$B$2:$J$23,8,0)),"",VLOOKUP($B45,'S. DO VIGIA'!$B$2:$J$23,8,0))</f>
        <v/>
      </c>
      <c r="Y45" s="14" t="str">
        <f aca="false">IF(ISNA(VLOOKUP($B45,'WC SOCIAL FEM'!$B$2:$J$28,8,0)),"",VLOOKUP($B45,'WC SOCIAL FEM'!$B$2:$J$28,8,0))</f>
        <v/>
      </c>
      <c r="Z45" s="14" t="str">
        <f aca="false">IF(ISNA(VLOOKUP($B45,'WC SOCIAL MAS'!$B$2:$J$29,8,0)),"",VLOOKUP($B45,'WC SOCIAL MAS'!$B$2:$J$29,8,0))</f>
        <v/>
      </c>
      <c r="AA45" s="14" t="str">
        <f aca="false">IF(ISNA(VLOOKUP($B45,HIDRÁULICA!$B$2:$J$32,8,0)),"",VLOOKUP($B45,HIDRÁULICA!$B$2:$J$32,8,0))</f>
        <v/>
      </c>
    </row>
    <row r="46" customFormat="false" ht="28.35" hidden="false" customHeight="false" outlineLevel="0" collapsed="false">
      <c r="A46" s="9"/>
      <c r="B46" s="9" t="s">
        <v>169</v>
      </c>
      <c r="C46" s="10" t="s">
        <v>170</v>
      </c>
      <c r="D46" s="11" t="s">
        <v>171</v>
      </c>
      <c r="E46" s="12" t="s">
        <v>33</v>
      </c>
      <c r="F46" s="13" t="n">
        <f aca="false">ROUND(SUM(G46:AA46),2)</f>
        <v>140.3</v>
      </c>
      <c r="G46" s="14" t="str">
        <f aca="false">IF(ISNA(VLOOKUP($B46,'CORREDOR 01'!$B$2:$J$19,8,0)),"",VLOOKUP($B46,'CORREDOR 01'!$B$2:$J$19,8,0))</f>
        <v/>
      </c>
      <c r="H46" s="14" t="str">
        <f aca="false">IF(ISNA(VLOOKUP($B46,'CORREDOR O2'!$B$2:$J$22,8,0)),"",VLOOKUP($B46,'CORREDOR O2'!$B$2:$J$22,8,0))</f>
        <v/>
      </c>
      <c r="I46" s="14" t="str">
        <f aca="false">IF(ISNA(VLOOKUP($B46,'Á. DE VENTIL.'!$B$2:$J$20,8,0)),"",VLOOKUP($B46,'Á. DE VENTIL.'!$B$2:$J$20,8,0))</f>
        <v/>
      </c>
      <c r="J46" s="14" t="str">
        <f aca="false">IF(ISNA(VLOOKUP($B46,'Á. EXTER '!$B$2:$J$24,8,0)),"",VLOOKUP($B46,'Á. EXTER '!$B$2:$J$24,8,0))</f>
        <v/>
      </c>
      <c r="K46" s="14" t="str">
        <f aca="false">IF(ISNA(VLOOKUP($B46,'ÁREA DE CIR. EXTER.'!$B$2:$J$22,8,0)),"",VLOOKUP($B46,'ÁREA DE CIR. EXTER.'!$B$2:$J$22,8,0))</f>
        <v/>
      </c>
      <c r="L46" s="14" t="str">
        <f aca="false">IF(ISNA(VLOOKUP($B46,AUDITÓRIO!$B$2:$J$14,8,0)),"",VLOOKUP($B46,AUDITÓRIO!$B$2:$J$14,8,0))</f>
        <v/>
      </c>
      <c r="M46" s="14" t="str">
        <f aca="false">IF(ISNA(VLOOKUP($B46,'AUD.   WC FEM'!$B$2:$J$14,8,0)),"",VLOOKUP($B46,'AUD.   WC FEM'!$B$2:$J$14,8,0))</f>
        <v/>
      </c>
      <c r="N46" s="14" t="str">
        <f aca="false">IF(ISNA(VLOOKUP($B46,'AUD.   WC MAS'!$B$2:$J$14,8,0)),"",VLOOKUP($B46,'AUD.   WC MAS'!$B$2:$J$14,8,0))</f>
        <v/>
      </c>
      <c r="O46" s="14" t="n">
        <f aca="false">IF(ISNA(VLOOKUP($B46,'COBERT.'!$B$2:$J$8,8,0)),"",VLOOKUP($B46,'COBERT.'!$B$2:$J$8,8,0))</f>
        <v>140.296</v>
      </c>
      <c r="P46" s="14" t="str">
        <f aca="false">IF(ISNA(VLOOKUP($B46,COPA!$B$2:$J$31,8,0)),"",VLOOKUP($B46,COPA!$B$2:$J$31,8,0))</f>
        <v/>
      </c>
      <c r="Q46" s="14" t="str">
        <f aca="false">IF(ISNA(VLOOKUP($B46,RECEPÇÃO!$B$2:$J$24,8,0)),"",VLOOKUP($B46,RECEPÇÃO!$B$2:$J$24,8,0))</f>
        <v/>
      </c>
      <c r="R46" s="14" t="str">
        <f aca="false">IF(ISNA(VLOOKUP($B46,'S.  DA ADM.'!$B$2:$J$24,8,0)),"",VLOOKUP($B46,'S.  DA ADM.'!$B$2:$J$24,8,0))</f>
        <v/>
      </c>
      <c r="S46" s="14" t="str">
        <f aca="false">IF(ISNA(VLOOKUP($B46,'S.  DA ADM.   WC'!$B$2:$J$27,8,0)),"",VLOOKUP($B46,'S.  DA ADM.   WC'!$B$2:$J$27,8,0))</f>
        <v/>
      </c>
      <c r="T46" s="14" t="str">
        <f aca="false">IF(ISNA(VLOOKUP($B46,'S. DA ATER'!$B$2:$J$23,8,0)),"",VLOOKUP($B46,'S. DA ATER'!$B$2:$J$23,8,0))</f>
        <v/>
      </c>
      <c r="U46" s="14" t="str">
        <f aca="false">IF(ISNA(VLOOKUP($B46,'S. DA GERÊNCIA'!$B$2:$J$27,8,0)),"",VLOOKUP($B46,'S. DA GERÊNCIA'!$B$2:$J$27,8,0))</f>
        <v/>
      </c>
      <c r="V46" s="14" t="str">
        <f aca="false">IF(ISNA(VLOOKUP($B46,'S. DE ESPERA'!$B$2:$J$23,8,0)),"",VLOOKUP($B46,'S. DE ESPERA'!$B$2:$J$23,8,0))</f>
        <v/>
      </c>
      <c r="W46" s="14" t="str">
        <f aca="false">IF(ISNA(VLOOKUP($B46,'S. DE REUNIÃO'!$B$2:$J$25,8,0)),"",VLOOKUP($B46,'S. DE REUNIÃO'!$B$2:$J$25,8,0))</f>
        <v/>
      </c>
      <c r="X46" s="14" t="str">
        <f aca="false">IF(ISNA(VLOOKUP($B46,'S. DO VIGIA'!$B$2:$J$23,8,0)),"",VLOOKUP($B46,'S. DO VIGIA'!$B$2:$J$23,8,0))</f>
        <v/>
      </c>
      <c r="Y46" s="14" t="str">
        <f aca="false">IF(ISNA(VLOOKUP($B46,'WC SOCIAL FEM'!$B$2:$J$28,8,0)),"",VLOOKUP($B46,'WC SOCIAL FEM'!$B$2:$J$28,8,0))</f>
        <v/>
      </c>
      <c r="Z46" s="14" t="str">
        <f aca="false">IF(ISNA(VLOOKUP($B46,'WC SOCIAL MAS'!$B$2:$J$29,8,0)),"",VLOOKUP($B46,'WC SOCIAL MAS'!$B$2:$J$29,8,0))</f>
        <v/>
      </c>
      <c r="AA46" s="14" t="str">
        <f aca="false">IF(ISNA(VLOOKUP($B46,HIDRÁULICA!$B$2:$J$32,8,0)),"",VLOOKUP($B46,HIDRÁULICA!$B$2:$J$32,8,0))</f>
        <v/>
      </c>
    </row>
    <row r="47" customFormat="false" ht="28.35" hidden="false" customHeight="false" outlineLevel="0" collapsed="false">
      <c r="A47" s="9"/>
      <c r="B47" s="9" t="s">
        <v>172</v>
      </c>
      <c r="C47" s="10" t="s">
        <v>173</v>
      </c>
      <c r="D47" s="11" t="s">
        <v>174</v>
      </c>
      <c r="E47" s="12" t="s">
        <v>33</v>
      </c>
      <c r="F47" s="13" t="n">
        <f aca="false">ROUND(SUM(G47:AA47),2)</f>
        <v>140.3</v>
      </c>
      <c r="G47" s="14" t="str">
        <f aca="false">IF(ISNA(VLOOKUP($B47,'CORREDOR 01'!$B$2:$J$19,8,0)),"",VLOOKUP($B47,'CORREDOR 01'!$B$2:$J$19,8,0))</f>
        <v/>
      </c>
      <c r="H47" s="14" t="str">
        <f aca="false">IF(ISNA(VLOOKUP($B47,'CORREDOR O2'!$B$2:$J$22,8,0)),"",VLOOKUP($B47,'CORREDOR O2'!$B$2:$J$22,8,0))</f>
        <v/>
      </c>
      <c r="I47" s="14" t="str">
        <f aca="false">IF(ISNA(VLOOKUP($B47,'Á. DE VENTIL.'!$B$2:$J$20,8,0)),"",VLOOKUP($B47,'Á. DE VENTIL.'!$B$2:$J$20,8,0))</f>
        <v/>
      </c>
      <c r="J47" s="14" t="str">
        <f aca="false">IF(ISNA(VLOOKUP($B47,'Á. EXTER '!$B$2:$J$24,8,0)),"",VLOOKUP($B47,'Á. EXTER '!$B$2:$J$24,8,0))</f>
        <v/>
      </c>
      <c r="K47" s="14" t="str">
        <f aca="false">IF(ISNA(VLOOKUP($B47,'ÁREA DE CIR. EXTER.'!$B$2:$J$22,8,0)),"",VLOOKUP($B47,'ÁREA DE CIR. EXTER.'!$B$2:$J$22,8,0))</f>
        <v/>
      </c>
      <c r="L47" s="14" t="str">
        <f aca="false">IF(ISNA(VLOOKUP($B47,AUDITÓRIO!$B$2:$J$14,8,0)),"",VLOOKUP($B47,AUDITÓRIO!$B$2:$J$14,8,0))</f>
        <v/>
      </c>
      <c r="M47" s="14" t="str">
        <f aca="false">IF(ISNA(VLOOKUP($B47,'AUD.   WC FEM'!$B$2:$J$14,8,0)),"",VLOOKUP($B47,'AUD.   WC FEM'!$B$2:$J$14,8,0))</f>
        <v/>
      </c>
      <c r="N47" s="14" t="str">
        <f aca="false">IF(ISNA(VLOOKUP($B47,'AUD.   WC MAS'!$B$2:$J$14,8,0)),"",VLOOKUP($B47,'AUD.   WC MAS'!$B$2:$J$14,8,0))</f>
        <v/>
      </c>
      <c r="O47" s="14" t="n">
        <f aca="false">IF(ISNA(VLOOKUP($B47,'COBERT.'!$B$2:$J$8,8,0)),"",VLOOKUP($B47,'COBERT.'!$B$2:$J$8,8,0))</f>
        <v>140.296</v>
      </c>
      <c r="P47" s="14" t="str">
        <f aca="false">IF(ISNA(VLOOKUP($B47,COPA!$B$2:$J$31,8,0)),"",VLOOKUP($B47,COPA!$B$2:$J$31,8,0))</f>
        <v/>
      </c>
      <c r="Q47" s="14" t="str">
        <f aca="false">IF(ISNA(VLOOKUP($B47,RECEPÇÃO!$B$2:$J$24,8,0)),"",VLOOKUP($B47,RECEPÇÃO!$B$2:$J$24,8,0))</f>
        <v/>
      </c>
      <c r="R47" s="14" t="str">
        <f aca="false">IF(ISNA(VLOOKUP($B47,'S.  DA ADM.'!$B$2:$J$24,8,0)),"",VLOOKUP($B47,'S.  DA ADM.'!$B$2:$J$24,8,0))</f>
        <v/>
      </c>
      <c r="S47" s="14" t="str">
        <f aca="false">IF(ISNA(VLOOKUP($B47,'S.  DA ADM.   WC'!$B$2:$J$27,8,0)),"",VLOOKUP($B47,'S.  DA ADM.   WC'!$B$2:$J$27,8,0))</f>
        <v/>
      </c>
      <c r="T47" s="14" t="str">
        <f aca="false">IF(ISNA(VLOOKUP($B47,'S. DA ATER'!$B$2:$J$23,8,0)),"",VLOOKUP($B47,'S. DA ATER'!$B$2:$J$23,8,0))</f>
        <v/>
      </c>
      <c r="U47" s="14" t="str">
        <f aca="false">IF(ISNA(VLOOKUP($B47,'S. DA GERÊNCIA'!$B$2:$J$27,8,0)),"",VLOOKUP($B47,'S. DA GERÊNCIA'!$B$2:$J$27,8,0))</f>
        <v/>
      </c>
      <c r="V47" s="14" t="str">
        <f aca="false">IF(ISNA(VLOOKUP($B47,'S. DE ESPERA'!$B$2:$J$23,8,0)),"",VLOOKUP($B47,'S. DE ESPERA'!$B$2:$J$23,8,0))</f>
        <v/>
      </c>
      <c r="W47" s="14" t="str">
        <f aca="false">IF(ISNA(VLOOKUP($B47,'S. DE REUNIÃO'!$B$2:$J$25,8,0)),"",VLOOKUP($B47,'S. DE REUNIÃO'!$B$2:$J$25,8,0))</f>
        <v/>
      </c>
      <c r="X47" s="14" t="str">
        <f aca="false">IF(ISNA(VLOOKUP($B47,'S. DO VIGIA'!$B$2:$J$23,8,0)),"",VLOOKUP($B47,'S. DO VIGIA'!$B$2:$J$23,8,0))</f>
        <v/>
      </c>
      <c r="Y47" s="14" t="str">
        <f aca="false">IF(ISNA(VLOOKUP($B47,'WC SOCIAL FEM'!$B$2:$J$28,8,0)),"",VLOOKUP($B47,'WC SOCIAL FEM'!$B$2:$J$28,8,0))</f>
        <v/>
      </c>
      <c r="Z47" s="14" t="str">
        <f aca="false">IF(ISNA(VLOOKUP($B47,'WC SOCIAL MAS'!$B$2:$J$29,8,0)),"",VLOOKUP($B47,'WC SOCIAL MAS'!$B$2:$J$29,8,0))</f>
        <v/>
      </c>
      <c r="AA47" s="14" t="str">
        <f aca="false">IF(ISNA(VLOOKUP($B47,HIDRÁULICA!$B$2:$J$32,8,0)),"",VLOOKUP($B47,HIDRÁULICA!$B$2:$J$32,8,0))</f>
        <v/>
      </c>
    </row>
    <row r="48" customFormat="false" ht="41.75" hidden="false" customHeight="false" outlineLevel="0" collapsed="false">
      <c r="A48" s="9"/>
      <c r="B48" s="9" t="s">
        <v>175</v>
      </c>
      <c r="C48" s="10" t="s">
        <v>176</v>
      </c>
      <c r="D48" s="11" t="s">
        <v>177</v>
      </c>
      <c r="E48" s="12" t="s">
        <v>33</v>
      </c>
      <c r="F48" s="13" t="n">
        <f aca="false">ROUND(SUM(G48:AA48),2)</f>
        <v>140.3</v>
      </c>
      <c r="G48" s="14" t="str">
        <f aca="false">IF(ISNA(VLOOKUP($B48,'CORREDOR 01'!$B$2:$J$19,8,0)),"",VLOOKUP($B48,'CORREDOR 01'!$B$2:$J$19,8,0))</f>
        <v/>
      </c>
      <c r="H48" s="14" t="str">
        <f aca="false">IF(ISNA(VLOOKUP($B48,'CORREDOR O2'!$B$2:$J$22,8,0)),"",VLOOKUP($B48,'CORREDOR O2'!$B$2:$J$22,8,0))</f>
        <v/>
      </c>
      <c r="I48" s="14" t="str">
        <f aca="false">IF(ISNA(VLOOKUP($B48,'Á. DE VENTIL.'!$B$2:$J$20,8,0)),"",VLOOKUP($B48,'Á. DE VENTIL.'!$B$2:$J$20,8,0))</f>
        <v/>
      </c>
      <c r="J48" s="14" t="str">
        <f aca="false">IF(ISNA(VLOOKUP($B48,'Á. EXTER '!$B$2:$J$24,8,0)),"",VLOOKUP($B48,'Á. EXTER '!$B$2:$J$24,8,0))</f>
        <v/>
      </c>
      <c r="K48" s="14" t="str">
        <f aca="false">IF(ISNA(VLOOKUP($B48,'ÁREA DE CIR. EXTER.'!$B$2:$J$22,8,0)),"",VLOOKUP($B48,'ÁREA DE CIR. EXTER.'!$B$2:$J$22,8,0))</f>
        <v/>
      </c>
      <c r="L48" s="14" t="str">
        <f aca="false">IF(ISNA(VLOOKUP($B48,AUDITÓRIO!$B$2:$J$14,8,0)),"",VLOOKUP($B48,AUDITÓRIO!$B$2:$J$14,8,0))</f>
        <v/>
      </c>
      <c r="M48" s="14" t="str">
        <f aca="false">IF(ISNA(VLOOKUP($B48,'AUD.   WC FEM'!$B$2:$J$14,8,0)),"",VLOOKUP($B48,'AUD.   WC FEM'!$B$2:$J$14,8,0))</f>
        <v/>
      </c>
      <c r="N48" s="14" t="str">
        <f aca="false">IF(ISNA(VLOOKUP($B48,'AUD.   WC MAS'!$B$2:$J$14,8,0)),"",VLOOKUP($B48,'AUD.   WC MAS'!$B$2:$J$14,8,0))</f>
        <v/>
      </c>
      <c r="O48" s="14" t="n">
        <f aca="false">IF(ISNA(VLOOKUP($B48,'COBERT.'!$B$2:$J$8,8,0)),"",VLOOKUP($B48,'COBERT.'!$B$2:$J$8,8,0))</f>
        <v>140.296</v>
      </c>
      <c r="P48" s="14" t="str">
        <f aca="false">IF(ISNA(VLOOKUP($B48,COPA!$B$2:$J$31,8,0)),"",VLOOKUP($B48,COPA!$B$2:$J$31,8,0))</f>
        <v/>
      </c>
      <c r="Q48" s="14" t="str">
        <f aca="false">IF(ISNA(VLOOKUP($B48,RECEPÇÃO!$B$2:$J$24,8,0)),"",VLOOKUP($B48,RECEPÇÃO!$B$2:$J$24,8,0))</f>
        <v/>
      </c>
      <c r="R48" s="14" t="str">
        <f aca="false">IF(ISNA(VLOOKUP($B48,'S.  DA ADM.'!$B$2:$J$24,8,0)),"",VLOOKUP($B48,'S.  DA ADM.'!$B$2:$J$24,8,0))</f>
        <v/>
      </c>
      <c r="S48" s="14" t="str">
        <f aca="false">IF(ISNA(VLOOKUP($B48,'S.  DA ADM.   WC'!$B$2:$J$27,8,0)),"",VLOOKUP($B48,'S.  DA ADM.   WC'!$B$2:$J$27,8,0))</f>
        <v/>
      </c>
      <c r="T48" s="14" t="str">
        <f aca="false">IF(ISNA(VLOOKUP($B48,'S. DA ATER'!$B$2:$J$23,8,0)),"",VLOOKUP($B48,'S. DA ATER'!$B$2:$J$23,8,0))</f>
        <v/>
      </c>
      <c r="U48" s="14" t="str">
        <f aca="false">IF(ISNA(VLOOKUP($B48,'S. DA GERÊNCIA'!$B$2:$J$27,8,0)),"",VLOOKUP($B48,'S. DA GERÊNCIA'!$B$2:$J$27,8,0))</f>
        <v/>
      </c>
      <c r="V48" s="14" t="str">
        <f aca="false">IF(ISNA(VLOOKUP($B48,'S. DE ESPERA'!$B$2:$J$23,8,0)),"",VLOOKUP($B48,'S. DE ESPERA'!$B$2:$J$23,8,0))</f>
        <v/>
      </c>
      <c r="W48" s="14" t="str">
        <f aca="false">IF(ISNA(VLOOKUP($B48,'S. DE REUNIÃO'!$B$2:$J$25,8,0)),"",VLOOKUP($B48,'S. DE REUNIÃO'!$B$2:$J$25,8,0))</f>
        <v/>
      </c>
      <c r="X48" s="14" t="str">
        <f aca="false">IF(ISNA(VLOOKUP($B48,'S. DO VIGIA'!$B$2:$J$23,8,0)),"",VLOOKUP($B48,'S. DO VIGIA'!$B$2:$J$23,8,0))</f>
        <v/>
      </c>
      <c r="Y48" s="14" t="str">
        <f aca="false">IF(ISNA(VLOOKUP($B48,'WC SOCIAL FEM'!$B$2:$J$28,8,0)),"",VLOOKUP($B48,'WC SOCIAL FEM'!$B$2:$J$28,8,0))</f>
        <v/>
      </c>
      <c r="Z48" s="14" t="str">
        <f aca="false">IF(ISNA(VLOOKUP($B48,'WC SOCIAL MAS'!$B$2:$J$29,8,0)),"",VLOOKUP($B48,'WC SOCIAL MAS'!$B$2:$J$29,8,0))</f>
        <v/>
      </c>
      <c r="AA48" s="14" t="str">
        <f aca="false">IF(ISNA(VLOOKUP($B48,HIDRÁULICA!$B$2:$J$32,8,0)),"",VLOOKUP($B48,HIDRÁULICA!$B$2:$J$32,8,0))</f>
        <v/>
      </c>
    </row>
    <row r="49" customFormat="false" ht="41.75" hidden="false" customHeight="false" outlineLevel="0" collapsed="false">
      <c r="A49" s="9"/>
      <c r="B49" s="9" t="s">
        <v>178</v>
      </c>
      <c r="C49" s="10" t="s">
        <v>179</v>
      </c>
      <c r="D49" s="11" t="s">
        <v>180</v>
      </c>
      <c r="E49" s="12" t="s">
        <v>50</v>
      </c>
      <c r="F49" s="13" t="n">
        <f aca="false">ROUND(SUM(G49:AA49),2)</f>
        <v>4</v>
      </c>
      <c r="G49" s="14" t="str">
        <f aca="false">IF(ISNA(VLOOKUP($B49,'CORREDOR 01'!$B$2:$J$19,8,0)),"",VLOOKUP($B49,'CORREDOR 01'!$B$2:$J$19,8,0))</f>
        <v/>
      </c>
      <c r="H49" s="14" t="str">
        <f aca="false">IF(ISNA(VLOOKUP($B49,'CORREDOR O2'!$B$2:$J$22,8,0)),"",VLOOKUP($B49,'CORREDOR O2'!$B$2:$J$22,8,0))</f>
        <v/>
      </c>
      <c r="I49" s="14" t="str">
        <f aca="false">IF(ISNA(VLOOKUP($B49,'Á. DE VENTIL.'!$B$2:$J$20,8,0)),"",VLOOKUP($B49,'Á. DE VENTIL.'!$B$2:$J$20,8,0))</f>
        <v/>
      </c>
      <c r="J49" s="14" t="str">
        <f aca="false">IF(ISNA(VLOOKUP($B49,'Á. EXTER '!$B$2:$J$24,8,0)),"",VLOOKUP($B49,'Á. EXTER '!$B$2:$J$24,8,0))</f>
        <v/>
      </c>
      <c r="K49" s="14" t="str">
        <f aca="false">IF(ISNA(VLOOKUP($B49,'ÁREA DE CIR. EXTER.'!$B$2:$J$22,8,0)),"",VLOOKUP($B49,'ÁREA DE CIR. EXTER.'!$B$2:$J$22,8,0))</f>
        <v/>
      </c>
      <c r="L49" s="14" t="str">
        <f aca="false">IF(ISNA(VLOOKUP($B49,AUDITÓRIO!$B$2:$J$14,8,0)),"",VLOOKUP($B49,AUDITÓRIO!$B$2:$J$14,8,0))</f>
        <v/>
      </c>
      <c r="M49" s="14" t="str">
        <f aca="false">IF(ISNA(VLOOKUP($B49,'AUD.   WC FEM'!$B$2:$J$14,8,0)),"",VLOOKUP($B49,'AUD.   WC FEM'!$B$2:$J$14,8,0))</f>
        <v/>
      </c>
      <c r="N49" s="14" t="str">
        <f aca="false">IF(ISNA(VLOOKUP($B49,'AUD.   WC MAS'!$B$2:$J$14,8,0)),"",VLOOKUP($B49,'AUD.   WC MAS'!$B$2:$J$14,8,0))</f>
        <v/>
      </c>
      <c r="O49" s="14" t="n">
        <f aca="false">IF(ISNA(VLOOKUP($B49,'COBERT.'!$B$2:$J$8,8,0)),"",VLOOKUP($B49,'COBERT.'!$B$2:$J$8,8,0))</f>
        <v>4</v>
      </c>
      <c r="P49" s="14" t="str">
        <f aca="false">IF(ISNA(VLOOKUP($B49,COPA!$B$2:$J$31,8,0)),"",VLOOKUP($B49,COPA!$B$2:$J$31,8,0))</f>
        <v/>
      </c>
      <c r="Q49" s="14" t="str">
        <f aca="false">IF(ISNA(VLOOKUP($B49,RECEPÇÃO!$B$2:$J$24,8,0)),"",VLOOKUP($B49,RECEPÇÃO!$B$2:$J$24,8,0))</f>
        <v/>
      </c>
      <c r="R49" s="14" t="str">
        <f aca="false">IF(ISNA(VLOOKUP($B49,'S.  DA ADM.'!$B$2:$J$24,8,0)),"",VLOOKUP($B49,'S.  DA ADM.'!$B$2:$J$24,8,0))</f>
        <v/>
      </c>
      <c r="S49" s="14" t="str">
        <f aca="false">IF(ISNA(VLOOKUP($B49,'S.  DA ADM.   WC'!$B$2:$J$27,8,0)),"",VLOOKUP($B49,'S.  DA ADM.   WC'!$B$2:$J$27,8,0))</f>
        <v/>
      </c>
      <c r="T49" s="14" t="str">
        <f aca="false">IF(ISNA(VLOOKUP($B49,'S. DA ATER'!$B$2:$J$23,8,0)),"",VLOOKUP($B49,'S. DA ATER'!$B$2:$J$23,8,0))</f>
        <v/>
      </c>
      <c r="U49" s="14" t="str">
        <f aca="false">IF(ISNA(VLOOKUP($B49,'S. DA GERÊNCIA'!$B$2:$J$27,8,0)),"",VLOOKUP($B49,'S. DA GERÊNCIA'!$B$2:$J$27,8,0))</f>
        <v/>
      </c>
      <c r="V49" s="14" t="str">
        <f aca="false">IF(ISNA(VLOOKUP($B49,'S. DE ESPERA'!$B$2:$J$23,8,0)),"",VLOOKUP($B49,'S. DE ESPERA'!$B$2:$J$23,8,0))</f>
        <v/>
      </c>
      <c r="W49" s="14" t="str">
        <f aca="false">IF(ISNA(VLOOKUP($B49,'S. DE REUNIÃO'!$B$2:$J$25,8,0)),"",VLOOKUP($B49,'S. DE REUNIÃO'!$B$2:$J$25,8,0))</f>
        <v/>
      </c>
      <c r="X49" s="14" t="str">
        <f aca="false">IF(ISNA(VLOOKUP($B49,'S. DO VIGIA'!$B$2:$J$23,8,0)),"",VLOOKUP($B49,'S. DO VIGIA'!$B$2:$J$23,8,0))</f>
        <v/>
      </c>
      <c r="Y49" s="14" t="str">
        <f aca="false">IF(ISNA(VLOOKUP($B49,'WC SOCIAL FEM'!$B$2:$J$28,8,0)),"",VLOOKUP($B49,'WC SOCIAL FEM'!$B$2:$J$28,8,0))</f>
        <v/>
      </c>
      <c r="Z49" s="14" t="str">
        <f aca="false">IF(ISNA(VLOOKUP($B49,'WC SOCIAL MAS'!$B$2:$J$29,8,0)),"",VLOOKUP($B49,'WC SOCIAL MAS'!$B$2:$J$29,8,0))</f>
        <v/>
      </c>
      <c r="AA49" s="14" t="str">
        <f aca="false">IF(ISNA(VLOOKUP($B49,HIDRÁULICA!$B$2:$J$32,8,0)),"",VLOOKUP($B49,HIDRÁULICA!$B$2:$J$32,8,0))</f>
        <v/>
      </c>
    </row>
    <row r="50" customFormat="false" ht="41.75" hidden="false" customHeight="false" outlineLevel="0" collapsed="false">
      <c r="A50" s="9"/>
      <c r="B50" s="9" t="s">
        <v>181</v>
      </c>
      <c r="C50" s="10" t="s">
        <v>182</v>
      </c>
      <c r="D50" s="11" t="s">
        <v>183</v>
      </c>
      <c r="E50" s="12" t="s">
        <v>43</v>
      </c>
      <c r="F50" s="13" t="n">
        <f aca="false">ROUND(SUM(G50:AA50),2)</f>
        <v>14.2</v>
      </c>
      <c r="G50" s="14" t="str">
        <f aca="false">IF(ISNA(VLOOKUP($B50,'CORREDOR 01'!$B$2:$J$19,8,0)),"",VLOOKUP($B50,'CORREDOR 01'!$B$2:$J$19,8,0))</f>
        <v/>
      </c>
      <c r="H50" s="14" t="str">
        <f aca="false">IF(ISNA(VLOOKUP($B50,'CORREDOR O2'!$B$2:$J$22,8,0)),"",VLOOKUP($B50,'CORREDOR O2'!$B$2:$J$22,8,0))</f>
        <v/>
      </c>
      <c r="I50" s="14" t="str">
        <f aca="false">IF(ISNA(VLOOKUP($B50,'Á. DE VENTIL.'!$B$2:$J$20,8,0)),"",VLOOKUP($B50,'Á. DE VENTIL.'!$B$2:$J$20,8,0))</f>
        <v/>
      </c>
      <c r="J50" s="14" t="str">
        <f aca="false">IF(ISNA(VLOOKUP($B50,'Á. EXTER '!$B$2:$J$24,8,0)),"",VLOOKUP($B50,'Á. EXTER '!$B$2:$J$24,8,0))</f>
        <v/>
      </c>
      <c r="K50" s="14" t="str">
        <f aca="false">IF(ISNA(VLOOKUP($B50,'ÁREA DE CIR. EXTER.'!$B$2:$J$22,8,0)),"",VLOOKUP($B50,'ÁREA DE CIR. EXTER.'!$B$2:$J$22,8,0))</f>
        <v/>
      </c>
      <c r="L50" s="14" t="str">
        <f aca="false">IF(ISNA(VLOOKUP($B50,AUDITÓRIO!$B$2:$J$14,8,0)),"",VLOOKUP($B50,AUDITÓRIO!$B$2:$J$14,8,0))</f>
        <v/>
      </c>
      <c r="M50" s="14" t="str">
        <f aca="false">IF(ISNA(VLOOKUP($B50,'AUD.   WC FEM'!$B$2:$J$14,8,0)),"",VLOOKUP($B50,'AUD.   WC FEM'!$B$2:$J$14,8,0))</f>
        <v/>
      </c>
      <c r="N50" s="14" t="str">
        <f aca="false">IF(ISNA(VLOOKUP($B50,'AUD.   WC MAS'!$B$2:$J$14,8,0)),"",VLOOKUP($B50,'AUD.   WC MAS'!$B$2:$J$14,8,0))</f>
        <v/>
      </c>
      <c r="O50" s="14" t="n">
        <f aca="false">IF(ISNA(VLOOKUP($B50,'COBERT.'!$B$2:$J$8,8,0)),"",VLOOKUP($B50,'COBERT.'!$B$2:$J$8,8,0))</f>
        <v>14.2</v>
      </c>
      <c r="P50" s="14" t="str">
        <f aca="false">IF(ISNA(VLOOKUP($B50,COPA!$B$2:$J$31,8,0)),"",VLOOKUP($B50,COPA!$B$2:$J$31,8,0))</f>
        <v/>
      </c>
      <c r="Q50" s="14" t="str">
        <f aca="false">IF(ISNA(VLOOKUP($B50,RECEPÇÃO!$B$2:$J$24,8,0)),"",VLOOKUP($B50,RECEPÇÃO!$B$2:$J$24,8,0))</f>
        <v/>
      </c>
      <c r="R50" s="14" t="str">
        <f aca="false">IF(ISNA(VLOOKUP($B50,'S.  DA ADM.'!$B$2:$J$24,8,0)),"",VLOOKUP($B50,'S.  DA ADM.'!$B$2:$J$24,8,0))</f>
        <v/>
      </c>
      <c r="S50" s="14" t="str">
        <f aca="false">IF(ISNA(VLOOKUP($B50,'S.  DA ADM.   WC'!$B$2:$J$27,8,0)),"",VLOOKUP($B50,'S.  DA ADM.   WC'!$B$2:$J$27,8,0))</f>
        <v/>
      </c>
      <c r="T50" s="14" t="str">
        <f aca="false">IF(ISNA(VLOOKUP($B50,'S. DA ATER'!$B$2:$J$23,8,0)),"",VLOOKUP($B50,'S. DA ATER'!$B$2:$J$23,8,0))</f>
        <v/>
      </c>
      <c r="U50" s="14" t="str">
        <f aca="false">IF(ISNA(VLOOKUP($B50,'S. DA GERÊNCIA'!$B$2:$J$27,8,0)),"",VLOOKUP($B50,'S. DA GERÊNCIA'!$B$2:$J$27,8,0))</f>
        <v/>
      </c>
      <c r="V50" s="14" t="str">
        <f aca="false">IF(ISNA(VLOOKUP($B50,'S. DE ESPERA'!$B$2:$J$23,8,0)),"",VLOOKUP($B50,'S. DE ESPERA'!$B$2:$J$23,8,0))</f>
        <v/>
      </c>
      <c r="W50" s="14" t="str">
        <f aca="false">IF(ISNA(VLOOKUP($B50,'S. DE REUNIÃO'!$B$2:$J$25,8,0)),"",VLOOKUP($B50,'S. DE REUNIÃO'!$B$2:$J$25,8,0))</f>
        <v/>
      </c>
      <c r="X50" s="14" t="str">
        <f aca="false">IF(ISNA(VLOOKUP($B50,'S. DO VIGIA'!$B$2:$J$23,8,0)),"",VLOOKUP($B50,'S. DO VIGIA'!$B$2:$J$23,8,0))</f>
        <v/>
      </c>
      <c r="Y50" s="14" t="str">
        <f aca="false">IF(ISNA(VLOOKUP($B50,'WC SOCIAL FEM'!$B$2:$J$28,8,0)),"",VLOOKUP($B50,'WC SOCIAL FEM'!$B$2:$J$28,8,0))</f>
        <v/>
      </c>
      <c r="Z50" s="14" t="str">
        <f aca="false">IF(ISNA(VLOOKUP($B50,'WC SOCIAL MAS'!$B$2:$J$29,8,0)),"",VLOOKUP($B50,'WC SOCIAL MAS'!$B$2:$J$29,8,0))</f>
        <v/>
      </c>
      <c r="AA50" s="14" t="str">
        <f aca="false">IF(ISNA(VLOOKUP($B50,HIDRÁULICA!$B$2:$J$32,8,0)),"",VLOOKUP($B50,HIDRÁULICA!$B$2:$J$32,8,0))</f>
        <v/>
      </c>
    </row>
    <row r="51" customFormat="false" ht="14.9" hidden="false" customHeight="false" outlineLevel="0" collapsed="false">
      <c r="A51" s="9"/>
      <c r="B51" s="9" t="s">
        <v>184</v>
      </c>
      <c r="C51" s="10" t="s">
        <v>185</v>
      </c>
      <c r="D51" s="11" t="s">
        <v>186</v>
      </c>
      <c r="E51" s="12" t="s">
        <v>33</v>
      </c>
      <c r="F51" s="13" t="n">
        <f aca="false">ROUND(SUM(G51:AA51),2)</f>
        <v>74.15</v>
      </c>
      <c r="G51" s="14" t="str">
        <f aca="false">IF(ISNA(VLOOKUP($B51,'CORREDOR 01'!$B$2:$J$19,8,0)),"",VLOOKUP($B51,'CORREDOR 01'!$B$2:$J$19,8,0))</f>
        <v/>
      </c>
      <c r="H51" s="14" t="str">
        <f aca="false">IF(ISNA(VLOOKUP($B51,'CORREDOR O2'!$B$2:$J$22,8,0)),"",VLOOKUP($B51,'CORREDOR O2'!$B$2:$J$22,8,0))</f>
        <v/>
      </c>
      <c r="I51" s="14" t="str">
        <f aca="false">IF(ISNA(VLOOKUP($B51,'Á. DE VENTIL.'!$B$2:$J$20,8,0)),"",VLOOKUP($B51,'Á. DE VENTIL.'!$B$2:$J$20,8,0))</f>
        <v/>
      </c>
      <c r="J51" s="14" t="str">
        <f aca="false">IF(ISNA(VLOOKUP($B51,'Á. EXTER '!$B$2:$J$24,8,0)),"",VLOOKUP($B51,'Á. EXTER '!$B$2:$J$24,8,0))</f>
        <v/>
      </c>
      <c r="K51" s="14" t="str">
        <f aca="false">IF(ISNA(VLOOKUP($B51,'ÁREA DE CIR. EXTER.'!$B$2:$J$22,8,0)),"",VLOOKUP($B51,'ÁREA DE CIR. EXTER.'!$B$2:$J$22,8,0))</f>
        <v/>
      </c>
      <c r="L51" s="14" t="n">
        <f aca="false">IF(ISNA(VLOOKUP($B51,AUDITÓRIO!$B$2:$J$14,8,0)),"",VLOOKUP($B51,AUDITÓRIO!$B$2:$J$14,8,0))</f>
        <v>74.15</v>
      </c>
      <c r="M51" s="14" t="str">
        <f aca="false">IF(ISNA(VLOOKUP($B51,'AUD.   WC FEM'!$B$2:$J$14,8,0)),"",VLOOKUP($B51,'AUD.   WC FEM'!$B$2:$J$14,8,0))</f>
        <v/>
      </c>
      <c r="N51" s="14" t="str">
        <f aca="false">IF(ISNA(VLOOKUP($B51,'AUD.   WC MAS'!$B$2:$J$14,8,0)),"",VLOOKUP($B51,'AUD.   WC MAS'!$B$2:$J$14,8,0))</f>
        <v/>
      </c>
      <c r="O51" s="14" t="str">
        <f aca="false">IF(ISNA(VLOOKUP($B51,'COBERT.'!$B$2:$J$8,8,0)),"",VLOOKUP($B51,'COBERT.'!$B$2:$J$8,8,0))</f>
        <v/>
      </c>
      <c r="P51" s="14" t="str">
        <f aca="false">IF(ISNA(VLOOKUP($B51,COPA!$B$2:$J$31,8,0)),"",VLOOKUP($B51,COPA!$B$2:$J$31,8,0))</f>
        <v/>
      </c>
      <c r="Q51" s="14" t="str">
        <f aca="false">IF(ISNA(VLOOKUP($B51,RECEPÇÃO!$B$2:$J$24,8,0)),"",VLOOKUP($B51,RECEPÇÃO!$B$2:$J$24,8,0))</f>
        <v/>
      </c>
      <c r="R51" s="14" t="str">
        <f aca="false">IF(ISNA(VLOOKUP($B51,'S.  DA ADM.'!$B$2:$J$24,8,0)),"",VLOOKUP($B51,'S.  DA ADM.'!$B$2:$J$24,8,0))</f>
        <v/>
      </c>
      <c r="S51" s="14" t="str">
        <f aca="false">IF(ISNA(VLOOKUP($B51,'S.  DA ADM.   WC'!$B$2:$J$27,8,0)),"",VLOOKUP($B51,'S.  DA ADM.   WC'!$B$2:$J$27,8,0))</f>
        <v/>
      </c>
      <c r="T51" s="14" t="str">
        <f aca="false">IF(ISNA(VLOOKUP($B51,'S. DA ATER'!$B$2:$J$23,8,0)),"",VLOOKUP($B51,'S. DA ATER'!$B$2:$J$23,8,0))</f>
        <v/>
      </c>
      <c r="U51" s="14" t="str">
        <f aca="false">IF(ISNA(VLOOKUP($B51,'S. DA GERÊNCIA'!$B$2:$J$27,8,0)),"",VLOOKUP($B51,'S. DA GERÊNCIA'!$B$2:$J$27,8,0))</f>
        <v/>
      </c>
      <c r="V51" s="14" t="str">
        <f aca="false">IF(ISNA(VLOOKUP($B51,'S. DE ESPERA'!$B$2:$J$23,8,0)),"",VLOOKUP($B51,'S. DE ESPERA'!$B$2:$J$23,8,0))</f>
        <v/>
      </c>
      <c r="W51" s="14" t="str">
        <f aca="false">IF(ISNA(VLOOKUP($B51,'S. DE REUNIÃO'!$B$2:$J$25,8,0)),"",VLOOKUP($B51,'S. DE REUNIÃO'!$B$2:$J$25,8,0))</f>
        <v/>
      </c>
      <c r="X51" s="14" t="str">
        <f aca="false">IF(ISNA(VLOOKUP($B51,'S. DO VIGIA'!$B$2:$J$23,8,0)),"",VLOOKUP($B51,'S. DO VIGIA'!$B$2:$J$23,8,0))</f>
        <v/>
      </c>
      <c r="Y51" s="14" t="str">
        <f aca="false">IF(ISNA(VLOOKUP($B51,'WC SOCIAL FEM'!$B$2:$J$28,8,0)),"",VLOOKUP($B51,'WC SOCIAL FEM'!$B$2:$J$28,8,0))</f>
        <v/>
      </c>
      <c r="Z51" s="14" t="str">
        <f aca="false">IF(ISNA(VLOOKUP($B51,'WC SOCIAL MAS'!$B$2:$J$29,8,0)),"",VLOOKUP($B51,'WC SOCIAL MAS'!$B$2:$J$29,8,0))</f>
        <v/>
      </c>
      <c r="AA51" s="14" t="str">
        <f aca="false">IF(ISNA(VLOOKUP($B51,HIDRÁULICA!$B$2:$J$32,8,0)),"",VLOOKUP($B51,HIDRÁULICA!$B$2:$J$32,8,0))</f>
        <v/>
      </c>
    </row>
    <row r="52" customFormat="false" ht="28.35" hidden="false" customHeight="false" outlineLevel="0" collapsed="false">
      <c r="A52" s="9"/>
      <c r="B52" s="9" t="s">
        <v>187</v>
      </c>
      <c r="C52" s="10" t="s">
        <v>188</v>
      </c>
      <c r="D52" s="11" t="s">
        <v>189</v>
      </c>
      <c r="E52" s="12" t="s">
        <v>33</v>
      </c>
      <c r="F52" s="13" t="n">
        <f aca="false">ROUND(SUM(G52:AA52),2)</f>
        <v>29.66</v>
      </c>
      <c r="G52" s="14" t="str">
        <f aca="false">IF(ISNA(VLOOKUP($B52,'CORREDOR 01'!$B$2:$J$19,8,0)),"",VLOOKUP($B52,'CORREDOR 01'!$B$2:$J$19,8,0))</f>
        <v/>
      </c>
      <c r="H52" s="14" t="str">
        <f aca="false">IF(ISNA(VLOOKUP($B52,'CORREDOR O2'!$B$2:$J$22,8,0)),"",VLOOKUP($B52,'CORREDOR O2'!$B$2:$J$22,8,0))</f>
        <v/>
      </c>
      <c r="I52" s="14" t="str">
        <f aca="false">IF(ISNA(VLOOKUP($B52,'Á. DE VENTIL.'!$B$2:$J$20,8,0)),"",VLOOKUP($B52,'Á. DE VENTIL.'!$B$2:$J$20,8,0))</f>
        <v/>
      </c>
      <c r="J52" s="14" t="str">
        <f aca="false">IF(ISNA(VLOOKUP($B52,'Á. EXTER '!$B$2:$J$24,8,0)),"",VLOOKUP($B52,'Á. EXTER '!$B$2:$J$24,8,0))</f>
        <v/>
      </c>
      <c r="K52" s="14" t="str">
        <f aca="false">IF(ISNA(VLOOKUP($B52,'ÁREA DE CIR. EXTER.'!$B$2:$J$22,8,0)),"",VLOOKUP($B52,'ÁREA DE CIR. EXTER.'!$B$2:$J$22,8,0))</f>
        <v/>
      </c>
      <c r="L52" s="14" t="n">
        <f aca="false">IF(ISNA(VLOOKUP($B52,AUDITÓRIO!$B$2:$J$14,8,0)),"",VLOOKUP($B52,AUDITÓRIO!$B$2:$J$14,8,0))</f>
        <v>29.66</v>
      </c>
      <c r="M52" s="14" t="str">
        <f aca="false">IF(ISNA(VLOOKUP($B52,'AUD.   WC FEM'!$B$2:$J$14,8,0)),"",VLOOKUP($B52,'AUD.   WC FEM'!$B$2:$J$14,8,0))</f>
        <v/>
      </c>
      <c r="N52" s="14" t="str">
        <f aca="false">IF(ISNA(VLOOKUP($B52,'AUD.   WC MAS'!$B$2:$J$14,8,0)),"",VLOOKUP($B52,'AUD.   WC MAS'!$B$2:$J$14,8,0))</f>
        <v/>
      </c>
      <c r="O52" s="14" t="str">
        <f aca="false">IF(ISNA(VLOOKUP($B52,'COBERT.'!$B$2:$J$8,8,0)),"",VLOOKUP($B52,'COBERT.'!$B$2:$J$8,8,0))</f>
        <v/>
      </c>
      <c r="P52" s="14" t="str">
        <f aca="false">IF(ISNA(VLOOKUP($B52,COPA!$B$2:$J$31,8,0)),"",VLOOKUP($B52,COPA!$B$2:$J$31,8,0))</f>
        <v/>
      </c>
      <c r="Q52" s="14" t="str">
        <f aca="false">IF(ISNA(VLOOKUP($B52,RECEPÇÃO!$B$2:$J$24,8,0)),"",VLOOKUP($B52,RECEPÇÃO!$B$2:$J$24,8,0))</f>
        <v/>
      </c>
      <c r="R52" s="14" t="str">
        <f aca="false">IF(ISNA(VLOOKUP($B52,'S.  DA ADM.'!$B$2:$J$24,8,0)),"",VLOOKUP($B52,'S.  DA ADM.'!$B$2:$J$24,8,0))</f>
        <v/>
      </c>
      <c r="S52" s="14" t="str">
        <f aca="false">IF(ISNA(VLOOKUP($B52,'S.  DA ADM.   WC'!$B$2:$J$27,8,0)),"",VLOOKUP($B52,'S.  DA ADM.   WC'!$B$2:$J$27,8,0))</f>
        <v/>
      </c>
      <c r="T52" s="14" t="str">
        <f aca="false">IF(ISNA(VLOOKUP($B52,'S. DA ATER'!$B$2:$J$23,8,0)),"",VLOOKUP($B52,'S. DA ATER'!$B$2:$J$23,8,0))</f>
        <v/>
      </c>
      <c r="U52" s="14" t="str">
        <f aca="false">IF(ISNA(VLOOKUP($B52,'S. DA GERÊNCIA'!$B$2:$J$27,8,0)),"",VLOOKUP($B52,'S. DA GERÊNCIA'!$B$2:$J$27,8,0))</f>
        <v/>
      </c>
      <c r="V52" s="14" t="str">
        <f aca="false">IF(ISNA(VLOOKUP($B52,'S. DE ESPERA'!$B$2:$J$23,8,0)),"",VLOOKUP($B52,'S. DE ESPERA'!$B$2:$J$23,8,0))</f>
        <v/>
      </c>
      <c r="W52" s="14" t="str">
        <f aca="false">IF(ISNA(VLOOKUP($B52,'S. DE REUNIÃO'!$B$2:$J$25,8,0)),"",VLOOKUP($B52,'S. DE REUNIÃO'!$B$2:$J$25,8,0))</f>
        <v/>
      </c>
      <c r="X52" s="14" t="str">
        <f aca="false">IF(ISNA(VLOOKUP($B52,'S. DO VIGIA'!$B$2:$J$23,8,0)),"",VLOOKUP($B52,'S. DO VIGIA'!$B$2:$J$23,8,0))</f>
        <v/>
      </c>
      <c r="Y52" s="14" t="str">
        <f aca="false">IF(ISNA(VLOOKUP($B52,'WC SOCIAL FEM'!$B$2:$J$28,8,0)),"",VLOOKUP($B52,'WC SOCIAL FEM'!$B$2:$J$28,8,0))</f>
        <v/>
      </c>
      <c r="Z52" s="14" t="str">
        <f aca="false">IF(ISNA(VLOOKUP($B52,'WC SOCIAL MAS'!$B$2:$J$29,8,0)),"",VLOOKUP($B52,'WC SOCIAL MAS'!$B$2:$J$29,8,0))</f>
        <v/>
      </c>
      <c r="AA52" s="14" t="str">
        <f aca="false">IF(ISNA(VLOOKUP($B52,HIDRÁULICA!$B$2:$J$32,8,0)),"",VLOOKUP($B52,HIDRÁULICA!$B$2:$J$32,8,0))</f>
        <v/>
      </c>
    </row>
    <row r="53" customFormat="false" ht="55.2" hidden="false" customHeight="false" outlineLevel="0" collapsed="false">
      <c r="A53" s="9"/>
      <c r="B53" s="9" t="s">
        <v>190</v>
      </c>
      <c r="C53" s="10" t="s">
        <v>191</v>
      </c>
      <c r="D53" s="11" t="s">
        <v>192</v>
      </c>
      <c r="E53" s="12" t="s">
        <v>33</v>
      </c>
      <c r="F53" s="13" t="n">
        <f aca="false">ROUND(SUM(G53:AA53),2)</f>
        <v>48.99</v>
      </c>
      <c r="G53" s="14" t="str">
        <f aca="false">IF(ISNA(VLOOKUP($B53,'CORREDOR 01'!$B$2:$J$19,8,0)),"",VLOOKUP($B53,'CORREDOR 01'!$B$2:$J$19,8,0))</f>
        <v/>
      </c>
      <c r="H53" s="14" t="n">
        <f aca="false">IF(ISNA(VLOOKUP($B53,'CORREDOR O2'!$B$2:$J$22,8,0)),"",VLOOKUP($B53,'CORREDOR O2'!$B$2:$J$22,8,0))</f>
        <v>4.5</v>
      </c>
      <c r="I53" s="14" t="str">
        <f aca="false">IF(ISNA(VLOOKUP($B53,'Á. DE VENTIL.'!$B$2:$J$20,8,0)),"",VLOOKUP($B53,'Á. DE VENTIL.'!$B$2:$J$20,8,0))</f>
        <v/>
      </c>
      <c r="J53" s="14" t="str">
        <f aca="false">IF(ISNA(VLOOKUP($B53,'Á. EXTER '!$B$2:$J$24,8,0)),"",VLOOKUP($B53,'Á. EXTER '!$B$2:$J$24,8,0))</f>
        <v/>
      </c>
      <c r="K53" s="14" t="str">
        <f aca="false">IF(ISNA(VLOOKUP($B53,'ÁREA DE CIR. EXTER.'!$B$2:$J$22,8,0)),"",VLOOKUP($B53,'ÁREA DE CIR. EXTER.'!$B$2:$J$22,8,0))</f>
        <v/>
      </c>
      <c r="L53" s="14" t="n">
        <f aca="false">IF(ISNA(VLOOKUP($B53,AUDITÓRIO!$B$2:$J$14,8,0)),"",VLOOKUP($B53,AUDITÓRIO!$B$2:$J$14,8,0))</f>
        <v>44.49</v>
      </c>
      <c r="M53" s="14" t="str">
        <f aca="false">IF(ISNA(VLOOKUP($B53,'AUD.   WC FEM'!$B$2:$J$14,8,0)),"",VLOOKUP($B53,'AUD.   WC FEM'!$B$2:$J$14,8,0))</f>
        <v/>
      </c>
      <c r="N53" s="14" t="str">
        <f aca="false">IF(ISNA(VLOOKUP($B53,'AUD.   WC MAS'!$B$2:$J$14,8,0)),"",VLOOKUP($B53,'AUD.   WC MAS'!$B$2:$J$14,8,0))</f>
        <v/>
      </c>
      <c r="O53" s="14" t="str">
        <f aca="false">IF(ISNA(VLOOKUP($B53,'COBERT.'!$B$2:$J$8,8,0)),"",VLOOKUP($B53,'COBERT.'!$B$2:$J$8,8,0))</f>
        <v/>
      </c>
      <c r="P53" s="14" t="str">
        <f aca="false">IF(ISNA(VLOOKUP($B53,COPA!$B$2:$J$31,8,0)),"",VLOOKUP($B53,COPA!$B$2:$J$31,8,0))</f>
        <v/>
      </c>
      <c r="Q53" s="14" t="str">
        <f aca="false">IF(ISNA(VLOOKUP($B53,RECEPÇÃO!$B$2:$J$24,8,0)),"",VLOOKUP($B53,RECEPÇÃO!$B$2:$J$24,8,0))</f>
        <v/>
      </c>
      <c r="R53" s="14" t="str">
        <f aca="false">IF(ISNA(VLOOKUP($B53,'S.  DA ADM.'!$B$2:$J$24,8,0)),"",VLOOKUP($B53,'S.  DA ADM.'!$B$2:$J$24,8,0))</f>
        <v/>
      </c>
      <c r="S53" s="14" t="str">
        <f aca="false">IF(ISNA(VLOOKUP($B53,'S.  DA ADM.   WC'!$B$2:$J$27,8,0)),"",VLOOKUP($B53,'S.  DA ADM.   WC'!$B$2:$J$27,8,0))</f>
        <v/>
      </c>
      <c r="T53" s="14" t="str">
        <f aca="false">IF(ISNA(VLOOKUP($B53,'S. DA ATER'!$B$2:$J$23,8,0)),"",VLOOKUP($B53,'S. DA ATER'!$B$2:$J$23,8,0))</f>
        <v/>
      </c>
      <c r="U53" s="14" t="str">
        <f aca="false">IF(ISNA(VLOOKUP($B53,'S. DA GERÊNCIA'!$B$2:$J$27,8,0)),"",VLOOKUP($B53,'S. DA GERÊNCIA'!$B$2:$J$27,8,0))</f>
        <v/>
      </c>
      <c r="V53" s="14" t="str">
        <f aca="false">IF(ISNA(VLOOKUP($B53,'S. DE ESPERA'!$B$2:$J$23,8,0)),"",VLOOKUP($B53,'S. DE ESPERA'!$B$2:$J$23,8,0))</f>
        <v/>
      </c>
      <c r="W53" s="14" t="str">
        <f aca="false">IF(ISNA(VLOOKUP($B53,'S. DE REUNIÃO'!$B$2:$J$25,8,0)),"",VLOOKUP($B53,'S. DE REUNIÃO'!$B$2:$J$25,8,0))</f>
        <v/>
      </c>
      <c r="X53" s="14" t="str">
        <f aca="false">IF(ISNA(VLOOKUP($B53,'S. DO VIGIA'!$B$2:$J$23,8,0)),"",VLOOKUP($B53,'S. DO VIGIA'!$B$2:$J$23,8,0))</f>
        <v/>
      </c>
      <c r="Y53" s="14" t="str">
        <f aca="false">IF(ISNA(VLOOKUP($B53,'WC SOCIAL FEM'!$B$2:$J$28,8,0)),"",VLOOKUP($B53,'WC SOCIAL FEM'!$B$2:$J$28,8,0))</f>
        <v/>
      </c>
      <c r="Z53" s="14" t="str">
        <f aca="false">IF(ISNA(VLOOKUP($B53,'WC SOCIAL MAS'!$B$2:$J$29,8,0)),"",VLOOKUP($B53,'WC SOCIAL MAS'!$B$2:$J$29,8,0))</f>
        <v/>
      </c>
      <c r="AA53" s="14" t="str">
        <f aca="false">IF(ISNA(VLOOKUP($B53,HIDRÁULICA!$B$2:$J$32,8,0)),"",VLOOKUP($B53,HIDRÁULICA!$B$2:$J$32,8,0))</f>
        <v/>
      </c>
    </row>
    <row r="54" customFormat="false" ht="30" hidden="false" customHeight="true" outlineLevel="0" collapsed="false">
      <c r="A54" s="9" t="s">
        <v>193</v>
      </c>
      <c r="B54" s="9" t="s">
        <v>194</v>
      </c>
      <c r="C54" s="10" t="s">
        <v>195</v>
      </c>
      <c r="D54" s="11" t="s">
        <v>196</v>
      </c>
      <c r="E54" s="12" t="s">
        <v>33</v>
      </c>
      <c r="F54" s="13" t="n">
        <f aca="false">ROUND(SUM(G54:AA54),2)</f>
        <v>16.23</v>
      </c>
      <c r="G54" s="14" t="str">
        <f aca="false">IF(ISNA(VLOOKUP($B54,'CORREDOR 01'!$B$2:$J$19,8,0)),"",VLOOKUP($B54,'CORREDOR 01'!$B$2:$J$19,8,0))</f>
        <v/>
      </c>
      <c r="H54" s="14" t="str">
        <f aca="false">IF(ISNA(VLOOKUP($B54,'CORREDOR O2'!$B$2:$J$22,8,0)),"",VLOOKUP($B54,'CORREDOR O2'!$B$2:$J$22,8,0))</f>
        <v/>
      </c>
      <c r="I54" s="14" t="str">
        <f aca="false">IF(ISNA(VLOOKUP($B54,'Á. DE VENTIL.'!$B$2:$J$20,8,0)),"",VLOOKUP($B54,'Á. DE VENTIL.'!$B$2:$J$20,8,0))</f>
        <v/>
      </c>
      <c r="J54" s="14" t="str">
        <f aca="false">IF(ISNA(VLOOKUP($B54,'Á. EXTER '!$B$2:$J$24,8,0)),"",VLOOKUP($B54,'Á. EXTER '!$B$2:$J$24,8,0))</f>
        <v/>
      </c>
      <c r="K54" s="14" t="str">
        <f aca="false">IF(ISNA(VLOOKUP($B54,'ÁREA DE CIR. EXTER.'!$B$2:$J$22,8,0)),"",VLOOKUP($B54,'ÁREA DE CIR. EXTER.'!$B$2:$J$22,8,0))</f>
        <v/>
      </c>
      <c r="L54" s="14" t="n">
        <f aca="false">IF(ISNA(VLOOKUP($B54,AUDITÓRIO!$B$2:$J$14,8,0)),"",VLOOKUP($B54,AUDITÓRIO!$B$2:$J$14,8,0))</f>
        <v>6</v>
      </c>
      <c r="M54" s="14" t="str">
        <f aca="false">IF(ISNA(VLOOKUP($B54,'AUD.   WC FEM'!$B$2:$J$14,8,0)),"",VLOOKUP($B54,'AUD.   WC FEM'!$B$2:$J$14,8,0))</f>
        <v/>
      </c>
      <c r="N54" s="14" t="str">
        <f aca="false">IF(ISNA(VLOOKUP($B54,'AUD.   WC MAS'!$B$2:$J$14,8,0)),"",VLOOKUP($B54,'AUD.   WC MAS'!$B$2:$J$14,8,0))</f>
        <v/>
      </c>
      <c r="O54" s="14" t="str">
        <f aca="false">IF(ISNA(VLOOKUP($B54,'COBERT.'!$B$2:$J$8,8,0)),"",VLOOKUP($B54,'COBERT.'!$B$2:$J$8,8,0))</f>
        <v/>
      </c>
      <c r="P54" s="14" t="n">
        <f aca="false">IF(ISNA(VLOOKUP($B54,COPA!$B$2:$J$31,8,0)),"",VLOOKUP($B54,COPA!$B$2:$J$31,8,0))</f>
        <v>1.28</v>
      </c>
      <c r="Q54" s="14" t="n">
        <f aca="false">IF(ISNA(VLOOKUP($B54,RECEPÇÃO!$B$2:$J$24,8,0)),"",VLOOKUP($B54,RECEPÇÃO!$B$2:$J$24,8,0))</f>
        <v>1.1</v>
      </c>
      <c r="R54" s="14" t="n">
        <f aca="false">IF(ISNA(VLOOKUP($B54,'S.  DA ADM.'!$B$2:$J$24,8,0)),"",VLOOKUP($B54,'S.  DA ADM.'!$B$2:$J$24,8,0))</f>
        <v>1.1</v>
      </c>
      <c r="S54" s="14" t="n">
        <f aca="false">IF(ISNA(VLOOKUP($B54,'S.  DA ADM.   WC'!$B$2:$J$27,8,0)),"",VLOOKUP($B54,'S.  DA ADM.   WC'!$B$2:$J$27,8,0))</f>
        <v>0.25</v>
      </c>
      <c r="T54" s="14" t="n">
        <f aca="false">IF(ISNA(VLOOKUP($B54,'S. DA ATER'!$B$2:$J$23,8,0)),"",VLOOKUP($B54,'S. DA ATER'!$B$2:$J$23,8,0))</f>
        <v>2.2</v>
      </c>
      <c r="U54" s="14" t="n">
        <f aca="false">IF(ISNA(VLOOKUP($B54,'S. DA GERÊNCIA'!$B$2:$J$27,8,0)),"",VLOOKUP($B54,'S. DA GERÊNCIA'!$B$2:$J$27,8,0))</f>
        <v>0.5</v>
      </c>
      <c r="V54" s="14" t="n">
        <f aca="false">IF(ISNA(VLOOKUP($B54,'S. DE ESPERA'!$B$2:$J$23,8,0)),"",VLOOKUP($B54,'S. DE ESPERA'!$B$2:$J$23,8,0))</f>
        <v>1.1</v>
      </c>
      <c r="W54" s="14" t="n">
        <f aca="false">IF(ISNA(VLOOKUP($B54,'S. DE REUNIÃO'!$B$2:$J$25,8,0)),"",VLOOKUP($B54,'S. DE REUNIÃO'!$B$2:$J$25,8,0))</f>
        <v>1.1</v>
      </c>
      <c r="X54" s="14" t="n">
        <f aca="false">IF(ISNA(VLOOKUP($B54,'S. DO VIGIA'!$B$2:$J$23,8,0)),"",VLOOKUP($B54,'S. DO VIGIA'!$B$2:$J$23,8,0))</f>
        <v>1.1</v>
      </c>
      <c r="Y54" s="14" t="n">
        <f aca="false">IF(ISNA(VLOOKUP($B54,'WC SOCIAL FEM'!$B$2:$J$28,8,0)),"",VLOOKUP($B54,'WC SOCIAL FEM'!$B$2:$J$28,8,0))</f>
        <v>0.25</v>
      </c>
      <c r="Z54" s="14" t="n">
        <f aca="false">IF(ISNA(VLOOKUP($B54,'WC SOCIAL MAS'!$B$2:$J$29,8,0)),"",VLOOKUP($B54,'WC SOCIAL MAS'!$B$2:$J$29,8,0))</f>
        <v>0.25</v>
      </c>
      <c r="AA54" s="14" t="str">
        <f aca="false">IF(ISNA(VLOOKUP($B54,HIDRÁULICA!$B$2:$J$32,8,0)),"",VLOOKUP($B54,HIDRÁULICA!$B$2:$J$32,8,0))</f>
        <v/>
      </c>
    </row>
    <row r="55" customFormat="false" ht="28.35" hidden="false" customHeight="false" outlineLevel="0" collapsed="false">
      <c r="A55" s="9"/>
      <c r="B55" s="9" t="s">
        <v>197</v>
      </c>
      <c r="C55" s="10" t="s">
        <v>198</v>
      </c>
      <c r="D55" s="11" t="s">
        <v>199</v>
      </c>
      <c r="E55" s="12" t="s">
        <v>50</v>
      </c>
      <c r="F55" s="13" t="n">
        <f aca="false">ROUND(SUM(G55:AA55),2)</f>
        <v>24</v>
      </c>
      <c r="G55" s="14" t="str">
        <f aca="false">IF(ISNA(VLOOKUP($B55,'CORREDOR 01'!$B$2:$J$19,8,0)),"",VLOOKUP($B55,'CORREDOR 01'!$B$2:$J$19,8,0))</f>
        <v/>
      </c>
      <c r="H55" s="14" t="str">
        <f aca="false">IF(ISNA(VLOOKUP($B55,'CORREDOR O2'!$B$2:$J$22,8,0)),"",VLOOKUP($B55,'CORREDOR O2'!$B$2:$J$22,8,0))</f>
        <v/>
      </c>
      <c r="I55" s="14" t="str">
        <f aca="false">IF(ISNA(VLOOKUP($B55,'Á. DE VENTIL.'!$B$2:$J$20,8,0)),"",VLOOKUP($B55,'Á. DE VENTIL.'!$B$2:$J$20,8,0))</f>
        <v/>
      </c>
      <c r="J55" s="14" t="str">
        <f aca="false">IF(ISNA(VLOOKUP($B55,'Á. EXTER '!$B$2:$J$24,8,0)),"",VLOOKUP($B55,'Á. EXTER '!$B$2:$J$24,8,0))</f>
        <v/>
      </c>
      <c r="K55" s="14" t="str">
        <f aca="false">IF(ISNA(VLOOKUP($B55,'ÁREA DE CIR. EXTER.'!$B$2:$J$22,8,0)),"",VLOOKUP($B55,'ÁREA DE CIR. EXTER.'!$B$2:$J$22,8,0))</f>
        <v/>
      </c>
      <c r="L55" s="14" t="str">
        <f aca="false">IF(ISNA(VLOOKUP($B55,AUDITÓRIO!$B$2:$J$14,8,0)),"",VLOOKUP($B55,AUDITÓRIO!$B$2:$J$14,8,0))</f>
        <v/>
      </c>
      <c r="M55" s="14" t="str">
        <f aca="false">IF(ISNA(VLOOKUP($B55,'AUD.   WC FEM'!$B$2:$J$14,8,0)),"",VLOOKUP($B55,'AUD.   WC FEM'!$B$2:$J$14,8,0))</f>
        <v/>
      </c>
      <c r="N55" s="14" t="str">
        <f aca="false">IF(ISNA(VLOOKUP($B55,'AUD.   WC MAS'!$B$2:$J$14,8,0)),"",VLOOKUP($B55,'AUD.   WC MAS'!$B$2:$J$14,8,0))</f>
        <v/>
      </c>
      <c r="O55" s="14" t="str">
        <f aca="false">IF(ISNA(VLOOKUP($B55,'COBERT.'!$B$2:$J$8,8,0)),"",VLOOKUP($B55,'COBERT.'!$B$2:$J$8,8,0))</f>
        <v/>
      </c>
      <c r="P55" s="14" t="n">
        <f aca="false">IF(ISNA(VLOOKUP($B55,COPA!$B$2:$J$31,8,0)),"",VLOOKUP($B55,COPA!$B$2:$J$31,8,0))</f>
        <v>2</v>
      </c>
      <c r="Q55" s="14" t="n">
        <f aca="false">IF(ISNA(VLOOKUP($B55,RECEPÇÃO!$B$2:$J$24,8,0)),"",VLOOKUP($B55,RECEPÇÃO!$B$2:$J$24,8,0))</f>
        <v>2</v>
      </c>
      <c r="R55" s="14" t="n">
        <f aca="false">IF(ISNA(VLOOKUP($B55,'S.  DA ADM.'!$B$2:$J$24,8,0)),"",VLOOKUP($B55,'S.  DA ADM.'!$B$2:$J$24,8,0))</f>
        <v>2</v>
      </c>
      <c r="S55" s="14" t="n">
        <f aca="false">IF(ISNA(VLOOKUP($B55,'S.  DA ADM.   WC'!$B$2:$J$27,8,0)),"",VLOOKUP($B55,'S.  DA ADM.   WC'!$B$2:$J$27,8,0))</f>
        <v>2</v>
      </c>
      <c r="T55" s="14" t="n">
        <f aca="false">IF(ISNA(VLOOKUP($B55,'S. DA ATER'!$B$2:$J$23,8,0)),"",VLOOKUP($B55,'S. DA ATER'!$B$2:$J$23,8,0))</f>
        <v>4</v>
      </c>
      <c r="U55" s="14" t="n">
        <f aca="false">IF(ISNA(VLOOKUP($B55,'S. DA GERÊNCIA'!$B$2:$J$27,8,0)),"",VLOOKUP($B55,'S. DA GERÊNCIA'!$B$2:$J$27,8,0))</f>
        <v>2</v>
      </c>
      <c r="V55" s="14" t="n">
        <f aca="false">IF(ISNA(VLOOKUP($B55,'S. DE ESPERA'!$B$2:$J$23,8,0)),"",VLOOKUP($B55,'S. DE ESPERA'!$B$2:$J$23,8,0))</f>
        <v>2</v>
      </c>
      <c r="W55" s="14" t="n">
        <f aca="false">IF(ISNA(VLOOKUP($B55,'S. DE REUNIÃO'!$B$2:$J$25,8,0)),"",VLOOKUP($B55,'S. DE REUNIÃO'!$B$2:$J$25,8,0))</f>
        <v>2</v>
      </c>
      <c r="X55" s="14" t="n">
        <f aca="false">IF(ISNA(VLOOKUP($B55,'S. DO VIGIA'!$B$2:$J$23,8,0)),"",VLOOKUP($B55,'S. DO VIGIA'!$B$2:$J$23,8,0))</f>
        <v>2</v>
      </c>
      <c r="Y55" s="14" t="n">
        <f aca="false">IF(ISNA(VLOOKUP($B55,'WC SOCIAL FEM'!$B$2:$J$28,8,0)),"",VLOOKUP($B55,'WC SOCIAL FEM'!$B$2:$J$28,8,0))</f>
        <v>2</v>
      </c>
      <c r="Z55" s="14" t="n">
        <f aca="false">IF(ISNA(VLOOKUP($B55,'WC SOCIAL MAS'!$B$2:$J$29,8,0)),"",VLOOKUP($B55,'WC SOCIAL MAS'!$B$2:$J$29,8,0))</f>
        <v>2</v>
      </c>
      <c r="AA55" s="14" t="str">
        <f aca="false">IF(ISNA(VLOOKUP($B55,HIDRÁULICA!$B$2:$J$32,8,0)),"",VLOOKUP($B55,HIDRÁULICA!$B$2:$J$32,8,0))</f>
        <v/>
      </c>
    </row>
    <row r="56" customFormat="false" ht="28.35" hidden="false" customHeight="false" outlineLevel="0" collapsed="false">
      <c r="A56" s="9"/>
      <c r="B56" s="9" t="s">
        <v>200</v>
      </c>
      <c r="C56" s="10" t="s">
        <v>201</v>
      </c>
      <c r="D56" s="11" t="s">
        <v>202</v>
      </c>
      <c r="E56" s="12" t="s">
        <v>50</v>
      </c>
      <c r="F56" s="13" t="n">
        <f aca="false">ROUND(SUM(G56:AA56),2)</f>
        <v>1</v>
      </c>
      <c r="G56" s="14" t="str">
        <f aca="false">IF(ISNA(VLOOKUP($B56,'CORREDOR 01'!$B$2:$J$19,8,0)),"",VLOOKUP($B56,'CORREDOR 01'!$B$2:$J$19,8,0))</f>
        <v/>
      </c>
      <c r="H56" s="14" t="str">
        <f aca="false">IF(ISNA(VLOOKUP($B56,'CORREDOR O2'!$B$2:$J$22,8,0)),"",VLOOKUP($B56,'CORREDOR O2'!$B$2:$J$22,8,0))</f>
        <v/>
      </c>
      <c r="I56" s="14" t="str">
        <f aca="false">IF(ISNA(VLOOKUP($B56,'Á. DE VENTIL.'!$B$2:$J$20,8,0)),"",VLOOKUP($B56,'Á. DE VENTIL.'!$B$2:$J$20,8,0))</f>
        <v/>
      </c>
      <c r="J56" s="14" t="str">
        <f aca="false">IF(ISNA(VLOOKUP($B56,'Á. EXTER '!$B$2:$J$24,8,0)),"",VLOOKUP($B56,'Á. EXTER '!$B$2:$J$24,8,0))</f>
        <v/>
      </c>
      <c r="K56" s="14" t="str">
        <f aca="false">IF(ISNA(VLOOKUP($B56,'ÁREA DE CIR. EXTER.'!$B$2:$J$22,8,0)),"",VLOOKUP($B56,'ÁREA DE CIR. EXTER.'!$B$2:$J$22,8,0))</f>
        <v/>
      </c>
      <c r="L56" s="14" t="str">
        <f aca="false">IF(ISNA(VLOOKUP($B56,AUDITÓRIO!$B$2:$J$14,8,0)),"",VLOOKUP($B56,AUDITÓRIO!$B$2:$J$14,8,0))</f>
        <v/>
      </c>
      <c r="M56" s="14" t="str">
        <f aca="false">IF(ISNA(VLOOKUP($B56,'AUD.   WC FEM'!$B$2:$J$14,8,0)),"",VLOOKUP($B56,'AUD.   WC FEM'!$B$2:$J$14,8,0))</f>
        <v/>
      </c>
      <c r="N56" s="14" t="str">
        <f aca="false">IF(ISNA(VLOOKUP($B56,'AUD.   WC MAS'!$B$2:$J$14,8,0)),"",VLOOKUP($B56,'AUD.   WC MAS'!$B$2:$J$14,8,0))</f>
        <v/>
      </c>
      <c r="O56" s="14" t="str">
        <f aca="false">IF(ISNA(VLOOKUP($B56,'COBERT.'!$B$2:$J$8,8,0)),"",VLOOKUP($B56,'COBERT.'!$B$2:$J$8,8,0))</f>
        <v/>
      </c>
      <c r="P56" s="14" t="n">
        <f aca="false">IF(ISNA(VLOOKUP($B56,COPA!$B$2:$J$31,8,0)),"",VLOOKUP($B56,COPA!$B$2:$J$31,8,0))</f>
        <v>1</v>
      </c>
      <c r="Q56" s="14" t="str">
        <f aca="false">IF(ISNA(VLOOKUP($B56,RECEPÇÃO!$B$2:$J$24,8,0)),"",VLOOKUP($B56,RECEPÇÃO!$B$2:$J$24,8,0))</f>
        <v/>
      </c>
      <c r="R56" s="14" t="str">
        <f aca="false">IF(ISNA(VLOOKUP($B56,'S.  DA ADM.'!$B$2:$J$24,8,0)),"",VLOOKUP($B56,'S.  DA ADM.'!$B$2:$J$24,8,0))</f>
        <v/>
      </c>
      <c r="S56" s="14" t="str">
        <f aca="false">IF(ISNA(VLOOKUP($B56,'S.  DA ADM.   WC'!$B$2:$J$27,8,0)),"",VLOOKUP($B56,'S.  DA ADM.   WC'!$B$2:$J$27,8,0))</f>
        <v/>
      </c>
      <c r="T56" s="14" t="str">
        <f aca="false">IF(ISNA(VLOOKUP($B56,'S. DA ATER'!$B$2:$J$23,8,0)),"",VLOOKUP($B56,'S. DA ATER'!$B$2:$J$23,8,0))</f>
        <v/>
      </c>
      <c r="U56" s="14" t="str">
        <f aca="false">IF(ISNA(VLOOKUP($B56,'S. DA GERÊNCIA'!$B$2:$J$27,8,0)),"",VLOOKUP($B56,'S. DA GERÊNCIA'!$B$2:$J$27,8,0))</f>
        <v/>
      </c>
      <c r="V56" s="14" t="str">
        <f aca="false">IF(ISNA(VLOOKUP($B56,'S. DE ESPERA'!$B$2:$J$23,8,0)),"",VLOOKUP($B56,'S. DE ESPERA'!$B$2:$J$23,8,0))</f>
        <v/>
      </c>
      <c r="W56" s="14" t="str">
        <f aca="false">IF(ISNA(VLOOKUP($B56,'S. DE REUNIÃO'!$B$2:$J$25,8,0)),"",VLOOKUP($B56,'S. DE REUNIÃO'!$B$2:$J$25,8,0))</f>
        <v/>
      </c>
      <c r="X56" s="14" t="str">
        <f aca="false">IF(ISNA(VLOOKUP($B56,'S. DO VIGIA'!$B$2:$J$23,8,0)),"",VLOOKUP($B56,'S. DO VIGIA'!$B$2:$J$23,8,0))</f>
        <v/>
      </c>
      <c r="Y56" s="14" t="str">
        <f aca="false">IF(ISNA(VLOOKUP($B56,'WC SOCIAL FEM'!$B$2:$J$28,8,0)),"",VLOOKUP($B56,'WC SOCIAL FEM'!$B$2:$J$28,8,0))</f>
        <v/>
      </c>
      <c r="Z56" s="14" t="str">
        <f aca="false">IF(ISNA(VLOOKUP($B56,'WC SOCIAL MAS'!$B$2:$J$29,8,0)),"",VLOOKUP($B56,'WC SOCIAL MAS'!$B$2:$J$29,8,0))</f>
        <v/>
      </c>
      <c r="AA56" s="14" t="str">
        <f aca="false">IF(ISNA(VLOOKUP($B56,HIDRÁULICA!$B$2:$J$32,8,0)),"",VLOOKUP($B56,HIDRÁULICA!$B$2:$J$32,8,0))</f>
        <v/>
      </c>
    </row>
    <row r="57" customFormat="false" ht="28.35" hidden="false" customHeight="false" outlineLevel="0" collapsed="false">
      <c r="A57" s="9"/>
      <c r="B57" s="9" t="s">
        <v>203</v>
      </c>
      <c r="C57" s="10" t="s">
        <v>204</v>
      </c>
      <c r="D57" s="11" t="s">
        <v>205</v>
      </c>
      <c r="E57" s="12" t="s">
        <v>50</v>
      </c>
      <c r="F57" s="13" t="n">
        <f aca="false">ROUND(SUM(G57:AA57),2)</f>
        <v>1</v>
      </c>
      <c r="G57" s="14" t="str">
        <f aca="false">IF(ISNA(VLOOKUP($B57,'CORREDOR 01'!$B$2:$J$19,8,0)),"",VLOOKUP($B57,'CORREDOR 01'!$B$2:$J$19,8,0))</f>
        <v/>
      </c>
      <c r="H57" s="14" t="str">
        <f aca="false">IF(ISNA(VLOOKUP($B57,'CORREDOR O2'!$B$2:$J$22,8,0)),"",VLOOKUP($B57,'CORREDOR O2'!$B$2:$J$22,8,0))</f>
        <v/>
      </c>
      <c r="I57" s="14" t="str">
        <f aca="false">IF(ISNA(VLOOKUP($B57,'Á. DE VENTIL.'!$B$2:$J$20,8,0)),"",VLOOKUP($B57,'Á. DE VENTIL.'!$B$2:$J$20,8,0))</f>
        <v/>
      </c>
      <c r="J57" s="14" t="str">
        <f aca="false">IF(ISNA(VLOOKUP($B57,'Á. EXTER '!$B$2:$J$24,8,0)),"",VLOOKUP($B57,'Á. EXTER '!$B$2:$J$24,8,0))</f>
        <v/>
      </c>
      <c r="K57" s="14" t="str">
        <f aca="false">IF(ISNA(VLOOKUP($B57,'ÁREA DE CIR. EXTER.'!$B$2:$J$22,8,0)),"",VLOOKUP($B57,'ÁREA DE CIR. EXTER.'!$B$2:$J$22,8,0))</f>
        <v/>
      </c>
      <c r="L57" s="14" t="str">
        <f aca="false">IF(ISNA(VLOOKUP($B57,AUDITÓRIO!$B$2:$J$14,8,0)),"",VLOOKUP($B57,AUDITÓRIO!$B$2:$J$14,8,0))</f>
        <v/>
      </c>
      <c r="M57" s="14" t="str">
        <f aca="false">IF(ISNA(VLOOKUP($B57,'AUD.   WC FEM'!$B$2:$J$14,8,0)),"",VLOOKUP($B57,'AUD.   WC FEM'!$B$2:$J$14,8,0))</f>
        <v/>
      </c>
      <c r="N57" s="14" t="str">
        <f aca="false">IF(ISNA(VLOOKUP($B57,'AUD.   WC MAS'!$B$2:$J$14,8,0)),"",VLOOKUP($B57,'AUD.   WC MAS'!$B$2:$J$14,8,0))</f>
        <v/>
      </c>
      <c r="O57" s="14" t="str">
        <f aca="false">IF(ISNA(VLOOKUP($B57,'COBERT.'!$B$2:$J$8,8,0)),"",VLOOKUP($B57,'COBERT.'!$B$2:$J$8,8,0))</f>
        <v/>
      </c>
      <c r="P57" s="14" t="n">
        <f aca="false">IF(ISNA(VLOOKUP($B57,COPA!$B$2:$J$31,8,0)),"",VLOOKUP($B57,COPA!$B$2:$J$31,8,0))</f>
        <v>1</v>
      </c>
      <c r="Q57" s="14" t="str">
        <f aca="false">IF(ISNA(VLOOKUP($B57,RECEPÇÃO!$B$2:$J$24,8,0)),"",VLOOKUP($B57,RECEPÇÃO!$B$2:$J$24,8,0))</f>
        <v/>
      </c>
      <c r="R57" s="14" t="str">
        <f aca="false">IF(ISNA(VLOOKUP($B57,'S.  DA ADM.'!$B$2:$J$24,8,0)),"",VLOOKUP($B57,'S.  DA ADM.'!$B$2:$J$24,8,0))</f>
        <v/>
      </c>
      <c r="S57" s="14" t="str">
        <f aca="false">IF(ISNA(VLOOKUP($B57,'S.  DA ADM.   WC'!$B$2:$J$27,8,0)),"",VLOOKUP($B57,'S.  DA ADM.   WC'!$B$2:$J$27,8,0))</f>
        <v/>
      </c>
      <c r="T57" s="14" t="str">
        <f aca="false">IF(ISNA(VLOOKUP($B57,'S. DA ATER'!$B$2:$J$23,8,0)),"",VLOOKUP($B57,'S. DA ATER'!$B$2:$J$23,8,0))</f>
        <v/>
      </c>
      <c r="U57" s="14" t="str">
        <f aca="false">IF(ISNA(VLOOKUP($B57,'S. DA GERÊNCIA'!$B$2:$J$27,8,0)),"",VLOOKUP($B57,'S. DA GERÊNCIA'!$B$2:$J$27,8,0))</f>
        <v/>
      </c>
      <c r="V57" s="14" t="str">
        <f aca="false">IF(ISNA(VLOOKUP($B57,'S. DE ESPERA'!$B$2:$J$23,8,0)),"",VLOOKUP($B57,'S. DE ESPERA'!$B$2:$J$23,8,0))</f>
        <v/>
      </c>
      <c r="W57" s="14" t="str">
        <f aca="false">IF(ISNA(VLOOKUP($B57,'S. DE REUNIÃO'!$B$2:$J$25,8,0)),"",VLOOKUP($B57,'S. DE REUNIÃO'!$B$2:$J$25,8,0))</f>
        <v/>
      </c>
      <c r="X57" s="14" t="str">
        <f aca="false">IF(ISNA(VLOOKUP($B57,'S. DO VIGIA'!$B$2:$J$23,8,0)),"",VLOOKUP($B57,'S. DO VIGIA'!$B$2:$J$23,8,0))</f>
        <v/>
      </c>
      <c r="Y57" s="14" t="str">
        <f aca="false">IF(ISNA(VLOOKUP($B57,'WC SOCIAL FEM'!$B$2:$J$28,8,0)),"",VLOOKUP($B57,'WC SOCIAL FEM'!$B$2:$J$28,8,0))</f>
        <v/>
      </c>
      <c r="Z57" s="14" t="str">
        <f aca="false">IF(ISNA(VLOOKUP($B57,'WC SOCIAL MAS'!$B$2:$J$29,8,0)),"",VLOOKUP($B57,'WC SOCIAL MAS'!$B$2:$J$29,8,0))</f>
        <v/>
      </c>
      <c r="AA57" s="14" t="str">
        <f aca="false">IF(ISNA(VLOOKUP($B57,HIDRÁULICA!$B$2:$J$32,8,0)),"",VLOOKUP($B57,HIDRÁULICA!$B$2:$J$32,8,0))</f>
        <v/>
      </c>
    </row>
    <row r="58" customFormat="false" ht="41.75" hidden="false" customHeight="false" outlineLevel="0" collapsed="false">
      <c r="A58" s="9"/>
      <c r="B58" s="9" t="s">
        <v>206</v>
      </c>
      <c r="C58" s="10" t="s">
        <v>207</v>
      </c>
      <c r="D58" s="11" t="s">
        <v>208</v>
      </c>
      <c r="E58" s="12" t="s">
        <v>50</v>
      </c>
      <c r="F58" s="13" t="n">
        <f aca="false">ROUND(SUM(G58:AA58),2)</f>
        <v>1</v>
      </c>
      <c r="G58" s="14" t="str">
        <f aca="false">IF(ISNA(VLOOKUP($B58,'CORREDOR 01'!$B$2:$J$19,8,0)),"",VLOOKUP($B58,'CORREDOR 01'!$B$2:$J$19,8,0))</f>
        <v/>
      </c>
      <c r="H58" s="14" t="str">
        <f aca="false">IF(ISNA(VLOOKUP($B58,'CORREDOR O2'!$B$2:$J$22,8,0)),"",VLOOKUP($B58,'CORREDOR O2'!$B$2:$J$22,8,0))</f>
        <v/>
      </c>
      <c r="I58" s="14" t="str">
        <f aca="false">IF(ISNA(VLOOKUP($B58,'Á. DE VENTIL.'!$B$2:$J$20,8,0)),"",VLOOKUP($B58,'Á. DE VENTIL.'!$B$2:$J$20,8,0))</f>
        <v/>
      </c>
      <c r="J58" s="14" t="str">
        <f aca="false">IF(ISNA(VLOOKUP($B58,'Á. EXTER '!$B$2:$J$24,8,0)),"",VLOOKUP($B58,'Á. EXTER '!$B$2:$J$24,8,0))</f>
        <v/>
      </c>
      <c r="K58" s="14" t="str">
        <f aca="false">IF(ISNA(VLOOKUP($B58,'ÁREA DE CIR. EXTER.'!$B$2:$J$22,8,0)),"",VLOOKUP($B58,'ÁREA DE CIR. EXTER.'!$B$2:$J$22,8,0))</f>
        <v/>
      </c>
      <c r="L58" s="14" t="str">
        <f aca="false">IF(ISNA(VLOOKUP($B58,AUDITÓRIO!$B$2:$J$14,8,0)),"",VLOOKUP($B58,AUDITÓRIO!$B$2:$J$14,8,0))</f>
        <v/>
      </c>
      <c r="M58" s="14" t="str">
        <f aca="false">IF(ISNA(VLOOKUP($B58,'AUD.   WC FEM'!$B$2:$J$14,8,0)),"",VLOOKUP($B58,'AUD.   WC FEM'!$B$2:$J$14,8,0))</f>
        <v/>
      </c>
      <c r="N58" s="14" t="str">
        <f aca="false">IF(ISNA(VLOOKUP($B58,'AUD.   WC MAS'!$B$2:$J$14,8,0)),"",VLOOKUP($B58,'AUD.   WC MAS'!$B$2:$J$14,8,0))</f>
        <v/>
      </c>
      <c r="O58" s="14" t="str">
        <f aca="false">IF(ISNA(VLOOKUP($B58,'COBERT.'!$B$2:$J$8,8,0)),"",VLOOKUP($B58,'COBERT.'!$B$2:$J$8,8,0))</f>
        <v/>
      </c>
      <c r="P58" s="14" t="str">
        <f aca="false">IF(ISNA(VLOOKUP($B58,COPA!$B$2:$J$31,8,0)),"",VLOOKUP($B58,COPA!$B$2:$J$31,8,0))</f>
        <v/>
      </c>
      <c r="Q58" s="14" t="str">
        <f aca="false">IF(ISNA(VLOOKUP($B58,RECEPÇÃO!$B$2:$J$24,8,0)),"",VLOOKUP($B58,RECEPÇÃO!$B$2:$J$24,8,0))</f>
        <v/>
      </c>
      <c r="R58" s="14" t="str">
        <f aca="false">IF(ISNA(VLOOKUP($B58,'S.  DA ADM.'!$B$2:$J$24,8,0)),"",VLOOKUP($B58,'S.  DA ADM.'!$B$2:$J$24,8,0))</f>
        <v/>
      </c>
      <c r="S58" s="14" t="n">
        <f aca="false">IF(ISNA(VLOOKUP($B58,'S.  DA ADM.   WC'!$B$2:$J$27,8,0)),"",VLOOKUP($B58,'S.  DA ADM.   WC'!$B$2:$J$27,8,0))</f>
        <v>1</v>
      </c>
      <c r="T58" s="14" t="str">
        <f aca="false">IF(ISNA(VLOOKUP($B58,'S. DA ATER'!$B$2:$J$23,8,0)),"",VLOOKUP($B58,'S. DA ATER'!$B$2:$J$23,8,0))</f>
        <v/>
      </c>
      <c r="U58" s="14" t="str">
        <f aca="false">IF(ISNA(VLOOKUP($B58,'S. DA GERÊNCIA'!$B$2:$J$27,8,0)),"",VLOOKUP($B58,'S. DA GERÊNCIA'!$B$2:$J$27,8,0))</f>
        <v/>
      </c>
      <c r="V58" s="14" t="str">
        <f aca="false">IF(ISNA(VLOOKUP($B58,'S. DE ESPERA'!$B$2:$J$23,8,0)),"",VLOOKUP($B58,'S. DE ESPERA'!$B$2:$J$23,8,0))</f>
        <v/>
      </c>
      <c r="W58" s="14" t="str">
        <f aca="false">IF(ISNA(VLOOKUP($B58,'S. DE REUNIÃO'!$B$2:$J$25,8,0)),"",VLOOKUP($B58,'S. DE REUNIÃO'!$B$2:$J$25,8,0))</f>
        <v/>
      </c>
      <c r="X58" s="14" t="str">
        <f aca="false">IF(ISNA(VLOOKUP($B58,'S. DO VIGIA'!$B$2:$J$23,8,0)),"",VLOOKUP($B58,'S. DO VIGIA'!$B$2:$J$23,8,0))</f>
        <v/>
      </c>
      <c r="Y58" s="14" t="str">
        <f aca="false">IF(ISNA(VLOOKUP($B58,'WC SOCIAL FEM'!$B$2:$J$28,8,0)),"",VLOOKUP($B58,'WC SOCIAL FEM'!$B$2:$J$28,8,0))</f>
        <v/>
      </c>
      <c r="Z58" s="14" t="str">
        <f aca="false">IF(ISNA(VLOOKUP($B58,'WC SOCIAL MAS'!$B$2:$J$29,8,0)),"",VLOOKUP($B58,'WC SOCIAL MAS'!$B$2:$J$29,8,0))</f>
        <v/>
      </c>
      <c r="AA58" s="14" t="str">
        <f aca="false">IF(ISNA(VLOOKUP($B58,HIDRÁULICA!$B$2:$J$32,8,0)),"",VLOOKUP($B58,HIDRÁULICA!$B$2:$J$32,8,0))</f>
        <v/>
      </c>
    </row>
    <row r="59" customFormat="false" ht="14.9" hidden="false" customHeight="false" outlineLevel="0" collapsed="false">
      <c r="A59" s="9"/>
      <c r="B59" s="9" t="s">
        <v>209</v>
      </c>
      <c r="C59" s="10" t="s">
        <v>210</v>
      </c>
      <c r="D59" s="11" t="s">
        <v>211</v>
      </c>
      <c r="E59" s="12" t="s">
        <v>33</v>
      </c>
      <c r="F59" s="13" t="n">
        <f aca="false">ROUND(SUM(G59:AA59),2)</f>
        <v>4.2</v>
      </c>
      <c r="G59" s="14" t="str">
        <f aca="false">IF(ISNA(VLOOKUP($B59,'CORREDOR 01'!$B$2:$J$19,8,0)),"",VLOOKUP($B59,'CORREDOR 01'!$B$2:$J$19,8,0))</f>
        <v/>
      </c>
      <c r="H59" s="14" t="str">
        <f aca="false">IF(ISNA(VLOOKUP($B59,'CORREDOR O2'!$B$2:$J$22,8,0)),"",VLOOKUP($B59,'CORREDOR O2'!$B$2:$J$22,8,0))</f>
        <v/>
      </c>
      <c r="I59" s="14" t="str">
        <f aca="false">IF(ISNA(VLOOKUP($B59,'Á. DE VENTIL.'!$B$2:$J$20,8,0)),"",VLOOKUP($B59,'Á. DE VENTIL.'!$B$2:$J$20,8,0))</f>
        <v/>
      </c>
      <c r="J59" s="14" t="str">
        <f aca="false">IF(ISNA(VLOOKUP($B59,'Á. EXTER '!$B$2:$J$24,8,0)),"",VLOOKUP($B59,'Á. EXTER '!$B$2:$J$24,8,0))</f>
        <v/>
      </c>
      <c r="K59" s="14" t="str">
        <f aca="false">IF(ISNA(VLOOKUP($B59,'ÁREA DE CIR. EXTER.'!$B$2:$J$22,8,0)),"",VLOOKUP($B59,'ÁREA DE CIR. EXTER.'!$B$2:$J$22,8,0))</f>
        <v/>
      </c>
      <c r="L59" s="14" t="str">
        <f aca="false">IF(ISNA(VLOOKUP($B59,AUDITÓRIO!$B$2:$J$14,8,0)),"",VLOOKUP($B59,AUDITÓRIO!$B$2:$J$14,8,0))</f>
        <v/>
      </c>
      <c r="M59" s="14" t="n">
        <f aca="false">IF(ISNA(VLOOKUP($B59,'AUD.   WC FEM'!$B$2:$J$14,8,0)),"",VLOOKUP($B59,'AUD.   WC FEM'!$B$2:$J$14,8,0))</f>
        <v>2.1</v>
      </c>
      <c r="N59" s="14" t="n">
        <f aca="false">IF(ISNA(VLOOKUP($B59,'AUD.   WC MAS'!$B$2:$J$14,8,0)),"",VLOOKUP($B59,'AUD.   WC MAS'!$B$2:$J$14,8,0))</f>
        <v>2.1</v>
      </c>
      <c r="O59" s="14" t="str">
        <f aca="false">IF(ISNA(VLOOKUP($B59,'COBERT.'!$B$2:$J$8,8,0)),"",VLOOKUP($B59,'COBERT.'!$B$2:$J$8,8,0))</f>
        <v/>
      </c>
      <c r="P59" s="14" t="str">
        <f aca="false">IF(ISNA(VLOOKUP($B59,COPA!$B$2:$J$31,8,0)),"",VLOOKUP($B59,COPA!$B$2:$J$31,8,0))</f>
        <v/>
      </c>
      <c r="Q59" s="14" t="str">
        <f aca="false">IF(ISNA(VLOOKUP($B59,RECEPÇÃO!$B$2:$J$24,8,0)),"",VLOOKUP($B59,RECEPÇÃO!$B$2:$J$24,8,0))</f>
        <v/>
      </c>
      <c r="R59" s="14" t="str">
        <f aca="false">IF(ISNA(VLOOKUP($B59,'S.  DA ADM.'!$B$2:$J$24,8,0)),"",VLOOKUP($B59,'S.  DA ADM.'!$B$2:$J$24,8,0))</f>
        <v/>
      </c>
      <c r="S59" s="14" t="str">
        <f aca="false">IF(ISNA(VLOOKUP($B59,'S.  DA ADM.   WC'!$B$2:$J$27,8,0)),"",VLOOKUP($B59,'S.  DA ADM.   WC'!$B$2:$J$27,8,0))</f>
        <v/>
      </c>
      <c r="T59" s="14" t="str">
        <f aca="false">IF(ISNA(VLOOKUP($B59,'S. DA ATER'!$B$2:$J$23,8,0)),"",VLOOKUP($B59,'S. DA ATER'!$B$2:$J$23,8,0))</f>
        <v/>
      </c>
      <c r="U59" s="14" t="str">
        <f aca="false">IF(ISNA(VLOOKUP($B59,'S. DA GERÊNCIA'!$B$2:$J$27,8,0)),"",VLOOKUP($B59,'S. DA GERÊNCIA'!$B$2:$J$27,8,0))</f>
        <v/>
      </c>
      <c r="V59" s="14" t="str">
        <f aca="false">IF(ISNA(VLOOKUP($B59,'S. DE ESPERA'!$B$2:$J$23,8,0)),"",VLOOKUP($B59,'S. DE ESPERA'!$B$2:$J$23,8,0))</f>
        <v/>
      </c>
      <c r="W59" s="14" t="str">
        <f aca="false">IF(ISNA(VLOOKUP($B59,'S. DE REUNIÃO'!$B$2:$J$25,8,0)),"",VLOOKUP($B59,'S. DE REUNIÃO'!$B$2:$J$25,8,0))</f>
        <v/>
      </c>
      <c r="X59" s="14" t="str">
        <f aca="false">IF(ISNA(VLOOKUP($B59,'S. DO VIGIA'!$B$2:$J$23,8,0)),"",VLOOKUP($B59,'S. DO VIGIA'!$B$2:$J$23,8,0))</f>
        <v/>
      </c>
      <c r="Y59" s="14" t="str">
        <f aca="false">IF(ISNA(VLOOKUP($B59,'WC SOCIAL FEM'!$B$2:$J$28,8,0)),"",VLOOKUP($B59,'WC SOCIAL FEM'!$B$2:$J$28,8,0))</f>
        <v/>
      </c>
      <c r="Z59" s="14" t="str">
        <f aca="false">IF(ISNA(VLOOKUP($B59,'WC SOCIAL MAS'!$B$2:$J$29,8,0)),"",VLOOKUP($B59,'WC SOCIAL MAS'!$B$2:$J$29,8,0))</f>
        <v/>
      </c>
      <c r="AA59" s="14" t="str">
        <f aca="false">IF(ISNA(VLOOKUP($B59,HIDRÁULICA!$B$2:$J$32,8,0)),"",VLOOKUP($B59,HIDRÁULICA!$B$2:$J$32,8,0))</f>
        <v/>
      </c>
    </row>
    <row r="60" customFormat="false" ht="28.35" hidden="false" customHeight="false" outlineLevel="0" collapsed="false">
      <c r="A60" s="9"/>
      <c r="B60" s="9" t="s">
        <v>212</v>
      </c>
      <c r="C60" s="10" t="s">
        <v>213</v>
      </c>
      <c r="D60" s="11" t="s">
        <v>214</v>
      </c>
      <c r="E60" s="12" t="s">
        <v>101</v>
      </c>
      <c r="F60" s="13" t="n">
        <f aca="false">ROUND(SUM(G60:AA60),2)</f>
        <v>8</v>
      </c>
      <c r="G60" s="14" t="str">
        <f aca="false">IF(ISNA(VLOOKUP($B60,'CORREDOR 01'!$B$2:$J$19,8,0)),"",VLOOKUP($B60,'CORREDOR 01'!$B$2:$J$19,8,0))</f>
        <v/>
      </c>
      <c r="H60" s="14" t="str">
        <f aca="false">IF(ISNA(VLOOKUP($B60,'CORREDOR O2'!$B$2:$J$22,8,0)),"",VLOOKUP($B60,'CORREDOR O2'!$B$2:$J$22,8,0))</f>
        <v/>
      </c>
      <c r="I60" s="14" t="str">
        <f aca="false">IF(ISNA(VLOOKUP($B60,'Á. DE VENTIL.'!$B$2:$J$20,8,0)),"",VLOOKUP($B60,'Á. DE VENTIL.'!$B$2:$J$20,8,0))</f>
        <v/>
      </c>
      <c r="J60" s="14" t="n">
        <f aca="false">IF(ISNA(VLOOKUP($B60,'Á. EXTER '!$B$2:$J$24,8,0)),"",VLOOKUP($B60,'Á. EXTER '!$B$2:$J$24,8,0))</f>
        <v>8</v>
      </c>
      <c r="K60" s="14" t="str">
        <f aca="false">IF(ISNA(VLOOKUP($B60,'ÁREA DE CIR. EXTER.'!$B$2:$J$22,8,0)),"",VLOOKUP($B60,'ÁREA DE CIR. EXTER.'!$B$2:$J$22,8,0))</f>
        <v/>
      </c>
      <c r="L60" s="14" t="str">
        <f aca="false">IF(ISNA(VLOOKUP($B60,AUDITÓRIO!$B$2:$J$14,8,0)),"",VLOOKUP($B60,AUDITÓRIO!$B$2:$J$14,8,0))</f>
        <v/>
      </c>
      <c r="M60" s="14" t="str">
        <f aca="false">IF(ISNA(VLOOKUP($B60,'AUD.   WC FEM'!$B$2:$J$14,8,0)),"",VLOOKUP($B60,'AUD.   WC FEM'!$B$2:$J$14,8,0))</f>
        <v/>
      </c>
      <c r="N60" s="14" t="str">
        <f aca="false">IF(ISNA(VLOOKUP($B60,'AUD.   WC MAS'!$B$2:$J$14,8,0)),"",VLOOKUP($B60,'AUD.   WC MAS'!$B$2:$J$14,8,0))</f>
        <v/>
      </c>
      <c r="O60" s="14" t="str">
        <f aca="false">IF(ISNA(VLOOKUP($B60,'COBERT.'!$B$2:$J$8,8,0)),"",VLOOKUP($B60,'COBERT.'!$B$2:$J$8,8,0))</f>
        <v/>
      </c>
      <c r="P60" s="14" t="str">
        <f aca="false">IF(ISNA(VLOOKUP($B60,COPA!$B$2:$J$31,8,0)),"",VLOOKUP($B60,COPA!$B$2:$J$31,8,0))</f>
        <v/>
      </c>
      <c r="Q60" s="14" t="str">
        <f aca="false">IF(ISNA(VLOOKUP($B60,RECEPÇÃO!$B$2:$J$24,8,0)),"",VLOOKUP($B60,RECEPÇÃO!$B$2:$J$24,8,0))</f>
        <v/>
      </c>
      <c r="R60" s="14" t="str">
        <f aca="false">IF(ISNA(VLOOKUP($B60,'S.  DA ADM.'!$B$2:$J$24,8,0)),"",VLOOKUP($B60,'S.  DA ADM.'!$B$2:$J$24,8,0))</f>
        <v/>
      </c>
      <c r="S60" s="14" t="str">
        <f aca="false">IF(ISNA(VLOOKUP($B60,'S.  DA ADM.   WC'!$B$2:$J$27,8,0)),"",VLOOKUP($B60,'S.  DA ADM.   WC'!$B$2:$J$27,8,0))</f>
        <v/>
      </c>
      <c r="T60" s="14" t="str">
        <f aca="false">IF(ISNA(VLOOKUP($B60,'S. DA ATER'!$B$2:$J$23,8,0)),"",VLOOKUP($B60,'S. DA ATER'!$B$2:$J$23,8,0))</f>
        <v/>
      </c>
      <c r="U60" s="14" t="str">
        <f aca="false">IF(ISNA(VLOOKUP($B60,'S. DA GERÊNCIA'!$B$2:$J$27,8,0)),"",VLOOKUP($B60,'S. DA GERÊNCIA'!$B$2:$J$27,8,0))</f>
        <v/>
      </c>
      <c r="V60" s="14" t="str">
        <f aca="false">IF(ISNA(VLOOKUP($B60,'S. DE ESPERA'!$B$2:$J$23,8,0)),"",VLOOKUP($B60,'S. DE ESPERA'!$B$2:$J$23,8,0))</f>
        <v/>
      </c>
      <c r="W60" s="14" t="str">
        <f aca="false">IF(ISNA(VLOOKUP($B60,'S. DE REUNIÃO'!$B$2:$J$25,8,0)),"",VLOOKUP($B60,'S. DE REUNIÃO'!$B$2:$J$25,8,0))</f>
        <v/>
      </c>
      <c r="X60" s="14" t="str">
        <f aca="false">IF(ISNA(VLOOKUP($B60,'S. DO VIGIA'!$B$2:$J$23,8,0)),"",VLOOKUP($B60,'S. DO VIGIA'!$B$2:$J$23,8,0))</f>
        <v/>
      </c>
      <c r="Y60" s="14" t="str">
        <f aca="false">IF(ISNA(VLOOKUP($B60,'WC SOCIAL FEM'!$B$2:$J$28,8,0)),"",VLOOKUP($B60,'WC SOCIAL FEM'!$B$2:$J$28,8,0))</f>
        <v/>
      </c>
      <c r="Z60" s="14" t="str">
        <f aca="false">IF(ISNA(VLOOKUP($B60,'WC SOCIAL MAS'!$B$2:$J$29,8,0)),"",VLOOKUP($B60,'WC SOCIAL MAS'!$B$2:$J$29,8,0))</f>
        <v/>
      </c>
      <c r="AA60" s="14" t="str">
        <f aca="false">IF(ISNA(VLOOKUP($B60,HIDRÁULICA!$B$2:$J$32,8,0)),"",VLOOKUP($B60,HIDRÁULICA!$B$2:$J$32,8,0))</f>
        <v/>
      </c>
    </row>
    <row r="61" customFormat="false" ht="41.75" hidden="false" customHeight="false" outlineLevel="0" collapsed="false">
      <c r="A61" s="9"/>
      <c r="B61" s="9" t="s">
        <v>215</v>
      </c>
      <c r="C61" s="10" t="s">
        <v>216</v>
      </c>
      <c r="D61" s="11" t="s">
        <v>217</v>
      </c>
      <c r="E61" s="12" t="s">
        <v>50</v>
      </c>
      <c r="F61" s="13" t="n">
        <f aca="false">ROUND(SUM(G61:AA61),2)</f>
        <v>1</v>
      </c>
      <c r="G61" s="14" t="str">
        <f aca="false">IF(ISNA(VLOOKUP($B61,'CORREDOR 01'!$B$2:$J$19,8,0)),"",VLOOKUP($B61,'CORREDOR 01'!$B$2:$J$19,8,0))</f>
        <v/>
      </c>
      <c r="H61" s="14" t="str">
        <f aca="false">IF(ISNA(VLOOKUP($B61,'CORREDOR O2'!$B$2:$J$22,8,0)),"",VLOOKUP($B61,'CORREDOR O2'!$B$2:$J$22,8,0))</f>
        <v/>
      </c>
      <c r="I61" s="14" t="str">
        <f aca="false">IF(ISNA(VLOOKUP($B61,'Á. DE VENTIL.'!$B$2:$J$20,8,0)),"",VLOOKUP($B61,'Á. DE VENTIL.'!$B$2:$J$20,8,0))</f>
        <v/>
      </c>
      <c r="J61" s="14" t="str">
        <f aca="false">IF(ISNA(VLOOKUP($B61,'Á. EXTER '!$B$2:$J$24,8,0)),"",VLOOKUP($B61,'Á. EXTER '!$B$2:$J$24,8,0))</f>
        <v/>
      </c>
      <c r="K61" s="14" t="str">
        <f aca="false">IF(ISNA(VLOOKUP($B61,'ÁREA DE CIR. EXTER.'!$B$2:$J$22,8,0)),"",VLOOKUP($B61,'ÁREA DE CIR. EXTER.'!$B$2:$J$22,8,0))</f>
        <v/>
      </c>
      <c r="L61" s="14" t="str">
        <f aca="false">IF(ISNA(VLOOKUP($B61,AUDITÓRIO!$B$2:$J$14,8,0)),"",VLOOKUP($B61,AUDITÓRIO!$B$2:$J$14,8,0))</f>
        <v/>
      </c>
      <c r="M61" s="14" t="str">
        <f aca="false">IF(ISNA(VLOOKUP($B61,'AUD.   WC FEM'!$B$2:$J$14,8,0)),"",VLOOKUP($B61,'AUD.   WC FEM'!$B$2:$J$14,8,0))</f>
        <v/>
      </c>
      <c r="N61" s="14" t="str">
        <f aca="false">IF(ISNA(VLOOKUP($B61,'AUD.   WC MAS'!$B$2:$J$14,8,0)),"",VLOOKUP($B61,'AUD.   WC MAS'!$B$2:$J$14,8,0))</f>
        <v/>
      </c>
      <c r="O61" s="14" t="str">
        <f aca="false">IF(ISNA(VLOOKUP($B61,'COBERT.'!$B$2:$J$8,8,0)),"",VLOOKUP($B61,'COBERT.'!$B$2:$J$8,8,0))</f>
        <v/>
      </c>
      <c r="P61" s="14" t="str">
        <f aca="false">IF(ISNA(VLOOKUP($B61,COPA!$B$2:$J$31,8,0)),"",VLOOKUP($B61,COPA!$B$2:$J$31,8,0))</f>
        <v/>
      </c>
      <c r="Q61" s="14" t="str">
        <f aca="false">IF(ISNA(VLOOKUP($B61,RECEPÇÃO!$B$2:$J$24,8,0)),"",VLOOKUP($B61,RECEPÇÃO!$B$2:$J$24,8,0))</f>
        <v/>
      </c>
      <c r="R61" s="14" t="str">
        <f aca="false">IF(ISNA(VLOOKUP($B61,'S.  DA ADM.'!$B$2:$J$24,8,0)),"",VLOOKUP($B61,'S.  DA ADM.'!$B$2:$J$24,8,0))</f>
        <v/>
      </c>
      <c r="S61" s="14" t="str">
        <f aca="false">IF(ISNA(VLOOKUP($B61,'S.  DA ADM.   WC'!$B$2:$J$27,8,0)),"",VLOOKUP($B61,'S.  DA ADM.   WC'!$B$2:$J$27,8,0))</f>
        <v/>
      </c>
      <c r="T61" s="14" t="str">
        <f aca="false">IF(ISNA(VLOOKUP($B61,'S. DA ATER'!$B$2:$J$23,8,0)),"",VLOOKUP($B61,'S. DA ATER'!$B$2:$J$23,8,0))</f>
        <v/>
      </c>
      <c r="U61" s="14" t="str">
        <f aca="false">IF(ISNA(VLOOKUP($B61,'S. DA GERÊNCIA'!$B$2:$J$27,8,0)),"",VLOOKUP($B61,'S. DA GERÊNCIA'!$B$2:$J$27,8,0))</f>
        <v/>
      </c>
      <c r="V61" s="14" t="str">
        <f aca="false">IF(ISNA(VLOOKUP($B61,'S. DE ESPERA'!$B$2:$J$23,8,0)),"",VLOOKUP($B61,'S. DE ESPERA'!$B$2:$J$23,8,0))</f>
        <v/>
      </c>
      <c r="W61" s="14" t="n">
        <f aca="false">IF(ISNA(VLOOKUP($B61,'S. DE REUNIÃO'!$B$2:$J$25,8,0)),"",VLOOKUP($B61,'S. DE REUNIÃO'!$B$2:$J$25,8,0))</f>
        <v>1</v>
      </c>
      <c r="X61" s="14" t="str">
        <f aca="false">IF(ISNA(VLOOKUP($B61,'S. DO VIGIA'!$B$2:$J$23,8,0)),"",VLOOKUP($B61,'S. DO VIGIA'!$B$2:$J$23,8,0))</f>
        <v/>
      </c>
      <c r="Y61" s="14" t="str">
        <f aca="false">IF(ISNA(VLOOKUP($B61,'WC SOCIAL FEM'!$B$2:$J$28,8,0)),"",VLOOKUP($B61,'WC SOCIAL FEM'!$B$2:$J$28,8,0))</f>
        <v/>
      </c>
      <c r="Z61" s="14" t="str">
        <f aca="false">IF(ISNA(VLOOKUP($B61,'WC SOCIAL MAS'!$B$2:$J$29,8,0)),"",VLOOKUP($B61,'WC SOCIAL MAS'!$B$2:$J$29,8,0))</f>
        <v/>
      </c>
      <c r="AA61" s="14" t="str">
        <f aca="false">IF(ISNA(VLOOKUP($B61,HIDRÁULICA!$B$2:$J$32,8,0)),"",VLOOKUP($B61,HIDRÁULICA!$B$2:$J$32,8,0))</f>
        <v/>
      </c>
    </row>
    <row r="62" customFormat="false" ht="55.2" hidden="false" customHeight="false" outlineLevel="0" collapsed="false">
      <c r="A62" s="9"/>
      <c r="B62" s="9" t="s">
        <v>218</v>
      </c>
      <c r="C62" s="10" t="s">
        <v>219</v>
      </c>
      <c r="D62" s="11" t="s">
        <v>220</v>
      </c>
      <c r="E62" s="12" t="s">
        <v>50</v>
      </c>
      <c r="F62" s="13" t="n">
        <f aca="false">ROUND(SUM(G62:AA62),2)</f>
        <v>2</v>
      </c>
      <c r="G62" s="14" t="str">
        <f aca="false">IF(ISNA(VLOOKUP($B62,'CORREDOR 01'!$B$2:$J$19,8,0)),"",VLOOKUP($B62,'CORREDOR 01'!$B$2:$J$19,8,0))</f>
        <v/>
      </c>
      <c r="H62" s="14" t="str">
        <f aca="false">IF(ISNA(VLOOKUP($B62,'CORREDOR O2'!$B$2:$J$22,8,0)),"",VLOOKUP($B62,'CORREDOR O2'!$B$2:$J$22,8,0))</f>
        <v/>
      </c>
      <c r="I62" s="14" t="str">
        <f aca="false">IF(ISNA(VLOOKUP($B62,'Á. DE VENTIL.'!$B$2:$J$20,8,0)),"",VLOOKUP($B62,'Á. DE VENTIL.'!$B$2:$J$20,8,0))</f>
        <v/>
      </c>
      <c r="J62" s="14" t="str">
        <f aca="false">IF(ISNA(VLOOKUP($B62,'Á. EXTER '!$B$2:$J$24,8,0)),"",VLOOKUP($B62,'Á. EXTER '!$B$2:$J$24,8,0))</f>
        <v/>
      </c>
      <c r="K62" s="14" t="str">
        <f aca="false">IF(ISNA(VLOOKUP($B62,'ÁREA DE CIR. EXTER.'!$B$2:$J$22,8,0)),"",VLOOKUP($B62,'ÁREA DE CIR. EXTER.'!$B$2:$J$22,8,0))</f>
        <v/>
      </c>
      <c r="L62" s="14" t="str">
        <f aca="false">IF(ISNA(VLOOKUP($B62,AUDITÓRIO!$B$2:$J$14,8,0)),"",VLOOKUP($B62,AUDITÓRIO!$B$2:$J$14,8,0))</f>
        <v/>
      </c>
      <c r="M62" s="14" t="str">
        <f aca="false">IF(ISNA(VLOOKUP($B62,'AUD.   WC FEM'!$B$2:$J$14,8,0)),"",VLOOKUP($B62,'AUD.   WC FEM'!$B$2:$J$14,8,0))</f>
        <v/>
      </c>
      <c r="N62" s="14" t="str">
        <f aca="false">IF(ISNA(VLOOKUP($B62,'AUD.   WC MAS'!$B$2:$J$14,8,0)),"",VLOOKUP($B62,'AUD.   WC MAS'!$B$2:$J$14,8,0))</f>
        <v/>
      </c>
      <c r="O62" s="14" t="str">
        <f aca="false">IF(ISNA(VLOOKUP($B62,'COBERT.'!$B$2:$J$8,8,0)),"",VLOOKUP($B62,'COBERT.'!$B$2:$J$8,8,0))</f>
        <v/>
      </c>
      <c r="P62" s="14" t="n">
        <f aca="false">IF(ISNA(VLOOKUP($B62,COPA!$B$2:$J$31,8,0)),"",VLOOKUP($B62,COPA!$B$2:$J$31,8,0))</f>
        <v>1</v>
      </c>
      <c r="Q62" s="14" t="str">
        <f aca="false">IF(ISNA(VLOOKUP($B62,RECEPÇÃO!$B$2:$J$24,8,0)),"",VLOOKUP($B62,RECEPÇÃO!$B$2:$J$24,8,0))</f>
        <v/>
      </c>
      <c r="R62" s="14" t="str">
        <f aca="false">IF(ISNA(VLOOKUP($B62,'S.  DA ADM.'!$B$2:$J$24,8,0)),"",VLOOKUP($B62,'S.  DA ADM.'!$B$2:$J$24,8,0))</f>
        <v/>
      </c>
      <c r="S62" s="14" t="str">
        <f aca="false">IF(ISNA(VLOOKUP($B62,'S.  DA ADM.   WC'!$B$2:$J$27,8,0)),"",VLOOKUP($B62,'S.  DA ADM.   WC'!$B$2:$J$27,8,0))</f>
        <v/>
      </c>
      <c r="T62" s="14" t="str">
        <f aca="false">IF(ISNA(VLOOKUP($B62,'S. DA ATER'!$B$2:$J$23,8,0)),"",VLOOKUP($B62,'S. DA ATER'!$B$2:$J$23,8,0))</f>
        <v/>
      </c>
      <c r="U62" s="14" t="n">
        <f aca="false">IF(ISNA(VLOOKUP($B62,'S. DA GERÊNCIA'!$B$2:$J$27,8,0)),"",VLOOKUP($B62,'S. DA GERÊNCIA'!$B$2:$J$27,8,0))</f>
        <v>1</v>
      </c>
      <c r="V62" s="14" t="str">
        <f aca="false">IF(ISNA(VLOOKUP($B62,'S. DE ESPERA'!$B$2:$J$23,8,0)),"",VLOOKUP($B62,'S. DE ESPERA'!$B$2:$J$23,8,0))</f>
        <v/>
      </c>
      <c r="W62" s="14" t="str">
        <f aca="false">IF(ISNA(VLOOKUP($B62,'S. DE REUNIÃO'!$B$2:$J$25,8,0)),"",VLOOKUP($B62,'S. DE REUNIÃO'!$B$2:$J$25,8,0))</f>
        <v/>
      </c>
      <c r="X62" s="14" t="str">
        <f aca="false">IF(ISNA(VLOOKUP($B62,'S. DO VIGIA'!$B$2:$J$23,8,0)),"",VLOOKUP($B62,'S. DO VIGIA'!$B$2:$J$23,8,0))</f>
        <v/>
      </c>
      <c r="Y62" s="14" t="str">
        <f aca="false">IF(ISNA(VLOOKUP($B62,'WC SOCIAL FEM'!$B$2:$J$28,8,0)),"",VLOOKUP($B62,'WC SOCIAL FEM'!$B$2:$J$28,8,0))</f>
        <v/>
      </c>
      <c r="Z62" s="14" t="str">
        <f aca="false">IF(ISNA(VLOOKUP($B62,'WC SOCIAL MAS'!$B$2:$J$29,8,0)),"",VLOOKUP($B62,'WC SOCIAL MAS'!$B$2:$J$29,8,0))</f>
        <v/>
      </c>
      <c r="AA62" s="14" t="str">
        <f aca="false">IF(ISNA(VLOOKUP($B62,HIDRÁULICA!$B$2:$J$32,8,0)),"",VLOOKUP($B62,HIDRÁULICA!$B$2:$J$32,8,0))</f>
        <v/>
      </c>
    </row>
    <row r="63" customFormat="false" ht="41.75" hidden="false" customHeight="false" outlineLevel="0" collapsed="false">
      <c r="A63" s="9"/>
      <c r="B63" s="9" t="s">
        <v>221</v>
      </c>
      <c r="C63" s="10" t="s">
        <v>222</v>
      </c>
      <c r="D63" s="11" t="s">
        <v>223</v>
      </c>
      <c r="E63" s="12" t="s">
        <v>50</v>
      </c>
      <c r="F63" s="13" t="n">
        <f aca="false">ROUND(SUM(G63:AA63),2)</f>
        <v>2</v>
      </c>
      <c r="G63" s="14" t="str">
        <f aca="false">IF(ISNA(VLOOKUP($B63,'CORREDOR 01'!$B$2:$J$19,8,0)),"",VLOOKUP($B63,'CORREDOR 01'!$B$2:$J$19,8,0))</f>
        <v/>
      </c>
      <c r="H63" s="14" t="str">
        <f aca="false">IF(ISNA(VLOOKUP($B63,'CORREDOR O2'!$B$2:$J$22,8,0)),"",VLOOKUP($B63,'CORREDOR O2'!$B$2:$J$22,8,0))</f>
        <v/>
      </c>
      <c r="I63" s="14" t="str">
        <f aca="false">IF(ISNA(VLOOKUP($B63,'Á. DE VENTIL.'!$B$2:$J$20,8,0)),"",VLOOKUP($B63,'Á. DE VENTIL.'!$B$2:$J$20,8,0))</f>
        <v/>
      </c>
      <c r="J63" s="14" t="str">
        <f aca="false">IF(ISNA(VLOOKUP($B63,'Á. EXTER '!$B$2:$J$24,8,0)),"",VLOOKUP($B63,'Á. EXTER '!$B$2:$J$24,8,0))</f>
        <v/>
      </c>
      <c r="K63" s="14" t="str">
        <f aca="false">IF(ISNA(VLOOKUP($B63,'ÁREA DE CIR. EXTER.'!$B$2:$J$22,8,0)),"",VLOOKUP($B63,'ÁREA DE CIR. EXTER.'!$B$2:$J$22,8,0))</f>
        <v/>
      </c>
      <c r="L63" s="14" t="str">
        <f aca="false">IF(ISNA(VLOOKUP($B63,AUDITÓRIO!$B$2:$J$14,8,0)),"",VLOOKUP($B63,AUDITÓRIO!$B$2:$J$14,8,0))</f>
        <v/>
      </c>
      <c r="M63" s="14" t="str">
        <f aca="false">IF(ISNA(VLOOKUP($B63,'AUD.   WC FEM'!$B$2:$J$14,8,0)),"",VLOOKUP($B63,'AUD.   WC FEM'!$B$2:$J$14,8,0))</f>
        <v/>
      </c>
      <c r="N63" s="14" t="str">
        <f aca="false">IF(ISNA(VLOOKUP($B63,'AUD.   WC MAS'!$B$2:$J$14,8,0)),"",VLOOKUP($B63,'AUD.   WC MAS'!$B$2:$J$14,8,0))</f>
        <v/>
      </c>
      <c r="O63" s="14" t="str">
        <f aca="false">IF(ISNA(VLOOKUP($B63,'COBERT.'!$B$2:$J$8,8,0)),"",VLOOKUP($B63,'COBERT.'!$B$2:$J$8,8,0))</f>
        <v/>
      </c>
      <c r="P63" s="14" t="str">
        <f aca="false">IF(ISNA(VLOOKUP($B63,COPA!$B$2:$J$31,8,0)),"",VLOOKUP($B63,COPA!$B$2:$J$31,8,0))</f>
        <v/>
      </c>
      <c r="Q63" s="14" t="str">
        <f aca="false">IF(ISNA(VLOOKUP($B63,RECEPÇÃO!$B$2:$J$24,8,0)),"",VLOOKUP($B63,RECEPÇÃO!$B$2:$J$24,8,0))</f>
        <v/>
      </c>
      <c r="R63" s="14" t="str">
        <f aca="false">IF(ISNA(VLOOKUP($B63,'S.  DA ADM.'!$B$2:$J$24,8,0)),"",VLOOKUP($B63,'S.  DA ADM.'!$B$2:$J$24,8,0))</f>
        <v/>
      </c>
      <c r="S63" s="14" t="str">
        <f aca="false">IF(ISNA(VLOOKUP($B63,'S.  DA ADM.   WC'!$B$2:$J$27,8,0)),"",VLOOKUP($B63,'S.  DA ADM.   WC'!$B$2:$J$27,8,0))</f>
        <v/>
      </c>
      <c r="T63" s="14" t="str">
        <f aca="false">IF(ISNA(VLOOKUP($B63,'S. DA ATER'!$B$2:$J$23,8,0)),"",VLOOKUP($B63,'S. DA ATER'!$B$2:$J$23,8,0))</f>
        <v/>
      </c>
      <c r="U63" s="14" t="str">
        <f aca="false">IF(ISNA(VLOOKUP($B63,'S. DA GERÊNCIA'!$B$2:$J$27,8,0)),"",VLOOKUP($B63,'S. DA GERÊNCIA'!$B$2:$J$27,8,0))</f>
        <v/>
      </c>
      <c r="V63" s="14" t="str">
        <f aca="false">IF(ISNA(VLOOKUP($B63,'S. DE ESPERA'!$B$2:$J$23,8,0)),"",VLOOKUP($B63,'S. DE ESPERA'!$B$2:$J$23,8,0))</f>
        <v/>
      </c>
      <c r="W63" s="14" t="str">
        <f aca="false">IF(ISNA(VLOOKUP($B63,'S. DE REUNIÃO'!$B$2:$J$25,8,0)),"",VLOOKUP($B63,'S. DE REUNIÃO'!$B$2:$J$25,8,0))</f>
        <v/>
      </c>
      <c r="X63" s="14" t="str">
        <f aca="false">IF(ISNA(VLOOKUP($B63,'S. DO VIGIA'!$B$2:$J$23,8,0)),"",VLOOKUP($B63,'S. DO VIGIA'!$B$2:$J$23,8,0))</f>
        <v/>
      </c>
      <c r="Y63" s="14" t="n">
        <f aca="false">IF(ISNA(VLOOKUP($B63,'WC SOCIAL FEM'!$B$2:$J$28,8,0)),"",VLOOKUP($B63,'WC SOCIAL FEM'!$B$2:$J$28,8,0))</f>
        <v>1</v>
      </c>
      <c r="Z63" s="14" t="n">
        <f aca="false">IF(ISNA(VLOOKUP($B63,'WC SOCIAL MAS'!$B$2:$J$29,8,0)),"",VLOOKUP($B63,'WC SOCIAL MAS'!$B$2:$J$29,8,0))</f>
        <v>1</v>
      </c>
      <c r="AA63" s="14" t="str">
        <f aca="false">IF(ISNA(VLOOKUP($B63,HIDRÁULICA!$B$2:$J$32,8,0)),"",VLOOKUP($B63,HIDRÁULICA!$B$2:$J$32,8,0))</f>
        <v/>
      </c>
    </row>
    <row r="64" customFormat="false" ht="41.75" hidden="false" customHeight="false" outlineLevel="0" collapsed="false">
      <c r="A64" s="9"/>
      <c r="B64" s="9" t="s">
        <v>224</v>
      </c>
      <c r="C64" s="10" t="s">
        <v>225</v>
      </c>
      <c r="D64" s="11" t="s">
        <v>226</v>
      </c>
      <c r="E64" s="12" t="s">
        <v>50</v>
      </c>
      <c r="F64" s="13" t="n">
        <f aca="false">ROUND(SUM(G64:AA64),2)</f>
        <v>4</v>
      </c>
      <c r="G64" s="14" t="str">
        <f aca="false">IF(ISNA(VLOOKUP($B64,'CORREDOR 01'!$B$2:$J$19,8,0)),"",VLOOKUP($B64,'CORREDOR 01'!$B$2:$J$19,8,0))</f>
        <v/>
      </c>
      <c r="H64" s="14" t="n">
        <f aca="false">IF(ISNA(VLOOKUP($B64,'CORREDOR O2'!$B$2:$J$22,8,0)),"",VLOOKUP($B64,'CORREDOR O2'!$B$2:$J$22,8,0))</f>
        <v>2</v>
      </c>
      <c r="I64" s="14" t="str">
        <f aca="false">IF(ISNA(VLOOKUP($B64,'Á. DE VENTIL.'!$B$2:$J$20,8,0)),"",VLOOKUP($B64,'Á. DE VENTIL.'!$B$2:$J$20,8,0))</f>
        <v/>
      </c>
      <c r="J64" s="14" t="str">
        <f aca="false">IF(ISNA(VLOOKUP($B64,'Á. EXTER '!$B$2:$J$24,8,0)),"",VLOOKUP($B64,'Á. EXTER '!$B$2:$J$24,8,0))</f>
        <v/>
      </c>
      <c r="K64" s="14" t="str">
        <f aca="false">IF(ISNA(VLOOKUP($B64,'ÁREA DE CIR. EXTER.'!$B$2:$J$22,8,0)),"",VLOOKUP($B64,'ÁREA DE CIR. EXTER.'!$B$2:$J$22,8,0))</f>
        <v/>
      </c>
      <c r="L64" s="14" t="n">
        <f aca="false">IF(ISNA(VLOOKUP($B64,AUDITÓRIO!$B$2:$J$14,8,0)),"",VLOOKUP($B64,AUDITÓRIO!$B$2:$J$14,8,0))</f>
        <v>2</v>
      </c>
      <c r="M64" s="14" t="str">
        <f aca="false">IF(ISNA(VLOOKUP($B64,'AUD.   WC FEM'!$B$2:$J$14,8,0)),"",VLOOKUP($B64,'AUD.   WC FEM'!$B$2:$J$14,8,0))</f>
        <v/>
      </c>
      <c r="N64" s="14" t="str">
        <f aca="false">IF(ISNA(VLOOKUP($B64,'AUD.   WC MAS'!$B$2:$J$14,8,0)),"",VLOOKUP($B64,'AUD.   WC MAS'!$B$2:$J$14,8,0))</f>
        <v/>
      </c>
      <c r="O64" s="14" t="str">
        <f aca="false">IF(ISNA(VLOOKUP($B64,'COBERT.'!$B$2:$J$8,8,0)),"",VLOOKUP($B64,'COBERT.'!$B$2:$J$8,8,0))</f>
        <v/>
      </c>
      <c r="P64" s="14" t="str">
        <f aca="false">IF(ISNA(VLOOKUP($B64,COPA!$B$2:$J$31,8,0)),"",VLOOKUP($B64,COPA!$B$2:$J$31,8,0))</f>
        <v/>
      </c>
      <c r="Q64" s="14" t="str">
        <f aca="false">IF(ISNA(VLOOKUP($B64,RECEPÇÃO!$B$2:$J$24,8,0)),"",VLOOKUP($B64,RECEPÇÃO!$B$2:$J$24,8,0))</f>
        <v/>
      </c>
      <c r="R64" s="14" t="str">
        <f aca="false">IF(ISNA(VLOOKUP($B64,'S.  DA ADM.'!$B$2:$J$24,8,0)),"",VLOOKUP($B64,'S.  DA ADM.'!$B$2:$J$24,8,0))</f>
        <v/>
      </c>
      <c r="S64" s="14" t="str">
        <f aca="false">IF(ISNA(VLOOKUP($B64,'S.  DA ADM.   WC'!$B$2:$J$27,8,0)),"",VLOOKUP($B64,'S.  DA ADM.   WC'!$B$2:$J$27,8,0))</f>
        <v/>
      </c>
      <c r="T64" s="14" t="str">
        <f aca="false">IF(ISNA(VLOOKUP($B64,'S. DA ATER'!$B$2:$J$23,8,0)),"",VLOOKUP($B64,'S. DA ATER'!$B$2:$J$23,8,0))</f>
        <v/>
      </c>
      <c r="U64" s="14" t="str">
        <f aca="false">IF(ISNA(VLOOKUP($B64,'S. DA GERÊNCIA'!$B$2:$J$27,8,0)),"",VLOOKUP($B64,'S. DA GERÊNCIA'!$B$2:$J$27,8,0))</f>
        <v/>
      </c>
      <c r="V64" s="14" t="str">
        <f aca="false">IF(ISNA(VLOOKUP($B64,'S. DE ESPERA'!$B$2:$J$23,8,0)),"",VLOOKUP($B64,'S. DE ESPERA'!$B$2:$J$23,8,0))</f>
        <v/>
      </c>
      <c r="W64" s="14" t="str">
        <f aca="false">IF(ISNA(VLOOKUP($B64,'S. DE REUNIÃO'!$B$2:$J$25,8,0)),"",VLOOKUP($B64,'S. DE REUNIÃO'!$B$2:$J$25,8,0))</f>
        <v/>
      </c>
      <c r="X64" s="14" t="str">
        <f aca="false">IF(ISNA(VLOOKUP($B64,'S. DO VIGIA'!$B$2:$J$23,8,0)),"",VLOOKUP($B64,'S. DO VIGIA'!$B$2:$J$23,8,0))</f>
        <v/>
      </c>
      <c r="Y64" s="14" t="str">
        <f aca="false">IF(ISNA(VLOOKUP($B64,'WC SOCIAL FEM'!$B$2:$J$28,8,0)),"",VLOOKUP($B64,'WC SOCIAL FEM'!$B$2:$J$28,8,0))</f>
        <v/>
      </c>
      <c r="Z64" s="14" t="str">
        <f aca="false">IF(ISNA(VLOOKUP($B64,'WC SOCIAL MAS'!$B$2:$J$29,8,0)),"",VLOOKUP($B64,'WC SOCIAL MAS'!$B$2:$J$29,8,0))</f>
        <v/>
      </c>
      <c r="AA64" s="14" t="str">
        <f aca="false">IF(ISNA(VLOOKUP($B64,HIDRÁULICA!$B$2:$J$32,8,0)),"",VLOOKUP($B64,HIDRÁULICA!$B$2:$J$32,8,0))</f>
        <v/>
      </c>
    </row>
    <row r="65" customFormat="false" ht="28.35" hidden="false" customHeight="false" outlineLevel="0" collapsed="false">
      <c r="A65" s="9"/>
      <c r="B65" s="9" t="s">
        <v>227</v>
      </c>
      <c r="C65" s="10" t="s">
        <v>228</v>
      </c>
      <c r="D65" s="11" t="s">
        <v>229</v>
      </c>
      <c r="E65" s="12" t="s">
        <v>50</v>
      </c>
      <c r="F65" s="13" t="n">
        <f aca="false">ROUND(SUM(G65:AA65),2)</f>
        <v>8</v>
      </c>
      <c r="G65" s="14" t="str">
        <f aca="false">IF(ISNA(VLOOKUP($B65,'CORREDOR 01'!$B$2:$J$19,8,0)),"",VLOOKUP($B65,'CORREDOR 01'!$B$2:$J$19,8,0))</f>
        <v/>
      </c>
      <c r="H65" s="14" t="n">
        <f aca="false">IF(ISNA(VLOOKUP($B65,'CORREDOR O2'!$B$2:$J$22,8,0)),"",VLOOKUP($B65,'CORREDOR O2'!$B$2:$J$22,8,0))</f>
        <v>1</v>
      </c>
      <c r="I65" s="14" t="str">
        <f aca="false">IF(ISNA(VLOOKUP($B65,'Á. DE VENTIL.'!$B$2:$J$20,8,0)),"",VLOOKUP($B65,'Á. DE VENTIL.'!$B$2:$J$20,8,0))</f>
        <v/>
      </c>
      <c r="J65" s="14" t="str">
        <f aca="false">IF(ISNA(VLOOKUP($B65,'Á. EXTER '!$B$2:$J$24,8,0)),"",VLOOKUP($B65,'Á. EXTER '!$B$2:$J$24,8,0))</f>
        <v/>
      </c>
      <c r="K65" s="14" t="str">
        <f aca="false">IF(ISNA(VLOOKUP($B65,'ÁREA DE CIR. EXTER.'!$B$2:$J$22,8,0)),"",VLOOKUP($B65,'ÁREA DE CIR. EXTER.'!$B$2:$J$22,8,0))</f>
        <v/>
      </c>
      <c r="L65" s="14" t="str">
        <f aca="false">IF(ISNA(VLOOKUP($B65,AUDITÓRIO!$B$2:$J$14,8,0)),"",VLOOKUP($B65,AUDITÓRIO!$B$2:$J$14,8,0))</f>
        <v/>
      </c>
      <c r="M65" s="14" t="str">
        <f aca="false">IF(ISNA(VLOOKUP($B65,'AUD.   WC FEM'!$B$2:$J$14,8,0)),"",VLOOKUP($B65,'AUD.   WC FEM'!$B$2:$J$14,8,0))</f>
        <v/>
      </c>
      <c r="N65" s="14" t="str">
        <f aca="false">IF(ISNA(VLOOKUP($B65,'AUD.   WC MAS'!$B$2:$J$14,8,0)),"",VLOOKUP($B65,'AUD.   WC MAS'!$B$2:$J$14,8,0))</f>
        <v/>
      </c>
      <c r="O65" s="14" t="str">
        <f aca="false">IF(ISNA(VLOOKUP($B65,'COBERT.'!$B$2:$J$8,8,0)),"",VLOOKUP($B65,'COBERT.'!$B$2:$J$8,8,0))</f>
        <v/>
      </c>
      <c r="P65" s="14" t="n">
        <f aca="false">IF(ISNA(VLOOKUP($B65,COPA!$B$2:$J$31,8,0)),"",VLOOKUP($B65,COPA!$B$2:$J$31,8,0))</f>
        <v>1</v>
      </c>
      <c r="Q65" s="14" t="n">
        <f aca="false">IF(ISNA(VLOOKUP($B65,RECEPÇÃO!$B$2:$J$24,8,0)),"",VLOOKUP($B65,RECEPÇÃO!$B$2:$J$24,8,0))</f>
        <v>1</v>
      </c>
      <c r="R65" s="14" t="n">
        <f aca="false">IF(ISNA(VLOOKUP($B65,'S.  DA ADM.'!$B$2:$J$24,8,0)),"",VLOOKUP($B65,'S.  DA ADM.'!$B$2:$J$24,8,0))</f>
        <v>1</v>
      </c>
      <c r="S65" s="14" t="str">
        <f aca="false">IF(ISNA(VLOOKUP($B65,'S.  DA ADM.   WC'!$B$2:$J$27,8,0)),"",VLOOKUP($B65,'S.  DA ADM.   WC'!$B$2:$J$27,8,0))</f>
        <v/>
      </c>
      <c r="T65" s="14" t="n">
        <f aca="false">IF(ISNA(VLOOKUP($B65,'S. DA ATER'!$B$2:$J$23,8,0)),"",VLOOKUP($B65,'S. DA ATER'!$B$2:$J$23,8,0))</f>
        <v>1</v>
      </c>
      <c r="U65" s="14" t="n">
        <f aca="false">IF(ISNA(VLOOKUP($B65,'S. DA GERÊNCIA'!$B$2:$J$27,8,0)),"",VLOOKUP($B65,'S. DA GERÊNCIA'!$B$2:$J$27,8,0))</f>
        <v>1</v>
      </c>
      <c r="V65" s="14" t="str">
        <f aca="false">IF(ISNA(VLOOKUP($B65,'S. DE ESPERA'!$B$2:$J$23,8,0)),"",VLOOKUP($B65,'S. DE ESPERA'!$B$2:$J$23,8,0))</f>
        <v/>
      </c>
      <c r="W65" s="14" t="n">
        <f aca="false">IF(ISNA(VLOOKUP($B65,'S. DE REUNIÃO'!$B$2:$J$25,8,0)),"",VLOOKUP($B65,'S. DE REUNIÃO'!$B$2:$J$25,8,0))</f>
        <v>1</v>
      </c>
      <c r="X65" s="14" t="n">
        <f aca="false">IF(ISNA(VLOOKUP($B65,'S. DO VIGIA'!$B$2:$J$23,8,0)),"",VLOOKUP($B65,'S. DO VIGIA'!$B$2:$J$23,8,0))</f>
        <v>1</v>
      </c>
      <c r="Y65" s="14" t="str">
        <f aca="false">IF(ISNA(VLOOKUP($B65,'WC SOCIAL FEM'!$B$2:$J$28,8,0)),"",VLOOKUP($B65,'WC SOCIAL FEM'!$B$2:$J$28,8,0))</f>
        <v/>
      </c>
      <c r="Z65" s="14" t="str">
        <f aca="false">IF(ISNA(VLOOKUP($B65,'WC SOCIAL MAS'!$B$2:$J$29,8,0)),"",VLOOKUP($B65,'WC SOCIAL MAS'!$B$2:$J$29,8,0))</f>
        <v/>
      </c>
      <c r="AA65" s="14" t="str">
        <f aca="false">IF(ISNA(VLOOKUP($B65,HIDRÁULICA!$B$2:$J$32,8,0)),"",VLOOKUP($B65,HIDRÁULICA!$B$2:$J$32,8,0))</f>
        <v/>
      </c>
    </row>
    <row r="66" customFormat="false" ht="41.75" hidden="false" customHeight="false" outlineLevel="0" collapsed="false">
      <c r="A66" s="9"/>
      <c r="B66" s="9" t="s">
        <v>230</v>
      </c>
      <c r="C66" s="10" t="s">
        <v>231</v>
      </c>
      <c r="D66" s="11" t="s">
        <v>232</v>
      </c>
      <c r="E66" s="12" t="s">
        <v>33</v>
      </c>
      <c r="F66" s="13" t="n">
        <f aca="false">ROUND(SUM(G66:AA66),2)</f>
        <v>2.16</v>
      </c>
      <c r="G66" s="14" t="str">
        <f aca="false">IF(ISNA(VLOOKUP($B66,'CORREDOR 01'!$B$2:$J$19,8,0)),"",VLOOKUP($B66,'CORREDOR 01'!$B$2:$J$19,8,0))</f>
        <v/>
      </c>
      <c r="H66" s="14" t="str">
        <f aca="false">IF(ISNA(VLOOKUP($B66,'CORREDOR O2'!$B$2:$J$22,8,0)),"",VLOOKUP($B66,'CORREDOR O2'!$B$2:$J$22,8,0))</f>
        <v/>
      </c>
      <c r="I66" s="14" t="n">
        <f aca="false">IF(ISNA(VLOOKUP($B66,'Á. DE VENTIL.'!$B$2:$J$20,8,0)),"",VLOOKUP($B66,'Á. DE VENTIL.'!$B$2:$J$20,8,0))</f>
        <v>2.16</v>
      </c>
      <c r="J66" s="14" t="str">
        <f aca="false">IF(ISNA(VLOOKUP($B66,'Á. EXTER '!$B$2:$J$24,8,0)),"",VLOOKUP($B66,'Á. EXTER '!$B$2:$J$24,8,0))</f>
        <v/>
      </c>
      <c r="K66" s="14" t="str">
        <f aca="false">IF(ISNA(VLOOKUP($B66,'ÁREA DE CIR. EXTER.'!$B$2:$J$22,8,0)),"",VLOOKUP($B66,'ÁREA DE CIR. EXTER.'!$B$2:$J$22,8,0))</f>
        <v/>
      </c>
      <c r="L66" s="14" t="str">
        <f aca="false">IF(ISNA(VLOOKUP($B66,AUDITÓRIO!$B$2:$J$14,8,0)),"",VLOOKUP($B66,AUDITÓRIO!$B$2:$J$14,8,0))</f>
        <v/>
      </c>
      <c r="M66" s="14" t="str">
        <f aca="false">IF(ISNA(VLOOKUP($B66,'AUD.   WC FEM'!$B$2:$J$14,8,0)),"",VLOOKUP($B66,'AUD.   WC FEM'!$B$2:$J$14,8,0))</f>
        <v/>
      </c>
      <c r="N66" s="14" t="str">
        <f aca="false">IF(ISNA(VLOOKUP($B66,'AUD.   WC MAS'!$B$2:$J$14,8,0)),"",VLOOKUP($B66,'AUD.   WC MAS'!$B$2:$J$14,8,0))</f>
        <v/>
      </c>
      <c r="O66" s="14" t="str">
        <f aca="false">IF(ISNA(VLOOKUP($B66,'COBERT.'!$B$2:$J$8,8,0)),"",VLOOKUP($B66,'COBERT.'!$B$2:$J$8,8,0))</f>
        <v/>
      </c>
      <c r="P66" s="14" t="str">
        <f aca="false">IF(ISNA(VLOOKUP($B66,COPA!$B$2:$J$31,8,0)),"",VLOOKUP($B66,COPA!$B$2:$J$31,8,0))</f>
        <v/>
      </c>
      <c r="Q66" s="14" t="str">
        <f aca="false">IF(ISNA(VLOOKUP($B66,RECEPÇÃO!$B$2:$J$24,8,0)),"",VLOOKUP($B66,RECEPÇÃO!$B$2:$J$24,8,0))</f>
        <v/>
      </c>
      <c r="R66" s="14" t="str">
        <f aca="false">IF(ISNA(VLOOKUP($B66,'S.  DA ADM.'!$B$2:$J$24,8,0)),"",VLOOKUP($B66,'S.  DA ADM.'!$B$2:$J$24,8,0))</f>
        <v/>
      </c>
      <c r="S66" s="14" t="str">
        <f aca="false">IF(ISNA(VLOOKUP($B66,'S.  DA ADM.   WC'!$B$2:$J$27,8,0)),"",VLOOKUP($B66,'S.  DA ADM.   WC'!$B$2:$J$27,8,0))</f>
        <v/>
      </c>
      <c r="T66" s="14" t="str">
        <f aca="false">IF(ISNA(VLOOKUP($B66,'S. DA ATER'!$B$2:$J$23,8,0)),"",VLOOKUP($B66,'S. DA ATER'!$B$2:$J$23,8,0))</f>
        <v/>
      </c>
      <c r="U66" s="14" t="str">
        <f aca="false">IF(ISNA(VLOOKUP($B66,'S. DA GERÊNCIA'!$B$2:$J$27,8,0)),"",VLOOKUP($B66,'S. DA GERÊNCIA'!$B$2:$J$27,8,0))</f>
        <v/>
      </c>
      <c r="V66" s="14" t="str">
        <f aca="false">IF(ISNA(VLOOKUP($B66,'S. DE ESPERA'!$B$2:$J$23,8,0)),"",VLOOKUP($B66,'S. DE ESPERA'!$B$2:$J$23,8,0))</f>
        <v/>
      </c>
      <c r="W66" s="14" t="str">
        <f aca="false">IF(ISNA(VLOOKUP($B66,'S. DE REUNIÃO'!$B$2:$J$25,8,0)),"",VLOOKUP($B66,'S. DE REUNIÃO'!$B$2:$J$25,8,0))</f>
        <v/>
      </c>
      <c r="X66" s="14" t="str">
        <f aca="false">IF(ISNA(VLOOKUP($B66,'S. DO VIGIA'!$B$2:$J$23,8,0)),"",VLOOKUP($B66,'S. DO VIGIA'!$B$2:$J$23,8,0))</f>
        <v/>
      </c>
      <c r="Y66" s="14" t="str">
        <f aca="false">IF(ISNA(VLOOKUP($B66,'WC SOCIAL FEM'!$B$2:$J$28,8,0)),"",VLOOKUP($B66,'WC SOCIAL FEM'!$B$2:$J$28,8,0))</f>
        <v/>
      </c>
      <c r="Z66" s="14" t="str">
        <f aca="false">IF(ISNA(VLOOKUP($B66,'WC SOCIAL MAS'!$B$2:$J$29,8,0)),"",VLOOKUP($B66,'WC SOCIAL MAS'!$B$2:$J$29,8,0))</f>
        <v/>
      </c>
      <c r="AA66" s="14" t="str">
        <f aca="false">IF(ISNA(VLOOKUP($B66,HIDRÁULICA!$B$2:$J$32,8,0)),"",VLOOKUP($B66,HIDRÁULICA!$B$2:$J$32,8,0))</f>
        <v/>
      </c>
    </row>
    <row r="67" customFormat="false" ht="14.4" hidden="false" customHeight="true" outlineLevel="0" collapsed="false">
      <c r="A67" s="9" t="s">
        <v>233</v>
      </c>
      <c r="B67" s="9" t="s">
        <v>234</v>
      </c>
      <c r="C67" s="10" t="s">
        <v>235</v>
      </c>
      <c r="D67" s="11" t="s">
        <v>236</v>
      </c>
      <c r="E67" s="12" t="s">
        <v>33</v>
      </c>
      <c r="F67" s="13" t="n">
        <f aca="false">ROUND(SUM(G67:AA67),2)</f>
        <v>2.1</v>
      </c>
      <c r="G67" s="14" t="str">
        <f aca="false">IF(ISNA(VLOOKUP($B67,'CORREDOR 01'!$B$2:$J$19,8,0)),"",VLOOKUP($B67,'CORREDOR 01'!$B$2:$J$19,8,0))</f>
        <v/>
      </c>
      <c r="H67" s="14" t="str">
        <f aca="false">IF(ISNA(VLOOKUP($B67,'CORREDOR O2'!$B$2:$J$22,8,0)),"",VLOOKUP($B67,'CORREDOR O2'!$B$2:$J$22,8,0))</f>
        <v/>
      </c>
      <c r="I67" s="14" t="n">
        <f aca="false">IF(ISNA(VLOOKUP($B67,'Á. DE VENTIL.'!$B$2:$J$20,8,0)),"",VLOOKUP($B67,'Á. DE VENTIL.'!$B$2:$J$20,8,0))</f>
        <v>2.1</v>
      </c>
      <c r="J67" s="14" t="str">
        <f aca="false">IF(ISNA(VLOOKUP($B67,'Á. EXTER '!$B$2:$J$24,8,0)),"",VLOOKUP($B67,'Á. EXTER '!$B$2:$J$24,8,0))</f>
        <v/>
      </c>
      <c r="K67" s="14" t="str">
        <f aca="false">IF(ISNA(VLOOKUP($B67,'ÁREA DE CIR. EXTER.'!$B$2:$J$22,8,0)),"",VLOOKUP($B67,'ÁREA DE CIR. EXTER.'!$B$2:$J$22,8,0))</f>
        <v/>
      </c>
      <c r="L67" s="14" t="str">
        <f aca="false">IF(ISNA(VLOOKUP($B67,AUDITÓRIO!$B$2:$J$14,8,0)),"",VLOOKUP($B67,AUDITÓRIO!$B$2:$J$14,8,0))</f>
        <v/>
      </c>
      <c r="M67" s="14" t="str">
        <f aca="false">IF(ISNA(VLOOKUP($B67,'AUD.   WC FEM'!$B$2:$J$14,8,0)),"",VLOOKUP($B67,'AUD.   WC FEM'!$B$2:$J$14,8,0))</f>
        <v/>
      </c>
      <c r="N67" s="14" t="str">
        <f aca="false">IF(ISNA(VLOOKUP($B67,'AUD.   WC MAS'!$B$2:$J$14,8,0)),"",VLOOKUP($B67,'AUD.   WC MAS'!$B$2:$J$14,8,0))</f>
        <v/>
      </c>
      <c r="O67" s="14" t="str">
        <f aca="false">IF(ISNA(VLOOKUP($B67,'COBERT.'!$B$2:$J$8,8,0)),"",VLOOKUP($B67,'COBERT.'!$B$2:$J$8,8,0))</f>
        <v/>
      </c>
      <c r="P67" s="14" t="str">
        <f aca="false">IF(ISNA(VLOOKUP($B67,COPA!$B$2:$J$31,8,0)),"",VLOOKUP($B67,COPA!$B$2:$J$31,8,0))</f>
        <v/>
      </c>
      <c r="Q67" s="14" t="str">
        <f aca="false">IF(ISNA(VLOOKUP($B67,RECEPÇÃO!$B$2:$J$24,8,0)),"",VLOOKUP($B67,RECEPÇÃO!$B$2:$J$24,8,0))</f>
        <v/>
      </c>
      <c r="R67" s="14" t="str">
        <f aca="false">IF(ISNA(VLOOKUP($B67,'S.  DA ADM.'!$B$2:$J$24,8,0)),"",VLOOKUP($B67,'S.  DA ADM.'!$B$2:$J$24,8,0))</f>
        <v/>
      </c>
      <c r="S67" s="14" t="str">
        <f aca="false">IF(ISNA(VLOOKUP($B67,'S.  DA ADM.   WC'!$B$2:$J$27,8,0)),"",VLOOKUP($B67,'S.  DA ADM.   WC'!$B$2:$J$27,8,0))</f>
        <v/>
      </c>
      <c r="T67" s="14" t="str">
        <f aca="false">IF(ISNA(VLOOKUP($B67,'S. DA ATER'!$B$2:$J$23,8,0)),"",VLOOKUP($B67,'S. DA ATER'!$B$2:$J$23,8,0))</f>
        <v/>
      </c>
      <c r="U67" s="14" t="str">
        <f aca="false">IF(ISNA(VLOOKUP($B67,'S. DA GERÊNCIA'!$B$2:$J$27,8,0)),"",VLOOKUP($B67,'S. DA GERÊNCIA'!$B$2:$J$27,8,0))</f>
        <v/>
      </c>
      <c r="V67" s="14" t="str">
        <f aca="false">IF(ISNA(VLOOKUP($B67,'S. DE ESPERA'!$B$2:$J$23,8,0)),"",VLOOKUP($B67,'S. DE ESPERA'!$B$2:$J$23,8,0))</f>
        <v/>
      </c>
      <c r="W67" s="14" t="str">
        <f aca="false">IF(ISNA(VLOOKUP($B67,'S. DE REUNIÃO'!$B$2:$J$25,8,0)),"",VLOOKUP($B67,'S. DE REUNIÃO'!$B$2:$J$25,8,0))</f>
        <v/>
      </c>
      <c r="X67" s="14" t="str">
        <f aca="false">IF(ISNA(VLOOKUP($B67,'S. DO VIGIA'!$B$2:$J$23,8,0)),"",VLOOKUP($B67,'S. DO VIGIA'!$B$2:$J$23,8,0))</f>
        <v/>
      </c>
      <c r="Y67" s="14" t="str">
        <f aca="false">IF(ISNA(VLOOKUP($B67,'WC SOCIAL FEM'!$B$2:$J$28,8,0)),"",VLOOKUP($B67,'WC SOCIAL FEM'!$B$2:$J$28,8,0))</f>
        <v/>
      </c>
      <c r="Z67" s="14" t="str">
        <f aca="false">IF(ISNA(VLOOKUP($B67,'WC SOCIAL MAS'!$B$2:$J$29,8,0)),"",VLOOKUP($B67,'WC SOCIAL MAS'!$B$2:$J$29,8,0))</f>
        <v/>
      </c>
      <c r="AA67" s="14" t="str">
        <f aca="false">IF(ISNA(VLOOKUP($B67,HIDRÁULICA!$B$2:$J$32,8,0)),"",VLOOKUP($B67,HIDRÁULICA!$B$2:$J$32,8,0))</f>
        <v/>
      </c>
    </row>
    <row r="68" customFormat="false" ht="28.35" hidden="false" customHeight="false" outlineLevel="0" collapsed="false">
      <c r="A68" s="9"/>
      <c r="B68" s="9" t="s">
        <v>237</v>
      </c>
      <c r="C68" s="10" t="s">
        <v>238</v>
      </c>
      <c r="D68" s="11" t="s">
        <v>239</v>
      </c>
      <c r="E68" s="12" t="s">
        <v>33</v>
      </c>
      <c r="F68" s="13" t="n">
        <f aca="false">ROUND(SUM(G68:AA68),2)</f>
        <v>2.1</v>
      </c>
      <c r="G68" s="14" t="str">
        <f aca="false">IF(ISNA(VLOOKUP($B68,'CORREDOR 01'!$B$2:$J$19,8,0)),"",VLOOKUP($B68,'CORREDOR 01'!$B$2:$J$19,8,0))</f>
        <v/>
      </c>
      <c r="H68" s="14" t="str">
        <f aca="false">IF(ISNA(VLOOKUP($B68,'CORREDOR O2'!$B$2:$J$22,8,0)),"",VLOOKUP($B68,'CORREDOR O2'!$B$2:$J$22,8,0))</f>
        <v/>
      </c>
      <c r="I68" s="14" t="n">
        <f aca="false">IF(ISNA(VLOOKUP($B68,'Á. DE VENTIL.'!$B$2:$J$20,8,0)),"",VLOOKUP($B68,'Á. DE VENTIL.'!$B$2:$J$20,8,0))</f>
        <v>2.1</v>
      </c>
      <c r="J68" s="14" t="str">
        <f aca="false">IF(ISNA(VLOOKUP($B68,'Á. EXTER '!$B$2:$J$24,8,0)),"",VLOOKUP($B68,'Á. EXTER '!$B$2:$J$24,8,0))</f>
        <v/>
      </c>
      <c r="K68" s="14" t="str">
        <f aca="false">IF(ISNA(VLOOKUP($B68,'ÁREA DE CIR. EXTER.'!$B$2:$J$22,8,0)),"",VLOOKUP($B68,'ÁREA DE CIR. EXTER.'!$B$2:$J$22,8,0))</f>
        <v/>
      </c>
      <c r="L68" s="14" t="str">
        <f aca="false">IF(ISNA(VLOOKUP($B68,AUDITÓRIO!$B$2:$J$14,8,0)),"",VLOOKUP($B68,AUDITÓRIO!$B$2:$J$14,8,0))</f>
        <v/>
      </c>
      <c r="M68" s="14" t="str">
        <f aca="false">IF(ISNA(VLOOKUP($B68,'AUD.   WC FEM'!$B$2:$J$14,8,0)),"",VLOOKUP($B68,'AUD.   WC FEM'!$B$2:$J$14,8,0))</f>
        <v/>
      </c>
      <c r="N68" s="14" t="str">
        <f aca="false">IF(ISNA(VLOOKUP($B68,'AUD.   WC MAS'!$B$2:$J$14,8,0)),"",VLOOKUP($B68,'AUD.   WC MAS'!$B$2:$J$14,8,0))</f>
        <v/>
      </c>
      <c r="O68" s="14" t="str">
        <f aca="false">IF(ISNA(VLOOKUP($B68,'COBERT.'!$B$2:$J$8,8,0)),"",VLOOKUP($B68,'COBERT.'!$B$2:$J$8,8,0))</f>
        <v/>
      </c>
      <c r="P68" s="14" t="str">
        <f aca="false">IF(ISNA(VLOOKUP($B68,COPA!$B$2:$J$31,8,0)),"",VLOOKUP($B68,COPA!$B$2:$J$31,8,0))</f>
        <v/>
      </c>
      <c r="Q68" s="14" t="str">
        <f aca="false">IF(ISNA(VLOOKUP($B68,RECEPÇÃO!$B$2:$J$24,8,0)),"",VLOOKUP($B68,RECEPÇÃO!$B$2:$J$24,8,0))</f>
        <v/>
      </c>
      <c r="R68" s="14" t="str">
        <f aca="false">IF(ISNA(VLOOKUP($B68,'S.  DA ADM.'!$B$2:$J$24,8,0)),"",VLOOKUP($B68,'S.  DA ADM.'!$B$2:$J$24,8,0))</f>
        <v/>
      </c>
      <c r="S68" s="14" t="str">
        <f aca="false">IF(ISNA(VLOOKUP($B68,'S.  DA ADM.   WC'!$B$2:$J$27,8,0)),"",VLOOKUP($B68,'S.  DA ADM.   WC'!$B$2:$J$27,8,0))</f>
        <v/>
      </c>
      <c r="T68" s="14" t="str">
        <f aca="false">IF(ISNA(VLOOKUP($B68,'S. DA ATER'!$B$2:$J$23,8,0)),"",VLOOKUP($B68,'S. DA ATER'!$B$2:$J$23,8,0))</f>
        <v/>
      </c>
      <c r="U68" s="14" t="str">
        <f aca="false">IF(ISNA(VLOOKUP($B68,'S. DA GERÊNCIA'!$B$2:$J$27,8,0)),"",VLOOKUP($B68,'S. DA GERÊNCIA'!$B$2:$J$27,8,0))</f>
        <v/>
      </c>
      <c r="V68" s="14" t="str">
        <f aca="false">IF(ISNA(VLOOKUP($B68,'S. DE ESPERA'!$B$2:$J$23,8,0)),"",VLOOKUP($B68,'S. DE ESPERA'!$B$2:$J$23,8,0))</f>
        <v/>
      </c>
      <c r="W68" s="14" t="str">
        <f aca="false">IF(ISNA(VLOOKUP($B68,'S. DE REUNIÃO'!$B$2:$J$25,8,0)),"",VLOOKUP($B68,'S. DE REUNIÃO'!$B$2:$J$25,8,0))</f>
        <v/>
      </c>
      <c r="X68" s="14" t="str">
        <f aca="false">IF(ISNA(VLOOKUP($B68,'S. DO VIGIA'!$B$2:$J$23,8,0)),"",VLOOKUP($B68,'S. DO VIGIA'!$B$2:$J$23,8,0))</f>
        <v/>
      </c>
      <c r="Y68" s="14" t="str">
        <f aca="false">IF(ISNA(VLOOKUP($B68,'WC SOCIAL FEM'!$B$2:$J$28,8,0)),"",VLOOKUP($B68,'WC SOCIAL FEM'!$B$2:$J$28,8,0))</f>
        <v/>
      </c>
      <c r="Z68" s="14" t="str">
        <f aca="false">IF(ISNA(VLOOKUP($B68,'WC SOCIAL MAS'!$B$2:$J$29,8,0)),"",VLOOKUP($B68,'WC SOCIAL MAS'!$B$2:$J$29,8,0))</f>
        <v/>
      </c>
      <c r="AA68" s="14" t="str">
        <f aca="false">IF(ISNA(VLOOKUP($B68,HIDRÁULICA!$B$2:$J$32,8,0)),"",VLOOKUP($B68,HIDRÁULICA!$B$2:$J$32,8,0))</f>
        <v/>
      </c>
    </row>
    <row r="69" customFormat="false" ht="14.9" hidden="false" customHeight="false" outlineLevel="0" collapsed="false">
      <c r="A69" s="9"/>
      <c r="B69" s="9" t="s">
        <v>240</v>
      </c>
      <c r="C69" s="10" t="s">
        <v>241</v>
      </c>
      <c r="D69" s="11" t="s">
        <v>242</v>
      </c>
      <c r="E69" s="12" t="s">
        <v>33</v>
      </c>
      <c r="F69" s="13" t="n">
        <f aca="false">ROUND(SUM(G69:AA69),2)</f>
        <v>110.42</v>
      </c>
      <c r="G69" s="14" t="str">
        <f aca="false">IF(ISNA(VLOOKUP($B69,'CORREDOR 01'!$B$2:$J$19,8,0)),"",VLOOKUP($B69,'CORREDOR 01'!$B$2:$J$19,8,0))</f>
        <v/>
      </c>
      <c r="H69" s="14" t="n">
        <f aca="false">IF(ISNA(VLOOKUP($B69,'CORREDOR O2'!$B$2:$J$22,8,0)),"",VLOOKUP($B69,'CORREDOR O2'!$B$2:$J$22,8,0))</f>
        <v>6.39</v>
      </c>
      <c r="I69" s="14" t="str">
        <f aca="false">IF(ISNA(VLOOKUP($B69,'Á. DE VENTIL.'!$B$2:$J$20,8,0)),"",VLOOKUP($B69,'Á. DE VENTIL.'!$B$2:$J$20,8,0))</f>
        <v/>
      </c>
      <c r="J69" s="14" t="str">
        <f aca="false">IF(ISNA(VLOOKUP($B69,'Á. EXTER '!$B$2:$J$24,8,0)),"",VLOOKUP($B69,'Á. EXTER '!$B$2:$J$24,8,0))</f>
        <v/>
      </c>
      <c r="K69" s="14" t="str">
        <f aca="false">IF(ISNA(VLOOKUP($B69,'ÁREA DE CIR. EXTER.'!$B$2:$J$22,8,0)),"",VLOOKUP($B69,'ÁREA DE CIR. EXTER.'!$B$2:$J$22,8,0))</f>
        <v/>
      </c>
      <c r="L69" s="14" t="n">
        <f aca="false">IF(ISNA(VLOOKUP($B69,AUDITÓRIO!$B$2:$J$14,8,0)),"",VLOOKUP($B69,AUDITÓRIO!$B$2:$J$14,8,0))</f>
        <v>40.19</v>
      </c>
      <c r="M69" s="14" t="str">
        <f aca="false">IF(ISNA(VLOOKUP($B69,'AUD.   WC FEM'!$B$2:$J$14,8,0)),"",VLOOKUP($B69,'AUD.   WC FEM'!$B$2:$J$14,8,0))</f>
        <v/>
      </c>
      <c r="N69" s="14" t="str">
        <f aca="false">IF(ISNA(VLOOKUP($B69,'AUD.   WC MAS'!$B$2:$J$14,8,0)),"",VLOOKUP($B69,'AUD.   WC MAS'!$B$2:$J$14,8,0))</f>
        <v/>
      </c>
      <c r="O69" s="14" t="str">
        <f aca="false">IF(ISNA(VLOOKUP($B69,'COBERT.'!$B$2:$J$8,8,0)),"",VLOOKUP($B69,'COBERT.'!$B$2:$J$8,8,0))</f>
        <v/>
      </c>
      <c r="P69" s="14" t="n">
        <f aca="false">IF(ISNA(VLOOKUP($B69,COPA!$B$2:$J$31,8,0)),"",VLOOKUP($B69,COPA!$B$2:$J$31,8,0))</f>
        <v>9.22</v>
      </c>
      <c r="Q69" s="14" t="n">
        <f aca="false">IF(ISNA(VLOOKUP($B69,RECEPÇÃO!$B$2:$J$24,8,0)),"",VLOOKUP($B69,RECEPÇÃO!$B$2:$J$24,8,0))</f>
        <v>6.81</v>
      </c>
      <c r="R69" s="14" t="n">
        <f aca="false">IF(ISNA(VLOOKUP($B69,'S.  DA ADM.'!$B$2:$J$24,8,0)),"",VLOOKUP($B69,'S.  DA ADM.'!$B$2:$J$24,8,0))</f>
        <v>10.55</v>
      </c>
      <c r="S69" s="14" t="str">
        <f aca="false">IF(ISNA(VLOOKUP($B69,'S.  DA ADM.   WC'!$B$2:$J$27,8,0)),"",VLOOKUP($B69,'S.  DA ADM.   WC'!$B$2:$J$27,8,0))</f>
        <v/>
      </c>
      <c r="T69" s="14" t="n">
        <f aca="false">IF(ISNA(VLOOKUP($B69,'S. DA ATER'!$B$2:$J$23,8,0)),"",VLOOKUP($B69,'S. DA ATER'!$B$2:$J$23,8,0))</f>
        <v>9.01</v>
      </c>
      <c r="U69" s="14" t="n">
        <f aca="false">IF(ISNA(VLOOKUP($B69,'S. DA GERÊNCIA'!$B$2:$J$27,8,0)),"",VLOOKUP($B69,'S. DA GERÊNCIA'!$B$2:$J$27,8,0))</f>
        <v>4.61</v>
      </c>
      <c r="V69" s="14" t="n">
        <f aca="false">IF(ISNA(VLOOKUP($B69,'S. DE ESPERA'!$B$2:$J$23,8,0)),"",VLOOKUP($B69,'S. DE ESPERA'!$B$2:$J$23,8,0))</f>
        <v>8.77</v>
      </c>
      <c r="W69" s="14" t="n">
        <f aca="false">IF(ISNA(VLOOKUP($B69,'S. DE REUNIÃO'!$B$2:$J$25,8,0)),"",VLOOKUP($B69,'S. DE REUNIÃO'!$B$2:$J$25,8,0))</f>
        <v>6.81</v>
      </c>
      <c r="X69" s="14" t="n">
        <f aca="false">IF(ISNA(VLOOKUP($B69,'S. DO VIGIA'!$B$2:$J$23,8,0)),"",VLOOKUP($B69,'S. DO VIGIA'!$B$2:$J$23,8,0))</f>
        <v>8.06</v>
      </c>
      <c r="Y69" s="14" t="str">
        <f aca="false">IF(ISNA(VLOOKUP($B69,'WC SOCIAL FEM'!$B$2:$J$28,8,0)),"",VLOOKUP($B69,'WC SOCIAL FEM'!$B$2:$J$28,8,0))</f>
        <v/>
      </c>
      <c r="Z69" s="14" t="str">
        <f aca="false">IF(ISNA(VLOOKUP($B69,'WC SOCIAL MAS'!$B$2:$J$29,8,0)),"",VLOOKUP($B69,'WC SOCIAL MAS'!$B$2:$J$29,8,0))</f>
        <v/>
      </c>
      <c r="AA69" s="14" t="str">
        <f aca="false">IF(ISNA(VLOOKUP($B69,HIDRÁULICA!$B$2:$J$32,8,0)),"",VLOOKUP($B69,HIDRÁULICA!$B$2:$J$32,8,0))</f>
        <v/>
      </c>
    </row>
    <row r="70" customFormat="false" ht="14.9" hidden="false" customHeight="false" outlineLevel="0" collapsed="false">
      <c r="A70" s="9"/>
      <c r="B70" s="9" t="s">
        <v>243</v>
      </c>
      <c r="C70" s="10" t="s">
        <v>244</v>
      </c>
      <c r="D70" s="11" t="s">
        <v>245</v>
      </c>
      <c r="E70" s="12" t="s">
        <v>33</v>
      </c>
      <c r="F70" s="13" t="n">
        <f aca="false">ROUND(SUM(G70:AA70),2)</f>
        <v>2</v>
      </c>
      <c r="G70" s="14" t="n">
        <f aca="false">IF(ISNA(VLOOKUP($B70,'CORREDOR 01'!$B$2:$J$19,8,0)),"",VLOOKUP($B70,'CORREDOR 01'!$B$2:$J$19,8,0))</f>
        <v>2</v>
      </c>
      <c r="H70" s="14" t="str">
        <f aca="false">IF(ISNA(VLOOKUP($B70,'CORREDOR O2'!$B$2:$J$22,8,0)),"",VLOOKUP($B70,'CORREDOR O2'!$B$2:$J$22,8,0))</f>
        <v/>
      </c>
      <c r="I70" s="14" t="str">
        <f aca="false">IF(ISNA(VLOOKUP($B70,'Á. DE VENTIL.'!$B$2:$J$20,8,0)),"",VLOOKUP($B70,'Á. DE VENTIL.'!$B$2:$J$20,8,0))</f>
        <v/>
      </c>
      <c r="J70" s="14" t="str">
        <f aca="false">IF(ISNA(VLOOKUP($B70,'Á. EXTER '!$B$2:$J$24,8,0)),"",VLOOKUP($B70,'Á. EXTER '!$B$2:$J$24,8,0))</f>
        <v/>
      </c>
      <c r="K70" s="14" t="str">
        <f aca="false">IF(ISNA(VLOOKUP($B70,'ÁREA DE CIR. EXTER.'!$B$2:$J$22,8,0)),"",VLOOKUP($B70,'ÁREA DE CIR. EXTER.'!$B$2:$J$22,8,0))</f>
        <v/>
      </c>
      <c r="L70" s="14" t="str">
        <f aca="false">IF(ISNA(VLOOKUP($B70,AUDITÓRIO!$B$2:$J$14,8,0)),"",VLOOKUP($B70,AUDITÓRIO!$B$2:$J$14,8,0))</f>
        <v/>
      </c>
      <c r="M70" s="14" t="str">
        <f aca="false">IF(ISNA(VLOOKUP($B70,'AUD.   WC FEM'!$B$2:$J$14,8,0)),"",VLOOKUP($B70,'AUD.   WC FEM'!$B$2:$J$14,8,0))</f>
        <v/>
      </c>
      <c r="N70" s="14" t="str">
        <f aca="false">IF(ISNA(VLOOKUP($B70,'AUD.   WC MAS'!$B$2:$J$14,8,0)),"",VLOOKUP($B70,'AUD.   WC MAS'!$B$2:$J$14,8,0))</f>
        <v/>
      </c>
      <c r="O70" s="14" t="str">
        <f aca="false">IF(ISNA(VLOOKUP($B70,'COBERT.'!$B$2:$J$8,8,0)),"",VLOOKUP($B70,'COBERT.'!$B$2:$J$8,8,0))</f>
        <v/>
      </c>
      <c r="P70" s="14" t="str">
        <f aca="false">IF(ISNA(VLOOKUP($B70,COPA!$B$2:$J$31,8,0)),"",VLOOKUP($B70,COPA!$B$2:$J$31,8,0))</f>
        <v/>
      </c>
      <c r="Q70" s="14" t="str">
        <f aca="false">IF(ISNA(VLOOKUP($B70,RECEPÇÃO!$B$2:$J$24,8,0)),"",VLOOKUP($B70,RECEPÇÃO!$B$2:$J$24,8,0))</f>
        <v/>
      </c>
      <c r="R70" s="14" t="str">
        <f aca="false">IF(ISNA(VLOOKUP($B70,'S.  DA ADM.'!$B$2:$J$24,8,0)),"",VLOOKUP($B70,'S.  DA ADM.'!$B$2:$J$24,8,0))</f>
        <v/>
      </c>
      <c r="S70" s="14" t="str">
        <f aca="false">IF(ISNA(VLOOKUP($B70,'S.  DA ADM.   WC'!$B$2:$J$27,8,0)),"",VLOOKUP($B70,'S.  DA ADM.   WC'!$B$2:$J$27,8,0))</f>
        <v/>
      </c>
      <c r="T70" s="14" t="str">
        <f aca="false">IF(ISNA(VLOOKUP($B70,'S. DA ATER'!$B$2:$J$23,8,0)),"",VLOOKUP($B70,'S. DA ATER'!$B$2:$J$23,8,0))</f>
        <v/>
      </c>
      <c r="U70" s="14" t="str">
        <f aca="false">IF(ISNA(VLOOKUP($B70,'S. DA GERÊNCIA'!$B$2:$J$27,8,0)),"",VLOOKUP($B70,'S. DA GERÊNCIA'!$B$2:$J$27,8,0))</f>
        <v/>
      </c>
      <c r="V70" s="14" t="str">
        <f aca="false">IF(ISNA(VLOOKUP($B70,'S. DE ESPERA'!$B$2:$J$23,8,0)),"",VLOOKUP($B70,'S. DE ESPERA'!$B$2:$J$23,8,0))</f>
        <v/>
      </c>
      <c r="W70" s="14" t="str">
        <f aca="false">IF(ISNA(VLOOKUP($B70,'S. DE REUNIÃO'!$B$2:$J$25,8,0)),"",VLOOKUP($B70,'S. DE REUNIÃO'!$B$2:$J$25,8,0))</f>
        <v/>
      </c>
      <c r="X70" s="14" t="str">
        <f aca="false">IF(ISNA(VLOOKUP($B70,'S. DO VIGIA'!$B$2:$J$23,8,0)),"",VLOOKUP($B70,'S. DO VIGIA'!$B$2:$J$23,8,0))</f>
        <v/>
      </c>
      <c r="Y70" s="14" t="str">
        <f aca="false">IF(ISNA(VLOOKUP($B70,'WC SOCIAL FEM'!$B$2:$J$28,8,0)),"",VLOOKUP($B70,'WC SOCIAL FEM'!$B$2:$J$28,8,0))</f>
        <v/>
      </c>
      <c r="Z70" s="14" t="str">
        <f aca="false">IF(ISNA(VLOOKUP($B70,'WC SOCIAL MAS'!$B$2:$J$29,8,0)),"",VLOOKUP($B70,'WC SOCIAL MAS'!$B$2:$J$29,8,0))</f>
        <v/>
      </c>
      <c r="AA70" s="14" t="str">
        <f aca="false">IF(ISNA(VLOOKUP($B70,HIDRÁULICA!$B$2:$J$32,8,0)),"",VLOOKUP($B70,HIDRÁULICA!$B$2:$J$32,8,0))</f>
        <v/>
      </c>
    </row>
    <row r="71" customFormat="false" ht="28.35" hidden="false" customHeight="false" outlineLevel="0" collapsed="false">
      <c r="A71" s="9"/>
      <c r="B71" s="9" t="s">
        <v>246</v>
      </c>
      <c r="C71" s="10" t="s">
        <v>247</v>
      </c>
      <c r="D71" s="11" t="s">
        <v>248</v>
      </c>
      <c r="E71" s="12" t="s">
        <v>33</v>
      </c>
      <c r="F71" s="13" t="n">
        <f aca="false">ROUND(SUM(G71:AA71),2)</f>
        <v>211.34</v>
      </c>
      <c r="G71" s="14" t="n">
        <f aca="false">IF(ISNA(VLOOKUP($B71,'CORREDOR 01'!$B$2:$J$19,8,0)),"",VLOOKUP($B71,'CORREDOR 01'!$B$2:$J$19,8,0))</f>
        <v>13.09</v>
      </c>
      <c r="H71" s="14" t="n">
        <f aca="false">IF(ISNA(VLOOKUP($B71,'CORREDOR O2'!$B$2:$J$22,8,0)),"",VLOOKUP($B71,'CORREDOR O2'!$B$2:$J$22,8,0))</f>
        <v>14.42</v>
      </c>
      <c r="I71" s="14" t="n">
        <f aca="false">IF(ISNA(VLOOKUP($B71,'Á. DE VENTIL.'!$B$2:$J$20,8,0)),"",VLOOKUP($B71,'Á. DE VENTIL.'!$B$2:$J$20,8,0))</f>
        <v>14.4</v>
      </c>
      <c r="J71" s="14" t="str">
        <f aca="false">IF(ISNA(VLOOKUP($B71,'Á. EXTER '!$B$2:$J$24,8,0)),"",VLOOKUP($B71,'Á. EXTER '!$B$2:$J$24,8,0))</f>
        <v/>
      </c>
      <c r="K71" s="14" t="str">
        <f aca="false">IF(ISNA(VLOOKUP($B71,'ÁREA DE CIR. EXTER.'!$B$2:$J$22,8,0)),"",VLOOKUP($B71,'ÁREA DE CIR. EXTER.'!$B$2:$J$22,8,0))</f>
        <v/>
      </c>
      <c r="L71" s="14" t="str">
        <f aca="false">IF(ISNA(VLOOKUP($B71,AUDITÓRIO!$B$2:$J$14,8,0)),"",VLOOKUP($B71,AUDITÓRIO!$B$2:$J$14,8,0))</f>
        <v/>
      </c>
      <c r="M71" s="14" t="str">
        <f aca="false">IF(ISNA(VLOOKUP($B71,'AUD.   WC FEM'!$B$2:$J$14,8,0)),"",VLOOKUP($B71,'AUD.   WC FEM'!$B$2:$J$14,8,0))</f>
        <v/>
      </c>
      <c r="N71" s="14" t="str">
        <f aca="false">IF(ISNA(VLOOKUP($B71,'AUD.   WC MAS'!$B$2:$J$14,8,0)),"",VLOOKUP($B71,'AUD.   WC MAS'!$B$2:$J$14,8,0))</f>
        <v/>
      </c>
      <c r="O71" s="14" t="str">
        <f aca="false">IF(ISNA(VLOOKUP($B71,'COBERT.'!$B$2:$J$8,8,0)),"",VLOOKUP($B71,'COBERT.'!$B$2:$J$8,8,0))</f>
        <v/>
      </c>
      <c r="P71" s="14" t="str">
        <f aca="false">IF(ISNA(VLOOKUP($B71,COPA!$B$2:$J$31,8,0)),"",VLOOKUP($B71,COPA!$B$2:$J$31,8,0))</f>
        <v/>
      </c>
      <c r="Q71" s="14" t="n">
        <f aca="false">IF(ISNA(VLOOKUP($B71,RECEPÇÃO!$B$2:$J$24,8,0)),"",VLOOKUP($B71,RECEPÇÃO!$B$2:$J$24,8,0))</f>
        <v>36.952</v>
      </c>
      <c r="R71" s="14" t="n">
        <f aca="false">IF(ISNA(VLOOKUP($B71,'S.  DA ADM.'!$B$2:$J$24,8,0)),"",VLOOKUP($B71,'S.  DA ADM.'!$B$2:$J$24,8,0))</f>
        <v>9.8</v>
      </c>
      <c r="S71" s="14" t="str">
        <f aca="false">IF(ISNA(VLOOKUP($B71,'S.  DA ADM.   WC'!$B$2:$J$27,8,0)),"",VLOOKUP($B71,'S.  DA ADM.   WC'!$B$2:$J$27,8,0))</f>
        <v/>
      </c>
      <c r="T71" s="14" t="n">
        <f aca="false">IF(ISNA(VLOOKUP($B71,'S. DA ATER'!$B$2:$J$23,8,0)),"",VLOOKUP($B71,'S. DA ATER'!$B$2:$J$23,8,0))</f>
        <v>50.072</v>
      </c>
      <c r="U71" s="14" t="n">
        <f aca="false">IF(ISNA(VLOOKUP($B71,'S. DA GERÊNCIA'!$B$2:$J$27,8,0)),"",VLOOKUP($B71,'S. DA GERÊNCIA'!$B$2:$J$27,8,0))</f>
        <v>21.175</v>
      </c>
      <c r="V71" s="14" t="n">
        <f aca="false">IF(ISNA(VLOOKUP($B71,'S. DE ESPERA'!$B$2:$J$23,8,0)),"",VLOOKUP($B71,'S. DE ESPERA'!$B$2:$J$23,8,0))</f>
        <v>7.77</v>
      </c>
      <c r="W71" s="14" t="n">
        <f aca="false">IF(ISNA(VLOOKUP($B71,'S. DE REUNIÃO'!$B$2:$J$25,8,0)),"",VLOOKUP($B71,'S. DE REUNIÃO'!$B$2:$J$25,8,0))</f>
        <v>35.404</v>
      </c>
      <c r="X71" s="14" t="n">
        <f aca="false">IF(ISNA(VLOOKUP($B71,'S. DO VIGIA'!$B$2:$J$23,8,0)),"",VLOOKUP($B71,'S. DO VIGIA'!$B$2:$J$23,8,0))</f>
        <v>8.26</v>
      </c>
      <c r="Y71" s="14" t="str">
        <f aca="false">IF(ISNA(VLOOKUP($B71,'WC SOCIAL FEM'!$B$2:$J$28,8,0)),"",VLOOKUP($B71,'WC SOCIAL FEM'!$B$2:$J$28,8,0))</f>
        <v/>
      </c>
      <c r="Z71" s="14" t="str">
        <f aca="false">IF(ISNA(VLOOKUP($B71,'WC SOCIAL MAS'!$B$2:$J$29,8,0)),"",VLOOKUP($B71,'WC SOCIAL MAS'!$B$2:$J$29,8,0))</f>
        <v/>
      </c>
      <c r="AA71" s="14" t="str">
        <f aca="false">IF(ISNA(VLOOKUP($B71,HIDRÁULICA!$B$2:$J$32,8,0)),"",VLOOKUP($B71,HIDRÁULICA!$B$2:$J$32,8,0))</f>
        <v/>
      </c>
    </row>
    <row r="72" customFormat="false" ht="28.35" hidden="false" customHeight="false" outlineLevel="0" collapsed="false">
      <c r="A72" s="9"/>
      <c r="B72" s="9" t="s">
        <v>249</v>
      </c>
      <c r="C72" s="10" t="s">
        <v>250</v>
      </c>
      <c r="D72" s="11" t="s">
        <v>251</v>
      </c>
      <c r="E72" s="12" t="s">
        <v>33</v>
      </c>
      <c r="F72" s="13" t="n">
        <f aca="false">ROUND(SUM(G72:AA72),2)</f>
        <v>276.85</v>
      </c>
      <c r="G72" s="14" t="str">
        <f aca="false">IF(ISNA(VLOOKUP($B72,'CORREDOR 01'!$B$2:$J$19,8,0)),"",VLOOKUP($B72,'CORREDOR 01'!$B$2:$J$19,8,0))</f>
        <v/>
      </c>
      <c r="H72" s="14" t="str">
        <f aca="false">IF(ISNA(VLOOKUP($B72,'CORREDOR O2'!$B$2:$J$22,8,0)),"",VLOOKUP($B72,'CORREDOR O2'!$B$2:$J$22,8,0))</f>
        <v/>
      </c>
      <c r="I72" s="14" t="str">
        <f aca="false">IF(ISNA(VLOOKUP($B72,'Á. DE VENTIL.'!$B$2:$J$20,8,0)),"",VLOOKUP($B72,'Á. DE VENTIL.'!$B$2:$J$20,8,0))</f>
        <v/>
      </c>
      <c r="J72" s="14" t="str">
        <f aca="false">IF(ISNA(VLOOKUP($B72,'Á. EXTER '!$B$2:$J$24,8,0)),"",VLOOKUP($B72,'Á. EXTER '!$B$2:$J$24,8,0))</f>
        <v/>
      </c>
      <c r="K72" s="14" t="n">
        <f aca="false">IF(ISNA(VLOOKUP($B72,'ÁREA DE CIR. EXTER.'!$B$2:$J$22,8,0)),"",VLOOKUP($B72,'ÁREA DE CIR. EXTER.'!$B$2:$J$22,8,0))</f>
        <v>276.845</v>
      </c>
      <c r="L72" s="14" t="str">
        <f aca="false">IF(ISNA(VLOOKUP($B72,AUDITÓRIO!$B$2:$J$14,8,0)),"",VLOOKUP($B72,AUDITÓRIO!$B$2:$J$14,8,0))</f>
        <v/>
      </c>
      <c r="M72" s="14" t="str">
        <f aca="false">IF(ISNA(VLOOKUP($B72,'AUD.   WC FEM'!$B$2:$J$14,8,0)),"",VLOOKUP($B72,'AUD.   WC FEM'!$B$2:$J$14,8,0))</f>
        <v/>
      </c>
      <c r="N72" s="14" t="str">
        <f aca="false">IF(ISNA(VLOOKUP($B72,'AUD.   WC MAS'!$B$2:$J$14,8,0)),"",VLOOKUP($B72,'AUD.   WC MAS'!$B$2:$J$14,8,0))</f>
        <v/>
      </c>
      <c r="O72" s="14" t="str">
        <f aca="false">IF(ISNA(VLOOKUP($B72,'COBERT.'!$B$2:$J$8,8,0)),"",VLOOKUP($B72,'COBERT.'!$B$2:$J$8,8,0))</f>
        <v/>
      </c>
      <c r="P72" s="14" t="str">
        <f aca="false">IF(ISNA(VLOOKUP($B72,COPA!$B$2:$J$31,8,0)),"",VLOOKUP($B72,COPA!$B$2:$J$31,8,0))</f>
        <v/>
      </c>
      <c r="Q72" s="14" t="str">
        <f aca="false">IF(ISNA(VLOOKUP($B72,RECEPÇÃO!$B$2:$J$24,8,0)),"",VLOOKUP($B72,RECEPÇÃO!$B$2:$J$24,8,0))</f>
        <v/>
      </c>
      <c r="R72" s="14" t="str">
        <f aca="false">IF(ISNA(VLOOKUP($B72,'S.  DA ADM.'!$B$2:$J$24,8,0)),"",VLOOKUP($B72,'S.  DA ADM.'!$B$2:$J$24,8,0))</f>
        <v/>
      </c>
      <c r="S72" s="14" t="str">
        <f aca="false">IF(ISNA(VLOOKUP($B72,'S.  DA ADM.   WC'!$B$2:$J$27,8,0)),"",VLOOKUP($B72,'S.  DA ADM.   WC'!$B$2:$J$27,8,0))</f>
        <v/>
      </c>
      <c r="T72" s="14" t="str">
        <f aca="false">IF(ISNA(VLOOKUP($B72,'S. DA ATER'!$B$2:$J$23,8,0)),"",VLOOKUP($B72,'S. DA ATER'!$B$2:$J$23,8,0))</f>
        <v/>
      </c>
      <c r="U72" s="14" t="str">
        <f aca="false">IF(ISNA(VLOOKUP($B72,'S. DA GERÊNCIA'!$B$2:$J$27,8,0)),"",VLOOKUP($B72,'S. DA GERÊNCIA'!$B$2:$J$27,8,0))</f>
        <v/>
      </c>
      <c r="V72" s="14" t="str">
        <f aca="false">IF(ISNA(VLOOKUP($B72,'S. DE ESPERA'!$B$2:$J$23,8,0)),"",VLOOKUP($B72,'S. DE ESPERA'!$B$2:$J$23,8,0))</f>
        <v/>
      </c>
      <c r="W72" s="14" t="str">
        <f aca="false">IF(ISNA(VLOOKUP($B72,'S. DE REUNIÃO'!$B$2:$J$25,8,0)),"",VLOOKUP($B72,'S. DE REUNIÃO'!$B$2:$J$25,8,0))</f>
        <v/>
      </c>
      <c r="X72" s="14" t="str">
        <f aca="false">IF(ISNA(VLOOKUP($B72,'S. DO VIGIA'!$B$2:$J$23,8,0)),"",VLOOKUP($B72,'S. DO VIGIA'!$B$2:$J$23,8,0))</f>
        <v/>
      </c>
      <c r="Y72" s="14" t="str">
        <f aca="false">IF(ISNA(VLOOKUP($B72,'WC SOCIAL FEM'!$B$2:$J$28,8,0)),"",VLOOKUP($B72,'WC SOCIAL FEM'!$B$2:$J$28,8,0))</f>
        <v/>
      </c>
      <c r="Z72" s="14" t="str">
        <f aca="false">IF(ISNA(VLOOKUP($B72,'WC SOCIAL MAS'!$B$2:$J$29,8,0)),"",VLOOKUP($B72,'WC SOCIAL MAS'!$B$2:$J$29,8,0))</f>
        <v/>
      </c>
      <c r="AA72" s="14" t="str">
        <f aca="false">IF(ISNA(VLOOKUP($B72,HIDRÁULICA!$B$2:$J$32,8,0)),"",VLOOKUP($B72,HIDRÁULICA!$B$2:$J$32,8,0))</f>
        <v/>
      </c>
    </row>
    <row r="73" customFormat="false" ht="28.35" hidden="false" customHeight="false" outlineLevel="0" collapsed="false">
      <c r="A73" s="9"/>
      <c r="B73" s="9" t="s">
        <v>252</v>
      </c>
      <c r="C73" s="10" t="s">
        <v>253</v>
      </c>
      <c r="D73" s="11" t="s">
        <v>254</v>
      </c>
      <c r="E73" s="12" t="s">
        <v>33</v>
      </c>
      <c r="F73" s="13" t="n">
        <f aca="false">ROUND(SUM(G73:AA73),2)</f>
        <v>276.85</v>
      </c>
      <c r="G73" s="14" t="str">
        <f aca="false">IF(ISNA(VLOOKUP($B73,'CORREDOR 01'!$B$2:$J$19,8,0)),"",VLOOKUP($B73,'CORREDOR 01'!$B$2:$J$19,8,0))</f>
        <v/>
      </c>
      <c r="H73" s="14" t="str">
        <f aca="false">IF(ISNA(VLOOKUP($B73,'CORREDOR O2'!$B$2:$J$22,8,0)),"",VLOOKUP($B73,'CORREDOR O2'!$B$2:$J$22,8,0))</f>
        <v/>
      </c>
      <c r="I73" s="14" t="str">
        <f aca="false">IF(ISNA(VLOOKUP($B73,'Á. DE VENTIL.'!$B$2:$J$20,8,0)),"",VLOOKUP($B73,'Á. DE VENTIL.'!$B$2:$J$20,8,0))</f>
        <v/>
      </c>
      <c r="J73" s="14" t="str">
        <f aca="false">IF(ISNA(VLOOKUP($B73,'Á. EXTER '!$B$2:$J$24,8,0)),"",VLOOKUP($B73,'Á. EXTER '!$B$2:$J$24,8,0))</f>
        <v/>
      </c>
      <c r="K73" s="14" t="n">
        <f aca="false">IF(ISNA(VLOOKUP($B73,'ÁREA DE CIR. EXTER.'!$B$2:$J$22,8,0)),"",VLOOKUP($B73,'ÁREA DE CIR. EXTER.'!$B$2:$J$22,8,0))</f>
        <v>276.845</v>
      </c>
      <c r="L73" s="14" t="str">
        <f aca="false">IF(ISNA(VLOOKUP($B73,AUDITÓRIO!$B$2:$J$14,8,0)),"",VLOOKUP($B73,AUDITÓRIO!$B$2:$J$14,8,0))</f>
        <v/>
      </c>
      <c r="M73" s="14" t="str">
        <f aca="false">IF(ISNA(VLOOKUP($B73,'AUD.   WC FEM'!$B$2:$J$14,8,0)),"",VLOOKUP($B73,'AUD.   WC FEM'!$B$2:$J$14,8,0))</f>
        <v/>
      </c>
      <c r="N73" s="14" t="str">
        <f aca="false">IF(ISNA(VLOOKUP($B73,'AUD.   WC MAS'!$B$2:$J$14,8,0)),"",VLOOKUP($B73,'AUD.   WC MAS'!$B$2:$J$14,8,0))</f>
        <v/>
      </c>
      <c r="O73" s="14" t="str">
        <f aca="false">IF(ISNA(VLOOKUP($B73,'COBERT.'!$B$2:$J$8,8,0)),"",VLOOKUP($B73,'COBERT.'!$B$2:$J$8,8,0))</f>
        <v/>
      </c>
      <c r="P73" s="14" t="str">
        <f aca="false">IF(ISNA(VLOOKUP($B73,COPA!$B$2:$J$31,8,0)),"",VLOOKUP($B73,COPA!$B$2:$J$31,8,0))</f>
        <v/>
      </c>
      <c r="Q73" s="14" t="str">
        <f aca="false">IF(ISNA(VLOOKUP($B73,RECEPÇÃO!$B$2:$J$24,8,0)),"",VLOOKUP($B73,RECEPÇÃO!$B$2:$J$24,8,0))</f>
        <v/>
      </c>
      <c r="R73" s="14" t="str">
        <f aca="false">IF(ISNA(VLOOKUP($B73,'S.  DA ADM.'!$B$2:$J$24,8,0)),"",VLOOKUP($B73,'S.  DA ADM.'!$B$2:$J$24,8,0))</f>
        <v/>
      </c>
      <c r="S73" s="14" t="str">
        <f aca="false">IF(ISNA(VLOOKUP($B73,'S.  DA ADM.   WC'!$B$2:$J$27,8,0)),"",VLOOKUP($B73,'S.  DA ADM.   WC'!$B$2:$J$27,8,0))</f>
        <v/>
      </c>
      <c r="T73" s="14" t="str">
        <f aca="false">IF(ISNA(VLOOKUP($B73,'S. DA ATER'!$B$2:$J$23,8,0)),"",VLOOKUP($B73,'S. DA ATER'!$B$2:$J$23,8,0))</f>
        <v/>
      </c>
      <c r="U73" s="14" t="str">
        <f aca="false">IF(ISNA(VLOOKUP($B73,'S. DA GERÊNCIA'!$B$2:$J$27,8,0)),"",VLOOKUP($B73,'S. DA GERÊNCIA'!$B$2:$J$27,8,0))</f>
        <v/>
      </c>
      <c r="V73" s="14" t="str">
        <f aca="false">IF(ISNA(VLOOKUP($B73,'S. DE ESPERA'!$B$2:$J$23,8,0)),"",VLOOKUP($B73,'S. DE ESPERA'!$B$2:$J$23,8,0))</f>
        <v/>
      </c>
      <c r="W73" s="14" t="str">
        <f aca="false">IF(ISNA(VLOOKUP($B73,'S. DE REUNIÃO'!$B$2:$J$25,8,0)),"",VLOOKUP($B73,'S. DE REUNIÃO'!$B$2:$J$25,8,0))</f>
        <v/>
      </c>
      <c r="X73" s="14" t="str">
        <f aca="false">IF(ISNA(VLOOKUP($B73,'S. DO VIGIA'!$B$2:$J$23,8,0)),"",VLOOKUP($B73,'S. DO VIGIA'!$B$2:$J$23,8,0))</f>
        <v/>
      </c>
      <c r="Y73" s="14" t="str">
        <f aca="false">IF(ISNA(VLOOKUP($B73,'WC SOCIAL FEM'!$B$2:$J$28,8,0)),"",VLOOKUP($B73,'WC SOCIAL FEM'!$B$2:$J$28,8,0))</f>
        <v/>
      </c>
      <c r="Z73" s="14" t="str">
        <f aca="false">IF(ISNA(VLOOKUP($B73,'WC SOCIAL MAS'!$B$2:$J$29,8,0)),"",VLOOKUP($B73,'WC SOCIAL MAS'!$B$2:$J$29,8,0))</f>
        <v/>
      </c>
      <c r="AA73" s="14" t="str">
        <f aca="false">IF(ISNA(VLOOKUP($B73,HIDRÁULICA!$B$2:$J$32,8,0)),"",VLOOKUP($B73,HIDRÁULICA!$B$2:$J$32,8,0))</f>
        <v/>
      </c>
    </row>
    <row r="74" customFormat="false" ht="28.35" hidden="false" customHeight="false" outlineLevel="0" collapsed="false">
      <c r="A74" s="9"/>
      <c r="B74" s="9" t="s">
        <v>255</v>
      </c>
      <c r="C74" s="10" t="s">
        <v>256</v>
      </c>
      <c r="D74" s="11" t="s">
        <v>257</v>
      </c>
      <c r="E74" s="12" t="s">
        <v>33</v>
      </c>
      <c r="F74" s="13" t="n">
        <f aca="false">ROUND(SUM(G74:AA74),2)</f>
        <v>128.97</v>
      </c>
      <c r="G74" s="14" t="n">
        <f aca="false">IF(ISNA(VLOOKUP($B74,'CORREDOR 01'!$B$2:$J$19,8,0)),"",VLOOKUP($B74,'CORREDOR 01'!$B$2:$J$19,8,0))</f>
        <v>11.15</v>
      </c>
      <c r="H74" s="14" t="n">
        <f aca="false">IF(ISNA(VLOOKUP($B74,'CORREDOR O2'!$B$2:$J$22,8,0)),"",VLOOKUP($B74,'CORREDOR O2'!$B$2:$J$22,8,0))</f>
        <v>10.4</v>
      </c>
      <c r="I74" s="14" t="n">
        <f aca="false">IF(ISNA(VLOOKUP($B74,'Á. DE VENTIL.'!$B$2:$J$20,8,0)),"",VLOOKUP($B74,'Á. DE VENTIL.'!$B$2:$J$20,8,0))</f>
        <v>6.12</v>
      </c>
      <c r="J74" s="14" t="str">
        <f aca="false">IF(ISNA(VLOOKUP($B74,'Á. EXTER '!$B$2:$J$24,8,0)),"",VLOOKUP($B74,'Á. EXTER '!$B$2:$J$24,8,0))</f>
        <v/>
      </c>
      <c r="K74" s="14" t="str">
        <f aca="false">IF(ISNA(VLOOKUP($B74,'ÁREA DE CIR. EXTER.'!$B$2:$J$22,8,0)),"",VLOOKUP($B74,'ÁREA DE CIR. EXTER.'!$B$2:$J$22,8,0))</f>
        <v/>
      </c>
      <c r="L74" s="14" t="str">
        <f aca="false">IF(ISNA(VLOOKUP($B74,AUDITÓRIO!$B$2:$J$14,8,0)),"",VLOOKUP($B74,AUDITÓRIO!$B$2:$J$14,8,0))</f>
        <v/>
      </c>
      <c r="M74" s="14" t="str">
        <f aca="false">IF(ISNA(VLOOKUP($B74,'AUD.   WC FEM'!$B$2:$J$14,8,0)),"",VLOOKUP($B74,'AUD.   WC FEM'!$B$2:$J$14,8,0))</f>
        <v/>
      </c>
      <c r="N74" s="14" t="str">
        <f aca="false">IF(ISNA(VLOOKUP($B74,'AUD.   WC MAS'!$B$2:$J$14,8,0)),"",VLOOKUP($B74,'AUD.   WC MAS'!$B$2:$J$14,8,0))</f>
        <v/>
      </c>
      <c r="O74" s="14" t="str">
        <f aca="false">IF(ISNA(VLOOKUP($B74,'COBERT.'!$B$2:$J$8,8,0)),"",VLOOKUP($B74,'COBERT.'!$B$2:$J$8,8,0))</f>
        <v/>
      </c>
      <c r="P74" s="14" t="n">
        <f aca="false">IF(ISNA(VLOOKUP($B74,COPA!$B$2:$J$31,8,0)),"",VLOOKUP($B74,COPA!$B$2:$J$31,8,0))</f>
        <v>7.98</v>
      </c>
      <c r="Q74" s="14" t="n">
        <f aca="false">IF(ISNA(VLOOKUP($B74,RECEPÇÃO!$B$2:$J$24,8,0)),"",VLOOKUP($B74,RECEPÇÃO!$B$2:$J$24,8,0))</f>
        <v>13.72</v>
      </c>
      <c r="R74" s="14" t="n">
        <f aca="false">IF(ISNA(VLOOKUP($B74,'S.  DA ADM.'!$B$2:$J$24,8,0)),"",VLOOKUP($B74,'S.  DA ADM.'!$B$2:$J$24,8,0))</f>
        <v>13.5</v>
      </c>
      <c r="S74" s="14" t="str">
        <f aca="false">IF(ISNA(VLOOKUP($B74,'S.  DA ADM.   WC'!$B$2:$J$27,8,0)),"",VLOOKUP($B74,'S.  DA ADM.   WC'!$B$2:$J$27,8,0))</f>
        <v/>
      </c>
      <c r="T74" s="14" t="n">
        <f aca="false">IF(ISNA(VLOOKUP($B74,'S. DA ATER'!$B$2:$J$23,8,0)),"",VLOOKUP($B74,'S. DA ATER'!$B$2:$J$23,8,0))</f>
        <v>14.22</v>
      </c>
      <c r="U74" s="14" t="n">
        <f aca="false">IF(ISNA(VLOOKUP($B74,'S. DA GERÊNCIA'!$B$2:$J$27,8,0)),"",VLOOKUP($B74,'S. DA GERÊNCIA'!$B$2:$J$27,8,0))</f>
        <v>10.22</v>
      </c>
      <c r="V74" s="14" t="n">
        <f aca="false">IF(ISNA(VLOOKUP($B74,'S. DE ESPERA'!$B$2:$J$23,8,0)),"",VLOOKUP($B74,'S. DE ESPERA'!$B$2:$J$23,8,0))</f>
        <v>19.25</v>
      </c>
      <c r="W74" s="14" t="n">
        <f aca="false">IF(ISNA(VLOOKUP($B74,'S. DE REUNIÃO'!$B$2:$J$25,8,0)),"",VLOOKUP($B74,'S. DE REUNIÃO'!$B$2:$J$25,8,0))</f>
        <v>12.69</v>
      </c>
      <c r="X74" s="14" t="n">
        <f aca="false">IF(ISNA(VLOOKUP($B74,'S. DO VIGIA'!$B$2:$J$23,8,0)),"",VLOOKUP($B74,'S. DO VIGIA'!$B$2:$J$23,8,0))</f>
        <v>9.72</v>
      </c>
      <c r="Y74" s="14" t="str">
        <f aca="false">IF(ISNA(VLOOKUP($B74,'WC SOCIAL FEM'!$B$2:$J$28,8,0)),"",VLOOKUP($B74,'WC SOCIAL FEM'!$B$2:$J$28,8,0))</f>
        <v/>
      </c>
      <c r="Z74" s="14" t="str">
        <f aca="false">IF(ISNA(VLOOKUP($B74,'WC SOCIAL MAS'!$B$2:$J$29,8,0)),"",VLOOKUP($B74,'WC SOCIAL MAS'!$B$2:$J$29,8,0))</f>
        <v/>
      </c>
      <c r="AA74" s="14" t="str">
        <f aca="false">IF(ISNA(VLOOKUP($B74,HIDRÁULICA!$B$2:$J$32,8,0)),"",VLOOKUP($B74,HIDRÁULICA!$B$2:$J$32,8,0))</f>
        <v/>
      </c>
    </row>
    <row r="75" customFormat="false" ht="28.35" hidden="false" customHeight="false" outlineLevel="0" collapsed="false">
      <c r="A75" s="9"/>
      <c r="B75" s="9" t="s">
        <v>258</v>
      </c>
      <c r="C75" s="10" t="s">
        <v>259</v>
      </c>
      <c r="D75" s="11" t="s">
        <v>260</v>
      </c>
      <c r="E75" s="12" t="s">
        <v>33</v>
      </c>
      <c r="F75" s="13" t="n">
        <f aca="false">ROUND(SUM(G75:AA75),2)</f>
        <v>446.99</v>
      </c>
      <c r="G75" s="14" t="n">
        <f aca="false">IF(ISNA(VLOOKUP($B75,'CORREDOR 01'!$B$2:$J$19,8,0)),"",VLOOKUP($B75,'CORREDOR 01'!$B$2:$J$19,8,0))</f>
        <v>49.974</v>
      </c>
      <c r="H75" s="14" t="n">
        <f aca="false">IF(ISNA(VLOOKUP($B75,'CORREDOR O2'!$B$2:$J$22,8,0)),"",VLOOKUP($B75,'CORREDOR O2'!$B$2:$J$22,8,0))</f>
        <v>31.93</v>
      </c>
      <c r="I75" s="14" t="n">
        <f aca="false">IF(ISNA(VLOOKUP($B75,'Á. DE VENTIL.'!$B$2:$J$20,8,0)),"",VLOOKUP($B75,'Á. DE VENTIL.'!$B$2:$J$20,8,0))</f>
        <v>35.472</v>
      </c>
      <c r="J75" s="14" t="str">
        <f aca="false">IF(ISNA(VLOOKUP($B75,'Á. EXTER '!$B$2:$J$24,8,0)),"",VLOOKUP($B75,'Á. EXTER '!$B$2:$J$24,8,0))</f>
        <v/>
      </c>
      <c r="K75" s="14" t="str">
        <f aca="false">IF(ISNA(VLOOKUP($B75,'ÁREA DE CIR. EXTER.'!$B$2:$J$22,8,0)),"",VLOOKUP($B75,'ÁREA DE CIR. EXTER.'!$B$2:$J$22,8,0))</f>
        <v/>
      </c>
      <c r="L75" s="14" t="n">
        <f aca="false">IF(ISNA(VLOOKUP($B75,AUDITÓRIO!$B$2:$J$14,8,0)),"",VLOOKUP($B75,AUDITÓRIO!$B$2:$J$14,8,0))</f>
        <v>93.18</v>
      </c>
      <c r="M75" s="14" t="str">
        <f aca="false">IF(ISNA(VLOOKUP($B75,'AUD.   WC FEM'!$B$2:$J$14,8,0)),"",VLOOKUP($B75,'AUD.   WC FEM'!$B$2:$J$14,8,0))</f>
        <v/>
      </c>
      <c r="N75" s="14" t="str">
        <f aca="false">IF(ISNA(VLOOKUP($B75,'AUD.   WC MAS'!$B$2:$J$14,8,0)),"",VLOOKUP($B75,'AUD.   WC MAS'!$B$2:$J$14,8,0))</f>
        <v/>
      </c>
      <c r="O75" s="14" t="str">
        <f aca="false">IF(ISNA(VLOOKUP($B75,'COBERT.'!$B$2:$J$8,8,0)),"",VLOOKUP($B75,'COBERT.'!$B$2:$J$8,8,0))</f>
        <v/>
      </c>
      <c r="P75" s="14" t="str">
        <f aca="false">IF(ISNA(VLOOKUP($B75,COPA!$B$2:$J$31,8,0)),"",VLOOKUP($B75,COPA!$B$2:$J$31,8,0))</f>
        <v/>
      </c>
      <c r="Q75" s="14" t="n">
        <f aca="false">IF(ISNA(VLOOKUP($B75,RECEPÇÃO!$B$2:$J$24,8,0)),"",VLOOKUP($B75,RECEPÇÃO!$B$2:$J$24,8,0))</f>
        <v>36.952</v>
      </c>
      <c r="R75" s="14" t="n">
        <f aca="false">IF(ISNA(VLOOKUP($B75,'S.  DA ADM.'!$B$2:$J$24,8,0)),"",VLOOKUP($B75,'S.  DA ADM.'!$B$2:$J$24,8,0))</f>
        <v>35.692</v>
      </c>
      <c r="S75" s="14" t="str">
        <f aca="false">IF(ISNA(VLOOKUP($B75,'S.  DA ADM.   WC'!$B$2:$J$27,8,0)),"",VLOOKUP($B75,'S.  DA ADM.   WC'!$B$2:$J$27,8,0))</f>
        <v/>
      </c>
      <c r="T75" s="14" t="n">
        <f aca="false">IF(ISNA(VLOOKUP($B75,'S. DA ATER'!$B$2:$J$23,8,0)),"",VLOOKUP($B75,'S. DA ATER'!$B$2:$J$23,8,0))</f>
        <v>35.078</v>
      </c>
      <c r="U75" s="14" t="n">
        <f aca="false">IF(ISNA(VLOOKUP($B75,'S. DA GERÊNCIA'!$B$2:$J$27,8,0)),"",VLOOKUP($B75,'S. DA GERÊNCIA'!$B$2:$J$27,8,0))</f>
        <v>31.102</v>
      </c>
      <c r="V75" s="14" t="n">
        <f aca="false">IF(ISNA(VLOOKUP($B75,'S. DE ESPERA'!$B$2:$J$23,8,0)),"",VLOOKUP($B75,'S. DE ESPERA'!$B$2:$J$23,8,0))</f>
        <v>32.476</v>
      </c>
      <c r="W75" s="14" t="n">
        <f aca="false">IF(ISNA(VLOOKUP($B75,'S. DE REUNIÃO'!$B$2:$J$25,8,0)),"",VLOOKUP($B75,'S. DE REUNIÃO'!$B$2:$J$25,8,0))</f>
        <v>35.404</v>
      </c>
      <c r="X75" s="14" t="n">
        <f aca="false">IF(ISNA(VLOOKUP($B75,'S. DO VIGIA'!$B$2:$J$23,8,0)),"",VLOOKUP($B75,'S. DO VIGIA'!$B$2:$J$23,8,0))</f>
        <v>29.728</v>
      </c>
      <c r="Y75" s="14" t="str">
        <f aca="false">IF(ISNA(VLOOKUP($B75,'WC SOCIAL FEM'!$B$2:$J$28,8,0)),"",VLOOKUP($B75,'WC SOCIAL FEM'!$B$2:$J$28,8,0))</f>
        <v/>
      </c>
      <c r="Z75" s="14" t="str">
        <f aca="false">IF(ISNA(VLOOKUP($B75,'WC SOCIAL MAS'!$B$2:$J$29,8,0)),"",VLOOKUP($B75,'WC SOCIAL MAS'!$B$2:$J$29,8,0))</f>
        <v/>
      </c>
      <c r="AA75" s="14" t="str">
        <f aca="false">IF(ISNA(VLOOKUP($B75,HIDRÁULICA!$B$2:$J$32,8,0)),"",VLOOKUP($B75,HIDRÁULICA!$B$2:$J$32,8,0))</f>
        <v/>
      </c>
    </row>
    <row r="76" customFormat="false" ht="28.35" hidden="false" customHeight="false" outlineLevel="0" collapsed="false">
      <c r="A76" s="9"/>
      <c r="B76" s="9" t="s">
        <v>261</v>
      </c>
      <c r="C76" s="10" t="s">
        <v>262</v>
      </c>
      <c r="D76" s="11" t="s">
        <v>263</v>
      </c>
      <c r="E76" s="12" t="s">
        <v>33</v>
      </c>
      <c r="F76" s="13" t="n">
        <f aca="false">ROUND(SUM(G76:AA76),2)</f>
        <v>276.85</v>
      </c>
      <c r="G76" s="14" t="str">
        <f aca="false">IF(ISNA(VLOOKUP($B76,'CORREDOR 01'!$B$2:$J$19,8,0)),"",VLOOKUP($B76,'CORREDOR 01'!$B$2:$J$19,8,0))</f>
        <v/>
      </c>
      <c r="H76" s="14" t="str">
        <f aca="false">IF(ISNA(VLOOKUP($B76,'CORREDOR O2'!$B$2:$J$22,8,0)),"",VLOOKUP($B76,'CORREDOR O2'!$B$2:$J$22,8,0))</f>
        <v/>
      </c>
      <c r="I76" s="14" t="str">
        <f aca="false">IF(ISNA(VLOOKUP($B76,'Á. DE VENTIL.'!$B$2:$J$20,8,0)),"",VLOOKUP($B76,'Á. DE VENTIL.'!$B$2:$J$20,8,0))</f>
        <v/>
      </c>
      <c r="J76" s="14" t="str">
        <f aca="false">IF(ISNA(VLOOKUP($B76,'Á. EXTER '!$B$2:$J$24,8,0)),"",VLOOKUP($B76,'Á. EXTER '!$B$2:$J$24,8,0))</f>
        <v/>
      </c>
      <c r="K76" s="14" t="n">
        <f aca="false">IF(ISNA(VLOOKUP($B76,'ÁREA DE CIR. EXTER.'!$B$2:$J$22,8,0)),"",VLOOKUP($B76,'ÁREA DE CIR. EXTER.'!$B$2:$J$22,8,0))</f>
        <v>276.845</v>
      </c>
      <c r="L76" s="14" t="str">
        <f aca="false">IF(ISNA(VLOOKUP($B76,AUDITÓRIO!$B$2:$J$14,8,0)),"",VLOOKUP($B76,AUDITÓRIO!$B$2:$J$14,8,0))</f>
        <v/>
      </c>
      <c r="M76" s="14" t="str">
        <f aca="false">IF(ISNA(VLOOKUP($B76,'AUD.   WC FEM'!$B$2:$J$14,8,0)),"",VLOOKUP($B76,'AUD.   WC FEM'!$B$2:$J$14,8,0))</f>
        <v/>
      </c>
      <c r="N76" s="14" t="str">
        <f aca="false">IF(ISNA(VLOOKUP($B76,'AUD.   WC MAS'!$B$2:$J$14,8,0)),"",VLOOKUP($B76,'AUD.   WC MAS'!$B$2:$J$14,8,0))</f>
        <v/>
      </c>
      <c r="O76" s="14" t="str">
        <f aca="false">IF(ISNA(VLOOKUP($B76,'COBERT.'!$B$2:$J$8,8,0)),"",VLOOKUP($B76,'COBERT.'!$B$2:$J$8,8,0))</f>
        <v/>
      </c>
      <c r="P76" s="14" t="str">
        <f aca="false">IF(ISNA(VLOOKUP($B76,COPA!$B$2:$J$31,8,0)),"",VLOOKUP($B76,COPA!$B$2:$J$31,8,0))</f>
        <v/>
      </c>
      <c r="Q76" s="14" t="str">
        <f aca="false">IF(ISNA(VLOOKUP($B76,RECEPÇÃO!$B$2:$J$24,8,0)),"",VLOOKUP($B76,RECEPÇÃO!$B$2:$J$24,8,0))</f>
        <v/>
      </c>
      <c r="R76" s="14" t="str">
        <f aca="false">IF(ISNA(VLOOKUP($B76,'S.  DA ADM.'!$B$2:$J$24,8,0)),"",VLOOKUP($B76,'S.  DA ADM.'!$B$2:$J$24,8,0))</f>
        <v/>
      </c>
      <c r="S76" s="14" t="str">
        <f aca="false">IF(ISNA(VLOOKUP($B76,'S.  DA ADM.   WC'!$B$2:$J$27,8,0)),"",VLOOKUP($B76,'S.  DA ADM.   WC'!$B$2:$J$27,8,0))</f>
        <v/>
      </c>
      <c r="T76" s="14" t="str">
        <f aca="false">IF(ISNA(VLOOKUP($B76,'S. DA ATER'!$B$2:$J$23,8,0)),"",VLOOKUP($B76,'S. DA ATER'!$B$2:$J$23,8,0))</f>
        <v/>
      </c>
      <c r="U76" s="14" t="str">
        <f aca="false">IF(ISNA(VLOOKUP($B76,'S. DA GERÊNCIA'!$B$2:$J$27,8,0)),"",VLOOKUP($B76,'S. DA GERÊNCIA'!$B$2:$J$27,8,0))</f>
        <v/>
      </c>
      <c r="V76" s="14" t="str">
        <f aca="false">IF(ISNA(VLOOKUP($B76,'S. DE ESPERA'!$B$2:$J$23,8,0)),"",VLOOKUP($B76,'S. DE ESPERA'!$B$2:$J$23,8,0))</f>
        <v/>
      </c>
      <c r="W76" s="14" t="str">
        <f aca="false">IF(ISNA(VLOOKUP($B76,'S. DE REUNIÃO'!$B$2:$J$25,8,0)),"",VLOOKUP($B76,'S. DE REUNIÃO'!$B$2:$J$25,8,0))</f>
        <v/>
      </c>
      <c r="X76" s="14" t="str">
        <f aca="false">IF(ISNA(VLOOKUP($B76,'S. DO VIGIA'!$B$2:$J$23,8,0)),"",VLOOKUP($B76,'S. DO VIGIA'!$B$2:$J$23,8,0))</f>
        <v/>
      </c>
      <c r="Y76" s="14" t="str">
        <f aca="false">IF(ISNA(VLOOKUP($B76,'WC SOCIAL FEM'!$B$2:$J$28,8,0)),"",VLOOKUP($B76,'WC SOCIAL FEM'!$B$2:$J$28,8,0))</f>
        <v/>
      </c>
      <c r="Z76" s="14" t="str">
        <f aca="false">IF(ISNA(VLOOKUP($B76,'WC SOCIAL MAS'!$B$2:$J$29,8,0)),"",VLOOKUP($B76,'WC SOCIAL MAS'!$B$2:$J$29,8,0))</f>
        <v/>
      </c>
      <c r="AA76" s="14" t="str">
        <f aca="false">IF(ISNA(VLOOKUP($B76,HIDRÁULICA!$B$2:$J$32,8,0)),"",VLOOKUP($B76,HIDRÁULICA!$B$2:$J$32,8,0))</f>
        <v/>
      </c>
    </row>
    <row r="77" customFormat="false" ht="30" hidden="false" customHeight="true" outlineLevel="0" collapsed="false">
      <c r="A77" s="15" t="s">
        <v>264</v>
      </c>
      <c r="B77" s="9" t="s">
        <v>265</v>
      </c>
      <c r="C77" s="10" t="s">
        <v>266</v>
      </c>
      <c r="D77" s="11" t="s">
        <v>267</v>
      </c>
      <c r="E77" s="12" t="s">
        <v>50</v>
      </c>
      <c r="F77" s="13" t="n">
        <f aca="false">ROUND(SUM(G77:AA77),2)</f>
        <v>2</v>
      </c>
      <c r="G77" s="14" t="str">
        <f aca="false">IF(ISNA(VLOOKUP($B77,'CORREDOR 01'!$B$2:$J$19,8,0)),"",VLOOKUP($B77,'CORREDOR 01'!$B$2:$J$19,8,0))</f>
        <v/>
      </c>
      <c r="H77" s="14" t="str">
        <f aca="false">IF(ISNA(VLOOKUP($B77,'CORREDOR O2'!$B$2:$J$22,8,0)),"",VLOOKUP($B77,'CORREDOR O2'!$B$2:$J$22,8,0))</f>
        <v/>
      </c>
      <c r="I77" s="14" t="str">
        <f aca="false">IF(ISNA(VLOOKUP($B77,'Á. DE VENTIL.'!$B$2:$J$20,8,0)),"",VLOOKUP($B77,'Á. DE VENTIL.'!$B$2:$J$20,8,0))</f>
        <v/>
      </c>
      <c r="J77" s="14" t="str">
        <f aca="false">IF(ISNA(VLOOKUP($B77,'Á. EXTER '!$B$2:$J$24,8,0)),"",VLOOKUP($B77,'Á. EXTER '!$B$2:$J$24,8,0))</f>
        <v/>
      </c>
      <c r="K77" s="14" t="str">
        <f aca="false">IF(ISNA(VLOOKUP($B77,'ÁREA DE CIR. EXTER.'!$B$2:$J$22,8,0)),"",VLOOKUP($B77,'ÁREA DE CIR. EXTER.'!$B$2:$J$22,8,0))</f>
        <v/>
      </c>
      <c r="L77" s="14" t="str">
        <f aca="false">IF(ISNA(VLOOKUP($B77,AUDITÓRIO!$B$2:$J$14,8,0)),"",VLOOKUP($B77,AUDITÓRIO!$B$2:$J$14,8,0))</f>
        <v/>
      </c>
      <c r="M77" s="14" t="str">
        <f aca="false">IF(ISNA(VLOOKUP($B77,'AUD.   WC FEM'!$B$2:$J$14,8,0)),"",VLOOKUP($B77,'AUD.   WC FEM'!$B$2:$J$14,8,0))</f>
        <v/>
      </c>
      <c r="N77" s="14" t="str">
        <f aca="false">IF(ISNA(VLOOKUP($B77,'AUD.   WC MAS'!$B$2:$J$14,8,0)),"",VLOOKUP($B77,'AUD.   WC MAS'!$B$2:$J$14,8,0))</f>
        <v/>
      </c>
      <c r="O77" s="14" t="str">
        <f aca="false">IF(ISNA(VLOOKUP($B77,'COBERT.'!$B$2:$J$8,8,0)),"",VLOOKUP($B77,'COBERT.'!$B$2:$J$8,8,0))</f>
        <v/>
      </c>
      <c r="P77" s="14" t="str">
        <f aca="false">IF(ISNA(VLOOKUP($B77,COPA!$B$2:$J$31,8,0)),"",VLOOKUP($B77,COPA!$B$2:$J$31,8,0))</f>
        <v/>
      </c>
      <c r="Q77" s="14" t="str">
        <f aca="false">IF(ISNA(VLOOKUP($B77,RECEPÇÃO!$B$2:$J$24,8,0)),"",VLOOKUP($B77,RECEPÇÃO!$B$2:$J$24,8,0))</f>
        <v/>
      </c>
      <c r="R77" s="14" t="str">
        <f aca="false">IF(ISNA(VLOOKUP($B77,'S.  DA ADM.'!$B$2:$J$24,8,0)),"",VLOOKUP($B77,'S.  DA ADM.'!$B$2:$J$24,8,0))</f>
        <v/>
      </c>
      <c r="S77" s="14" t="str">
        <f aca="false">IF(ISNA(VLOOKUP($B77,'S.  DA ADM.   WC'!$B$2:$J$27,8,0)),"",VLOOKUP($B77,'S.  DA ADM.   WC'!$B$2:$J$27,8,0))</f>
        <v/>
      </c>
      <c r="T77" s="14" t="str">
        <f aca="false">IF(ISNA(VLOOKUP($B77,'S. DA ATER'!$B$2:$J$23,8,0)),"",VLOOKUP($B77,'S. DA ATER'!$B$2:$J$23,8,0))</f>
        <v/>
      </c>
      <c r="U77" s="14" t="str">
        <f aca="false">IF(ISNA(VLOOKUP($B77,'S. DA GERÊNCIA'!$B$2:$J$27,8,0)),"",VLOOKUP($B77,'S. DA GERÊNCIA'!$B$2:$J$27,8,0))</f>
        <v/>
      </c>
      <c r="V77" s="14" t="str">
        <f aca="false">IF(ISNA(VLOOKUP($B77,'S. DE ESPERA'!$B$2:$J$23,8,0)),"",VLOOKUP($B77,'S. DE ESPERA'!$B$2:$J$23,8,0))</f>
        <v/>
      </c>
      <c r="W77" s="14" t="str">
        <f aca="false">IF(ISNA(VLOOKUP($B77,'S. DE REUNIÃO'!$B$2:$J$25,8,0)),"",VLOOKUP($B77,'S. DE REUNIÃO'!$B$2:$J$25,8,0))</f>
        <v/>
      </c>
      <c r="X77" s="14" t="str">
        <f aca="false">IF(ISNA(VLOOKUP($B77,'S. DO VIGIA'!$B$2:$J$23,8,0)),"",VLOOKUP($B77,'S. DO VIGIA'!$B$2:$J$23,8,0))</f>
        <v/>
      </c>
      <c r="Y77" s="14" t="n">
        <f aca="false">IF(ISNA(VLOOKUP($B77,'WC SOCIAL FEM'!$B$2:$J$28,8,0)),"",VLOOKUP($B77,'WC SOCIAL FEM'!$B$2:$J$28,8,0))</f>
        <v>1</v>
      </c>
      <c r="Z77" s="14" t="n">
        <f aca="false">IF(ISNA(VLOOKUP($B77,'WC SOCIAL MAS'!$B$2:$J$29,8,0)),"",VLOOKUP($B77,'WC SOCIAL MAS'!$B$2:$J$29,8,0))</f>
        <v>1</v>
      </c>
      <c r="AA77" s="14" t="str">
        <f aca="false">IF(ISNA(VLOOKUP($B77,HIDRÁULICA!$B$2:$J$32,8,0)),"",VLOOKUP($B77,HIDRÁULICA!$B$2:$J$32,8,0))</f>
        <v/>
      </c>
    </row>
    <row r="78" customFormat="false" ht="14.9" hidden="false" customHeight="false" outlineLevel="0" collapsed="false">
      <c r="A78" s="15"/>
      <c r="B78" s="9" t="s">
        <v>268</v>
      </c>
      <c r="C78" s="10" t="s">
        <v>269</v>
      </c>
      <c r="D78" s="11" t="s">
        <v>270</v>
      </c>
      <c r="E78" s="12" t="s">
        <v>50</v>
      </c>
      <c r="F78" s="13" t="n">
        <f aca="false">ROUND(SUM(G78:AA78),2)</f>
        <v>3</v>
      </c>
      <c r="G78" s="14" t="str">
        <f aca="false">IF(ISNA(VLOOKUP($B78,'CORREDOR 01'!$B$2:$J$19,8,0)),"",VLOOKUP($B78,'CORREDOR 01'!$B$2:$J$19,8,0))</f>
        <v/>
      </c>
      <c r="H78" s="14" t="str">
        <f aca="false">IF(ISNA(VLOOKUP($B78,'CORREDOR O2'!$B$2:$J$22,8,0)),"",VLOOKUP($B78,'CORREDOR O2'!$B$2:$J$22,8,0))</f>
        <v/>
      </c>
      <c r="I78" s="14" t="str">
        <f aca="false">IF(ISNA(VLOOKUP($B78,'Á. DE VENTIL.'!$B$2:$J$20,8,0)),"",VLOOKUP($B78,'Á. DE VENTIL.'!$B$2:$J$20,8,0))</f>
        <v/>
      </c>
      <c r="J78" s="14" t="str">
        <f aca="false">IF(ISNA(VLOOKUP($B78,'Á. EXTER '!$B$2:$J$24,8,0)),"",VLOOKUP($B78,'Á. EXTER '!$B$2:$J$24,8,0))</f>
        <v/>
      </c>
      <c r="K78" s="14" t="str">
        <f aca="false">IF(ISNA(VLOOKUP($B78,'ÁREA DE CIR. EXTER.'!$B$2:$J$22,8,0)),"",VLOOKUP($B78,'ÁREA DE CIR. EXTER.'!$B$2:$J$22,8,0))</f>
        <v/>
      </c>
      <c r="L78" s="14" t="str">
        <f aca="false">IF(ISNA(VLOOKUP($B78,AUDITÓRIO!$B$2:$J$14,8,0)),"",VLOOKUP($B78,AUDITÓRIO!$B$2:$J$14,8,0))</f>
        <v/>
      </c>
      <c r="M78" s="14" t="str">
        <f aca="false">IF(ISNA(VLOOKUP($B78,'AUD.   WC FEM'!$B$2:$J$14,8,0)),"",VLOOKUP($B78,'AUD.   WC FEM'!$B$2:$J$14,8,0))</f>
        <v/>
      </c>
      <c r="N78" s="14" t="str">
        <f aca="false">IF(ISNA(VLOOKUP($B78,'AUD.   WC MAS'!$B$2:$J$14,8,0)),"",VLOOKUP($B78,'AUD.   WC MAS'!$B$2:$J$14,8,0))</f>
        <v/>
      </c>
      <c r="O78" s="14" t="str">
        <f aca="false">IF(ISNA(VLOOKUP($B78,'COBERT.'!$B$2:$J$8,8,0)),"",VLOOKUP($B78,'COBERT.'!$B$2:$J$8,8,0))</f>
        <v/>
      </c>
      <c r="P78" s="14" t="str">
        <f aca="false">IF(ISNA(VLOOKUP($B78,COPA!$B$2:$J$31,8,0)),"",VLOOKUP($B78,COPA!$B$2:$J$31,8,0))</f>
        <v/>
      </c>
      <c r="Q78" s="14" t="str">
        <f aca="false">IF(ISNA(VLOOKUP($B78,RECEPÇÃO!$B$2:$J$24,8,0)),"",VLOOKUP($B78,RECEPÇÃO!$B$2:$J$24,8,0))</f>
        <v/>
      </c>
      <c r="R78" s="14" t="str">
        <f aca="false">IF(ISNA(VLOOKUP($B78,'S.  DA ADM.'!$B$2:$J$24,8,0)),"",VLOOKUP($B78,'S.  DA ADM.'!$B$2:$J$24,8,0))</f>
        <v/>
      </c>
      <c r="S78" s="14" t="n">
        <f aca="false">IF(ISNA(VLOOKUP($B78,'S.  DA ADM.   WC'!$B$2:$J$27,8,0)),"",VLOOKUP($B78,'S.  DA ADM.   WC'!$B$2:$J$27,8,0))</f>
        <v>1</v>
      </c>
      <c r="T78" s="14" t="str">
        <f aca="false">IF(ISNA(VLOOKUP($B78,'S. DA ATER'!$B$2:$J$23,8,0)),"",VLOOKUP($B78,'S. DA ATER'!$B$2:$J$23,8,0))</f>
        <v/>
      </c>
      <c r="U78" s="14" t="str">
        <f aca="false">IF(ISNA(VLOOKUP($B78,'S. DA GERÊNCIA'!$B$2:$J$27,8,0)),"",VLOOKUP($B78,'S. DA GERÊNCIA'!$B$2:$J$27,8,0))</f>
        <v/>
      </c>
      <c r="V78" s="14" t="str">
        <f aca="false">IF(ISNA(VLOOKUP($B78,'S. DE ESPERA'!$B$2:$J$23,8,0)),"",VLOOKUP($B78,'S. DE ESPERA'!$B$2:$J$23,8,0))</f>
        <v/>
      </c>
      <c r="W78" s="14" t="str">
        <f aca="false">IF(ISNA(VLOOKUP($B78,'S. DE REUNIÃO'!$B$2:$J$25,8,0)),"",VLOOKUP($B78,'S. DE REUNIÃO'!$B$2:$J$25,8,0))</f>
        <v/>
      </c>
      <c r="X78" s="14" t="str">
        <f aca="false">IF(ISNA(VLOOKUP($B78,'S. DO VIGIA'!$B$2:$J$23,8,0)),"",VLOOKUP($B78,'S. DO VIGIA'!$B$2:$J$23,8,0))</f>
        <v/>
      </c>
      <c r="Y78" s="14" t="n">
        <f aca="false">IF(ISNA(VLOOKUP($B78,'WC SOCIAL FEM'!$B$2:$J$28,8,0)),"",VLOOKUP($B78,'WC SOCIAL FEM'!$B$2:$J$28,8,0))</f>
        <v>1</v>
      </c>
      <c r="Z78" s="14" t="n">
        <f aca="false">IF(ISNA(VLOOKUP($B78,'WC SOCIAL MAS'!$B$2:$J$29,8,0)),"",VLOOKUP($B78,'WC SOCIAL MAS'!$B$2:$J$29,8,0))</f>
        <v>1</v>
      </c>
      <c r="AA78" s="14" t="str">
        <f aca="false">IF(ISNA(VLOOKUP($B78,HIDRÁULICA!$B$2:$J$32,8,0)),"",VLOOKUP($B78,HIDRÁULICA!$B$2:$J$32,8,0))</f>
        <v/>
      </c>
    </row>
    <row r="79" customFormat="false" ht="28.35" hidden="false" customHeight="false" outlineLevel="0" collapsed="false">
      <c r="A79" s="15"/>
      <c r="B79" s="9" t="s">
        <v>271</v>
      </c>
      <c r="C79" s="10" t="s">
        <v>272</v>
      </c>
      <c r="D79" s="11" t="s">
        <v>273</v>
      </c>
      <c r="E79" s="12" t="s">
        <v>33</v>
      </c>
      <c r="F79" s="13" t="n">
        <f aca="false">ROUND(SUM(G79:AA79),2)</f>
        <v>1.44</v>
      </c>
      <c r="G79" s="14" t="str">
        <f aca="false">IF(ISNA(VLOOKUP($B79,'CORREDOR 01'!$B$2:$J$19,8,0)),"",VLOOKUP($B79,'CORREDOR 01'!$B$2:$J$19,8,0))</f>
        <v/>
      </c>
      <c r="H79" s="14" t="str">
        <f aca="false">IF(ISNA(VLOOKUP($B79,'CORREDOR O2'!$B$2:$J$22,8,0)),"",VLOOKUP($B79,'CORREDOR O2'!$B$2:$J$22,8,0))</f>
        <v/>
      </c>
      <c r="I79" s="14" t="str">
        <f aca="false">IF(ISNA(VLOOKUP($B79,'Á. DE VENTIL.'!$B$2:$J$20,8,0)),"",VLOOKUP($B79,'Á. DE VENTIL.'!$B$2:$J$20,8,0))</f>
        <v/>
      </c>
      <c r="J79" s="14" t="str">
        <f aca="false">IF(ISNA(VLOOKUP($B79,'Á. EXTER '!$B$2:$J$24,8,0)),"",VLOOKUP($B79,'Á. EXTER '!$B$2:$J$24,8,0))</f>
        <v/>
      </c>
      <c r="K79" s="14" t="str">
        <f aca="false">IF(ISNA(VLOOKUP($B79,'ÁREA DE CIR. EXTER.'!$B$2:$J$22,8,0)),"",VLOOKUP($B79,'ÁREA DE CIR. EXTER.'!$B$2:$J$22,8,0))</f>
        <v/>
      </c>
      <c r="L79" s="14" t="str">
        <f aca="false">IF(ISNA(VLOOKUP($B79,AUDITÓRIO!$B$2:$J$14,8,0)),"",VLOOKUP($B79,AUDITÓRIO!$B$2:$J$14,8,0))</f>
        <v/>
      </c>
      <c r="M79" s="14" t="str">
        <f aca="false">IF(ISNA(VLOOKUP($B79,'AUD.   WC FEM'!$B$2:$J$14,8,0)),"",VLOOKUP($B79,'AUD.   WC FEM'!$B$2:$J$14,8,0))</f>
        <v/>
      </c>
      <c r="N79" s="14" t="str">
        <f aca="false">IF(ISNA(VLOOKUP($B79,'AUD.   WC MAS'!$B$2:$J$14,8,0)),"",VLOOKUP($B79,'AUD.   WC MAS'!$B$2:$J$14,8,0))</f>
        <v/>
      </c>
      <c r="O79" s="14" t="str">
        <f aca="false">IF(ISNA(VLOOKUP($B79,'COBERT.'!$B$2:$J$8,8,0)),"",VLOOKUP($B79,'COBERT.'!$B$2:$J$8,8,0))</f>
        <v/>
      </c>
      <c r="P79" s="14" t="str">
        <f aca="false">IF(ISNA(VLOOKUP($B79,COPA!$B$2:$J$31,8,0)),"",VLOOKUP($B79,COPA!$B$2:$J$31,8,0))</f>
        <v/>
      </c>
      <c r="Q79" s="14" t="str">
        <f aca="false">IF(ISNA(VLOOKUP($B79,RECEPÇÃO!$B$2:$J$24,8,0)),"",VLOOKUP($B79,RECEPÇÃO!$B$2:$J$24,8,0))</f>
        <v/>
      </c>
      <c r="R79" s="14" t="str">
        <f aca="false">IF(ISNA(VLOOKUP($B79,'S.  DA ADM.'!$B$2:$J$24,8,0)),"",VLOOKUP($B79,'S.  DA ADM.'!$B$2:$J$24,8,0))</f>
        <v/>
      </c>
      <c r="S79" s="14" t="n">
        <f aca="false">IF(ISNA(VLOOKUP($B79,'S.  DA ADM.   WC'!$B$2:$J$27,8,0)),"",VLOOKUP($B79,'S.  DA ADM.   WC'!$B$2:$J$27,8,0))</f>
        <v>0.48</v>
      </c>
      <c r="T79" s="14" t="str">
        <f aca="false">IF(ISNA(VLOOKUP($B79,'S. DA ATER'!$B$2:$J$23,8,0)),"",VLOOKUP($B79,'S. DA ATER'!$B$2:$J$23,8,0))</f>
        <v/>
      </c>
      <c r="U79" s="14" t="str">
        <f aca="false">IF(ISNA(VLOOKUP($B79,'S. DA GERÊNCIA'!$B$2:$J$27,8,0)),"",VLOOKUP($B79,'S. DA GERÊNCIA'!$B$2:$J$27,8,0))</f>
        <v/>
      </c>
      <c r="V79" s="14" t="str">
        <f aca="false">IF(ISNA(VLOOKUP($B79,'S. DE ESPERA'!$B$2:$J$23,8,0)),"",VLOOKUP($B79,'S. DE ESPERA'!$B$2:$J$23,8,0))</f>
        <v/>
      </c>
      <c r="W79" s="14" t="str">
        <f aca="false">IF(ISNA(VLOOKUP($B79,'S. DE REUNIÃO'!$B$2:$J$25,8,0)),"",VLOOKUP($B79,'S. DE REUNIÃO'!$B$2:$J$25,8,0))</f>
        <v/>
      </c>
      <c r="X79" s="14" t="str">
        <f aca="false">IF(ISNA(VLOOKUP($B79,'S. DO VIGIA'!$B$2:$J$23,8,0)),"",VLOOKUP($B79,'S. DO VIGIA'!$B$2:$J$23,8,0))</f>
        <v/>
      </c>
      <c r="Y79" s="14" t="n">
        <f aca="false">IF(ISNA(VLOOKUP($B79,'WC SOCIAL FEM'!$B$2:$J$28,8,0)),"",VLOOKUP($B79,'WC SOCIAL FEM'!$B$2:$J$28,8,0))</f>
        <v>0.48</v>
      </c>
      <c r="Z79" s="14" t="n">
        <f aca="false">IF(ISNA(VLOOKUP($B79,'WC SOCIAL MAS'!$B$2:$J$29,8,0)),"",VLOOKUP($B79,'WC SOCIAL MAS'!$B$2:$J$29,8,0))</f>
        <v>0.48</v>
      </c>
      <c r="AA79" s="14" t="str">
        <f aca="false">IF(ISNA(VLOOKUP($B79,HIDRÁULICA!$B$2:$J$32,8,0)),"",VLOOKUP($B79,HIDRÁULICA!$B$2:$J$32,8,0))</f>
        <v/>
      </c>
    </row>
    <row r="80" customFormat="false" ht="28.35" hidden="false" customHeight="false" outlineLevel="0" collapsed="false">
      <c r="A80" s="15"/>
      <c r="B80" s="9" t="s">
        <v>274</v>
      </c>
      <c r="C80" s="10" t="s">
        <v>275</v>
      </c>
      <c r="D80" s="11" t="s">
        <v>276</v>
      </c>
      <c r="E80" s="12" t="s">
        <v>50</v>
      </c>
      <c r="F80" s="13" t="n">
        <f aca="false">ROUND(SUM(G80:AA80),2)</f>
        <v>4</v>
      </c>
      <c r="G80" s="14" t="str">
        <f aca="false">IF(ISNA(VLOOKUP($B80,'CORREDOR 01'!$B$2:$J$19,8,0)),"",VLOOKUP($B80,'CORREDOR 01'!$B$2:$J$19,8,0))</f>
        <v/>
      </c>
      <c r="H80" s="14" t="str">
        <f aca="false">IF(ISNA(VLOOKUP($B80,'CORREDOR O2'!$B$2:$J$22,8,0)),"",VLOOKUP($B80,'CORREDOR O2'!$B$2:$J$22,8,0))</f>
        <v/>
      </c>
      <c r="I80" s="14" t="str">
        <f aca="false">IF(ISNA(VLOOKUP($B80,'Á. DE VENTIL.'!$B$2:$J$20,8,0)),"",VLOOKUP($B80,'Á. DE VENTIL.'!$B$2:$J$20,8,0))</f>
        <v/>
      </c>
      <c r="J80" s="14" t="str">
        <f aca="false">IF(ISNA(VLOOKUP($B80,'Á. EXTER '!$B$2:$J$24,8,0)),"",VLOOKUP($B80,'Á. EXTER '!$B$2:$J$24,8,0))</f>
        <v/>
      </c>
      <c r="K80" s="14" t="str">
        <f aca="false">IF(ISNA(VLOOKUP($B80,'ÁREA DE CIR. EXTER.'!$B$2:$J$22,8,0)),"",VLOOKUP($B80,'ÁREA DE CIR. EXTER.'!$B$2:$J$22,8,0))</f>
        <v/>
      </c>
      <c r="L80" s="14" t="n">
        <f aca="false">IF(ISNA(VLOOKUP($B80,AUDITÓRIO!$B$2:$J$14,8,0)),"",VLOOKUP($B80,AUDITÓRIO!$B$2:$J$14,8,0))</f>
        <v>1</v>
      </c>
      <c r="M80" s="14" t="str">
        <f aca="false">IF(ISNA(VLOOKUP($B80,'AUD.   WC FEM'!$B$2:$J$14,8,0)),"",VLOOKUP($B80,'AUD.   WC FEM'!$B$2:$J$14,8,0))</f>
        <v/>
      </c>
      <c r="N80" s="14" t="str">
        <f aca="false">IF(ISNA(VLOOKUP($B80,'AUD.   WC MAS'!$B$2:$J$14,8,0)),"",VLOOKUP($B80,'AUD.   WC MAS'!$B$2:$J$14,8,0))</f>
        <v/>
      </c>
      <c r="O80" s="14" t="str">
        <f aca="false">IF(ISNA(VLOOKUP($B80,'COBERT.'!$B$2:$J$8,8,0)),"",VLOOKUP($B80,'COBERT.'!$B$2:$J$8,8,0))</f>
        <v/>
      </c>
      <c r="P80" s="14" t="str">
        <f aca="false">IF(ISNA(VLOOKUP($B80,COPA!$B$2:$J$31,8,0)),"",VLOOKUP($B80,COPA!$B$2:$J$31,8,0))</f>
        <v/>
      </c>
      <c r="Q80" s="14" t="str">
        <f aca="false">IF(ISNA(VLOOKUP($B80,RECEPÇÃO!$B$2:$J$24,8,0)),"",VLOOKUP($B80,RECEPÇÃO!$B$2:$J$24,8,0))</f>
        <v/>
      </c>
      <c r="R80" s="14" t="str">
        <f aca="false">IF(ISNA(VLOOKUP($B80,'S.  DA ADM.'!$B$2:$J$24,8,0)),"",VLOOKUP($B80,'S.  DA ADM.'!$B$2:$J$24,8,0))</f>
        <v/>
      </c>
      <c r="S80" s="14" t="n">
        <f aca="false">IF(ISNA(VLOOKUP($B80,'S.  DA ADM.   WC'!$B$2:$J$27,8,0)),"",VLOOKUP($B80,'S.  DA ADM.   WC'!$B$2:$J$27,8,0))</f>
        <v>1</v>
      </c>
      <c r="T80" s="14" t="str">
        <f aca="false">IF(ISNA(VLOOKUP($B80,'S. DA ATER'!$B$2:$J$23,8,0)),"",VLOOKUP($B80,'S. DA ATER'!$B$2:$J$23,8,0))</f>
        <v/>
      </c>
      <c r="U80" s="14" t="str">
        <f aca="false">IF(ISNA(VLOOKUP($B80,'S. DA GERÊNCIA'!$B$2:$J$27,8,0)),"",VLOOKUP($B80,'S. DA GERÊNCIA'!$B$2:$J$27,8,0))</f>
        <v/>
      </c>
      <c r="V80" s="14" t="str">
        <f aca="false">IF(ISNA(VLOOKUP($B80,'S. DE ESPERA'!$B$2:$J$23,8,0)),"",VLOOKUP($B80,'S. DE ESPERA'!$B$2:$J$23,8,0))</f>
        <v/>
      </c>
      <c r="W80" s="14" t="str">
        <f aca="false">IF(ISNA(VLOOKUP($B80,'S. DE REUNIÃO'!$B$2:$J$25,8,0)),"",VLOOKUP($B80,'S. DE REUNIÃO'!$B$2:$J$25,8,0))</f>
        <v/>
      </c>
      <c r="X80" s="14" t="str">
        <f aca="false">IF(ISNA(VLOOKUP($B80,'S. DO VIGIA'!$B$2:$J$23,8,0)),"",VLOOKUP($B80,'S. DO VIGIA'!$B$2:$J$23,8,0))</f>
        <v/>
      </c>
      <c r="Y80" s="14" t="n">
        <f aca="false">IF(ISNA(VLOOKUP($B80,'WC SOCIAL FEM'!$B$2:$J$28,8,0)),"",VLOOKUP($B80,'WC SOCIAL FEM'!$B$2:$J$28,8,0))</f>
        <v>1</v>
      </c>
      <c r="Z80" s="14" t="n">
        <f aca="false">IF(ISNA(VLOOKUP($B80,'WC SOCIAL MAS'!$B$2:$J$29,8,0)),"",VLOOKUP($B80,'WC SOCIAL MAS'!$B$2:$J$29,8,0))</f>
        <v>1</v>
      </c>
      <c r="AA80" s="14" t="str">
        <f aca="false">IF(ISNA(VLOOKUP($B80,HIDRÁULICA!$B$2:$J$32,8,0)),"",VLOOKUP($B80,HIDRÁULICA!$B$2:$J$32,8,0))</f>
        <v/>
      </c>
    </row>
    <row r="81" customFormat="false" ht="28.35" hidden="false" customHeight="false" outlineLevel="0" collapsed="false">
      <c r="A81" s="15"/>
      <c r="B81" s="9" t="s">
        <v>277</v>
      </c>
      <c r="C81" s="10" t="s">
        <v>278</v>
      </c>
      <c r="D81" s="11" t="s">
        <v>279</v>
      </c>
      <c r="E81" s="12" t="s">
        <v>50</v>
      </c>
      <c r="F81" s="13" t="n">
        <f aca="false">ROUND(SUM(G81:AA81),2)</f>
        <v>5</v>
      </c>
      <c r="G81" s="14" t="str">
        <f aca="false">IF(ISNA(VLOOKUP($B81,'CORREDOR 01'!$B$2:$J$19,8,0)),"",VLOOKUP($B81,'CORREDOR 01'!$B$2:$J$19,8,0))</f>
        <v/>
      </c>
      <c r="H81" s="14" t="str">
        <f aca="false">IF(ISNA(VLOOKUP($B81,'CORREDOR O2'!$B$2:$J$22,8,0)),"",VLOOKUP($B81,'CORREDOR O2'!$B$2:$J$22,8,0))</f>
        <v/>
      </c>
      <c r="I81" s="14" t="str">
        <f aca="false">IF(ISNA(VLOOKUP($B81,'Á. DE VENTIL.'!$B$2:$J$20,8,0)),"",VLOOKUP($B81,'Á. DE VENTIL.'!$B$2:$J$20,8,0))</f>
        <v/>
      </c>
      <c r="J81" s="14" t="str">
        <f aca="false">IF(ISNA(VLOOKUP($B81,'Á. EXTER '!$B$2:$J$24,8,0)),"",VLOOKUP($B81,'Á. EXTER '!$B$2:$J$24,8,0))</f>
        <v/>
      </c>
      <c r="K81" s="14" t="str">
        <f aca="false">IF(ISNA(VLOOKUP($B81,'ÁREA DE CIR. EXTER.'!$B$2:$J$22,8,0)),"",VLOOKUP($B81,'ÁREA DE CIR. EXTER.'!$B$2:$J$22,8,0))</f>
        <v/>
      </c>
      <c r="L81" s="14" t="str">
        <f aca="false">IF(ISNA(VLOOKUP($B81,AUDITÓRIO!$B$2:$J$14,8,0)),"",VLOOKUP($B81,AUDITÓRIO!$B$2:$J$14,8,0))</f>
        <v/>
      </c>
      <c r="M81" s="14" t="n">
        <f aca="false">IF(ISNA(VLOOKUP($B81,'AUD.   WC FEM'!$B$2:$J$14,8,0)),"",VLOOKUP($B81,'AUD.   WC FEM'!$B$2:$J$14,8,0))</f>
        <v>1</v>
      </c>
      <c r="N81" s="14" t="n">
        <f aca="false">IF(ISNA(VLOOKUP($B81,'AUD.   WC MAS'!$B$2:$J$14,8,0)),"",VLOOKUP($B81,'AUD.   WC MAS'!$B$2:$J$14,8,0))</f>
        <v>1</v>
      </c>
      <c r="O81" s="14" t="str">
        <f aca="false">IF(ISNA(VLOOKUP($B81,'COBERT.'!$B$2:$J$8,8,0)),"",VLOOKUP($B81,'COBERT.'!$B$2:$J$8,8,0))</f>
        <v/>
      </c>
      <c r="P81" s="14" t="str">
        <f aca="false">IF(ISNA(VLOOKUP($B81,COPA!$B$2:$J$31,8,0)),"",VLOOKUP($B81,COPA!$B$2:$J$31,8,0))</f>
        <v/>
      </c>
      <c r="Q81" s="14" t="str">
        <f aca="false">IF(ISNA(VLOOKUP($B81,RECEPÇÃO!$B$2:$J$24,8,0)),"",VLOOKUP($B81,RECEPÇÃO!$B$2:$J$24,8,0))</f>
        <v/>
      </c>
      <c r="R81" s="14" t="str">
        <f aca="false">IF(ISNA(VLOOKUP($B81,'S.  DA ADM.'!$B$2:$J$24,8,0)),"",VLOOKUP($B81,'S.  DA ADM.'!$B$2:$J$24,8,0))</f>
        <v/>
      </c>
      <c r="S81" s="14" t="n">
        <f aca="false">IF(ISNA(VLOOKUP($B81,'S.  DA ADM.   WC'!$B$2:$J$27,8,0)),"",VLOOKUP($B81,'S.  DA ADM.   WC'!$B$2:$J$27,8,0))</f>
        <v>1</v>
      </c>
      <c r="T81" s="14" t="str">
        <f aca="false">IF(ISNA(VLOOKUP($B81,'S. DA ATER'!$B$2:$J$23,8,0)),"",VLOOKUP($B81,'S. DA ATER'!$B$2:$J$23,8,0))</f>
        <v/>
      </c>
      <c r="U81" s="14" t="str">
        <f aca="false">IF(ISNA(VLOOKUP($B81,'S. DA GERÊNCIA'!$B$2:$J$27,8,0)),"",VLOOKUP($B81,'S. DA GERÊNCIA'!$B$2:$J$27,8,0))</f>
        <v/>
      </c>
      <c r="V81" s="14" t="str">
        <f aca="false">IF(ISNA(VLOOKUP($B81,'S. DE ESPERA'!$B$2:$J$23,8,0)),"",VLOOKUP($B81,'S. DE ESPERA'!$B$2:$J$23,8,0))</f>
        <v/>
      </c>
      <c r="W81" s="14" t="str">
        <f aca="false">IF(ISNA(VLOOKUP($B81,'S. DE REUNIÃO'!$B$2:$J$25,8,0)),"",VLOOKUP($B81,'S. DE REUNIÃO'!$B$2:$J$25,8,0))</f>
        <v/>
      </c>
      <c r="X81" s="14" t="str">
        <f aca="false">IF(ISNA(VLOOKUP($B81,'S. DO VIGIA'!$B$2:$J$23,8,0)),"",VLOOKUP($B81,'S. DO VIGIA'!$B$2:$J$23,8,0))</f>
        <v/>
      </c>
      <c r="Y81" s="14" t="n">
        <f aca="false">IF(ISNA(VLOOKUP($B81,'WC SOCIAL FEM'!$B$2:$J$28,8,0)),"",VLOOKUP($B81,'WC SOCIAL FEM'!$B$2:$J$28,8,0))</f>
        <v>1</v>
      </c>
      <c r="Z81" s="14" t="n">
        <f aca="false">IF(ISNA(VLOOKUP($B81,'WC SOCIAL MAS'!$B$2:$J$29,8,0)),"",VLOOKUP($B81,'WC SOCIAL MAS'!$B$2:$J$29,8,0))</f>
        <v>1</v>
      </c>
      <c r="AA81" s="14" t="str">
        <f aca="false">IF(ISNA(VLOOKUP($B81,HIDRÁULICA!$B$2:$J$32,8,0)),"",VLOOKUP($B81,HIDRÁULICA!$B$2:$J$32,8,0))</f>
        <v/>
      </c>
    </row>
    <row r="82" customFormat="false" ht="28.35" hidden="false" customHeight="false" outlineLevel="0" collapsed="false">
      <c r="A82" s="15"/>
      <c r="B82" s="9" t="s">
        <v>280</v>
      </c>
      <c r="C82" s="10" t="s">
        <v>281</v>
      </c>
      <c r="D82" s="11" t="s">
        <v>282</v>
      </c>
      <c r="E82" s="12" t="s">
        <v>50</v>
      </c>
      <c r="F82" s="13" t="n">
        <f aca="false">ROUND(SUM(G82:AA82),2)</f>
        <v>1</v>
      </c>
      <c r="G82" s="14" t="str">
        <f aca="false">IF(ISNA(VLOOKUP($B82,'CORREDOR 01'!$B$2:$J$19,8,0)),"",VLOOKUP($B82,'CORREDOR 01'!$B$2:$J$19,8,0))</f>
        <v/>
      </c>
      <c r="H82" s="14" t="str">
        <f aca="false">IF(ISNA(VLOOKUP($B82,'CORREDOR O2'!$B$2:$J$22,8,0)),"",VLOOKUP($B82,'CORREDOR O2'!$B$2:$J$22,8,0))</f>
        <v/>
      </c>
      <c r="I82" s="14" t="str">
        <f aca="false">IF(ISNA(VLOOKUP($B82,'Á. DE VENTIL.'!$B$2:$J$20,8,0)),"",VLOOKUP($B82,'Á. DE VENTIL.'!$B$2:$J$20,8,0))</f>
        <v/>
      </c>
      <c r="J82" s="14" t="str">
        <f aca="false">IF(ISNA(VLOOKUP($B82,'Á. EXTER '!$B$2:$J$24,8,0)),"",VLOOKUP($B82,'Á. EXTER '!$B$2:$J$24,8,0))</f>
        <v/>
      </c>
      <c r="K82" s="14" t="n">
        <f aca="false">IF(ISNA(VLOOKUP($B82,'ÁREA DE CIR. EXTER.'!$B$2:$J$22,8,0)),"",VLOOKUP($B82,'ÁREA DE CIR. EXTER.'!$B$2:$J$22,8,0))</f>
        <v>1</v>
      </c>
      <c r="L82" s="14" t="str">
        <f aca="false">IF(ISNA(VLOOKUP($B82,AUDITÓRIO!$B$2:$J$14,8,0)),"",VLOOKUP($B82,AUDITÓRIO!$B$2:$J$14,8,0))</f>
        <v/>
      </c>
      <c r="M82" s="14" t="str">
        <f aca="false">IF(ISNA(VLOOKUP($B82,'AUD.   WC FEM'!$B$2:$J$14,8,0)),"",VLOOKUP($B82,'AUD.   WC FEM'!$B$2:$J$14,8,0))</f>
        <v/>
      </c>
      <c r="N82" s="14" t="str">
        <f aca="false">IF(ISNA(VLOOKUP($B82,'AUD.   WC MAS'!$B$2:$J$14,8,0)),"",VLOOKUP($B82,'AUD.   WC MAS'!$B$2:$J$14,8,0))</f>
        <v/>
      </c>
      <c r="O82" s="14" t="str">
        <f aca="false">IF(ISNA(VLOOKUP($B82,'COBERT.'!$B$2:$J$8,8,0)),"",VLOOKUP($B82,'COBERT.'!$B$2:$J$8,8,0))</f>
        <v/>
      </c>
      <c r="P82" s="14" t="str">
        <f aca="false">IF(ISNA(VLOOKUP($B82,COPA!$B$2:$J$31,8,0)),"",VLOOKUP($B82,COPA!$B$2:$J$31,8,0))</f>
        <v/>
      </c>
      <c r="Q82" s="14" t="str">
        <f aca="false">IF(ISNA(VLOOKUP($B82,RECEPÇÃO!$B$2:$J$24,8,0)),"",VLOOKUP($B82,RECEPÇÃO!$B$2:$J$24,8,0))</f>
        <v/>
      </c>
      <c r="R82" s="14" t="str">
        <f aca="false">IF(ISNA(VLOOKUP($B82,'S.  DA ADM.'!$B$2:$J$24,8,0)),"",VLOOKUP($B82,'S.  DA ADM.'!$B$2:$J$24,8,0))</f>
        <v/>
      </c>
      <c r="S82" s="14" t="str">
        <f aca="false">IF(ISNA(VLOOKUP($B82,'S.  DA ADM.   WC'!$B$2:$J$27,8,0)),"",VLOOKUP($B82,'S.  DA ADM.   WC'!$B$2:$J$27,8,0))</f>
        <v/>
      </c>
      <c r="T82" s="14" t="str">
        <f aca="false">IF(ISNA(VLOOKUP($B82,'S. DA ATER'!$B$2:$J$23,8,0)),"",VLOOKUP($B82,'S. DA ATER'!$B$2:$J$23,8,0))</f>
        <v/>
      </c>
      <c r="U82" s="14" t="str">
        <f aca="false">IF(ISNA(VLOOKUP($B82,'S. DA GERÊNCIA'!$B$2:$J$27,8,0)),"",VLOOKUP($B82,'S. DA GERÊNCIA'!$B$2:$J$27,8,0))</f>
        <v/>
      </c>
      <c r="V82" s="14" t="str">
        <f aca="false">IF(ISNA(VLOOKUP($B82,'S. DE ESPERA'!$B$2:$J$23,8,0)),"",VLOOKUP($B82,'S. DE ESPERA'!$B$2:$J$23,8,0))</f>
        <v/>
      </c>
      <c r="W82" s="14" t="str">
        <f aca="false">IF(ISNA(VLOOKUP($B82,'S. DE REUNIÃO'!$B$2:$J$25,8,0)),"",VLOOKUP($B82,'S. DE REUNIÃO'!$B$2:$J$25,8,0))</f>
        <v/>
      </c>
      <c r="X82" s="14" t="str">
        <f aca="false">IF(ISNA(VLOOKUP($B82,'S. DO VIGIA'!$B$2:$J$23,8,0)),"",VLOOKUP($B82,'S. DO VIGIA'!$B$2:$J$23,8,0))</f>
        <v/>
      </c>
      <c r="Y82" s="14" t="str">
        <f aca="false">IF(ISNA(VLOOKUP($B82,'WC SOCIAL FEM'!$B$2:$J$28,8,0)),"",VLOOKUP($B82,'WC SOCIAL FEM'!$B$2:$J$28,8,0))</f>
        <v/>
      </c>
      <c r="Z82" s="14" t="str">
        <f aca="false">IF(ISNA(VLOOKUP($B82,'WC SOCIAL MAS'!$B$2:$J$29,8,0)),"",VLOOKUP($B82,'WC SOCIAL MAS'!$B$2:$J$29,8,0))</f>
        <v/>
      </c>
      <c r="AA82" s="14" t="str">
        <f aca="false">IF(ISNA(VLOOKUP($B82,HIDRÁULICA!$B$2:$J$32,8,0)),"",VLOOKUP($B82,HIDRÁULICA!$B$2:$J$32,8,0))</f>
        <v/>
      </c>
    </row>
    <row r="83" customFormat="false" ht="55.2" hidden="false" customHeight="false" outlineLevel="0" collapsed="false">
      <c r="A83" s="15"/>
      <c r="B83" s="9" t="s">
        <v>283</v>
      </c>
      <c r="C83" s="12" t="s">
        <v>284</v>
      </c>
      <c r="D83" s="11" t="s">
        <v>285</v>
      </c>
      <c r="E83" s="12" t="s">
        <v>50</v>
      </c>
      <c r="F83" s="13" t="n">
        <f aca="false">ROUND(SUM(G83:AA83),2)</f>
        <v>3</v>
      </c>
      <c r="G83" s="14" t="str">
        <f aca="false">IF(ISNA(VLOOKUP($B83,'CORREDOR 01'!$B$2:$J$19,8,0)),"",VLOOKUP($B83,'CORREDOR 01'!$B$2:$J$19,8,0))</f>
        <v/>
      </c>
      <c r="H83" s="14" t="str">
        <f aca="false">IF(ISNA(VLOOKUP($B83,'CORREDOR O2'!$B$2:$J$22,8,0)),"",VLOOKUP($B83,'CORREDOR O2'!$B$2:$J$22,8,0))</f>
        <v/>
      </c>
      <c r="I83" s="14" t="str">
        <f aca="false">IF(ISNA(VLOOKUP($B83,'Á. DE VENTIL.'!$B$2:$J$20,8,0)),"",VLOOKUP($B83,'Á. DE VENTIL.'!$B$2:$J$20,8,0))</f>
        <v/>
      </c>
      <c r="J83" s="14" t="str">
        <f aca="false">IF(ISNA(VLOOKUP($B83,'Á. EXTER '!$B$2:$J$24,8,0)),"",VLOOKUP($B83,'Á. EXTER '!$B$2:$J$24,8,0))</f>
        <v/>
      </c>
      <c r="K83" s="14" t="str">
        <f aca="false">IF(ISNA(VLOOKUP($B83,'ÁREA DE CIR. EXTER.'!$B$2:$J$22,8,0)),"",VLOOKUP($B83,'ÁREA DE CIR. EXTER.'!$B$2:$J$22,8,0))</f>
        <v/>
      </c>
      <c r="L83" s="14" t="str">
        <f aca="false">IF(ISNA(VLOOKUP($B83,AUDITÓRIO!$B$2:$J$14,8,0)),"",VLOOKUP($B83,AUDITÓRIO!$B$2:$J$14,8,0))</f>
        <v/>
      </c>
      <c r="M83" s="14" t="str">
        <f aca="false">IF(ISNA(VLOOKUP($B83,'AUD.   WC FEM'!$B$2:$J$14,8,0)),"",VLOOKUP($B83,'AUD.   WC FEM'!$B$2:$J$14,8,0))</f>
        <v/>
      </c>
      <c r="N83" s="14" t="str">
        <f aca="false">IF(ISNA(VLOOKUP($B83,'AUD.   WC MAS'!$B$2:$J$14,8,0)),"",VLOOKUP($B83,'AUD.   WC MAS'!$B$2:$J$14,8,0))</f>
        <v/>
      </c>
      <c r="O83" s="14" t="str">
        <f aca="false">IF(ISNA(VLOOKUP($B83,'COBERT.'!$B$2:$J$8,8,0)),"",VLOOKUP($B83,'COBERT.'!$B$2:$J$8,8,0))</f>
        <v/>
      </c>
      <c r="P83" s="14" t="str">
        <f aca="false">IF(ISNA(VLOOKUP($B83,COPA!$B$2:$J$31,8,0)),"",VLOOKUP($B83,COPA!$B$2:$J$31,8,0))</f>
        <v/>
      </c>
      <c r="Q83" s="14" t="str">
        <f aca="false">IF(ISNA(VLOOKUP($B83,RECEPÇÃO!$B$2:$J$24,8,0)),"",VLOOKUP($B83,RECEPÇÃO!$B$2:$J$24,8,0))</f>
        <v/>
      </c>
      <c r="R83" s="14" t="str">
        <f aca="false">IF(ISNA(VLOOKUP($B83,'S.  DA ADM.'!$B$2:$J$24,8,0)),"",VLOOKUP($B83,'S.  DA ADM.'!$B$2:$J$24,8,0))</f>
        <v/>
      </c>
      <c r="S83" s="14" t="n">
        <f aca="false">IF(ISNA(VLOOKUP($B83,'S.  DA ADM.   WC'!$B$2:$J$27,8,0)),"",VLOOKUP($B83,'S.  DA ADM.   WC'!$B$2:$J$27,8,0))</f>
        <v>1</v>
      </c>
      <c r="T83" s="14" t="str">
        <f aca="false">IF(ISNA(VLOOKUP($B83,'S. DA ATER'!$B$2:$J$23,8,0)),"",VLOOKUP($B83,'S. DA ATER'!$B$2:$J$23,8,0))</f>
        <v/>
      </c>
      <c r="U83" s="14" t="str">
        <f aca="false">IF(ISNA(VLOOKUP($B83,'S. DA GERÊNCIA'!$B$2:$J$27,8,0)),"",VLOOKUP($B83,'S. DA GERÊNCIA'!$B$2:$J$27,8,0))</f>
        <v/>
      </c>
      <c r="V83" s="14" t="str">
        <f aca="false">IF(ISNA(VLOOKUP($B83,'S. DE ESPERA'!$B$2:$J$23,8,0)),"",VLOOKUP($B83,'S. DE ESPERA'!$B$2:$J$23,8,0))</f>
        <v/>
      </c>
      <c r="W83" s="14" t="str">
        <f aca="false">IF(ISNA(VLOOKUP($B83,'S. DE REUNIÃO'!$B$2:$J$25,8,0)),"",VLOOKUP($B83,'S. DE REUNIÃO'!$B$2:$J$25,8,0))</f>
        <v/>
      </c>
      <c r="X83" s="14" t="str">
        <f aca="false">IF(ISNA(VLOOKUP($B83,'S. DO VIGIA'!$B$2:$J$23,8,0)),"",VLOOKUP($B83,'S. DO VIGIA'!$B$2:$J$23,8,0))</f>
        <v/>
      </c>
      <c r="Y83" s="14" t="n">
        <f aca="false">IF(ISNA(VLOOKUP($B83,'WC SOCIAL FEM'!$B$2:$J$28,8,0)),"",VLOOKUP($B83,'WC SOCIAL FEM'!$B$2:$J$28,8,0))</f>
        <v>1</v>
      </c>
      <c r="Z83" s="14" t="n">
        <f aca="false">IF(ISNA(VLOOKUP($B83,'WC SOCIAL MAS'!$B$2:$J$29,8,0)),"",VLOOKUP($B83,'WC SOCIAL MAS'!$B$2:$J$29,8,0))</f>
        <v>1</v>
      </c>
      <c r="AA83" s="14" t="str">
        <f aca="false">IF(ISNA(VLOOKUP($B83,HIDRÁULICA!$B$2:$J$32,8,0)),"",VLOOKUP($B83,HIDRÁULICA!$B$2:$J$32,8,0))</f>
        <v/>
      </c>
    </row>
    <row r="84" customFormat="false" ht="28.35" hidden="false" customHeight="false" outlineLevel="0" collapsed="false">
      <c r="A84" s="15"/>
      <c r="B84" s="9" t="s">
        <v>286</v>
      </c>
      <c r="C84" s="12" t="s">
        <v>287</v>
      </c>
      <c r="D84" s="11" t="s">
        <v>288</v>
      </c>
      <c r="E84" s="12" t="s">
        <v>50</v>
      </c>
      <c r="F84" s="13" t="n">
        <f aca="false">ROUND(SUM(G84:AA84),2)</f>
        <v>1</v>
      </c>
      <c r="G84" s="14" t="str">
        <f aca="false">IF(ISNA(VLOOKUP($B84,'CORREDOR 01'!$B$2:$J$19,8,0)),"",VLOOKUP($B84,'CORREDOR 01'!$B$2:$J$19,8,0))</f>
        <v/>
      </c>
      <c r="H84" s="14" t="str">
        <f aca="false">IF(ISNA(VLOOKUP($B84,'CORREDOR O2'!$B$2:$J$22,8,0)),"",VLOOKUP($B84,'CORREDOR O2'!$B$2:$J$22,8,0))</f>
        <v/>
      </c>
      <c r="I84" s="14" t="str">
        <f aca="false">IF(ISNA(VLOOKUP($B84,'Á. DE VENTIL.'!$B$2:$J$20,8,0)),"",VLOOKUP($B84,'Á. DE VENTIL.'!$B$2:$J$20,8,0))</f>
        <v/>
      </c>
      <c r="J84" s="14" t="str">
        <f aca="false">IF(ISNA(VLOOKUP($B84,'Á. EXTER '!$B$2:$J$24,8,0)),"",VLOOKUP($B84,'Á. EXTER '!$B$2:$J$24,8,0))</f>
        <v/>
      </c>
      <c r="K84" s="14" t="n">
        <f aca="false">IF(ISNA(VLOOKUP($B84,'ÁREA DE CIR. EXTER.'!$B$2:$J$22,8,0)),"",VLOOKUP($B84,'ÁREA DE CIR. EXTER.'!$B$2:$J$22,8,0))</f>
        <v>1</v>
      </c>
      <c r="L84" s="14" t="str">
        <f aca="false">IF(ISNA(VLOOKUP($B84,AUDITÓRIO!$B$2:$J$14,8,0)),"",VLOOKUP($B84,AUDITÓRIO!$B$2:$J$14,8,0))</f>
        <v/>
      </c>
      <c r="M84" s="14" t="str">
        <f aca="false">IF(ISNA(VLOOKUP($B84,'AUD.   WC FEM'!$B$2:$J$14,8,0)),"",VLOOKUP($B84,'AUD.   WC FEM'!$B$2:$J$14,8,0))</f>
        <v/>
      </c>
      <c r="N84" s="14" t="str">
        <f aca="false">IF(ISNA(VLOOKUP($B84,'AUD.   WC MAS'!$B$2:$J$14,8,0)),"",VLOOKUP($B84,'AUD.   WC MAS'!$B$2:$J$14,8,0))</f>
        <v/>
      </c>
      <c r="O84" s="14" t="str">
        <f aca="false">IF(ISNA(VLOOKUP($B84,'COBERT.'!$B$2:$J$8,8,0)),"",VLOOKUP($B84,'COBERT.'!$B$2:$J$8,8,0))</f>
        <v/>
      </c>
      <c r="P84" s="14" t="str">
        <f aca="false">IF(ISNA(VLOOKUP($B84,COPA!$B$2:$J$31,8,0)),"",VLOOKUP($B84,COPA!$B$2:$J$31,8,0))</f>
        <v/>
      </c>
      <c r="Q84" s="14" t="str">
        <f aca="false">IF(ISNA(VLOOKUP($B84,RECEPÇÃO!$B$2:$J$24,8,0)),"",VLOOKUP($B84,RECEPÇÃO!$B$2:$J$24,8,0))</f>
        <v/>
      </c>
      <c r="R84" s="14" t="str">
        <f aca="false">IF(ISNA(VLOOKUP($B84,'S.  DA ADM.'!$B$2:$J$24,8,0)),"",VLOOKUP($B84,'S.  DA ADM.'!$B$2:$J$24,8,0))</f>
        <v/>
      </c>
      <c r="S84" s="14" t="str">
        <f aca="false">IF(ISNA(VLOOKUP($B84,'S.  DA ADM.   WC'!$B$2:$J$27,8,0)),"",VLOOKUP($B84,'S.  DA ADM.   WC'!$B$2:$J$27,8,0))</f>
        <v/>
      </c>
      <c r="T84" s="14" t="str">
        <f aca="false">IF(ISNA(VLOOKUP($B84,'S. DA ATER'!$B$2:$J$23,8,0)),"",VLOOKUP($B84,'S. DA ATER'!$B$2:$J$23,8,0))</f>
        <v/>
      </c>
      <c r="U84" s="14" t="str">
        <f aca="false">IF(ISNA(VLOOKUP($B84,'S. DA GERÊNCIA'!$B$2:$J$27,8,0)),"",VLOOKUP($B84,'S. DA GERÊNCIA'!$B$2:$J$27,8,0))</f>
        <v/>
      </c>
      <c r="V84" s="14" t="str">
        <f aca="false">IF(ISNA(VLOOKUP($B84,'S. DE ESPERA'!$B$2:$J$23,8,0)),"",VLOOKUP($B84,'S. DE ESPERA'!$B$2:$J$23,8,0))</f>
        <v/>
      </c>
      <c r="W84" s="14" t="str">
        <f aca="false">IF(ISNA(VLOOKUP($B84,'S. DE REUNIÃO'!$B$2:$J$25,8,0)),"",VLOOKUP($B84,'S. DE REUNIÃO'!$B$2:$J$25,8,0))</f>
        <v/>
      </c>
      <c r="X84" s="14" t="str">
        <f aca="false">IF(ISNA(VLOOKUP($B84,'S. DO VIGIA'!$B$2:$J$23,8,0)),"",VLOOKUP($B84,'S. DO VIGIA'!$B$2:$J$23,8,0))</f>
        <v/>
      </c>
      <c r="Y84" s="14" t="str">
        <f aca="false">IF(ISNA(VLOOKUP($B84,'WC SOCIAL FEM'!$B$2:$J$28,8,0)),"",VLOOKUP($B84,'WC SOCIAL FEM'!$B$2:$J$28,8,0))</f>
        <v/>
      </c>
      <c r="Z84" s="14" t="str">
        <f aca="false">IF(ISNA(VLOOKUP($B84,'WC SOCIAL MAS'!$B$2:$J$29,8,0)),"",VLOOKUP($B84,'WC SOCIAL MAS'!$B$2:$J$29,8,0))</f>
        <v/>
      </c>
      <c r="AA84" s="14" t="str">
        <f aca="false">IF(ISNA(VLOOKUP($B84,HIDRÁULICA!$B$2:$J$32,8,0)),"",VLOOKUP($B84,HIDRÁULICA!$B$2:$J$32,8,0))</f>
        <v/>
      </c>
    </row>
    <row r="85" customFormat="false" ht="55.2" hidden="false" customHeight="false" outlineLevel="0" collapsed="false">
      <c r="A85" s="15"/>
      <c r="B85" s="9" t="s">
        <v>289</v>
      </c>
      <c r="C85" s="12" t="s">
        <v>290</v>
      </c>
      <c r="D85" s="11" t="s">
        <v>291</v>
      </c>
      <c r="E85" s="12" t="s">
        <v>50</v>
      </c>
      <c r="F85" s="13" t="n">
        <f aca="false">ROUND(SUM(G85:AA85),2)</f>
        <v>1</v>
      </c>
      <c r="G85" s="14" t="str">
        <f aca="false">IF(ISNA(VLOOKUP($B85,'CORREDOR 01'!$B$2:$J$19,8,0)),"",VLOOKUP($B85,'CORREDOR 01'!$B$2:$J$19,8,0))</f>
        <v/>
      </c>
      <c r="H85" s="14" t="str">
        <f aca="false">IF(ISNA(VLOOKUP($B85,'CORREDOR O2'!$B$2:$J$22,8,0)),"",VLOOKUP($B85,'CORREDOR O2'!$B$2:$J$22,8,0))</f>
        <v/>
      </c>
      <c r="I85" s="14" t="str">
        <f aca="false">IF(ISNA(VLOOKUP($B85,'Á. DE VENTIL.'!$B$2:$J$20,8,0)),"",VLOOKUP($B85,'Á. DE VENTIL.'!$B$2:$J$20,8,0))</f>
        <v/>
      </c>
      <c r="J85" s="14" t="str">
        <f aca="false">IF(ISNA(VLOOKUP($B85,'Á. EXTER '!$B$2:$J$24,8,0)),"",VLOOKUP($B85,'Á. EXTER '!$B$2:$J$24,8,0))</f>
        <v/>
      </c>
      <c r="K85" s="14" t="str">
        <f aca="false">IF(ISNA(VLOOKUP($B85,'ÁREA DE CIR. EXTER.'!$B$2:$J$22,8,0)),"",VLOOKUP($B85,'ÁREA DE CIR. EXTER.'!$B$2:$J$22,8,0))</f>
        <v/>
      </c>
      <c r="L85" s="14" t="str">
        <f aca="false">IF(ISNA(VLOOKUP($B85,AUDITÓRIO!$B$2:$J$14,8,0)),"",VLOOKUP($B85,AUDITÓRIO!$B$2:$J$14,8,0))</f>
        <v/>
      </c>
      <c r="M85" s="14" t="str">
        <f aca="false">IF(ISNA(VLOOKUP($B85,'AUD.   WC FEM'!$B$2:$J$14,8,0)),"",VLOOKUP($B85,'AUD.   WC FEM'!$B$2:$J$14,8,0))</f>
        <v/>
      </c>
      <c r="N85" s="14" t="str">
        <f aca="false">IF(ISNA(VLOOKUP($B85,'AUD.   WC MAS'!$B$2:$J$14,8,0)),"",VLOOKUP($B85,'AUD.   WC MAS'!$B$2:$J$14,8,0))</f>
        <v/>
      </c>
      <c r="O85" s="14" t="str">
        <f aca="false">IF(ISNA(VLOOKUP($B85,'COBERT.'!$B$2:$J$8,8,0)),"",VLOOKUP($B85,'COBERT.'!$B$2:$J$8,8,0))</f>
        <v/>
      </c>
      <c r="P85" s="14" t="n">
        <f aca="false">IF(ISNA(VLOOKUP($B85,COPA!$B$2:$J$31,8,0)),"",VLOOKUP($B85,COPA!$B$2:$J$31,8,0))</f>
        <v>1</v>
      </c>
      <c r="Q85" s="14" t="str">
        <f aca="false">IF(ISNA(VLOOKUP($B85,RECEPÇÃO!$B$2:$J$24,8,0)),"",VLOOKUP($B85,RECEPÇÃO!$B$2:$J$24,8,0))</f>
        <v/>
      </c>
      <c r="R85" s="14" t="str">
        <f aca="false">IF(ISNA(VLOOKUP($B85,'S.  DA ADM.'!$B$2:$J$24,8,0)),"",VLOOKUP($B85,'S.  DA ADM.'!$B$2:$J$24,8,0))</f>
        <v/>
      </c>
      <c r="S85" s="14" t="str">
        <f aca="false">IF(ISNA(VLOOKUP($B85,'S.  DA ADM.   WC'!$B$2:$J$27,8,0)),"",VLOOKUP($B85,'S.  DA ADM.   WC'!$B$2:$J$27,8,0))</f>
        <v/>
      </c>
      <c r="T85" s="14" t="str">
        <f aca="false">IF(ISNA(VLOOKUP($B85,'S. DA ATER'!$B$2:$J$23,8,0)),"",VLOOKUP($B85,'S. DA ATER'!$B$2:$J$23,8,0))</f>
        <v/>
      </c>
      <c r="U85" s="14" t="str">
        <f aca="false">IF(ISNA(VLOOKUP($B85,'S. DA GERÊNCIA'!$B$2:$J$27,8,0)),"",VLOOKUP($B85,'S. DA GERÊNCIA'!$B$2:$J$27,8,0))</f>
        <v/>
      </c>
      <c r="V85" s="14" t="str">
        <f aca="false">IF(ISNA(VLOOKUP($B85,'S. DE ESPERA'!$B$2:$J$23,8,0)),"",VLOOKUP($B85,'S. DE ESPERA'!$B$2:$J$23,8,0))</f>
        <v/>
      </c>
      <c r="W85" s="14" t="str">
        <f aca="false">IF(ISNA(VLOOKUP($B85,'S. DE REUNIÃO'!$B$2:$J$25,8,0)),"",VLOOKUP($B85,'S. DE REUNIÃO'!$B$2:$J$25,8,0))</f>
        <v/>
      </c>
      <c r="X85" s="14" t="str">
        <f aca="false">IF(ISNA(VLOOKUP($B85,'S. DO VIGIA'!$B$2:$J$23,8,0)),"",VLOOKUP($B85,'S. DO VIGIA'!$B$2:$J$23,8,0))</f>
        <v/>
      </c>
      <c r="Y85" s="14" t="str">
        <f aca="false">IF(ISNA(VLOOKUP($B85,'WC SOCIAL FEM'!$B$2:$J$28,8,0)),"",VLOOKUP($B85,'WC SOCIAL FEM'!$B$2:$J$28,8,0))</f>
        <v/>
      </c>
      <c r="Z85" s="14" t="str">
        <f aca="false">IF(ISNA(VLOOKUP($B85,'WC SOCIAL MAS'!$B$2:$J$29,8,0)),"",VLOOKUP($B85,'WC SOCIAL MAS'!$B$2:$J$29,8,0))</f>
        <v/>
      </c>
      <c r="AA85" s="14" t="str">
        <f aca="false">IF(ISNA(VLOOKUP($B85,HIDRÁULICA!$B$2:$J$32,8,0)),"",VLOOKUP($B85,HIDRÁULICA!$B$2:$J$32,8,0))</f>
        <v/>
      </c>
    </row>
    <row r="86" customFormat="false" ht="68.65" hidden="false" customHeight="false" outlineLevel="0" collapsed="false">
      <c r="A86" s="15"/>
      <c r="B86" s="9" t="s">
        <v>292</v>
      </c>
      <c r="C86" s="12" t="s">
        <v>293</v>
      </c>
      <c r="D86" s="11" t="s">
        <v>294</v>
      </c>
      <c r="E86" s="12" t="s">
        <v>50</v>
      </c>
      <c r="F86" s="13" t="n">
        <f aca="false">ROUND(SUM(G86:AA86),2)</f>
        <v>3</v>
      </c>
      <c r="G86" s="14" t="str">
        <f aca="false">IF(ISNA(VLOOKUP($B86,'CORREDOR 01'!$B$2:$J$19,8,0)),"",VLOOKUP($B86,'CORREDOR 01'!$B$2:$J$19,8,0))</f>
        <v/>
      </c>
      <c r="H86" s="14" t="str">
        <f aca="false">IF(ISNA(VLOOKUP($B86,'CORREDOR O2'!$B$2:$J$22,8,0)),"",VLOOKUP($B86,'CORREDOR O2'!$B$2:$J$22,8,0))</f>
        <v/>
      </c>
      <c r="I86" s="14" t="str">
        <f aca="false">IF(ISNA(VLOOKUP($B86,'Á. DE VENTIL.'!$B$2:$J$20,8,0)),"",VLOOKUP($B86,'Á. DE VENTIL.'!$B$2:$J$20,8,0))</f>
        <v/>
      </c>
      <c r="J86" s="14" t="str">
        <f aca="false">IF(ISNA(VLOOKUP($B86,'Á. EXTER '!$B$2:$J$24,8,0)),"",VLOOKUP($B86,'Á. EXTER '!$B$2:$J$24,8,0))</f>
        <v/>
      </c>
      <c r="K86" s="14" t="str">
        <f aca="false">IF(ISNA(VLOOKUP($B86,'ÁREA DE CIR. EXTER.'!$B$2:$J$22,8,0)),"",VLOOKUP($B86,'ÁREA DE CIR. EXTER.'!$B$2:$J$22,8,0))</f>
        <v/>
      </c>
      <c r="L86" s="14" t="str">
        <f aca="false">IF(ISNA(VLOOKUP($B86,AUDITÓRIO!$B$2:$J$14,8,0)),"",VLOOKUP($B86,AUDITÓRIO!$B$2:$J$14,8,0))</f>
        <v/>
      </c>
      <c r="M86" s="14" t="str">
        <f aca="false">IF(ISNA(VLOOKUP($B86,'AUD.   WC FEM'!$B$2:$J$14,8,0)),"",VLOOKUP($B86,'AUD.   WC FEM'!$B$2:$J$14,8,0))</f>
        <v/>
      </c>
      <c r="N86" s="14" t="str">
        <f aca="false">IF(ISNA(VLOOKUP($B86,'AUD.   WC MAS'!$B$2:$J$14,8,0)),"",VLOOKUP($B86,'AUD.   WC MAS'!$B$2:$J$14,8,0))</f>
        <v/>
      </c>
      <c r="O86" s="14" t="str">
        <f aca="false">IF(ISNA(VLOOKUP($B86,'COBERT.'!$B$2:$J$8,8,0)),"",VLOOKUP($B86,'COBERT.'!$B$2:$J$8,8,0))</f>
        <v/>
      </c>
      <c r="P86" s="14" t="str">
        <f aca="false">IF(ISNA(VLOOKUP($B86,COPA!$B$2:$J$31,8,0)),"",VLOOKUP($B86,COPA!$B$2:$J$31,8,0))</f>
        <v/>
      </c>
      <c r="Q86" s="14" t="str">
        <f aca="false">IF(ISNA(VLOOKUP($B86,RECEPÇÃO!$B$2:$J$24,8,0)),"",VLOOKUP($B86,RECEPÇÃO!$B$2:$J$24,8,0))</f>
        <v/>
      </c>
      <c r="R86" s="14" t="str">
        <f aca="false">IF(ISNA(VLOOKUP($B86,'S.  DA ADM.'!$B$2:$J$24,8,0)),"",VLOOKUP($B86,'S.  DA ADM.'!$B$2:$J$24,8,0))</f>
        <v/>
      </c>
      <c r="S86" s="14" t="n">
        <f aca="false">IF(ISNA(VLOOKUP($B86,'S.  DA ADM.   WC'!$B$2:$J$27,8,0)),"",VLOOKUP($B86,'S.  DA ADM.   WC'!$B$2:$J$27,8,0))</f>
        <v>1</v>
      </c>
      <c r="T86" s="14" t="str">
        <f aca="false">IF(ISNA(VLOOKUP($B86,'S. DA ATER'!$B$2:$J$23,8,0)),"",VLOOKUP($B86,'S. DA ATER'!$B$2:$J$23,8,0))</f>
        <v/>
      </c>
      <c r="U86" s="14" t="str">
        <f aca="false">IF(ISNA(VLOOKUP($B86,'S. DA GERÊNCIA'!$B$2:$J$27,8,0)),"",VLOOKUP($B86,'S. DA GERÊNCIA'!$B$2:$J$27,8,0))</f>
        <v/>
      </c>
      <c r="V86" s="14" t="str">
        <f aca="false">IF(ISNA(VLOOKUP($B86,'S. DE ESPERA'!$B$2:$J$23,8,0)),"",VLOOKUP($B86,'S. DE ESPERA'!$B$2:$J$23,8,0))</f>
        <v/>
      </c>
      <c r="W86" s="14" t="str">
        <f aca="false">IF(ISNA(VLOOKUP($B86,'S. DE REUNIÃO'!$B$2:$J$25,8,0)),"",VLOOKUP($B86,'S. DE REUNIÃO'!$B$2:$J$25,8,0))</f>
        <v/>
      </c>
      <c r="X86" s="14" t="str">
        <f aca="false">IF(ISNA(VLOOKUP($B86,'S. DO VIGIA'!$B$2:$J$23,8,0)),"",VLOOKUP($B86,'S. DO VIGIA'!$B$2:$J$23,8,0))</f>
        <v/>
      </c>
      <c r="Y86" s="14" t="n">
        <f aca="false">IF(ISNA(VLOOKUP($B86,'WC SOCIAL FEM'!$B$2:$J$28,8,0)),"",VLOOKUP($B86,'WC SOCIAL FEM'!$B$2:$J$28,8,0))</f>
        <v>1</v>
      </c>
      <c r="Z86" s="14" t="n">
        <f aca="false">IF(ISNA(VLOOKUP($B86,'WC SOCIAL MAS'!$B$2:$J$29,8,0)),"",VLOOKUP($B86,'WC SOCIAL MAS'!$B$2:$J$29,8,0))</f>
        <v>1</v>
      </c>
      <c r="AA86" s="14" t="str">
        <f aca="false">IF(ISNA(VLOOKUP($B86,HIDRÁULICA!$B$2:$J$32,8,0)),"",VLOOKUP($B86,HIDRÁULICA!$B$2:$J$32,8,0))</f>
        <v/>
      </c>
    </row>
    <row r="87" customFormat="false" ht="41.75" hidden="false" customHeight="false" outlineLevel="0" collapsed="false">
      <c r="A87" s="15"/>
      <c r="B87" s="9" t="s">
        <v>295</v>
      </c>
      <c r="C87" s="12" t="s">
        <v>296</v>
      </c>
      <c r="D87" s="11" t="s">
        <v>297</v>
      </c>
      <c r="E87" s="12" t="s">
        <v>50</v>
      </c>
      <c r="F87" s="13" t="n">
        <f aca="false">ROUND(SUM(G87:AA87),2)</f>
        <v>1</v>
      </c>
      <c r="G87" s="14" t="str">
        <f aca="false">IF(ISNA(VLOOKUP($B87,'CORREDOR 01'!$B$2:$J$19,8,0)),"",VLOOKUP($B87,'CORREDOR 01'!$B$2:$J$19,8,0))</f>
        <v/>
      </c>
      <c r="H87" s="14" t="str">
        <f aca="false">IF(ISNA(VLOOKUP($B87,'CORREDOR O2'!$B$2:$J$22,8,0)),"",VLOOKUP($B87,'CORREDOR O2'!$B$2:$J$22,8,0))</f>
        <v/>
      </c>
      <c r="I87" s="14" t="str">
        <f aca="false">IF(ISNA(VLOOKUP($B87,'Á. DE VENTIL.'!$B$2:$J$20,8,0)),"",VLOOKUP($B87,'Á. DE VENTIL.'!$B$2:$J$20,8,0))</f>
        <v/>
      </c>
      <c r="J87" s="14" t="str">
        <f aca="false">IF(ISNA(VLOOKUP($B87,'Á. EXTER '!$B$2:$J$24,8,0)),"",VLOOKUP($B87,'Á. EXTER '!$B$2:$J$24,8,0))</f>
        <v/>
      </c>
      <c r="K87" s="14" t="str">
        <f aca="false">IF(ISNA(VLOOKUP($B87,'ÁREA DE CIR. EXTER.'!$B$2:$J$22,8,0)),"",VLOOKUP($B87,'ÁREA DE CIR. EXTER.'!$B$2:$J$22,8,0))</f>
        <v/>
      </c>
      <c r="L87" s="14" t="str">
        <f aca="false">IF(ISNA(VLOOKUP($B87,AUDITÓRIO!$B$2:$J$14,8,0)),"",VLOOKUP($B87,AUDITÓRIO!$B$2:$J$14,8,0))</f>
        <v/>
      </c>
      <c r="M87" s="14" t="str">
        <f aca="false">IF(ISNA(VLOOKUP($B87,'AUD.   WC FEM'!$B$2:$J$14,8,0)),"",VLOOKUP($B87,'AUD.   WC FEM'!$B$2:$J$14,8,0))</f>
        <v/>
      </c>
      <c r="N87" s="14" t="str">
        <f aca="false">IF(ISNA(VLOOKUP($B87,'AUD.   WC MAS'!$B$2:$J$14,8,0)),"",VLOOKUP($B87,'AUD.   WC MAS'!$B$2:$J$14,8,0))</f>
        <v/>
      </c>
      <c r="O87" s="14" t="str">
        <f aca="false">IF(ISNA(VLOOKUP($B87,'COBERT.'!$B$2:$J$8,8,0)),"",VLOOKUP($B87,'COBERT.'!$B$2:$J$8,8,0))</f>
        <v/>
      </c>
      <c r="P87" s="14" t="str">
        <f aca="false">IF(ISNA(VLOOKUP($B87,COPA!$B$2:$J$31,8,0)),"",VLOOKUP($B87,COPA!$B$2:$J$31,8,0))</f>
        <v/>
      </c>
      <c r="Q87" s="14" t="str">
        <f aca="false">IF(ISNA(VLOOKUP($B87,RECEPÇÃO!$B$2:$J$24,8,0)),"",VLOOKUP($B87,RECEPÇÃO!$B$2:$J$24,8,0))</f>
        <v/>
      </c>
      <c r="R87" s="14" t="str">
        <f aca="false">IF(ISNA(VLOOKUP($B87,'S.  DA ADM.'!$B$2:$J$24,8,0)),"",VLOOKUP($B87,'S.  DA ADM.'!$B$2:$J$24,8,0))</f>
        <v/>
      </c>
      <c r="S87" s="14" t="str">
        <f aca="false">IF(ISNA(VLOOKUP($B87,'S.  DA ADM.   WC'!$B$2:$J$27,8,0)),"",VLOOKUP($B87,'S.  DA ADM.   WC'!$B$2:$J$27,8,0))</f>
        <v/>
      </c>
      <c r="T87" s="14" t="str">
        <f aca="false">IF(ISNA(VLOOKUP($B87,'S. DA ATER'!$B$2:$J$23,8,0)),"",VLOOKUP($B87,'S. DA ATER'!$B$2:$J$23,8,0))</f>
        <v/>
      </c>
      <c r="U87" s="14" t="str">
        <f aca="false">IF(ISNA(VLOOKUP($B87,'S. DA GERÊNCIA'!$B$2:$J$27,8,0)),"",VLOOKUP($B87,'S. DA GERÊNCIA'!$B$2:$J$27,8,0))</f>
        <v/>
      </c>
      <c r="V87" s="14" t="str">
        <f aca="false">IF(ISNA(VLOOKUP($B87,'S. DE ESPERA'!$B$2:$J$23,8,0)),"",VLOOKUP($B87,'S. DE ESPERA'!$B$2:$J$23,8,0))</f>
        <v/>
      </c>
      <c r="W87" s="14" t="str">
        <f aca="false">IF(ISNA(VLOOKUP($B87,'S. DE REUNIÃO'!$B$2:$J$25,8,0)),"",VLOOKUP($B87,'S. DE REUNIÃO'!$B$2:$J$25,8,0))</f>
        <v/>
      </c>
      <c r="X87" s="14" t="str">
        <f aca="false">IF(ISNA(VLOOKUP($B87,'S. DO VIGIA'!$B$2:$J$23,8,0)),"",VLOOKUP($B87,'S. DO VIGIA'!$B$2:$J$23,8,0))</f>
        <v/>
      </c>
      <c r="Y87" s="14" t="str">
        <f aca="false">IF(ISNA(VLOOKUP($B87,'WC SOCIAL FEM'!$B$2:$J$28,8,0)),"",VLOOKUP($B87,'WC SOCIAL FEM'!$B$2:$J$28,8,0))</f>
        <v/>
      </c>
      <c r="Z87" s="14" t="n">
        <f aca="false">IF(ISNA(VLOOKUP($B87,'WC SOCIAL MAS'!$B$2:$J$29,8,0)),"",VLOOKUP($B87,'WC SOCIAL MAS'!$B$2:$J$29,8,0))</f>
        <v>1</v>
      </c>
      <c r="AA87" s="14" t="str">
        <f aca="false">IF(ISNA(VLOOKUP($B87,HIDRÁULICA!$B$2:$J$32,8,0)),"",VLOOKUP($B87,HIDRÁULICA!$B$2:$J$32,8,0))</f>
        <v/>
      </c>
    </row>
    <row r="88" customFormat="false" ht="55.2" hidden="false" customHeight="false" outlineLevel="0" collapsed="false">
      <c r="A88" s="15"/>
      <c r="B88" s="9" t="s">
        <v>298</v>
      </c>
      <c r="C88" s="12" t="s">
        <v>299</v>
      </c>
      <c r="D88" s="11" t="s">
        <v>300</v>
      </c>
      <c r="E88" s="12" t="s">
        <v>50</v>
      </c>
      <c r="F88" s="13" t="n">
        <f aca="false">ROUND(SUM(G88:AA88),2)</f>
        <v>2</v>
      </c>
      <c r="G88" s="14"/>
      <c r="H88" s="14" t="str">
        <f aca="false">IF(ISNA(VLOOKUP($B88,'CORREDOR O2'!$B$2:$J$22,8,0)),"",VLOOKUP($B88,'CORREDOR O2'!$B$2:$J$22,8,0))</f>
        <v/>
      </c>
      <c r="I88" s="14" t="str">
        <f aca="false">IF(ISNA(VLOOKUP($B88,'Á. DE VENTIL.'!$B$2:$J$20,8,0)),"",VLOOKUP($B88,'Á. DE VENTIL.'!$B$2:$J$20,8,0))</f>
        <v/>
      </c>
      <c r="J88" s="14" t="str">
        <f aca="false">IF(ISNA(VLOOKUP($B88,'Á. EXTER '!$B$2:$J$24,8,0)),"",VLOOKUP($B88,'Á. EXTER '!$B$2:$J$24,8,0))</f>
        <v/>
      </c>
      <c r="K88" s="14" t="str">
        <f aca="false">IF(ISNA(VLOOKUP($B88,'ÁREA DE CIR. EXTER.'!$B$2:$J$22,8,0)),"",VLOOKUP($B88,'ÁREA DE CIR. EXTER.'!$B$2:$J$22,8,0))</f>
        <v/>
      </c>
      <c r="L88" s="14" t="str">
        <f aca="false">IF(ISNA(VLOOKUP($B88,AUDITÓRIO!$B$2:$J$14,8,0)),"",VLOOKUP($B88,AUDITÓRIO!$B$2:$J$14,8,0))</f>
        <v/>
      </c>
      <c r="M88" s="14" t="n">
        <f aca="false">IF(ISNA(VLOOKUP($B88,'AUD.   WC FEM'!$B$2:$J$14,8,0)),"",VLOOKUP($B88,'AUD.   WC FEM'!$B$2:$J$14,8,0))</f>
        <v>1</v>
      </c>
      <c r="N88" s="14" t="n">
        <f aca="false">IF(ISNA(VLOOKUP($B88,'AUD.   WC MAS'!$B$2:$J$14,8,0)),"",VLOOKUP($B88,'AUD.   WC MAS'!$B$2:$J$14,8,0))</f>
        <v>1</v>
      </c>
      <c r="O88" s="14" t="str">
        <f aca="false">IF(ISNA(VLOOKUP($B88,'COBERT.'!$B$2:$J$8,8,0)),"",VLOOKUP($B88,'COBERT.'!$B$2:$J$8,8,0))</f>
        <v/>
      </c>
      <c r="P88" s="14" t="str">
        <f aca="false">IF(ISNA(VLOOKUP($B88,COPA!$B$2:$J$31,8,0)),"",VLOOKUP($B88,COPA!$B$2:$J$31,8,0))</f>
        <v/>
      </c>
      <c r="Q88" s="14" t="str">
        <f aca="false">IF(ISNA(VLOOKUP($B88,RECEPÇÃO!$B$2:$J$24,8,0)),"",VLOOKUP($B88,RECEPÇÃO!$B$2:$J$24,8,0))</f>
        <v/>
      </c>
      <c r="R88" s="14" t="str">
        <f aca="false">IF(ISNA(VLOOKUP($B88,'S.  DA ADM.'!$B$2:$J$24,8,0)),"",VLOOKUP($B88,'S.  DA ADM.'!$B$2:$J$24,8,0))</f>
        <v/>
      </c>
      <c r="S88" s="14" t="str">
        <f aca="false">IF(ISNA(VLOOKUP($B88,'S.  DA ADM.   WC'!$B$2:$J$27,8,0)),"",VLOOKUP($B88,'S.  DA ADM.   WC'!$B$2:$J$27,8,0))</f>
        <v/>
      </c>
      <c r="T88" s="14" t="str">
        <f aca="false">IF(ISNA(VLOOKUP($B88,'S. DA ATER'!$B$2:$J$23,8,0)),"",VLOOKUP($B88,'S. DA ATER'!$B$2:$J$23,8,0))</f>
        <v/>
      </c>
      <c r="U88" s="14" t="str">
        <f aca="false">IF(ISNA(VLOOKUP($B88,'S. DA GERÊNCIA'!$B$2:$J$27,8,0)),"",VLOOKUP($B88,'S. DA GERÊNCIA'!$B$2:$J$27,8,0))</f>
        <v/>
      </c>
      <c r="V88" s="14" t="str">
        <f aca="false">IF(ISNA(VLOOKUP($B88,'S. DE ESPERA'!$B$2:$J$23,8,0)),"",VLOOKUP($B88,'S. DE ESPERA'!$B$2:$J$23,8,0))</f>
        <v/>
      </c>
      <c r="W88" s="14" t="str">
        <f aca="false">IF(ISNA(VLOOKUP($B88,'S. DE REUNIÃO'!$B$2:$J$25,8,0)),"",VLOOKUP($B88,'S. DE REUNIÃO'!$B$2:$J$25,8,0))</f>
        <v/>
      </c>
      <c r="X88" s="14" t="str">
        <f aca="false">IF(ISNA(VLOOKUP($B88,'S. DO VIGIA'!$B$2:$J$23,8,0)),"",VLOOKUP($B88,'S. DO VIGIA'!$B$2:$J$23,8,0))</f>
        <v/>
      </c>
      <c r="Y88" s="14" t="str">
        <f aca="false">IF(ISNA(VLOOKUP($B88,'WC SOCIAL FEM'!$B$2:$J$28,8,0)),"",VLOOKUP($B88,'WC SOCIAL FEM'!$B$2:$J$28,8,0))</f>
        <v/>
      </c>
      <c r="Z88" s="14" t="str">
        <f aca="false">IF(ISNA(VLOOKUP($B88,'WC SOCIAL MAS'!$B$2:$J$29,8,0)),"",VLOOKUP($B88,'WC SOCIAL MAS'!$B$2:$J$29,8,0))</f>
        <v/>
      </c>
      <c r="AA88" s="14" t="str">
        <f aca="false">IF(ISNA(VLOOKUP($B88,HIDRÁULICA!$B$2:$J$32,8,0)),"",VLOOKUP($B88,HIDRÁULICA!$B$2:$J$32,8,0))</f>
        <v/>
      </c>
    </row>
    <row r="89" customFormat="false" ht="30" hidden="false" customHeight="true" outlineLevel="0" collapsed="false">
      <c r="A89" s="19" t="s">
        <v>301</v>
      </c>
      <c r="B89" s="9" t="s">
        <v>302</v>
      </c>
      <c r="C89" s="10" t="s">
        <v>303</v>
      </c>
      <c r="D89" s="11" t="s">
        <v>304</v>
      </c>
      <c r="E89" s="12" t="s">
        <v>50</v>
      </c>
      <c r="F89" s="13" t="n">
        <f aca="false">ROUND(SUM(G89:AA89),2)</f>
        <v>10</v>
      </c>
      <c r="G89" s="14" t="n">
        <f aca="false">IF(ISNA(VLOOKUP($B89,'CORREDOR 01'!$B$2:$J$19,8,0)),"",VLOOKUP($B89,'CORREDOR 01'!$B$2:$J$19,8,0))</f>
        <v>2</v>
      </c>
      <c r="H89" s="14" t="n">
        <f aca="false">IF(ISNA(VLOOKUP($B89,'CORREDOR O2'!$B$2:$J$22,8,0)),"",VLOOKUP($B89,'CORREDOR O2'!$B$2:$J$22,8,0))</f>
        <v>1</v>
      </c>
      <c r="I89" s="14" t="str">
        <f aca="false">IF(ISNA(VLOOKUP($B89,'Á. DE VENTIL.'!$B$2:$J$20,8,0)),"",VLOOKUP($B89,'Á. DE VENTIL.'!$B$2:$J$20,8,0))</f>
        <v/>
      </c>
      <c r="J89" s="14" t="str">
        <f aca="false">IF(ISNA(VLOOKUP($B89,'Á. EXTER '!$B$2:$J$24,8,0)),"",VLOOKUP($B89,'Á. EXTER '!$B$2:$J$24,8,0))</f>
        <v/>
      </c>
      <c r="K89" s="14" t="str">
        <f aca="false">IF(ISNA(VLOOKUP($B89,'ÁREA DE CIR. EXTER.'!$B$2:$J$22,8,0)),"",VLOOKUP($B89,'ÁREA DE CIR. EXTER.'!$B$2:$J$22,8,0))</f>
        <v/>
      </c>
      <c r="L89" s="14" t="str">
        <f aca="false">IF(ISNA(VLOOKUP($B89,AUDITÓRIO!$B$2:$J$14,8,0)),"",VLOOKUP($B89,AUDITÓRIO!$B$2:$J$14,8,0))</f>
        <v/>
      </c>
      <c r="M89" s="14" t="str">
        <f aca="false">IF(ISNA(VLOOKUP($B89,'AUD.   WC FEM'!$B$2:$J$14,8,0)),"",VLOOKUP($B89,'AUD.   WC FEM'!$B$2:$J$14,8,0))</f>
        <v/>
      </c>
      <c r="N89" s="14" t="str">
        <f aca="false">IF(ISNA(VLOOKUP($B89,'AUD.   WC MAS'!$B$2:$J$14,8,0)),"",VLOOKUP($B89,'AUD.   WC MAS'!$B$2:$J$14,8,0))</f>
        <v/>
      </c>
      <c r="O89" s="14" t="str">
        <f aca="false">IF(ISNA(VLOOKUP($B89,'COBERT.'!$B$2:$J$8,8,0)),"",VLOOKUP($B89,'COBERT.'!$B$2:$J$8,8,0))</f>
        <v/>
      </c>
      <c r="P89" s="14" t="n">
        <f aca="false">IF(ISNA(VLOOKUP($B89,COPA!$B$2:$J$31,8,0)),"",VLOOKUP($B89,COPA!$B$2:$J$31,8,0))</f>
        <v>1</v>
      </c>
      <c r="Q89" s="14" t="str">
        <f aca="false">IF(ISNA(VLOOKUP($B89,RECEPÇÃO!$B$2:$J$24,8,0)),"",VLOOKUP($B89,RECEPÇÃO!$B$2:$J$24,8,0))</f>
        <v/>
      </c>
      <c r="R89" s="14" t="str">
        <f aca="false">IF(ISNA(VLOOKUP($B89,'S.  DA ADM.'!$B$2:$J$24,8,0)),"",VLOOKUP($B89,'S.  DA ADM.'!$B$2:$J$24,8,0))</f>
        <v/>
      </c>
      <c r="S89" s="14" t="n">
        <f aca="false">IF(ISNA(VLOOKUP($B89,'S.  DA ADM.   WC'!$B$2:$J$27,8,0)),"",VLOOKUP($B89,'S.  DA ADM.   WC'!$B$2:$J$27,8,0))</f>
        <v>1</v>
      </c>
      <c r="T89" s="14" t="n">
        <f aca="false">IF(ISNA(VLOOKUP($B89,'S. DA ATER'!$B$2:$J$23,8,0)),"",VLOOKUP($B89,'S. DA ATER'!$B$2:$J$23,8,0))</f>
        <v>1</v>
      </c>
      <c r="U89" s="14" t="n">
        <f aca="false">IF(ISNA(VLOOKUP($B89,'S. DA GERÊNCIA'!$B$2:$J$27,8,0)),"",VLOOKUP($B89,'S. DA GERÊNCIA'!$B$2:$J$27,8,0))</f>
        <v>1</v>
      </c>
      <c r="V89" s="14" t="str">
        <f aca="false">IF(ISNA(VLOOKUP($B89,'S. DE ESPERA'!$B$2:$J$23,8,0)),"",VLOOKUP($B89,'S. DE ESPERA'!$B$2:$J$23,8,0))</f>
        <v/>
      </c>
      <c r="W89" s="14" t="str">
        <f aca="false">IF(ISNA(VLOOKUP($B89,'S. DE REUNIÃO'!$B$2:$J$25,8,0)),"",VLOOKUP($B89,'S. DE REUNIÃO'!$B$2:$J$25,8,0))</f>
        <v/>
      </c>
      <c r="X89" s="14" t="n">
        <f aca="false">IF(ISNA(VLOOKUP($B89,'S. DO VIGIA'!$B$2:$J$23,8,0)),"",VLOOKUP($B89,'S. DO VIGIA'!$B$2:$J$23,8,0))</f>
        <v>1</v>
      </c>
      <c r="Y89" s="14" t="n">
        <f aca="false">IF(ISNA(VLOOKUP($B89,'WC SOCIAL FEM'!$B$2:$J$28,8,0)),"",VLOOKUP($B89,'WC SOCIAL FEM'!$B$2:$J$28,8,0))</f>
        <v>1</v>
      </c>
      <c r="Z89" s="14" t="n">
        <f aca="false">IF(ISNA(VLOOKUP($B89,'WC SOCIAL MAS'!$B$2:$J$29,8,0)),"",VLOOKUP($B89,'WC SOCIAL MAS'!$B$2:$J$29,8,0))</f>
        <v>1</v>
      </c>
      <c r="AA89" s="14" t="str">
        <f aca="false">IF(ISNA(VLOOKUP($B89,HIDRÁULICA!$B$2:$J$32,8,0)),"",VLOOKUP($B89,HIDRÁULICA!$B$2:$J$32,8,0))</f>
        <v/>
      </c>
    </row>
    <row r="90" customFormat="false" ht="28.35" hidden="false" customHeight="false" outlineLevel="0" collapsed="false">
      <c r="A90" s="19"/>
      <c r="B90" s="9" t="s">
        <v>305</v>
      </c>
      <c r="C90" s="10" t="s">
        <v>306</v>
      </c>
      <c r="D90" s="11" t="s">
        <v>307</v>
      </c>
      <c r="E90" s="12" t="s">
        <v>308</v>
      </c>
      <c r="F90" s="13" t="n">
        <f aca="false">ROUND(SUM(G90:AA90),2)</f>
        <v>4</v>
      </c>
      <c r="G90" s="14" t="str">
        <f aca="false">IF(ISNA(VLOOKUP($B90,'CORREDOR 01'!$B$2:$J$19,8,0)),"",VLOOKUP($B90,'CORREDOR 01'!$B$2:$J$19,8,0))</f>
        <v/>
      </c>
      <c r="H90" s="14" t="str">
        <f aca="false">IF(ISNA(VLOOKUP($B90,'CORREDOR O2'!$B$2:$J$22,8,0)),"",VLOOKUP($B90,'CORREDOR O2'!$B$2:$J$22,8,0))</f>
        <v/>
      </c>
      <c r="I90" s="14" t="str">
        <f aca="false">IF(ISNA(VLOOKUP($B90,'Á. DE VENTIL.'!$B$2:$J$20,8,0)),"",VLOOKUP($B90,'Á. DE VENTIL.'!$B$2:$J$20,8,0))</f>
        <v/>
      </c>
      <c r="J90" s="14" t="str">
        <f aca="false">IF(ISNA(VLOOKUP($B90,'Á. EXTER '!$B$2:$J$24,8,0)),"",VLOOKUP($B90,'Á. EXTER '!$B$2:$J$24,8,0))</f>
        <v/>
      </c>
      <c r="K90" s="14" t="str">
        <f aca="false">IF(ISNA(VLOOKUP($B90,'ÁREA DE CIR. EXTER.'!$B$2:$J$22,8,0)),"",VLOOKUP($B90,'ÁREA DE CIR. EXTER.'!$B$2:$J$22,8,0))</f>
        <v/>
      </c>
      <c r="L90" s="14" t="str">
        <f aca="false">IF(ISNA(VLOOKUP($B90,AUDITÓRIO!$B$2:$J$14,8,0)),"",VLOOKUP($B90,AUDITÓRIO!$B$2:$J$14,8,0))</f>
        <v/>
      </c>
      <c r="M90" s="14" t="str">
        <f aca="false">IF(ISNA(VLOOKUP($B90,'AUD.   WC FEM'!$B$2:$J$14,8,0)),"",VLOOKUP($B90,'AUD.   WC FEM'!$B$2:$J$14,8,0))</f>
        <v/>
      </c>
      <c r="N90" s="14" t="str">
        <f aca="false">IF(ISNA(VLOOKUP($B90,'AUD.   WC MAS'!$B$2:$J$14,8,0)),"",VLOOKUP($B90,'AUD.   WC MAS'!$B$2:$J$14,8,0))</f>
        <v/>
      </c>
      <c r="O90" s="14" t="str">
        <f aca="false">IF(ISNA(VLOOKUP($B90,'COBERT.'!$B$2:$J$8,8,0)),"",VLOOKUP($B90,'COBERT.'!$B$2:$J$8,8,0))</f>
        <v/>
      </c>
      <c r="P90" s="14" t="str">
        <f aca="false">IF(ISNA(VLOOKUP($B90,COPA!$B$2:$J$31,8,0)),"",VLOOKUP($B90,COPA!$B$2:$J$31,8,0))</f>
        <v/>
      </c>
      <c r="Q90" s="14" t="n">
        <f aca="false">IF(ISNA(VLOOKUP($B90,RECEPÇÃO!$B$2:$J$24,8,0)),"",VLOOKUP($B90,RECEPÇÃO!$B$2:$J$24,8,0))</f>
        <v>1</v>
      </c>
      <c r="R90" s="14" t="n">
        <f aca="false">IF(ISNA(VLOOKUP($B90,'S.  DA ADM.'!$B$2:$J$24,8,0)),"",VLOOKUP($B90,'S.  DA ADM.'!$B$2:$J$24,8,0))</f>
        <v>1</v>
      </c>
      <c r="S90" s="14" t="str">
        <f aca="false">IF(ISNA(VLOOKUP($B90,'S.  DA ADM.   WC'!$B$2:$J$27,8,0)),"",VLOOKUP($B90,'S.  DA ADM.   WC'!$B$2:$J$27,8,0))</f>
        <v/>
      </c>
      <c r="T90" s="14" t="str">
        <f aca="false">IF(ISNA(VLOOKUP($B90,'S. DA ATER'!$B$2:$J$23,8,0)),"",VLOOKUP($B90,'S. DA ATER'!$B$2:$J$23,8,0))</f>
        <v/>
      </c>
      <c r="U90" s="14" t="str">
        <f aca="false">IF(ISNA(VLOOKUP($B90,'S. DA GERÊNCIA'!$B$2:$J$27,8,0)),"",VLOOKUP($B90,'S. DA GERÊNCIA'!$B$2:$J$27,8,0))</f>
        <v/>
      </c>
      <c r="V90" s="14" t="n">
        <f aca="false">IF(ISNA(VLOOKUP($B90,'S. DE ESPERA'!$B$2:$J$23,8,0)),"",VLOOKUP($B90,'S. DE ESPERA'!$B$2:$J$23,8,0))</f>
        <v>1</v>
      </c>
      <c r="W90" s="14" t="n">
        <f aca="false">IF(ISNA(VLOOKUP($B90,'S. DE REUNIÃO'!$B$2:$J$25,8,0)),"",VLOOKUP($B90,'S. DE REUNIÃO'!$B$2:$J$25,8,0))</f>
        <v>1</v>
      </c>
      <c r="X90" s="14" t="str">
        <f aca="false">IF(ISNA(VLOOKUP($B90,'S. DO VIGIA'!$B$2:$J$23,8,0)),"",VLOOKUP($B90,'S. DO VIGIA'!$B$2:$J$23,8,0))</f>
        <v/>
      </c>
      <c r="Y90" s="14" t="str">
        <f aca="false">IF(ISNA(VLOOKUP($B90,'WC SOCIAL FEM'!$B$2:$J$28,8,0)),"",VLOOKUP($B90,'WC SOCIAL FEM'!$B$2:$J$28,8,0))</f>
        <v/>
      </c>
      <c r="Z90" s="14" t="str">
        <f aca="false">IF(ISNA(VLOOKUP($B90,'WC SOCIAL MAS'!$B$2:$J$29,8,0)),"",VLOOKUP($B90,'WC SOCIAL MAS'!$B$2:$J$29,8,0))</f>
        <v/>
      </c>
      <c r="AA90" s="14" t="str">
        <f aca="false">IF(ISNA(VLOOKUP($B90,HIDRÁULICA!$B$2:$J$32,8,0)),"",VLOOKUP($B90,HIDRÁULICA!$B$2:$J$32,8,0))</f>
        <v/>
      </c>
    </row>
    <row r="91" customFormat="false" ht="28.35" hidden="false" customHeight="false" outlineLevel="0" collapsed="false">
      <c r="A91" s="19"/>
      <c r="B91" s="9" t="s">
        <v>309</v>
      </c>
      <c r="C91" s="10" t="s">
        <v>310</v>
      </c>
      <c r="D91" s="11" t="s">
        <v>311</v>
      </c>
      <c r="E91" s="12" t="s">
        <v>308</v>
      </c>
      <c r="F91" s="13" t="n">
        <f aca="false">ROUND(SUM(G91:AA91),2)</f>
        <v>1</v>
      </c>
      <c r="G91" s="14" t="str">
        <f aca="false">IF(ISNA(VLOOKUP($B91,'CORREDOR 01'!$B$2:$J$19,8,0)),"",VLOOKUP($B91,'CORREDOR 01'!$B$2:$J$19,8,0))</f>
        <v/>
      </c>
      <c r="H91" s="14" t="str">
        <f aca="false">IF(ISNA(VLOOKUP($B91,'CORREDOR O2'!$B$2:$J$22,8,0)),"",VLOOKUP($B91,'CORREDOR O2'!$B$2:$J$22,8,0))</f>
        <v/>
      </c>
      <c r="I91" s="14" t="str">
        <f aca="false">IF(ISNA(VLOOKUP($B91,'Á. DE VENTIL.'!$B$2:$J$20,8,0)),"",VLOOKUP($B91,'Á. DE VENTIL.'!$B$2:$J$20,8,0))</f>
        <v/>
      </c>
      <c r="J91" s="14" t="str">
        <f aca="false">IF(ISNA(VLOOKUP($B91,'Á. EXTER '!$B$2:$J$24,8,0)),"",VLOOKUP($B91,'Á. EXTER '!$B$2:$J$24,8,0))</f>
        <v/>
      </c>
      <c r="K91" s="14" t="str">
        <f aca="false">IF(ISNA(VLOOKUP($B91,'ÁREA DE CIR. EXTER.'!$B$2:$J$22,8,0)),"",VLOOKUP($B91,'ÁREA DE CIR. EXTER.'!$B$2:$J$22,8,0))</f>
        <v/>
      </c>
      <c r="L91" s="14" t="n">
        <f aca="false">IF(ISNA(VLOOKUP($B91,AUDITÓRIO!$B$2:$J$14,8,0)),"",VLOOKUP($B91,AUDITÓRIO!$B$2:$J$14,8,0))</f>
        <v>1</v>
      </c>
      <c r="M91" s="14" t="str">
        <f aca="false">IF(ISNA(VLOOKUP($B91,'AUD.   WC FEM'!$B$2:$J$14,8,0)),"",VLOOKUP($B91,'AUD.   WC FEM'!$B$2:$J$14,8,0))</f>
        <v/>
      </c>
      <c r="N91" s="14" t="str">
        <f aca="false">IF(ISNA(VLOOKUP($B91,'AUD.   WC MAS'!$B$2:$J$14,8,0)),"",VLOOKUP($B91,'AUD.   WC MAS'!$B$2:$J$14,8,0))</f>
        <v/>
      </c>
      <c r="O91" s="14" t="str">
        <f aca="false">IF(ISNA(VLOOKUP($B91,'COBERT.'!$B$2:$J$8,8,0)),"",VLOOKUP($B91,'COBERT.'!$B$2:$J$8,8,0))</f>
        <v/>
      </c>
      <c r="P91" s="14" t="str">
        <f aca="false">IF(ISNA(VLOOKUP($B91,COPA!$B$2:$J$31,8,0)),"",VLOOKUP($B91,COPA!$B$2:$J$31,8,0))</f>
        <v/>
      </c>
      <c r="Q91" s="14" t="str">
        <f aca="false">IF(ISNA(VLOOKUP($B91,RECEPÇÃO!$B$2:$J$24,8,0)),"",VLOOKUP($B91,RECEPÇÃO!$B$2:$J$24,8,0))</f>
        <v/>
      </c>
      <c r="R91" s="14" t="str">
        <f aca="false">IF(ISNA(VLOOKUP($B91,'S.  DA ADM.'!$B$2:$J$24,8,0)),"",VLOOKUP($B91,'S.  DA ADM.'!$B$2:$J$24,8,0))</f>
        <v/>
      </c>
      <c r="S91" s="14" t="str">
        <f aca="false">IF(ISNA(VLOOKUP($B91,'S.  DA ADM.   WC'!$B$2:$J$27,8,0)),"",VLOOKUP($B91,'S.  DA ADM.   WC'!$B$2:$J$27,8,0))</f>
        <v/>
      </c>
      <c r="T91" s="14" t="str">
        <f aca="false">IF(ISNA(VLOOKUP($B91,'S. DA ATER'!$B$2:$J$23,8,0)),"",VLOOKUP($B91,'S. DA ATER'!$B$2:$J$23,8,0))</f>
        <v/>
      </c>
      <c r="U91" s="14" t="str">
        <f aca="false">IF(ISNA(VLOOKUP($B91,'S. DA GERÊNCIA'!$B$2:$J$27,8,0)),"",VLOOKUP($B91,'S. DA GERÊNCIA'!$B$2:$J$27,8,0))</f>
        <v/>
      </c>
      <c r="V91" s="14" t="str">
        <f aca="false">IF(ISNA(VLOOKUP($B91,'S. DE ESPERA'!$B$2:$J$23,8,0)),"",VLOOKUP($B91,'S. DE ESPERA'!$B$2:$J$23,8,0))</f>
        <v/>
      </c>
      <c r="W91" s="14" t="str">
        <f aca="false">IF(ISNA(VLOOKUP($B91,'S. DE REUNIÃO'!$B$2:$J$25,8,0)),"",VLOOKUP($B91,'S. DE REUNIÃO'!$B$2:$J$25,8,0))</f>
        <v/>
      </c>
      <c r="X91" s="14" t="str">
        <f aca="false">IF(ISNA(VLOOKUP($B91,'S. DO VIGIA'!$B$2:$J$23,8,0)),"",VLOOKUP($B91,'S. DO VIGIA'!$B$2:$J$23,8,0))</f>
        <v/>
      </c>
      <c r="Y91" s="14" t="str">
        <f aca="false">IF(ISNA(VLOOKUP($B91,'WC SOCIAL FEM'!$B$2:$J$28,8,0)),"",VLOOKUP($B91,'WC SOCIAL FEM'!$B$2:$J$28,8,0))</f>
        <v/>
      </c>
      <c r="Z91" s="14" t="str">
        <f aca="false">IF(ISNA(VLOOKUP($B91,'WC SOCIAL MAS'!$B$2:$J$29,8,0)),"",VLOOKUP($B91,'WC SOCIAL MAS'!$B$2:$J$29,8,0))</f>
        <v/>
      </c>
      <c r="AA91" s="14" t="str">
        <f aca="false">IF(ISNA(VLOOKUP($B91,HIDRÁULICA!$B$2:$J$32,8,0)),"",VLOOKUP($B91,HIDRÁULICA!$B$2:$J$32,8,0))</f>
        <v/>
      </c>
    </row>
    <row r="92" customFormat="false" ht="28.35" hidden="false" customHeight="false" outlineLevel="0" collapsed="false">
      <c r="A92" s="19"/>
      <c r="B92" s="9" t="s">
        <v>312</v>
      </c>
      <c r="C92" s="10" t="s">
        <v>313</v>
      </c>
      <c r="D92" s="11" t="s">
        <v>314</v>
      </c>
      <c r="E92" s="12" t="s">
        <v>50</v>
      </c>
      <c r="F92" s="13" t="n">
        <f aca="false">ROUND(SUM(G92:AA92),2)</f>
        <v>8</v>
      </c>
      <c r="G92" s="14" t="n">
        <f aca="false">IF(ISNA(VLOOKUP($B92,'CORREDOR 01'!$B$2:$J$19,8,0)),"",VLOOKUP($B92,'CORREDOR 01'!$B$2:$J$19,8,0))</f>
        <v>2</v>
      </c>
      <c r="H92" s="14" t="n">
        <f aca="false">IF(ISNA(VLOOKUP($B92,'CORREDOR O2'!$B$2:$J$22,8,0)),"",VLOOKUP($B92,'CORREDOR O2'!$B$2:$J$22,8,0))</f>
        <v>1</v>
      </c>
      <c r="I92" s="14" t="str">
        <f aca="false">IF(ISNA(VLOOKUP($B92,'Á. DE VENTIL.'!$B$2:$J$20,8,0)),"",VLOOKUP($B92,'Á. DE VENTIL.'!$B$2:$J$20,8,0))</f>
        <v/>
      </c>
      <c r="J92" s="14" t="str">
        <f aca="false">IF(ISNA(VLOOKUP($B92,'Á. EXTER '!$B$2:$J$24,8,0)),"",VLOOKUP($B92,'Á. EXTER '!$B$2:$J$24,8,0))</f>
        <v/>
      </c>
      <c r="K92" s="14" t="str">
        <f aca="false">IF(ISNA(VLOOKUP($B92,'ÁREA DE CIR. EXTER.'!$B$2:$J$22,8,0)),"",VLOOKUP($B92,'ÁREA DE CIR. EXTER.'!$B$2:$J$22,8,0))</f>
        <v/>
      </c>
      <c r="L92" s="14" t="str">
        <f aca="false">IF(ISNA(VLOOKUP($B92,AUDITÓRIO!$B$2:$J$14,8,0)),"",VLOOKUP($B92,AUDITÓRIO!$B$2:$J$14,8,0))</f>
        <v/>
      </c>
      <c r="M92" s="14" t="str">
        <f aca="false">IF(ISNA(VLOOKUP($B92,'AUD.   WC FEM'!$B$2:$J$14,8,0)),"",VLOOKUP($B92,'AUD.   WC FEM'!$B$2:$J$14,8,0))</f>
        <v/>
      </c>
      <c r="N92" s="14" t="str">
        <f aca="false">IF(ISNA(VLOOKUP($B92,'AUD.   WC MAS'!$B$2:$J$14,8,0)),"",VLOOKUP($B92,'AUD.   WC MAS'!$B$2:$J$14,8,0))</f>
        <v/>
      </c>
      <c r="O92" s="14" t="str">
        <f aca="false">IF(ISNA(VLOOKUP($B92,'COBERT.'!$B$2:$J$8,8,0)),"",VLOOKUP($B92,'COBERT.'!$B$2:$J$8,8,0))</f>
        <v/>
      </c>
      <c r="P92" s="14" t="n">
        <f aca="false">IF(ISNA(VLOOKUP($B92,COPA!$B$2:$J$31,8,0)),"",VLOOKUP($B92,COPA!$B$2:$J$31,8,0))</f>
        <v>1</v>
      </c>
      <c r="Q92" s="14" t="n">
        <f aca="false">IF(ISNA(VLOOKUP($B92,RECEPÇÃO!$B$2:$J$24,8,0)),"",VLOOKUP($B92,RECEPÇÃO!$B$2:$J$24,8,0))</f>
        <v>1</v>
      </c>
      <c r="R92" s="14" t="n">
        <f aca="false">IF(ISNA(VLOOKUP($B92,'S.  DA ADM.'!$B$2:$J$24,8,0)),"",VLOOKUP($B92,'S.  DA ADM.'!$B$2:$J$24,8,0))</f>
        <v>1</v>
      </c>
      <c r="S92" s="14" t="str">
        <f aca="false">IF(ISNA(VLOOKUP($B92,'S.  DA ADM.   WC'!$B$2:$J$27,8,0)),"",VLOOKUP($B92,'S.  DA ADM.   WC'!$B$2:$J$27,8,0))</f>
        <v/>
      </c>
      <c r="T92" s="14" t="str">
        <f aca="false">IF(ISNA(VLOOKUP($B92,'S. DA ATER'!$B$2:$J$23,8,0)),"",VLOOKUP($B92,'S. DA ATER'!$B$2:$J$23,8,0))</f>
        <v/>
      </c>
      <c r="U92" s="14" t="str">
        <f aca="false">IF(ISNA(VLOOKUP($B92,'S. DA GERÊNCIA'!$B$2:$J$27,8,0)),"",VLOOKUP($B92,'S. DA GERÊNCIA'!$B$2:$J$27,8,0))</f>
        <v/>
      </c>
      <c r="V92" s="14" t="n">
        <f aca="false">IF(ISNA(VLOOKUP($B92,'S. DE ESPERA'!$B$2:$J$23,8,0)),"",VLOOKUP($B92,'S. DE ESPERA'!$B$2:$J$23,8,0))</f>
        <v>1</v>
      </c>
      <c r="W92" s="14" t="n">
        <f aca="false">IF(ISNA(VLOOKUP($B92,'S. DE REUNIÃO'!$B$2:$J$25,8,0)),"",VLOOKUP($B92,'S. DE REUNIÃO'!$B$2:$J$25,8,0))</f>
        <v>1</v>
      </c>
      <c r="X92" s="14" t="str">
        <f aca="false">IF(ISNA(VLOOKUP($B92,'S. DO VIGIA'!$B$2:$J$23,8,0)),"",VLOOKUP($B92,'S. DO VIGIA'!$B$2:$J$23,8,0))</f>
        <v/>
      </c>
      <c r="Y92" s="14" t="str">
        <f aca="false">IF(ISNA(VLOOKUP($B92,'WC SOCIAL FEM'!$B$2:$J$28,8,0)),"",VLOOKUP($B92,'WC SOCIAL FEM'!$B$2:$J$28,8,0))</f>
        <v/>
      </c>
      <c r="Z92" s="14" t="str">
        <f aca="false">IF(ISNA(VLOOKUP($B92,'WC SOCIAL MAS'!$B$2:$J$29,8,0)),"",VLOOKUP($B92,'WC SOCIAL MAS'!$B$2:$J$29,8,0))</f>
        <v/>
      </c>
      <c r="AA92" s="14" t="str">
        <f aca="false">IF(ISNA(VLOOKUP($B92,HIDRÁULICA!$B$2:$J$32,8,0)),"",VLOOKUP($B92,HIDRÁULICA!$B$2:$J$32,8,0))</f>
        <v/>
      </c>
    </row>
    <row r="93" customFormat="false" ht="14.9" hidden="false" customHeight="false" outlineLevel="0" collapsed="false">
      <c r="A93" s="19"/>
      <c r="B93" s="9" t="s">
        <v>315</v>
      </c>
      <c r="C93" s="10" t="s">
        <v>316</v>
      </c>
      <c r="D93" s="11" t="s">
        <v>317</v>
      </c>
      <c r="E93" s="12" t="s">
        <v>50</v>
      </c>
      <c r="F93" s="13" t="n">
        <f aca="false">ROUND(SUM(G93:AA93),2)</f>
        <v>12</v>
      </c>
      <c r="G93" s="14" t="str">
        <f aca="false">IF(ISNA(VLOOKUP($B93,'CORREDOR 01'!$B$2:$J$19,8,0)),"",VLOOKUP($B93,'CORREDOR 01'!$B$2:$J$19,8,0))</f>
        <v/>
      </c>
      <c r="H93" s="14" t="str">
        <f aca="false">IF(ISNA(VLOOKUP($B93,'CORREDOR O2'!$B$2:$J$22,8,0)),"",VLOOKUP($B93,'CORREDOR O2'!$B$2:$J$22,8,0))</f>
        <v/>
      </c>
      <c r="I93" s="14" t="str">
        <f aca="false">IF(ISNA(VLOOKUP($B93,'Á. DE VENTIL.'!$B$2:$J$20,8,0)),"",VLOOKUP($B93,'Á. DE VENTIL.'!$B$2:$J$20,8,0))</f>
        <v/>
      </c>
      <c r="J93" s="14" t="str">
        <f aca="false">IF(ISNA(VLOOKUP($B93,'Á. EXTER '!$B$2:$J$24,8,0)),"",VLOOKUP($B93,'Á. EXTER '!$B$2:$J$24,8,0))</f>
        <v/>
      </c>
      <c r="K93" s="14" t="str">
        <f aca="false">IF(ISNA(VLOOKUP($B93,'ÁREA DE CIR. EXTER.'!$B$2:$J$22,8,0)),"",VLOOKUP($B93,'ÁREA DE CIR. EXTER.'!$B$2:$J$22,8,0))</f>
        <v/>
      </c>
      <c r="L93" s="14" t="n">
        <f aca="false">IF(ISNA(VLOOKUP($B93,AUDITÓRIO!$B$2:$J$14,8,0)),"",VLOOKUP($B93,AUDITÓRIO!$B$2:$J$14,8,0))</f>
        <v>12</v>
      </c>
      <c r="M93" s="14" t="str">
        <f aca="false">IF(ISNA(VLOOKUP($B93,'AUD.   WC FEM'!$B$2:$J$14,8,0)),"",VLOOKUP($B93,'AUD.   WC FEM'!$B$2:$J$14,8,0))</f>
        <v/>
      </c>
      <c r="N93" s="14" t="str">
        <f aca="false">IF(ISNA(VLOOKUP($B93,'AUD.   WC MAS'!$B$2:$J$14,8,0)),"",VLOOKUP($B93,'AUD.   WC MAS'!$B$2:$J$14,8,0))</f>
        <v/>
      </c>
      <c r="O93" s="14" t="str">
        <f aca="false">IF(ISNA(VLOOKUP($B93,'COBERT.'!$B$2:$J$8,8,0)),"",VLOOKUP($B93,'COBERT.'!$B$2:$J$8,8,0))</f>
        <v/>
      </c>
      <c r="P93" s="14" t="str">
        <f aca="false">IF(ISNA(VLOOKUP($B93,COPA!$B$2:$J$31,8,0)),"",VLOOKUP($B93,COPA!$B$2:$J$31,8,0))</f>
        <v/>
      </c>
      <c r="Q93" s="14" t="str">
        <f aca="false">IF(ISNA(VLOOKUP($B93,RECEPÇÃO!$B$2:$J$24,8,0)),"",VLOOKUP($B93,RECEPÇÃO!$B$2:$J$24,8,0))</f>
        <v/>
      </c>
      <c r="R93" s="14" t="str">
        <f aca="false">IF(ISNA(VLOOKUP($B93,'S.  DA ADM.'!$B$2:$J$24,8,0)),"",VLOOKUP($B93,'S.  DA ADM.'!$B$2:$J$24,8,0))</f>
        <v/>
      </c>
      <c r="S93" s="14" t="str">
        <f aca="false">IF(ISNA(VLOOKUP($B93,'S.  DA ADM.   WC'!$B$2:$J$27,8,0)),"",VLOOKUP($B93,'S.  DA ADM.   WC'!$B$2:$J$27,8,0))</f>
        <v/>
      </c>
      <c r="T93" s="14" t="str">
        <f aca="false">IF(ISNA(VLOOKUP($B93,'S. DA ATER'!$B$2:$J$23,8,0)),"",VLOOKUP($B93,'S. DA ATER'!$B$2:$J$23,8,0))</f>
        <v/>
      </c>
      <c r="U93" s="14" t="str">
        <f aca="false">IF(ISNA(VLOOKUP($B93,'S. DA GERÊNCIA'!$B$2:$J$27,8,0)),"",VLOOKUP($B93,'S. DA GERÊNCIA'!$B$2:$J$27,8,0))</f>
        <v/>
      </c>
      <c r="V93" s="14" t="str">
        <f aca="false">IF(ISNA(VLOOKUP($B93,'S. DE ESPERA'!$B$2:$J$23,8,0)),"",VLOOKUP($B93,'S. DE ESPERA'!$B$2:$J$23,8,0))</f>
        <v/>
      </c>
      <c r="W93" s="14" t="str">
        <f aca="false">IF(ISNA(VLOOKUP($B93,'S. DE REUNIÃO'!$B$2:$J$25,8,0)),"",VLOOKUP($B93,'S. DE REUNIÃO'!$B$2:$J$25,8,0))</f>
        <v/>
      </c>
      <c r="X93" s="14" t="str">
        <f aca="false">IF(ISNA(VLOOKUP($B93,'S. DO VIGIA'!$B$2:$J$23,8,0)),"",VLOOKUP($B93,'S. DO VIGIA'!$B$2:$J$23,8,0))</f>
        <v/>
      </c>
      <c r="Y93" s="14" t="str">
        <f aca="false">IF(ISNA(VLOOKUP($B93,'WC SOCIAL FEM'!$B$2:$J$28,8,0)),"",VLOOKUP($B93,'WC SOCIAL FEM'!$B$2:$J$28,8,0))</f>
        <v/>
      </c>
      <c r="Z93" s="14" t="str">
        <f aca="false">IF(ISNA(VLOOKUP($B93,'WC SOCIAL MAS'!$B$2:$J$29,8,0)),"",VLOOKUP($B93,'WC SOCIAL MAS'!$B$2:$J$29,8,0))</f>
        <v/>
      </c>
      <c r="AA93" s="14" t="str">
        <f aca="false">IF(ISNA(VLOOKUP($B93,HIDRÁULICA!$B$2:$J$32,8,0)),"",VLOOKUP($B93,HIDRÁULICA!$B$2:$J$32,8,0))</f>
        <v/>
      </c>
    </row>
    <row r="94" customFormat="false" ht="41.75" hidden="false" customHeight="false" outlineLevel="0" collapsed="false">
      <c r="A94" s="19"/>
      <c r="B94" s="9" t="s">
        <v>318</v>
      </c>
      <c r="C94" s="10" t="s">
        <v>319</v>
      </c>
      <c r="D94" s="11" t="s">
        <v>320</v>
      </c>
      <c r="E94" s="12" t="s">
        <v>50</v>
      </c>
      <c r="F94" s="13" t="n">
        <f aca="false">ROUND(SUM(G94:AA94),2)</f>
        <v>1</v>
      </c>
      <c r="G94" s="14" t="str">
        <f aca="false">IF(ISNA(VLOOKUP($B94,'CORREDOR 01'!$B$2:$J$19,8,0)),"",VLOOKUP($B94,'CORREDOR 01'!$B$2:$J$19,8,0))</f>
        <v/>
      </c>
      <c r="H94" s="14" t="str">
        <f aca="false">IF(ISNA(VLOOKUP($B94,'CORREDOR O2'!$B$2:$J$22,8,0)),"",VLOOKUP($B94,'CORREDOR O2'!$B$2:$J$22,8,0))</f>
        <v/>
      </c>
      <c r="I94" s="14" t="str">
        <f aca="false">IF(ISNA(VLOOKUP($B94,'Á. DE VENTIL.'!$B$2:$J$20,8,0)),"",VLOOKUP($B94,'Á. DE VENTIL.'!$B$2:$J$20,8,0))</f>
        <v/>
      </c>
      <c r="J94" s="14" t="str">
        <f aca="false">IF(ISNA(VLOOKUP($B94,'Á. EXTER '!$B$2:$J$24,8,0)),"",VLOOKUP($B94,'Á. EXTER '!$B$2:$J$24,8,0))</f>
        <v/>
      </c>
      <c r="K94" s="14" t="str">
        <f aca="false">IF(ISNA(VLOOKUP($B94,'ÁREA DE CIR. EXTER.'!$B$2:$J$22,8,0)),"",VLOOKUP($B94,'ÁREA DE CIR. EXTER.'!$B$2:$J$22,8,0))</f>
        <v/>
      </c>
      <c r="L94" s="14" t="str">
        <f aca="false">IF(ISNA(VLOOKUP($B94,AUDITÓRIO!$B$2:$J$14,8,0)),"",VLOOKUP($B94,AUDITÓRIO!$B$2:$J$14,8,0))</f>
        <v/>
      </c>
      <c r="M94" s="14" t="str">
        <f aca="false">IF(ISNA(VLOOKUP($B94,'AUD.   WC FEM'!$B$2:$J$14,8,0)),"",VLOOKUP($B94,'AUD.   WC FEM'!$B$2:$J$14,8,0))</f>
        <v/>
      </c>
      <c r="N94" s="14" t="str">
        <f aca="false">IF(ISNA(VLOOKUP($B94,'AUD.   WC MAS'!$B$2:$J$14,8,0)),"",VLOOKUP($B94,'AUD.   WC MAS'!$B$2:$J$14,8,0))</f>
        <v/>
      </c>
      <c r="O94" s="14" t="str">
        <f aca="false">IF(ISNA(VLOOKUP($B94,'COBERT.'!$B$2:$J$8,8,0)),"",VLOOKUP($B94,'COBERT.'!$B$2:$J$8,8,0))</f>
        <v/>
      </c>
      <c r="P94" s="14" t="n">
        <f aca="false">IF(ISNA(VLOOKUP($B94,COPA!$B$2:$J$31,8,0)),"",VLOOKUP($B94,COPA!$B$2:$J$31,8,0))</f>
        <v>1</v>
      </c>
      <c r="Q94" s="14" t="str">
        <f aca="false">IF(ISNA(VLOOKUP($B94,RECEPÇÃO!$B$2:$J$24,8,0)),"",VLOOKUP($B94,RECEPÇÃO!$B$2:$J$24,8,0))</f>
        <v/>
      </c>
      <c r="R94" s="14" t="str">
        <f aca="false">IF(ISNA(VLOOKUP($B94,'S.  DA ADM.'!$B$2:$J$24,8,0)),"",VLOOKUP($B94,'S.  DA ADM.'!$B$2:$J$24,8,0))</f>
        <v/>
      </c>
      <c r="S94" s="14" t="str">
        <f aca="false">IF(ISNA(VLOOKUP($B94,'S.  DA ADM.   WC'!$B$2:$J$27,8,0)),"",VLOOKUP($B94,'S.  DA ADM.   WC'!$B$2:$J$27,8,0))</f>
        <v/>
      </c>
      <c r="T94" s="14" t="str">
        <f aca="false">IF(ISNA(VLOOKUP($B94,'S. DA ATER'!$B$2:$J$23,8,0)),"",VLOOKUP($B94,'S. DA ATER'!$B$2:$J$23,8,0))</f>
        <v/>
      </c>
      <c r="U94" s="14" t="str">
        <f aca="false">IF(ISNA(VLOOKUP($B94,'S. DA GERÊNCIA'!$B$2:$J$27,8,0)),"",VLOOKUP($B94,'S. DA GERÊNCIA'!$B$2:$J$27,8,0))</f>
        <v/>
      </c>
      <c r="V94" s="14" t="str">
        <f aca="false">IF(ISNA(VLOOKUP($B94,'S. DE ESPERA'!$B$2:$J$23,8,0)),"",VLOOKUP($B94,'S. DE ESPERA'!$B$2:$J$23,8,0))</f>
        <v/>
      </c>
      <c r="W94" s="14" t="str">
        <f aca="false">IF(ISNA(VLOOKUP($B94,'S. DE REUNIÃO'!$B$2:$J$25,8,0)),"",VLOOKUP($B94,'S. DE REUNIÃO'!$B$2:$J$25,8,0))</f>
        <v/>
      </c>
      <c r="X94" s="14" t="str">
        <f aca="false">IF(ISNA(VLOOKUP($B94,'S. DO VIGIA'!$B$2:$J$23,8,0)),"",VLOOKUP($B94,'S. DO VIGIA'!$B$2:$J$23,8,0))</f>
        <v/>
      </c>
      <c r="Y94" s="14" t="str">
        <f aca="false">IF(ISNA(VLOOKUP($B94,'WC SOCIAL FEM'!$B$2:$J$28,8,0)),"",VLOOKUP($B94,'WC SOCIAL FEM'!$B$2:$J$28,8,0))</f>
        <v/>
      </c>
      <c r="Z94" s="14" t="str">
        <f aca="false">IF(ISNA(VLOOKUP($B94,'WC SOCIAL MAS'!$B$2:$J$29,8,0)),"",VLOOKUP($B94,'WC SOCIAL MAS'!$B$2:$J$29,8,0))</f>
        <v/>
      </c>
      <c r="AA94" s="14" t="str">
        <f aca="false">IF(ISNA(VLOOKUP($B94,HIDRÁULICA!$B$2:$J$32,8,0)),"",VLOOKUP($B94,HIDRÁULICA!$B$2:$J$32,8,0))</f>
        <v/>
      </c>
    </row>
    <row r="95" customFormat="false" ht="41.75" hidden="false" customHeight="false" outlineLevel="0" collapsed="false">
      <c r="A95" s="19"/>
      <c r="B95" s="9" t="s">
        <v>321</v>
      </c>
      <c r="C95" s="10" t="s">
        <v>322</v>
      </c>
      <c r="D95" s="11" t="s">
        <v>323</v>
      </c>
      <c r="E95" s="12" t="s">
        <v>50</v>
      </c>
      <c r="F95" s="13" t="n">
        <f aca="false">ROUND(SUM(G95:AA95),2)</f>
        <v>17</v>
      </c>
      <c r="G95" s="14" t="n">
        <f aca="false">IF(ISNA(VLOOKUP($B95,'CORREDOR 01'!$B$2:$J$19,8,0)),"",VLOOKUP($B95,'CORREDOR 01'!$B$2:$J$19,8,0))</f>
        <v>2</v>
      </c>
      <c r="H95" s="14" t="n">
        <f aca="false">IF(ISNA(VLOOKUP($B95,'CORREDOR O2'!$B$2:$J$22,8,0)),"",VLOOKUP($B95,'CORREDOR O2'!$B$2:$J$22,8,0))</f>
        <v>1</v>
      </c>
      <c r="I95" s="14" t="str">
        <f aca="false">IF(ISNA(VLOOKUP($B95,'Á. DE VENTIL.'!$B$2:$J$20,8,0)),"",VLOOKUP($B95,'Á. DE VENTIL.'!$B$2:$J$20,8,0))</f>
        <v/>
      </c>
      <c r="J95" s="14" t="str">
        <f aca="false">IF(ISNA(VLOOKUP($B95,'Á. EXTER '!$B$2:$J$24,8,0)),"",VLOOKUP($B95,'Á. EXTER '!$B$2:$J$24,8,0))</f>
        <v/>
      </c>
      <c r="K95" s="14" t="str">
        <f aca="false">IF(ISNA(VLOOKUP($B95,'ÁREA DE CIR. EXTER.'!$B$2:$J$22,8,0)),"",VLOOKUP($B95,'ÁREA DE CIR. EXTER.'!$B$2:$J$22,8,0))</f>
        <v/>
      </c>
      <c r="L95" s="14" t="str">
        <f aca="false">IF(ISNA(VLOOKUP($B95,AUDITÓRIO!$B$2:$J$14,8,0)),"",VLOOKUP($B95,AUDITÓRIO!$B$2:$J$14,8,0))</f>
        <v/>
      </c>
      <c r="M95" s="14" t="str">
        <f aca="false">IF(ISNA(VLOOKUP($B95,'AUD.   WC FEM'!$B$2:$J$14,8,0)),"",VLOOKUP($B95,'AUD.   WC FEM'!$B$2:$J$14,8,0))</f>
        <v/>
      </c>
      <c r="N95" s="14" t="str">
        <f aca="false">IF(ISNA(VLOOKUP($B95,'AUD.   WC MAS'!$B$2:$J$14,8,0)),"",VLOOKUP($B95,'AUD.   WC MAS'!$B$2:$J$14,8,0))</f>
        <v/>
      </c>
      <c r="O95" s="14" t="str">
        <f aca="false">IF(ISNA(VLOOKUP($B95,'COBERT.'!$B$2:$J$8,8,0)),"",VLOOKUP($B95,'COBERT.'!$B$2:$J$8,8,0))</f>
        <v/>
      </c>
      <c r="P95" s="14" t="str">
        <f aca="false">IF(ISNA(VLOOKUP($B95,COPA!$B$2:$J$31,8,0)),"",VLOOKUP($B95,COPA!$B$2:$J$31,8,0))</f>
        <v/>
      </c>
      <c r="Q95" s="14" t="n">
        <f aca="false">IF(ISNA(VLOOKUP($B95,RECEPÇÃO!$B$2:$J$24,8,0)),"",VLOOKUP($B95,RECEPÇÃO!$B$2:$J$24,8,0))</f>
        <v>2</v>
      </c>
      <c r="R95" s="14" t="n">
        <f aca="false">IF(ISNA(VLOOKUP($B95,'S.  DA ADM.'!$B$2:$J$24,8,0)),"",VLOOKUP($B95,'S.  DA ADM.'!$B$2:$J$24,8,0))</f>
        <v>2</v>
      </c>
      <c r="S95" s="14" t="n">
        <f aca="false">IF(ISNA(VLOOKUP($B95,'S.  DA ADM.   WC'!$B$2:$J$27,8,0)),"",VLOOKUP($B95,'S.  DA ADM.   WC'!$B$2:$J$27,8,0))</f>
        <v>1</v>
      </c>
      <c r="T95" s="14" t="n">
        <f aca="false">IF(ISNA(VLOOKUP($B95,'S. DA ATER'!$B$2:$J$23,8,0)),"",VLOOKUP($B95,'S. DA ATER'!$B$2:$J$23,8,0))</f>
        <v>1</v>
      </c>
      <c r="U95" s="14" t="n">
        <f aca="false">IF(ISNA(VLOOKUP($B95,'S. DA GERÊNCIA'!$B$2:$J$27,8,0)),"",VLOOKUP($B95,'S. DA GERÊNCIA'!$B$2:$J$27,8,0))</f>
        <v>1</v>
      </c>
      <c r="V95" s="14" t="n">
        <f aca="false">IF(ISNA(VLOOKUP($B95,'S. DE ESPERA'!$B$2:$J$23,8,0)),"",VLOOKUP($B95,'S. DE ESPERA'!$B$2:$J$23,8,0))</f>
        <v>2</v>
      </c>
      <c r="W95" s="14" t="n">
        <f aca="false">IF(ISNA(VLOOKUP($B95,'S. DE REUNIÃO'!$B$2:$J$25,8,0)),"",VLOOKUP($B95,'S. DE REUNIÃO'!$B$2:$J$25,8,0))</f>
        <v>2</v>
      </c>
      <c r="X95" s="14" t="n">
        <f aca="false">IF(ISNA(VLOOKUP($B95,'S. DO VIGIA'!$B$2:$J$23,8,0)),"",VLOOKUP($B95,'S. DO VIGIA'!$B$2:$J$23,8,0))</f>
        <v>1</v>
      </c>
      <c r="Y95" s="14" t="n">
        <f aca="false">IF(ISNA(VLOOKUP($B95,'WC SOCIAL FEM'!$B$2:$J$28,8,0)),"",VLOOKUP($B95,'WC SOCIAL FEM'!$B$2:$J$28,8,0))</f>
        <v>1</v>
      </c>
      <c r="Z95" s="14" t="n">
        <f aca="false">IF(ISNA(VLOOKUP($B95,'WC SOCIAL MAS'!$B$2:$J$29,8,0)),"",VLOOKUP($B95,'WC SOCIAL MAS'!$B$2:$J$29,8,0))</f>
        <v>1</v>
      </c>
      <c r="AA95" s="14" t="str">
        <f aca="false">IF(ISNA(VLOOKUP($B95,HIDRÁULICA!$B$2:$J$32,8,0)),"",VLOOKUP($B95,HIDRÁULICA!$B$2:$J$32,8,0))</f>
        <v/>
      </c>
    </row>
    <row r="96" customFormat="false" ht="41.75" hidden="false" customHeight="false" outlineLevel="0" collapsed="false">
      <c r="A96" s="19"/>
      <c r="B96" s="9" t="s">
        <v>324</v>
      </c>
      <c r="C96" s="10" t="s">
        <v>325</v>
      </c>
      <c r="D96" s="11" t="s">
        <v>326</v>
      </c>
      <c r="E96" s="12" t="s">
        <v>308</v>
      </c>
      <c r="F96" s="13" t="n">
        <f aca="false">ROUND(SUM(G96:AA96),2)</f>
        <v>27</v>
      </c>
      <c r="G96" s="14" t="str">
        <f aca="false">IF(ISNA(VLOOKUP($B96,'CORREDOR 01'!$B$2:$J$19,8,0)),"",VLOOKUP($B96,'CORREDOR 01'!$B$2:$J$19,8,0))</f>
        <v/>
      </c>
      <c r="H96" s="14" t="str">
        <f aca="false">IF(ISNA(VLOOKUP($B96,'CORREDOR O2'!$B$2:$J$22,8,0)),"",VLOOKUP($B96,'CORREDOR O2'!$B$2:$J$22,8,0))</f>
        <v/>
      </c>
      <c r="I96" s="14" t="str">
        <f aca="false">IF(ISNA(VLOOKUP($B96,'Á. DE VENTIL.'!$B$2:$J$20,8,0)),"",VLOOKUP($B96,'Á. DE VENTIL.'!$B$2:$J$20,8,0))</f>
        <v/>
      </c>
      <c r="J96" s="14" t="str">
        <f aca="false">IF(ISNA(VLOOKUP($B96,'Á. EXTER '!$B$2:$J$24,8,0)),"",VLOOKUP($B96,'Á. EXTER '!$B$2:$J$24,8,0))</f>
        <v/>
      </c>
      <c r="K96" s="14" t="str">
        <f aca="false">IF(ISNA(VLOOKUP($B96,'ÁREA DE CIR. EXTER.'!$B$2:$J$22,8,0)),"",VLOOKUP($B96,'ÁREA DE CIR. EXTER.'!$B$2:$J$22,8,0))</f>
        <v/>
      </c>
      <c r="L96" s="14" t="str">
        <f aca="false">IF(ISNA(VLOOKUP($B96,AUDITÓRIO!$B$2:$J$14,8,0)),"",VLOOKUP($B96,AUDITÓRIO!$B$2:$J$14,8,0))</f>
        <v/>
      </c>
      <c r="M96" s="14" t="str">
        <f aca="false">IF(ISNA(VLOOKUP($B96,'AUD.   WC FEM'!$B$2:$J$14,8,0)),"",VLOOKUP($B96,'AUD.   WC FEM'!$B$2:$J$14,8,0))</f>
        <v/>
      </c>
      <c r="N96" s="14" t="str">
        <f aca="false">IF(ISNA(VLOOKUP($B96,'AUD.   WC MAS'!$B$2:$J$14,8,0)),"",VLOOKUP($B96,'AUD.   WC MAS'!$B$2:$J$14,8,0))</f>
        <v/>
      </c>
      <c r="O96" s="14" t="str">
        <f aca="false">IF(ISNA(VLOOKUP($B96,'COBERT.'!$B$2:$J$8,8,0)),"",VLOOKUP($B96,'COBERT.'!$B$2:$J$8,8,0))</f>
        <v/>
      </c>
      <c r="P96" s="14" t="n">
        <f aca="false">IF(ISNA(VLOOKUP($B96,COPA!$B$2:$J$31,8,0)),"",VLOOKUP($B96,COPA!$B$2:$J$31,8,0))</f>
        <v>3</v>
      </c>
      <c r="Q96" s="14" t="n">
        <f aca="false">IF(ISNA(VLOOKUP($B96,RECEPÇÃO!$B$2:$J$24,8,0)),"",VLOOKUP($B96,RECEPÇÃO!$B$2:$J$24,8,0))</f>
        <v>3</v>
      </c>
      <c r="R96" s="14" t="n">
        <f aca="false">IF(ISNA(VLOOKUP($B96,'S.  DA ADM.'!$B$2:$J$24,8,0)),"",VLOOKUP($B96,'S.  DA ADM.'!$B$2:$J$24,8,0))</f>
        <v>3</v>
      </c>
      <c r="S96" s="14" t="n">
        <f aca="false">IF(ISNA(VLOOKUP($B96,'S.  DA ADM.   WC'!$B$2:$J$27,8,0)),"",VLOOKUP($B96,'S.  DA ADM.   WC'!$B$2:$J$27,8,0))</f>
        <v>1</v>
      </c>
      <c r="T96" s="14" t="n">
        <f aca="false">IF(ISNA(VLOOKUP($B96,'S. DA ATER'!$B$2:$J$23,8,0)),"",VLOOKUP($B96,'S. DA ATER'!$B$2:$J$23,8,0))</f>
        <v>3</v>
      </c>
      <c r="U96" s="14" t="n">
        <f aca="false">IF(ISNA(VLOOKUP($B96,'S. DA GERÊNCIA'!$B$2:$J$27,8,0)),"",VLOOKUP($B96,'S. DA GERÊNCIA'!$B$2:$J$27,8,0))</f>
        <v>3</v>
      </c>
      <c r="V96" s="14" t="n">
        <f aca="false">IF(ISNA(VLOOKUP($B96,'S. DE ESPERA'!$B$2:$J$23,8,0)),"",VLOOKUP($B96,'S. DE ESPERA'!$B$2:$J$23,8,0))</f>
        <v>3</v>
      </c>
      <c r="W96" s="14" t="n">
        <f aca="false">IF(ISNA(VLOOKUP($B96,'S. DE REUNIÃO'!$B$2:$J$25,8,0)),"",VLOOKUP($B96,'S. DE REUNIÃO'!$B$2:$J$25,8,0))</f>
        <v>3</v>
      </c>
      <c r="X96" s="14" t="n">
        <f aca="false">IF(ISNA(VLOOKUP($B96,'S. DO VIGIA'!$B$2:$J$23,8,0)),"",VLOOKUP($B96,'S. DO VIGIA'!$B$2:$J$23,8,0))</f>
        <v>3</v>
      </c>
      <c r="Y96" s="14" t="n">
        <f aca="false">IF(ISNA(VLOOKUP($B96,'WC SOCIAL FEM'!$B$2:$J$28,8,0)),"",VLOOKUP($B96,'WC SOCIAL FEM'!$B$2:$J$28,8,0))</f>
        <v>1</v>
      </c>
      <c r="Z96" s="14" t="n">
        <f aca="false">IF(ISNA(VLOOKUP($B96,'WC SOCIAL MAS'!$B$2:$J$29,8,0)),"",VLOOKUP($B96,'WC SOCIAL MAS'!$B$2:$J$29,8,0))</f>
        <v>1</v>
      </c>
      <c r="AA96" s="14" t="str">
        <f aca="false">IF(ISNA(VLOOKUP($B96,HIDRÁULICA!$B$2:$J$32,8,0)),"",VLOOKUP($B96,HIDRÁULICA!$B$2:$J$32,8,0))</f>
        <v/>
      </c>
    </row>
    <row r="97" customFormat="false" ht="14.9" hidden="false" customHeight="false" outlineLevel="0" collapsed="false">
      <c r="A97" s="19"/>
      <c r="B97" s="9" t="s">
        <v>327</v>
      </c>
      <c r="C97" s="10" t="s">
        <v>328</v>
      </c>
      <c r="D97" s="11" t="s">
        <v>329</v>
      </c>
      <c r="E97" s="12" t="s">
        <v>308</v>
      </c>
      <c r="F97" s="13" t="n">
        <f aca="false">ROUND(SUM(G97:AA97),2)</f>
        <v>16</v>
      </c>
      <c r="G97" s="14" t="str">
        <f aca="false">IF(ISNA(VLOOKUP($B97,'CORREDOR 01'!$B$2:$J$19,8,0)),"",VLOOKUP($B97,'CORREDOR 01'!$B$2:$J$19,8,0))</f>
        <v/>
      </c>
      <c r="H97" s="14" t="str">
        <f aca="false">IF(ISNA(VLOOKUP($B97,'CORREDOR O2'!$B$2:$J$22,8,0)),"",VLOOKUP($B97,'CORREDOR O2'!$B$2:$J$22,8,0))</f>
        <v/>
      </c>
      <c r="I97" s="14" t="str">
        <f aca="false">IF(ISNA(VLOOKUP($B97,'Á. DE VENTIL.'!$B$2:$J$20,8,0)),"",VLOOKUP($B97,'Á. DE VENTIL.'!$B$2:$J$20,8,0))</f>
        <v/>
      </c>
      <c r="J97" s="14" t="str">
        <f aca="false">IF(ISNA(VLOOKUP($B97,'Á. EXTER '!$B$2:$J$24,8,0)),"",VLOOKUP($B97,'Á. EXTER '!$B$2:$J$24,8,0))</f>
        <v/>
      </c>
      <c r="K97" s="14" t="str">
        <f aca="false">IF(ISNA(VLOOKUP($B97,'ÁREA DE CIR. EXTER.'!$B$2:$J$22,8,0)),"",VLOOKUP($B97,'ÁREA DE CIR. EXTER.'!$B$2:$J$22,8,0))</f>
        <v/>
      </c>
      <c r="L97" s="14" t="n">
        <f aca="false">IF(ISNA(VLOOKUP($B97,AUDITÓRIO!$B$2:$J$14,8,0)),"",VLOOKUP($B97,AUDITÓRIO!$B$2:$J$14,8,0))</f>
        <v>6</v>
      </c>
      <c r="M97" s="14" t="str">
        <f aca="false">IF(ISNA(VLOOKUP($B97,'AUD.   WC FEM'!$B$2:$J$14,8,0)),"",VLOOKUP($B97,'AUD.   WC FEM'!$B$2:$J$14,8,0))</f>
        <v/>
      </c>
      <c r="N97" s="14" t="str">
        <f aca="false">IF(ISNA(VLOOKUP($B97,'AUD.   WC MAS'!$B$2:$J$14,8,0)),"",VLOOKUP($B97,'AUD.   WC MAS'!$B$2:$J$14,8,0))</f>
        <v/>
      </c>
      <c r="O97" s="14" t="str">
        <f aca="false">IF(ISNA(VLOOKUP($B97,'COBERT.'!$B$2:$J$8,8,0)),"",VLOOKUP($B97,'COBERT.'!$B$2:$J$8,8,0))</f>
        <v/>
      </c>
      <c r="P97" s="14" t="str">
        <f aca="false">IF(ISNA(VLOOKUP($B97,COPA!$B$2:$J$31,8,0)),"",VLOOKUP($B97,COPA!$B$2:$J$31,8,0))</f>
        <v/>
      </c>
      <c r="Q97" s="14" t="n">
        <f aca="false">IF(ISNA(VLOOKUP($B97,RECEPÇÃO!$B$2:$J$24,8,0)),"",VLOOKUP($B97,RECEPÇÃO!$B$2:$J$24,8,0))</f>
        <v>1</v>
      </c>
      <c r="R97" s="14" t="n">
        <f aca="false">IF(ISNA(VLOOKUP($B97,'S.  DA ADM.'!$B$2:$J$24,8,0)),"",VLOOKUP($B97,'S.  DA ADM.'!$B$2:$J$24,8,0))</f>
        <v>1</v>
      </c>
      <c r="S97" s="14" t="n">
        <f aca="false">IF(ISNA(VLOOKUP($B97,'S.  DA ADM.   WC'!$B$2:$J$27,8,0)),"",VLOOKUP($B97,'S.  DA ADM.   WC'!$B$2:$J$27,8,0))</f>
        <v>1</v>
      </c>
      <c r="T97" s="14" t="n">
        <f aca="false">IF(ISNA(VLOOKUP($B97,'S. DA ATER'!$B$2:$J$23,8,0)),"",VLOOKUP($B97,'S. DA ATER'!$B$2:$J$23,8,0))</f>
        <v>1</v>
      </c>
      <c r="U97" s="14" t="n">
        <f aca="false">IF(ISNA(VLOOKUP($B97,'S. DA GERÊNCIA'!$B$2:$J$27,8,0)),"",VLOOKUP($B97,'S. DA GERÊNCIA'!$B$2:$J$27,8,0))</f>
        <v>1</v>
      </c>
      <c r="V97" s="14" t="n">
        <f aca="false">IF(ISNA(VLOOKUP($B97,'S. DE ESPERA'!$B$2:$J$23,8,0)),"",VLOOKUP($B97,'S. DE ESPERA'!$B$2:$J$23,8,0))</f>
        <v>1</v>
      </c>
      <c r="W97" s="14" t="n">
        <f aca="false">IF(ISNA(VLOOKUP($B97,'S. DE REUNIÃO'!$B$2:$J$25,8,0)),"",VLOOKUP($B97,'S. DE REUNIÃO'!$B$2:$J$25,8,0))</f>
        <v>1</v>
      </c>
      <c r="X97" s="14" t="n">
        <f aca="false">IF(ISNA(VLOOKUP($B97,'S. DO VIGIA'!$B$2:$J$23,8,0)),"",VLOOKUP($B97,'S. DO VIGIA'!$B$2:$J$23,8,0))</f>
        <v>1</v>
      </c>
      <c r="Y97" s="14" t="n">
        <f aca="false">IF(ISNA(VLOOKUP($B97,'WC SOCIAL FEM'!$B$2:$J$28,8,0)),"",VLOOKUP($B97,'WC SOCIAL FEM'!$B$2:$J$28,8,0))</f>
        <v>1</v>
      </c>
      <c r="Z97" s="14" t="n">
        <f aca="false">IF(ISNA(VLOOKUP($B97,'WC SOCIAL MAS'!$B$2:$J$29,8,0)),"",VLOOKUP($B97,'WC SOCIAL MAS'!$B$2:$J$29,8,0))</f>
        <v>1</v>
      </c>
      <c r="AA97" s="14" t="str">
        <f aca="false">IF(ISNA(VLOOKUP($B97,HIDRÁULICA!$B$2:$J$32,8,0)),"",VLOOKUP($B97,HIDRÁULICA!$B$2:$J$32,8,0))</f>
        <v/>
      </c>
    </row>
    <row r="98" customFormat="false" ht="22.35" hidden="false" customHeight="true" outlineLevel="0" collapsed="false">
      <c r="A98" s="19" t="s">
        <v>330</v>
      </c>
      <c r="B98" s="9" t="s">
        <v>331</v>
      </c>
      <c r="C98" s="10" t="s">
        <v>332</v>
      </c>
      <c r="D98" s="11" t="s">
        <v>333</v>
      </c>
      <c r="E98" s="12" t="s">
        <v>50</v>
      </c>
      <c r="F98" s="13" t="n">
        <f aca="false">ROUND(SUM(G98:AA98),2)</f>
        <v>3</v>
      </c>
      <c r="G98" s="14"/>
      <c r="H98" s="14"/>
      <c r="I98" s="14"/>
      <c r="J98" s="14"/>
      <c r="K98" s="14"/>
      <c r="L98" s="14"/>
      <c r="M98" s="14"/>
      <c r="N98" s="14"/>
      <c r="O98" s="14"/>
      <c r="P98" s="14"/>
      <c r="Q98" s="14"/>
      <c r="R98" s="14"/>
      <c r="S98" s="14" t="str">
        <f aca="false">IF(ISNA(VLOOKUP($B98,'S.  DA ADM.   WC'!$B$2:$J$27,8,0)),"",VLOOKUP($B98,'S.  DA ADM.   WC'!$B$2:$J$27,8,0))</f>
        <v/>
      </c>
      <c r="T98" s="14"/>
      <c r="U98" s="14"/>
      <c r="V98" s="14"/>
      <c r="W98" s="14"/>
      <c r="X98" s="14"/>
      <c r="Y98" s="14"/>
      <c r="Z98" s="14"/>
      <c r="AA98" s="14" t="n">
        <f aca="false">IF(ISNA(VLOOKUP($B98,HIDRÁULICA!$B$2:$J$32,8,0)),"",VLOOKUP($B98,HIDRÁULICA!$B$2:$J$32,8,0))</f>
        <v>3</v>
      </c>
    </row>
    <row r="99" customFormat="false" ht="55.2" hidden="false" customHeight="false" outlineLevel="0" collapsed="false">
      <c r="A99" s="19"/>
      <c r="B99" s="9" t="s">
        <v>334</v>
      </c>
      <c r="C99" s="10" t="s">
        <v>335</v>
      </c>
      <c r="D99" s="11" t="s">
        <v>336</v>
      </c>
      <c r="E99" s="12" t="s">
        <v>50</v>
      </c>
      <c r="F99" s="13" t="n">
        <f aca="false">ROUND(SUM(G99:AA99),2)</f>
        <v>3</v>
      </c>
      <c r="G99" s="14"/>
      <c r="H99" s="14"/>
      <c r="I99" s="14"/>
      <c r="J99" s="14"/>
      <c r="K99" s="14"/>
      <c r="L99" s="14"/>
      <c r="M99" s="14"/>
      <c r="N99" s="14"/>
      <c r="O99" s="14"/>
      <c r="P99" s="14"/>
      <c r="Q99" s="14"/>
      <c r="R99" s="14"/>
      <c r="S99" s="14" t="str">
        <f aca="false">IF(ISNA(VLOOKUP($B99,'S.  DA ADM.   WC'!$B$2:$J$27,8,0)),"",VLOOKUP($B99,'S.  DA ADM.   WC'!$B$2:$J$27,8,0))</f>
        <v/>
      </c>
      <c r="T99" s="14"/>
      <c r="U99" s="14"/>
      <c r="V99" s="14"/>
      <c r="W99" s="14"/>
      <c r="X99" s="14"/>
      <c r="Y99" s="14"/>
      <c r="Z99" s="14"/>
      <c r="AA99" s="14" t="n">
        <f aca="false">IF(ISNA(VLOOKUP($B99,HIDRÁULICA!$B$2:$J$32,8,0)),"",VLOOKUP($B99,HIDRÁULICA!$B$2:$J$32,8,0))</f>
        <v>3</v>
      </c>
    </row>
    <row r="100" customFormat="false" ht="28.35" hidden="false" customHeight="false" outlineLevel="0" collapsed="false">
      <c r="A100" s="19"/>
      <c r="B100" s="9" t="s">
        <v>337</v>
      </c>
      <c r="C100" s="10" t="s">
        <v>338</v>
      </c>
      <c r="D100" s="11" t="s">
        <v>339</v>
      </c>
      <c r="E100" s="12" t="s">
        <v>50</v>
      </c>
      <c r="F100" s="13" t="n">
        <f aca="false">ROUND(SUM(G100:AA100),2)</f>
        <v>5</v>
      </c>
      <c r="G100" s="14"/>
      <c r="H100" s="14"/>
      <c r="I100" s="14"/>
      <c r="J100" s="14"/>
      <c r="K100" s="14"/>
      <c r="L100" s="14"/>
      <c r="M100" s="14"/>
      <c r="N100" s="14"/>
      <c r="O100" s="14"/>
      <c r="P100" s="14"/>
      <c r="Q100" s="14"/>
      <c r="R100" s="14"/>
      <c r="S100" s="14" t="str">
        <f aca="false">IF(ISNA(VLOOKUP($B100,'S.  DA ADM.   WC'!$B$2:$J$27,8,0)),"",VLOOKUP($B100,'S.  DA ADM.   WC'!$B$2:$J$27,8,0))</f>
        <v/>
      </c>
      <c r="T100" s="14"/>
      <c r="U100" s="14"/>
      <c r="V100" s="14"/>
      <c r="W100" s="14"/>
      <c r="X100" s="14"/>
      <c r="Y100" s="14"/>
      <c r="Z100" s="14"/>
      <c r="AA100" s="14" t="n">
        <f aca="false">IF(ISNA(VLOOKUP($B100,HIDRÁULICA!$B$2:$J$32,8,0)),"",VLOOKUP($B100,HIDRÁULICA!$B$2:$J$32,8,0))</f>
        <v>5</v>
      </c>
    </row>
    <row r="101" customFormat="false" ht="28.35" hidden="false" customHeight="false" outlineLevel="0" collapsed="false">
      <c r="A101" s="19"/>
      <c r="B101" s="9" t="s">
        <v>340</v>
      </c>
      <c r="C101" s="10" t="s">
        <v>341</v>
      </c>
      <c r="D101" s="11" t="s">
        <v>342</v>
      </c>
      <c r="E101" s="12" t="s">
        <v>50</v>
      </c>
      <c r="F101" s="13" t="n">
        <f aca="false">ROUND(SUM(G101:AA101),2)</f>
        <v>5</v>
      </c>
      <c r="G101" s="14"/>
      <c r="H101" s="14"/>
      <c r="I101" s="14"/>
      <c r="J101" s="14"/>
      <c r="K101" s="14"/>
      <c r="L101" s="14"/>
      <c r="M101" s="14"/>
      <c r="N101" s="14"/>
      <c r="O101" s="14"/>
      <c r="P101" s="14"/>
      <c r="Q101" s="14"/>
      <c r="R101" s="14"/>
      <c r="S101" s="14" t="str">
        <f aca="false">IF(ISNA(VLOOKUP($B101,'S.  DA ADM.   WC'!$B$2:$J$27,8,0)),"",VLOOKUP($B101,'S.  DA ADM.   WC'!$B$2:$J$27,8,0))</f>
        <v/>
      </c>
      <c r="T101" s="14"/>
      <c r="U101" s="14"/>
      <c r="V101" s="14"/>
      <c r="W101" s="14"/>
      <c r="X101" s="14"/>
      <c r="Y101" s="14"/>
      <c r="Z101" s="14"/>
      <c r="AA101" s="14" t="n">
        <f aca="false">IF(ISNA(VLOOKUP($B101,HIDRÁULICA!$B$2:$J$32,8,0)),"",VLOOKUP($B101,HIDRÁULICA!$B$2:$J$32,8,0))</f>
        <v>5</v>
      </c>
    </row>
    <row r="102" customFormat="false" ht="28.35" hidden="false" customHeight="false" outlineLevel="0" collapsed="false">
      <c r="A102" s="19"/>
      <c r="B102" s="9" t="s">
        <v>343</v>
      </c>
      <c r="C102" s="10" t="s">
        <v>344</v>
      </c>
      <c r="D102" s="11" t="s">
        <v>345</v>
      </c>
      <c r="E102" s="12" t="s">
        <v>50</v>
      </c>
      <c r="F102" s="13" t="n">
        <f aca="false">ROUND(SUM(G102:AA102),2)</f>
        <v>5</v>
      </c>
      <c r="G102" s="14"/>
      <c r="H102" s="14"/>
      <c r="I102" s="14"/>
      <c r="J102" s="14"/>
      <c r="K102" s="14"/>
      <c r="L102" s="14"/>
      <c r="M102" s="14"/>
      <c r="N102" s="14"/>
      <c r="O102" s="14"/>
      <c r="P102" s="14"/>
      <c r="Q102" s="14"/>
      <c r="R102" s="14"/>
      <c r="S102" s="14" t="str">
        <f aca="false">IF(ISNA(VLOOKUP($B102,'S.  DA ADM.   WC'!$B$2:$J$27,8,0)),"",VLOOKUP($B102,'S.  DA ADM.   WC'!$B$2:$J$27,8,0))</f>
        <v/>
      </c>
      <c r="T102" s="14"/>
      <c r="U102" s="14"/>
      <c r="V102" s="14"/>
      <c r="W102" s="14"/>
      <c r="X102" s="14"/>
      <c r="Y102" s="14"/>
      <c r="Z102" s="14"/>
      <c r="AA102" s="14" t="n">
        <f aca="false">IF(ISNA(VLOOKUP($B102,HIDRÁULICA!$B$2:$J$32,8,0)),"",VLOOKUP($B102,HIDRÁULICA!$B$2:$J$32,8,0))</f>
        <v>5</v>
      </c>
    </row>
    <row r="103" customFormat="false" ht="14.9" hidden="false" customHeight="false" outlineLevel="0" collapsed="false">
      <c r="A103" s="19"/>
      <c r="B103" s="9" t="s">
        <v>346</v>
      </c>
      <c r="C103" s="10" t="s">
        <v>347</v>
      </c>
      <c r="D103" s="11" t="s">
        <v>348</v>
      </c>
      <c r="E103" s="12" t="s">
        <v>50</v>
      </c>
      <c r="F103" s="13" t="n">
        <f aca="false">ROUND(SUM(G103:AA103),2)</f>
        <v>9</v>
      </c>
      <c r="G103" s="14"/>
      <c r="H103" s="14"/>
      <c r="I103" s="14"/>
      <c r="J103" s="14"/>
      <c r="K103" s="14"/>
      <c r="L103" s="14"/>
      <c r="M103" s="14"/>
      <c r="N103" s="14"/>
      <c r="O103" s="14"/>
      <c r="P103" s="14"/>
      <c r="Q103" s="14"/>
      <c r="R103" s="14"/>
      <c r="S103" s="14" t="str">
        <f aca="false">IF(ISNA(VLOOKUP($B103,'S.  DA ADM.   WC'!$B$2:$J$27,8,0)),"",VLOOKUP($B103,'S.  DA ADM.   WC'!$B$2:$J$27,8,0))</f>
        <v/>
      </c>
      <c r="T103" s="14"/>
      <c r="U103" s="14"/>
      <c r="V103" s="14"/>
      <c r="W103" s="14"/>
      <c r="X103" s="14"/>
      <c r="Y103" s="14"/>
      <c r="Z103" s="14"/>
      <c r="AA103" s="14" t="n">
        <f aca="false">IF(ISNA(VLOOKUP($B103,HIDRÁULICA!$B$2:$J$32,8,0)),"",VLOOKUP($B103,HIDRÁULICA!$B$2:$J$32,8,0))</f>
        <v>9</v>
      </c>
    </row>
    <row r="104" customFormat="false" ht="14.9" hidden="false" customHeight="false" outlineLevel="0" collapsed="false">
      <c r="A104" s="19"/>
      <c r="B104" s="9" t="s">
        <v>349</v>
      </c>
      <c r="C104" s="10" t="s">
        <v>350</v>
      </c>
      <c r="D104" s="11" t="s">
        <v>351</v>
      </c>
      <c r="E104" s="12" t="s">
        <v>50</v>
      </c>
      <c r="F104" s="13" t="n">
        <f aca="false">ROUND(SUM(G104:AA104),2)</f>
        <v>3</v>
      </c>
      <c r="G104" s="14"/>
      <c r="H104" s="14"/>
      <c r="I104" s="14"/>
      <c r="J104" s="14"/>
      <c r="K104" s="14"/>
      <c r="L104" s="14"/>
      <c r="M104" s="14"/>
      <c r="N104" s="14"/>
      <c r="O104" s="14"/>
      <c r="P104" s="14"/>
      <c r="Q104" s="14"/>
      <c r="R104" s="14"/>
      <c r="S104" s="14" t="str">
        <f aca="false">IF(ISNA(VLOOKUP($B104,'S.  DA ADM.   WC'!$B$2:$J$27,8,0)),"",VLOOKUP($B104,'S.  DA ADM.   WC'!$B$2:$J$27,8,0))</f>
        <v/>
      </c>
      <c r="T104" s="14"/>
      <c r="U104" s="14"/>
      <c r="V104" s="14"/>
      <c r="W104" s="14"/>
      <c r="X104" s="14"/>
      <c r="Y104" s="14"/>
      <c r="Z104" s="14"/>
      <c r="AA104" s="14" t="n">
        <f aca="false">IF(ISNA(VLOOKUP($B104,HIDRÁULICA!$B$2:$J$32,8,0)),"",VLOOKUP($B104,HIDRÁULICA!$B$2:$J$32,8,0))</f>
        <v>3</v>
      </c>
    </row>
    <row r="105" customFormat="false" ht="14.9" hidden="false" customHeight="false" outlineLevel="0" collapsed="false">
      <c r="A105" s="19"/>
      <c r="B105" s="9" t="s">
        <v>352</v>
      </c>
      <c r="C105" s="10" t="s">
        <v>353</v>
      </c>
      <c r="D105" s="11" t="s">
        <v>354</v>
      </c>
      <c r="E105" s="12" t="s">
        <v>50</v>
      </c>
      <c r="F105" s="13" t="n">
        <f aca="false">ROUND(SUM(G105:AA105),2)</f>
        <v>2</v>
      </c>
      <c r="G105" s="14"/>
      <c r="H105" s="14"/>
      <c r="I105" s="14"/>
      <c r="J105" s="14"/>
      <c r="K105" s="14"/>
      <c r="L105" s="14"/>
      <c r="M105" s="14"/>
      <c r="N105" s="14"/>
      <c r="O105" s="14"/>
      <c r="P105" s="14"/>
      <c r="Q105" s="14"/>
      <c r="R105" s="14"/>
      <c r="S105" s="14" t="str">
        <f aca="false">IF(ISNA(VLOOKUP($B105,'S.  DA ADM.   WC'!$B$2:$J$27,8,0)),"",VLOOKUP($B105,'S.  DA ADM.   WC'!$B$2:$J$27,8,0))</f>
        <v/>
      </c>
      <c r="T105" s="14"/>
      <c r="U105" s="14"/>
      <c r="V105" s="14"/>
      <c r="W105" s="14"/>
      <c r="X105" s="14"/>
      <c r="Y105" s="14"/>
      <c r="Z105" s="14"/>
      <c r="AA105" s="14" t="n">
        <f aca="false">IF(ISNA(VLOOKUP($B105,HIDRÁULICA!$B$2:$J$32,8,0)),"",VLOOKUP($B105,HIDRÁULICA!$B$2:$J$32,8,0))</f>
        <v>2</v>
      </c>
    </row>
    <row r="106" customFormat="false" ht="14.9" hidden="false" customHeight="false" outlineLevel="0" collapsed="false">
      <c r="A106" s="19"/>
      <c r="B106" s="9" t="s">
        <v>355</v>
      </c>
      <c r="C106" s="10" t="s">
        <v>356</v>
      </c>
      <c r="D106" s="11" t="s">
        <v>357</v>
      </c>
      <c r="E106" s="12" t="s">
        <v>50</v>
      </c>
      <c r="F106" s="13" t="n">
        <f aca="false">ROUND(SUM(G106:AA106),2)</f>
        <v>1</v>
      </c>
      <c r="G106" s="14"/>
      <c r="H106" s="14"/>
      <c r="I106" s="14"/>
      <c r="J106" s="14"/>
      <c r="K106" s="14"/>
      <c r="L106" s="14"/>
      <c r="M106" s="14"/>
      <c r="N106" s="14"/>
      <c r="O106" s="14"/>
      <c r="P106" s="14"/>
      <c r="Q106" s="14"/>
      <c r="R106" s="14"/>
      <c r="S106" s="14" t="str">
        <f aca="false">IF(ISNA(VLOOKUP($B106,'S.  DA ADM.   WC'!$B$2:$J$27,8,0)),"",VLOOKUP($B106,'S.  DA ADM.   WC'!$B$2:$J$27,8,0))</f>
        <v/>
      </c>
      <c r="T106" s="14"/>
      <c r="U106" s="14"/>
      <c r="V106" s="14"/>
      <c r="W106" s="14"/>
      <c r="X106" s="14"/>
      <c r="Y106" s="14"/>
      <c r="Z106" s="14"/>
      <c r="AA106" s="14" t="n">
        <f aca="false">IF(ISNA(VLOOKUP($B106,HIDRÁULICA!$B$2:$J$32,8,0)),"",VLOOKUP($B106,HIDRÁULICA!$B$2:$J$32,8,0))</f>
        <v>1</v>
      </c>
    </row>
    <row r="107" customFormat="false" ht="14.9" hidden="false" customHeight="false" outlineLevel="0" collapsed="false">
      <c r="A107" s="19"/>
      <c r="B107" s="9" t="s">
        <v>358</v>
      </c>
      <c r="C107" s="10" t="s">
        <v>359</v>
      </c>
      <c r="D107" s="11" t="s">
        <v>360</v>
      </c>
      <c r="E107" s="12" t="s">
        <v>50</v>
      </c>
      <c r="F107" s="13" t="n">
        <f aca="false">ROUND(SUM(G107:AA107),2)</f>
        <v>1</v>
      </c>
      <c r="G107" s="14"/>
      <c r="H107" s="14"/>
      <c r="I107" s="14"/>
      <c r="J107" s="14"/>
      <c r="K107" s="14"/>
      <c r="L107" s="14"/>
      <c r="M107" s="14"/>
      <c r="N107" s="14"/>
      <c r="O107" s="14"/>
      <c r="P107" s="14"/>
      <c r="Q107" s="14"/>
      <c r="R107" s="14"/>
      <c r="S107" s="14" t="str">
        <f aca="false">IF(ISNA(VLOOKUP($B107,'S.  DA ADM.   WC'!$B$2:$J$27,8,0)),"",VLOOKUP($B107,'S.  DA ADM.   WC'!$B$2:$J$27,8,0))</f>
        <v/>
      </c>
      <c r="T107" s="14"/>
      <c r="U107" s="14"/>
      <c r="V107" s="14"/>
      <c r="W107" s="14"/>
      <c r="X107" s="14"/>
      <c r="Y107" s="14"/>
      <c r="Z107" s="14"/>
      <c r="AA107" s="14" t="n">
        <f aca="false">IF(ISNA(VLOOKUP($B107,HIDRÁULICA!$B$2:$J$32,8,0)),"",VLOOKUP($B107,HIDRÁULICA!$B$2:$J$32,8,0))</f>
        <v>1</v>
      </c>
    </row>
    <row r="108" customFormat="false" ht="41.75" hidden="false" customHeight="false" outlineLevel="0" collapsed="false">
      <c r="A108" s="19"/>
      <c r="B108" s="9" t="s">
        <v>361</v>
      </c>
      <c r="C108" s="10" t="s">
        <v>362</v>
      </c>
      <c r="D108" s="11" t="s">
        <v>363</v>
      </c>
      <c r="E108" s="12" t="s">
        <v>50</v>
      </c>
      <c r="F108" s="13" t="n">
        <f aca="false">ROUND(SUM(G108:AA108),2)</f>
        <v>4</v>
      </c>
      <c r="G108" s="14"/>
      <c r="H108" s="14"/>
      <c r="I108" s="14"/>
      <c r="J108" s="14"/>
      <c r="K108" s="14"/>
      <c r="L108" s="14"/>
      <c r="M108" s="14"/>
      <c r="N108" s="14"/>
      <c r="O108" s="14"/>
      <c r="P108" s="14"/>
      <c r="Q108" s="14"/>
      <c r="R108" s="14"/>
      <c r="S108" s="14" t="str">
        <f aca="false">IF(ISNA(VLOOKUP($B108,'S.  DA ADM.   WC'!$B$2:$J$27,8,0)),"",VLOOKUP($B108,'S.  DA ADM.   WC'!$B$2:$J$27,8,0))</f>
        <v/>
      </c>
      <c r="T108" s="14"/>
      <c r="U108" s="14"/>
      <c r="V108" s="14"/>
      <c r="W108" s="14"/>
      <c r="X108" s="14"/>
      <c r="Y108" s="14"/>
      <c r="Z108" s="14"/>
      <c r="AA108" s="14" t="n">
        <f aca="false">IF(ISNA(VLOOKUP($B108,HIDRÁULICA!$B$2:$J$32,8,0)),"",VLOOKUP($B108,HIDRÁULICA!$B$2:$J$32,8,0))</f>
        <v>4</v>
      </c>
    </row>
    <row r="109" customFormat="false" ht="28.35" hidden="false" customHeight="false" outlineLevel="0" collapsed="false">
      <c r="A109" s="19"/>
      <c r="B109" s="9" t="s">
        <v>364</v>
      </c>
      <c r="C109" s="10" t="s">
        <v>365</v>
      </c>
      <c r="D109" s="11" t="s">
        <v>366</v>
      </c>
      <c r="E109" s="12" t="s">
        <v>50</v>
      </c>
      <c r="F109" s="13" t="n">
        <f aca="false">ROUND(SUM(G109:AA109),2)</f>
        <v>1</v>
      </c>
      <c r="G109" s="14"/>
      <c r="H109" s="14"/>
      <c r="I109" s="14"/>
      <c r="J109" s="14"/>
      <c r="K109" s="14"/>
      <c r="L109" s="14"/>
      <c r="M109" s="14"/>
      <c r="N109" s="14"/>
      <c r="O109" s="14"/>
      <c r="P109" s="14"/>
      <c r="Q109" s="14"/>
      <c r="R109" s="14"/>
      <c r="S109" s="14" t="str">
        <f aca="false">IF(ISNA(VLOOKUP($B109,'S.  DA ADM.   WC'!$B$2:$J$27,8,0)),"",VLOOKUP($B109,'S.  DA ADM.   WC'!$B$2:$J$27,8,0))</f>
        <v/>
      </c>
      <c r="T109" s="14"/>
      <c r="U109" s="14"/>
      <c r="V109" s="14"/>
      <c r="W109" s="14"/>
      <c r="X109" s="14"/>
      <c r="Y109" s="14"/>
      <c r="Z109" s="14"/>
      <c r="AA109" s="14" t="n">
        <f aca="false">IF(ISNA(VLOOKUP($B109,HIDRÁULICA!$B$2:$J$32,8,0)),"",VLOOKUP($B109,HIDRÁULICA!$B$2:$J$32,8,0))</f>
        <v>1</v>
      </c>
    </row>
    <row r="110" customFormat="false" ht="28.35" hidden="false" customHeight="false" outlineLevel="0" collapsed="false">
      <c r="A110" s="19"/>
      <c r="B110" s="9" t="s">
        <v>367</v>
      </c>
      <c r="C110" s="10" t="s">
        <v>368</v>
      </c>
      <c r="D110" s="11" t="s">
        <v>369</v>
      </c>
      <c r="E110" s="12" t="s">
        <v>50</v>
      </c>
      <c r="F110" s="13" t="n">
        <f aca="false">ROUND(SUM(G110:AA110),2)</f>
        <v>3</v>
      </c>
      <c r="G110" s="14"/>
      <c r="H110" s="14"/>
      <c r="I110" s="14"/>
      <c r="J110" s="14"/>
      <c r="K110" s="14"/>
      <c r="L110" s="14"/>
      <c r="M110" s="14"/>
      <c r="N110" s="14"/>
      <c r="O110" s="14"/>
      <c r="P110" s="14"/>
      <c r="Q110" s="14"/>
      <c r="R110" s="14"/>
      <c r="S110" s="14" t="str">
        <f aca="false">IF(ISNA(VLOOKUP($B110,'S.  DA ADM.   WC'!$B$2:$J$27,8,0)),"",VLOOKUP($B110,'S.  DA ADM.   WC'!$B$2:$J$27,8,0))</f>
        <v/>
      </c>
      <c r="T110" s="14"/>
      <c r="U110" s="14"/>
      <c r="V110" s="14"/>
      <c r="W110" s="14"/>
      <c r="X110" s="14"/>
      <c r="Y110" s="14"/>
      <c r="Z110" s="14"/>
      <c r="AA110" s="14" t="n">
        <f aca="false">IF(ISNA(VLOOKUP($B110,HIDRÁULICA!$B$2:$J$32,8,0)),"",VLOOKUP($B110,HIDRÁULICA!$B$2:$J$32,8,0))</f>
        <v>3</v>
      </c>
    </row>
    <row r="111" customFormat="false" ht="28.35" hidden="false" customHeight="false" outlineLevel="0" collapsed="false">
      <c r="A111" s="19"/>
      <c r="B111" s="9" t="s">
        <v>370</v>
      </c>
      <c r="C111" s="10" t="s">
        <v>371</v>
      </c>
      <c r="D111" s="11" t="s">
        <v>372</v>
      </c>
      <c r="E111" s="12" t="s">
        <v>50</v>
      </c>
      <c r="F111" s="13" t="n">
        <f aca="false">ROUND(SUM(G111:AA111),2)</f>
        <v>2</v>
      </c>
      <c r="G111" s="14"/>
      <c r="H111" s="14"/>
      <c r="I111" s="14"/>
      <c r="J111" s="14"/>
      <c r="K111" s="14"/>
      <c r="L111" s="14"/>
      <c r="M111" s="14"/>
      <c r="N111" s="14"/>
      <c r="O111" s="14"/>
      <c r="P111" s="14"/>
      <c r="Q111" s="14"/>
      <c r="R111" s="14"/>
      <c r="S111" s="14" t="str">
        <f aca="false">IF(ISNA(VLOOKUP($B111,'S.  DA ADM.   WC'!$B$2:$J$27,8,0)),"",VLOOKUP($B111,'S.  DA ADM.   WC'!$B$2:$J$27,8,0))</f>
        <v/>
      </c>
      <c r="T111" s="14"/>
      <c r="U111" s="14"/>
      <c r="V111" s="14"/>
      <c r="W111" s="14"/>
      <c r="X111" s="14"/>
      <c r="Y111" s="14"/>
      <c r="Z111" s="14"/>
      <c r="AA111" s="14" t="n">
        <f aca="false">IF(ISNA(VLOOKUP($B111,HIDRÁULICA!$B$2:$J$32,8,0)),"",VLOOKUP($B111,HIDRÁULICA!$B$2:$J$32,8,0))</f>
        <v>2</v>
      </c>
    </row>
    <row r="112" customFormat="false" ht="28.35" hidden="false" customHeight="false" outlineLevel="0" collapsed="false">
      <c r="A112" s="19"/>
      <c r="B112" s="9" t="s">
        <v>373</v>
      </c>
      <c r="C112" s="10" t="s">
        <v>374</v>
      </c>
      <c r="D112" s="11" t="s">
        <v>375</v>
      </c>
      <c r="E112" s="12" t="s">
        <v>50</v>
      </c>
      <c r="F112" s="13" t="n">
        <f aca="false">ROUND(SUM(G112:AA112),2)</f>
        <v>3</v>
      </c>
      <c r="G112" s="14"/>
      <c r="H112" s="14"/>
      <c r="I112" s="14"/>
      <c r="J112" s="14"/>
      <c r="K112" s="14"/>
      <c r="L112" s="14"/>
      <c r="M112" s="14"/>
      <c r="N112" s="14"/>
      <c r="O112" s="14"/>
      <c r="P112" s="14"/>
      <c r="Q112" s="14"/>
      <c r="R112" s="14"/>
      <c r="S112" s="14" t="str">
        <f aca="false">IF(ISNA(VLOOKUP($B112,'S.  DA ADM.   WC'!$B$2:$J$27,8,0)),"",VLOOKUP($B112,'S.  DA ADM.   WC'!$B$2:$J$27,8,0))</f>
        <v/>
      </c>
      <c r="T112" s="14"/>
      <c r="U112" s="14"/>
      <c r="V112" s="14"/>
      <c r="W112" s="14"/>
      <c r="X112" s="14"/>
      <c r="Y112" s="14"/>
      <c r="Z112" s="14"/>
      <c r="AA112" s="14" t="n">
        <f aca="false">IF(ISNA(VLOOKUP($B112,HIDRÁULICA!$B$2:$J$32,8,0)),"",VLOOKUP($B112,HIDRÁULICA!$B$2:$J$32,8,0))</f>
        <v>3</v>
      </c>
    </row>
    <row r="113" customFormat="false" ht="28.35" hidden="false" customHeight="false" outlineLevel="0" collapsed="false">
      <c r="A113" s="19"/>
      <c r="B113" s="9" t="s">
        <v>376</v>
      </c>
      <c r="C113" s="10" t="s">
        <v>377</v>
      </c>
      <c r="D113" s="11" t="s">
        <v>378</v>
      </c>
      <c r="E113" s="12" t="s">
        <v>50</v>
      </c>
      <c r="F113" s="13" t="n">
        <f aca="false">ROUND(SUM(G113:AA113),2)</f>
        <v>1</v>
      </c>
      <c r="G113" s="14"/>
      <c r="H113" s="14"/>
      <c r="I113" s="14"/>
      <c r="J113" s="14"/>
      <c r="K113" s="14"/>
      <c r="L113" s="14"/>
      <c r="M113" s="14"/>
      <c r="N113" s="14"/>
      <c r="O113" s="14"/>
      <c r="P113" s="14"/>
      <c r="Q113" s="14"/>
      <c r="R113" s="14"/>
      <c r="S113" s="14" t="str">
        <f aca="false">IF(ISNA(VLOOKUP($B113,'S.  DA ADM.   WC'!$B$2:$J$27,8,0)),"",VLOOKUP($B113,'S.  DA ADM.   WC'!$B$2:$J$27,8,0))</f>
        <v/>
      </c>
      <c r="T113" s="14"/>
      <c r="U113" s="14"/>
      <c r="V113" s="14"/>
      <c r="W113" s="14"/>
      <c r="X113" s="14"/>
      <c r="Y113" s="14"/>
      <c r="Z113" s="14"/>
      <c r="AA113" s="14" t="n">
        <f aca="false">IF(ISNA(VLOOKUP($B113,HIDRÁULICA!$B$2:$J$32,8,0)),"",VLOOKUP($B113,HIDRÁULICA!$B$2:$J$32,8,0))</f>
        <v>1</v>
      </c>
    </row>
    <row r="114" customFormat="false" ht="28.35" hidden="false" customHeight="false" outlineLevel="0" collapsed="false">
      <c r="A114" s="19"/>
      <c r="B114" s="9" t="s">
        <v>379</v>
      </c>
      <c r="C114" s="10" t="s">
        <v>380</v>
      </c>
      <c r="D114" s="11" t="s">
        <v>381</v>
      </c>
      <c r="E114" s="12" t="s">
        <v>50</v>
      </c>
      <c r="F114" s="13" t="n">
        <f aca="false">ROUND(SUM(G114:AA114),2)</f>
        <v>5</v>
      </c>
      <c r="G114" s="14"/>
      <c r="H114" s="14"/>
      <c r="I114" s="14"/>
      <c r="J114" s="14"/>
      <c r="K114" s="14"/>
      <c r="L114" s="14"/>
      <c r="M114" s="14"/>
      <c r="N114" s="14"/>
      <c r="O114" s="14"/>
      <c r="P114" s="14"/>
      <c r="Q114" s="14"/>
      <c r="R114" s="14"/>
      <c r="S114" s="14" t="str">
        <f aca="false">IF(ISNA(VLOOKUP($B114,'S.  DA ADM.   WC'!$B$2:$J$27,8,0)),"",VLOOKUP($B114,'S.  DA ADM.   WC'!$B$2:$J$27,8,0))</f>
        <v/>
      </c>
      <c r="T114" s="14"/>
      <c r="U114" s="14"/>
      <c r="V114" s="14"/>
      <c r="W114" s="14"/>
      <c r="X114" s="14"/>
      <c r="Y114" s="14"/>
      <c r="Z114" s="14"/>
      <c r="AA114" s="14" t="n">
        <f aca="false">IF(ISNA(VLOOKUP($B114,HIDRÁULICA!$B$2:$J$32,8,0)),"",VLOOKUP($B114,HIDRÁULICA!$B$2:$J$32,8,0))</f>
        <v>5</v>
      </c>
    </row>
    <row r="115" customFormat="false" ht="28.35" hidden="false" customHeight="false" outlineLevel="0" collapsed="false">
      <c r="A115" s="19"/>
      <c r="B115" s="9" t="s">
        <v>382</v>
      </c>
      <c r="C115" s="10" t="s">
        <v>383</v>
      </c>
      <c r="D115" s="11" t="s">
        <v>384</v>
      </c>
      <c r="E115" s="12" t="s">
        <v>50</v>
      </c>
      <c r="F115" s="13" t="n">
        <f aca="false">ROUND(SUM(G115:AA115),2)</f>
        <v>5</v>
      </c>
      <c r="G115" s="14"/>
      <c r="H115" s="14"/>
      <c r="I115" s="14"/>
      <c r="J115" s="14"/>
      <c r="K115" s="14"/>
      <c r="L115" s="14"/>
      <c r="M115" s="14"/>
      <c r="N115" s="14"/>
      <c r="O115" s="14"/>
      <c r="P115" s="14"/>
      <c r="Q115" s="14"/>
      <c r="R115" s="14"/>
      <c r="S115" s="14" t="str">
        <f aca="false">IF(ISNA(VLOOKUP($B115,'S.  DA ADM.   WC'!$B$2:$J$27,8,0)),"",VLOOKUP($B115,'S.  DA ADM.   WC'!$B$2:$J$27,8,0))</f>
        <v/>
      </c>
      <c r="T115" s="14"/>
      <c r="U115" s="14"/>
      <c r="V115" s="14"/>
      <c r="W115" s="14"/>
      <c r="X115" s="14"/>
      <c r="Y115" s="14"/>
      <c r="Z115" s="14"/>
      <c r="AA115" s="14" t="n">
        <f aca="false">IF(ISNA(VLOOKUP($B115,HIDRÁULICA!$B$2:$J$32,8,0)),"",VLOOKUP($B115,HIDRÁULICA!$B$2:$J$32,8,0))</f>
        <v>5</v>
      </c>
    </row>
    <row r="116" customFormat="false" ht="28.35" hidden="false" customHeight="false" outlineLevel="0" collapsed="false">
      <c r="A116" s="19"/>
      <c r="B116" s="9" t="s">
        <v>385</v>
      </c>
      <c r="C116" s="10" t="s">
        <v>386</v>
      </c>
      <c r="D116" s="11" t="s">
        <v>387</v>
      </c>
      <c r="E116" s="12" t="s">
        <v>50</v>
      </c>
      <c r="F116" s="13" t="n">
        <f aca="false">ROUND(SUM(G116:AA116),2)</f>
        <v>2</v>
      </c>
      <c r="G116" s="14"/>
      <c r="H116" s="14"/>
      <c r="I116" s="14"/>
      <c r="J116" s="14"/>
      <c r="K116" s="14"/>
      <c r="L116" s="14"/>
      <c r="M116" s="14"/>
      <c r="N116" s="14"/>
      <c r="O116" s="14"/>
      <c r="P116" s="14"/>
      <c r="Q116" s="14"/>
      <c r="R116" s="14"/>
      <c r="S116" s="14" t="str">
        <f aca="false">IF(ISNA(VLOOKUP($B116,'S.  DA ADM.   WC'!$B$2:$J$27,8,0)),"",VLOOKUP($B116,'S.  DA ADM.   WC'!$B$2:$J$27,8,0))</f>
        <v/>
      </c>
      <c r="T116" s="14"/>
      <c r="U116" s="14"/>
      <c r="V116" s="14"/>
      <c r="W116" s="14"/>
      <c r="X116" s="14"/>
      <c r="Y116" s="14"/>
      <c r="Z116" s="14"/>
      <c r="AA116" s="14" t="n">
        <f aca="false">IF(ISNA(VLOOKUP($B116,HIDRÁULICA!$B$2:$J$32,8,0)),"",VLOOKUP($B116,HIDRÁULICA!$B$2:$J$32,8,0))</f>
        <v>2</v>
      </c>
    </row>
    <row r="117" customFormat="false" ht="14.9" hidden="false" customHeight="false" outlineLevel="0" collapsed="false">
      <c r="A117" s="19"/>
      <c r="B117" s="9" t="s">
        <v>388</v>
      </c>
      <c r="C117" s="10" t="s">
        <v>389</v>
      </c>
      <c r="D117" s="11" t="s">
        <v>390</v>
      </c>
      <c r="E117" s="12" t="s">
        <v>43</v>
      </c>
      <c r="F117" s="13" t="n">
        <f aca="false">ROUND(SUM(G117:AA117),2)</f>
        <v>1.4</v>
      </c>
      <c r="G117" s="14"/>
      <c r="H117" s="14"/>
      <c r="I117" s="14"/>
      <c r="J117" s="14"/>
      <c r="K117" s="14"/>
      <c r="L117" s="14"/>
      <c r="M117" s="14"/>
      <c r="N117" s="14"/>
      <c r="O117" s="14"/>
      <c r="P117" s="14"/>
      <c r="Q117" s="14"/>
      <c r="R117" s="14"/>
      <c r="S117" s="14" t="str">
        <f aca="false">IF(ISNA(VLOOKUP($B117,'S.  DA ADM.   WC'!$B$2:$J$27,8,0)),"",VLOOKUP($B117,'S.  DA ADM.   WC'!$B$2:$J$27,8,0))</f>
        <v/>
      </c>
      <c r="T117" s="14"/>
      <c r="U117" s="14"/>
      <c r="V117" s="14"/>
      <c r="W117" s="14"/>
      <c r="X117" s="14"/>
      <c r="Y117" s="14"/>
      <c r="Z117" s="14"/>
      <c r="AA117" s="14" t="n">
        <f aca="false">IF(ISNA(VLOOKUP($B117,HIDRÁULICA!$B$2:$J$32,8,0)),"",VLOOKUP($B117,HIDRÁULICA!$B$2:$J$32,8,0))</f>
        <v>1.4</v>
      </c>
    </row>
    <row r="118" customFormat="false" ht="14.9" hidden="false" customHeight="false" outlineLevel="0" collapsed="false">
      <c r="A118" s="19"/>
      <c r="B118" s="9" t="s">
        <v>391</v>
      </c>
      <c r="C118" s="10" t="s">
        <v>392</v>
      </c>
      <c r="D118" s="11" t="s">
        <v>393</v>
      </c>
      <c r="E118" s="12" t="s">
        <v>43</v>
      </c>
      <c r="F118" s="13" t="n">
        <f aca="false">ROUND(SUM(G118:AA118),2)</f>
        <v>15.03</v>
      </c>
      <c r="G118" s="14"/>
      <c r="H118" s="14"/>
      <c r="I118" s="14"/>
      <c r="J118" s="14"/>
      <c r="K118" s="14"/>
      <c r="L118" s="14"/>
      <c r="M118" s="14"/>
      <c r="N118" s="14"/>
      <c r="O118" s="14"/>
      <c r="P118" s="14"/>
      <c r="Q118" s="14"/>
      <c r="R118" s="14"/>
      <c r="S118" s="14" t="str">
        <f aca="false">IF(ISNA(VLOOKUP($B118,'S.  DA ADM.   WC'!$B$2:$J$27,8,0)),"",VLOOKUP($B118,'S.  DA ADM.   WC'!$B$2:$J$27,8,0))</f>
        <v/>
      </c>
      <c r="T118" s="14"/>
      <c r="U118" s="14"/>
      <c r="V118" s="14"/>
      <c r="W118" s="14"/>
      <c r="X118" s="14"/>
      <c r="Y118" s="14"/>
      <c r="Z118" s="14"/>
      <c r="AA118" s="14" t="n">
        <f aca="false">IF(ISNA(VLOOKUP($B118,HIDRÁULICA!$B$2:$J$32,8,0)),"",VLOOKUP($B118,HIDRÁULICA!$B$2:$J$32,8,0))</f>
        <v>15.03</v>
      </c>
    </row>
    <row r="119" customFormat="false" ht="14.9" hidden="false" customHeight="false" outlineLevel="0" collapsed="false">
      <c r="A119" s="19"/>
      <c r="B119" s="9" t="s">
        <v>394</v>
      </c>
      <c r="C119" s="10" t="s">
        <v>395</v>
      </c>
      <c r="D119" s="11" t="s">
        <v>396</v>
      </c>
      <c r="E119" s="12" t="s">
        <v>43</v>
      </c>
      <c r="F119" s="13" t="n">
        <f aca="false">ROUND(SUM(G119:AA119),2)</f>
        <v>11.23</v>
      </c>
      <c r="G119" s="14"/>
      <c r="H119" s="14"/>
      <c r="I119" s="14"/>
      <c r="J119" s="14"/>
      <c r="K119" s="14"/>
      <c r="L119" s="14"/>
      <c r="M119" s="14"/>
      <c r="N119" s="14"/>
      <c r="O119" s="14"/>
      <c r="P119" s="14"/>
      <c r="Q119" s="14"/>
      <c r="R119" s="14"/>
      <c r="S119" s="14" t="str">
        <f aca="false">IF(ISNA(VLOOKUP($B119,'S.  DA ADM.   WC'!$B$2:$J$27,8,0)),"",VLOOKUP($B119,'S.  DA ADM.   WC'!$B$2:$J$27,8,0))</f>
        <v/>
      </c>
      <c r="T119" s="14"/>
      <c r="U119" s="14"/>
      <c r="V119" s="14"/>
      <c r="W119" s="14"/>
      <c r="X119" s="14"/>
      <c r="Y119" s="14"/>
      <c r="Z119" s="14"/>
      <c r="AA119" s="14" t="n">
        <f aca="false">IF(ISNA(VLOOKUP($B119,HIDRÁULICA!$B$2:$J$32,8,0)),"",VLOOKUP($B119,HIDRÁULICA!$B$2:$J$32,8,0))</f>
        <v>11.23</v>
      </c>
    </row>
    <row r="120" customFormat="false" ht="14.9" hidden="false" customHeight="false" outlineLevel="0" collapsed="false">
      <c r="A120" s="19"/>
      <c r="B120" s="9" t="s">
        <v>397</v>
      </c>
      <c r="C120" s="10" t="s">
        <v>398</v>
      </c>
      <c r="D120" s="11" t="s">
        <v>399</v>
      </c>
      <c r="E120" s="12" t="s">
        <v>43</v>
      </c>
      <c r="F120" s="13" t="n">
        <f aca="false">ROUND(SUM(G120:AA120),2)</f>
        <v>41.3</v>
      </c>
      <c r="G120" s="14"/>
      <c r="H120" s="14"/>
      <c r="I120" s="14"/>
      <c r="J120" s="14"/>
      <c r="K120" s="14"/>
      <c r="L120" s="14"/>
      <c r="M120" s="14"/>
      <c r="N120" s="14"/>
      <c r="O120" s="14"/>
      <c r="P120" s="14"/>
      <c r="Q120" s="14"/>
      <c r="R120" s="14"/>
      <c r="S120" s="14" t="str">
        <f aca="false">IF(ISNA(VLOOKUP($B120,'S.  DA ADM.   WC'!$B$2:$J$27,8,0)),"",VLOOKUP($B120,'S.  DA ADM.   WC'!$B$2:$J$27,8,0))</f>
        <v/>
      </c>
      <c r="T120" s="14"/>
      <c r="U120" s="14"/>
      <c r="V120" s="14"/>
      <c r="W120" s="14"/>
      <c r="X120" s="14"/>
      <c r="Y120" s="14"/>
      <c r="Z120" s="14"/>
      <c r="AA120" s="14" t="n">
        <f aca="false">IF(ISNA(VLOOKUP($B120,HIDRÁULICA!$B$2:$J$32,8,0)),"",VLOOKUP($B120,HIDRÁULICA!$B$2:$J$32,8,0))</f>
        <v>41.3</v>
      </c>
    </row>
    <row r="121" customFormat="false" ht="14.9" hidden="false" customHeight="false" outlineLevel="0" collapsed="false">
      <c r="A121" s="19"/>
      <c r="B121" s="9" t="s">
        <v>400</v>
      </c>
      <c r="C121" s="10" t="s">
        <v>401</v>
      </c>
      <c r="D121" s="11" t="s">
        <v>402</v>
      </c>
      <c r="E121" s="12" t="s">
        <v>43</v>
      </c>
      <c r="F121" s="13" t="n">
        <f aca="false">ROUND(SUM(G121:AA121),2)</f>
        <v>18.91</v>
      </c>
      <c r="G121" s="14"/>
      <c r="H121" s="14"/>
      <c r="I121" s="14"/>
      <c r="J121" s="14"/>
      <c r="K121" s="14"/>
      <c r="L121" s="14"/>
      <c r="M121" s="14"/>
      <c r="N121" s="14"/>
      <c r="O121" s="14"/>
      <c r="P121" s="14"/>
      <c r="Q121" s="14"/>
      <c r="R121" s="14"/>
      <c r="S121" s="14" t="str">
        <f aca="false">IF(ISNA(VLOOKUP($B121,'S.  DA ADM.   WC'!$B$2:$J$27,8,0)),"",VLOOKUP($B121,'S.  DA ADM.   WC'!$B$2:$J$27,8,0))</f>
        <v/>
      </c>
      <c r="T121" s="14"/>
      <c r="U121" s="14"/>
      <c r="V121" s="14"/>
      <c r="W121" s="14"/>
      <c r="X121" s="14"/>
      <c r="Y121" s="14"/>
      <c r="Z121" s="14"/>
      <c r="AA121" s="14" t="n">
        <f aca="false">IF(ISNA(VLOOKUP($B121,HIDRÁULICA!$B$2:$J$32,8,0)),"",VLOOKUP($B121,HIDRÁULICA!$B$2:$J$32,8,0))</f>
        <v>18.91</v>
      </c>
    </row>
    <row r="122" customFormat="false" ht="28.35" hidden="false" customHeight="false" outlineLevel="0" collapsed="false">
      <c r="A122" s="19"/>
      <c r="B122" s="9" t="s">
        <v>403</v>
      </c>
      <c r="C122" s="10" t="s">
        <v>404</v>
      </c>
      <c r="D122" s="11" t="s">
        <v>405</v>
      </c>
      <c r="E122" s="12" t="s">
        <v>50</v>
      </c>
      <c r="F122" s="13" t="n">
        <f aca="false">ROUND(SUM(G122:AA122),2)</f>
        <v>2</v>
      </c>
      <c r="G122" s="14"/>
      <c r="H122" s="14"/>
      <c r="I122" s="14"/>
      <c r="J122" s="14"/>
      <c r="K122" s="14"/>
      <c r="L122" s="14"/>
      <c r="M122" s="14"/>
      <c r="N122" s="14"/>
      <c r="O122" s="14"/>
      <c r="P122" s="14"/>
      <c r="Q122" s="14"/>
      <c r="R122" s="14"/>
      <c r="S122" s="14" t="str">
        <f aca="false">IF(ISNA(VLOOKUP($B122,'S.  DA ADM.   WC'!$B$2:$J$27,8,0)),"",VLOOKUP($B122,'S.  DA ADM.   WC'!$B$2:$J$27,8,0))</f>
        <v/>
      </c>
      <c r="T122" s="14"/>
      <c r="U122" s="14"/>
      <c r="V122" s="14"/>
      <c r="W122" s="14"/>
      <c r="X122" s="14"/>
      <c r="Y122" s="14"/>
      <c r="Z122" s="14"/>
      <c r="AA122" s="14" t="n">
        <f aca="false">IF(ISNA(VLOOKUP($B122,HIDRÁULICA!$B$2:$J$32,8,0)),"",VLOOKUP($B122,HIDRÁULICA!$B$2:$J$32,8,0))</f>
        <v>2</v>
      </c>
    </row>
    <row r="123" customFormat="false" ht="28.35" hidden="false" customHeight="false" outlineLevel="0" collapsed="false">
      <c r="A123" s="19"/>
      <c r="B123" s="9" t="s">
        <v>406</v>
      </c>
      <c r="C123" s="10" t="s">
        <v>407</v>
      </c>
      <c r="D123" s="11" t="s">
        <v>408</v>
      </c>
      <c r="E123" s="12" t="s">
        <v>50</v>
      </c>
      <c r="F123" s="13" t="n">
        <f aca="false">ROUND(SUM(G123:AA123),2)</f>
        <v>12</v>
      </c>
      <c r="G123" s="14"/>
      <c r="H123" s="14"/>
      <c r="I123" s="14"/>
      <c r="J123" s="14"/>
      <c r="K123" s="14"/>
      <c r="L123" s="14"/>
      <c r="M123" s="14"/>
      <c r="N123" s="14"/>
      <c r="O123" s="14"/>
      <c r="P123" s="14"/>
      <c r="Q123" s="14"/>
      <c r="R123" s="14"/>
      <c r="S123" s="14" t="str">
        <f aca="false">IF(ISNA(VLOOKUP($B123,'S.  DA ADM.   WC'!$B$2:$J$27,8,0)),"",VLOOKUP($B123,'S.  DA ADM.   WC'!$B$2:$J$27,8,0))</f>
        <v/>
      </c>
      <c r="T123" s="14"/>
      <c r="U123" s="14"/>
      <c r="V123" s="14"/>
      <c r="W123" s="14"/>
      <c r="X123" s="14"/>
      <c r="Y123" s="14"/>
      <c r="Z123" s="14"/>
      <c r="AA123" s="14" t="n">
        <f aca="false">IF(ISNA(VLOOKUP($B123,HIDRÁULICA!$B$2:$J$32,8,0)),"",VLOOKUP($B123,HIDRÁULICA!$B$2:$J$32,8,0))</f>
        <v>12</v>
      </c>
    </row>
    <row r="124" customFormat="false" ht="41.75" hidden="false" customHeight="false" outlineLevel="0" collapsed="false">
      <c r="A124" s="19"/>
      <c r="B124" s="9" t="s">
        <v>409</v>
      </c>
      <c r="C124" s="10" t="s">
        <v>410</v>
      </c>
      <c r="D124" s="11" t="s">
        <v>411</v>
      </c>
      <c r="E124" s="12" t="s">
        <v>43</v>
      </c>
      <c r="F124" s="13" t="n">
        <f aca="false">ROUND(SUM(G124:AA124),2)</f>
        <v>30</v>
      </c>
      <c r="G124" s="14"/>
      <c r="H124" s="14"/>
      <c r="I124" s="14"/>
      <c r="J124" s="14"/>
      <c r="K124" s="14"/>
      <c r="L124" s="14"/>
      <c r="M124" s="14"/>
      <c r="N124" s="14"/>
      <c r="O124" s="14"/>
      <c r="P124" s="14"/>
      <c r="Q124" s="14"/>
      <c r="R124" s="14"/>
      <c r="S124" s="14" t="str">
        <f aca="false">IF(ISNA(VLOOKUP($B124,'S.  DA ADM.   WC'!$B$2:$J$27,8,0)),"",VLOOKUP($B124,'S.  DA ADM.   WC'!$B$2:$J$27,8,0))</f>
        <v/>
      </c>
      <c r="T124" s="14"/>
      <c r="U124" s="14"/>
      <c r="V124" s="14"/>
      <c r="W124" s="14"/>
      <c r="X124" s="14"/>
      <c r="Y124" s="14"/>
      <c r="Z124" s="14"/>
      <c r="AA124" s="14" t="n">
        <f aca="false">IF(ISNA(VLOOKUP($B124,HIDRÁULICA!$B$2:$J$32,8,0)),"",VLOOKUP($B124,HIDRÁULICA!$B$2:$J$32,8,0))</f>
        <v>30</v>
      </c>
    </row>
    <row r="125" customFormat="false" ht="14.9" hidden="false" customHeight="false" outlineLevel="0" collapsed="false">
      <c r="A125" s="19"/>
      <c r="B125" s="9" t="s">
        <v>412</v>
      </c>
      <c r="C125" s="10" t="s">
        <v>413</v>
      </c>
      <c r="D125" s="11" t="s">
        <v>414</v>
      </c>
      <c r="E125" s="12" t="s">
        <v>50</v>
      </c>
      <c r="F125" s="13" t="n">
        <f aca="false">ROUND(SUM(G125:AA125),2)</f>
        <v>2</v>
      </c>
      <c r="G125" s="14"/>
      <c r="H125" s="14"/>
      <c r="I125" s="14"/>
      <c r="J125" s="14"/>
      <c r="K125" s="14"/>
      <c r="L125" s="14"/>
      <c r="M125" s="14"/>
      <c r="N125" s="14"/>
      <c r="O125" s="14"/>
      <c r="P125" s="14"/>
      <c r="Q125" s="14"/>
      <c r="R125" s="14"/>
      <c r="S125" s="14" t="str">
        <f aca="false">IF(ISNA(VLOOKUP($B125,'S.  DA ADM.   WC'!$B$2:$J$27,8,0)),"",VLOOKUP($B125,'S.  DA ADM.   WC'!$B$2:$J$27,8,0))</f>
        <v/>
      </c>
      <c r="T125" s="14"/>
      <c r="U125" s="14"/>
      <c r="V125" s="14"/>
      <c r="W125" s="14"/>
      <c r="X125" s="14"/>
      <c r="Y125" s="14"/>
      <c r="Z125" s="14"/>
      <c r="AA125" s="14" t="n">
        <f aca="false">IF(ISNA(VLOOKUP($B125,HIDRÁULICA!$B$2:$J$32,8,0)),"",VLOOKUP($B125,HIDRÁULICA!$B$2:$J$32,8,0))</f>
        <v>2</v>
      </c>
    </row>
    <row r="126" customFormat="false" ht="55.2" hidden="false" customHeight="false" outlineLevel="0" collapsed="false">
      <c r="A126" s="19"/>
      <c r="B126" s="9" t="s">
        <v>415</v>
      </c>
      <c r="C126" s="10" t="s">
        <v>416</v>
      </c>
      <c r="D126" s="11" t="s">
        <v>417</v>
      </c>
      <c r="E126" s="12" t="s">
        <v>50</v>
      </c>
      <c r="F126" s="13" t="n">
        <f aca="false">ROUND(SUM(G126:AA126),2)</f>
        <v>5</v>
      </c>
      <c r="G126" s="14"/>
      <c r="H126" s="14"/>
      <c r="I126" s="14"/>
      <c r="J126" s="14"/>
      <c r="K126" s="14"/>
      <c r="L126" s="14"/>
      <c r="M126" s="14"/>
      <c r="N126" s="14"/>
      <c r="O126" s="14"/>
      <c r="P126" s="14"/>
      <c r="Q126" s="14"/>
      <c r="R126" s="14"/>
      <c r="S126" s="14" t="str">
        <f aca="false">IF(ISNA(VLOOKUP($B126,'S.  DA ADM.   WC'!$B$2:$J$27,8,0)),"",VLOOKUP($B126,'S.  DA ADM.   WC'!$B$2:$J$27,8,0))</f>
        <v/>
      </c>
      <c r="T126" s="14"/>
      <c r="U126" s="14"/>
      <c r="V126" s="14"/>
      <c r="W126" s="14"/>
      <c r="X126" s="14"/>
      <c r="Y126" s="14"/>
      <c r="Z126" s="14"/>
      <c r="AA126" s="14" t="n">
        <f aca="false">IF(ISNA(VLOOKUP($B126,HIDRÁULICA!$B$2:$J$32,8,0)),"",VLOOKUP($B126,HIDRÁULICA!$B$2:$J$32,8,0))</f>
        <v>5</v>
      </c>
    </row>
    <row r="127" customFormat="false" ht="14.9" hidden="false" customHeight="false" outlineLevel="0" collapsed="false">
      <c r="A127" s="19"/>
      <c r="B127" s="9" t="s">
        <v>418</v>
      </c>
      <c r="C127" s="10" t="s">
        <v>419</v>
      </c>
      <c r="D127" s="11" t="s">
        <v>420</v>
      </c>
      <c r="E127" s="12" t="s">
        <v>50</v>
      </c>
      <c r="F127" s="13" t="n">
        <f aca="false">ROUND(SUM(G127:AA127),2)</f>
        <v>1</v>
      </c>
      <c r="G127" s="14"/>
      <c r="H127" s="14"/>
      <c r="I127" s="14"/>
      <c r="J127" s="14"/>
      <c r="K127" s="14"/>
      <c r="L127" s="14"/>
      <c r="M127" s="14"/>
      <c r="N127" s="14"/>
      <c r="O127" s="14"/>
      <c r="P127" s="14"/>
      <c r="Q127" s="14"/>
      <c r="R127" s="14"/>
      <c r="S127" s="14" t="str">
        <f aca="false">IF(ISNA(VLOOKUP($B127,'S.  DA ADM.   WC'!$B$2:$J$27,8,0)),"",VLOOKUP($B127,'S.  DA ADM.   WC'!$B$2:$J$27,8,0))</f>
        <v/>
      </c>
      <c r="T127" s="14"/>
      <c r="U127" s="14"/>
      <c r="V127" s="14"/>
      <c r="W127" s="14"/>
      <c r="X127" s="14"/>
      <c r="Y127" s="14"/>
      <c r="Z127" s="14"/>
      <c r="AA127" s="14" t="n">
        <f aca="false">IF(ISNA(VLOOKUP($B127,HIDRÁULICA!$B$2:$J$32,8,0)),"",VLOOKUP($B127,HIDRÁULICA!$B$2:$J$32,8,0))</f>
        <v>1</v>
      </c>
    </row>
    <row r="128" customFormat="false" ht="41.75" hidden="false" customHeight="false" outlineLevel="0" collapsed="false">
      <c r="A128" s="19"/>
      <c r="B128" s="9" t="s">
        <v>421</v>
      </c>
      <c r="C128" s="10" t="s">
        <v>422</v>
      </c>
      <c r="D128" s="11" t="s">
        <v>423</v>
      </c>
      <c r="E128" s="12" t="s">
        <v>50</v>
      </c>
      <c r="F128" s="13" t="n">
        <f aca="false">ROUND(SUM(G128:AA128),2)</f>
        <v>6</v>
      </c>
      <c r="G128" s="14"/>
      <c r="H128" s="14"/>
      <c r="I128" s="14"/>
      <c r="J128" s="14"/>
      <c r="K128" s="14"/>
      <c r="L128" s="14"/>
      <c r="M128" s="14"/>
      <c r="N128" s="14"/>
      <c r="O128" s="14"/>
      <c r="P128" s="14"/>
      <c r="Q128" s="14"/>
      <c r="R128" s="14"/>
      <c r="S128" s="14" t="str">
        <f aca="false">IF(ISNA(VLOOKUP($B128,'S.  DA ADM.   WC'!$B$2:$J$27,8,0)),"",VLOOKUP($B128,'S.  DA ADM.   WC'!$B$2:$J$27,8,0))</f>
        <v/>
      </c>
      <c r="T128" s="14"/>
      <c r="U128" s="14"/>
      <c r="V128" s="14"/>
      <c r="W128" s="14"/>
      <c r="X128" s="14"/>
      <c r="Y128" s="14"/>
      <c r="Z128" s="14"/>
      <c r="AA128" s="14" t="n">
        <f aca="false">IF(ISNA(VLOOKUP($B128,HIDRÁULICA!$B$2:$J$32,8,0)),"",VLOOKUP($B128,HIDRÁULICA!$B$2:$J$32,8,0))</f>
        <v>6</v>
      </c>
    </row>
    <row r="129" customFormat="false" ht="36" hidden="false" customHeight="true" outlineLevel="0" collapsed="false">
      <c r="A129" s="9" t="s">
        <v>424</v>
      </c>
      <c r="B129" s="9" t="s">
        <v>425</v>
      </c>
      <c r="C129" s="10" t="s">
        <v>426</v>
      </c>
      <c r="D129" s="11" t="s">
        <v>427</v>
      </c>
      <c r="E129" s="12" t="s">
        <v>33</v>
      </c>
      <c r="F129" s="13" t="n">
        <f aca="false">ROUND(SUM(G129:AA129),2)</f>
        <v>1</v>
      </c>
      <c r="G129" s="14" t="str">
        <f aca="false">IF(ISNA(VLOOKUP($B129,'CORREDOR 01'!$B$2:$J$19,8,0)),"",VLOOKUP($B129,'CORREDOR 01'!$B$2:$J$19,8,0))</f>
        <v/>
      </c>
      <c r="H129" s="14" t="str">
        <f aca="false">IF(ISNA(VLOOKUP($B129,'CORREDOR O2'!$B$2:$J$22,8,0)),"",VLOOKUP($B129,'CORREDOR O2'!$B$2:$J$22,8,0))</f>
        <v/>
      </c>
      <c r="I129" s="14" t="str">
        <f aca="false">IF(ISNA(VLOOKUP($B129,'Á. DE VENTIL.'!$B$2:$J$20,8,0)),"",VLOOKUP($B129,'Á. DE VENTIL.'!$B$2:$J$20,8,0))</f>
        <v/>
      </c>
      <c r="J129" s="14" t="str">
        <f aca="false">IF(ISNA(VLOOKUP($B129,'Á. EXTER '!$B$2:$J$24,8,0)),"",VLOOKUP($B129,'Á. EXTER '!$B$2:$J$24,8,0))</f>
        <v/>
      </c>
      <c r="K129" s="14" t="n">
        <f aca="false">IF(ISNA(VLOOKUP($B129,'ÁREA DE CIR. EXTER.'!$B$2:$J$22,8,0)),"",VLOOKUP($B129,'ÁREA DE CIR. EXTER.'!$B$2:$J$22,8,0))</f>
        <v>1</v>
      </c>
      <c r="L129" s="14" t="str">
        <f aca="false">IF(ISNA(VLOOKUP($B129,AUDITÓRIO!$B$2:$J$14,8,0)),"",VLOOKUP($B129,AUDITÓRIO!$B$2:$J$14,8,0))</f>
        <v/>
      </c>
      <c r="M129" s="14" t="str">
        <f aca="false">IF(ISNA(VLOOKUP($B129,'AUD.   WC FEM'!$B$2:$J$14,8,0)),"",VLOOKUP($B129,'AUD.   WC FEM'!$B$2:$J$14,8,0))</f>
        <v/>
      </c>
      <c r="N129" s="14" t="str">
        <f aca="false">IF(ISNA(VLOOKUP($B129,'AUD.   WC MAS'!$B$2:$J$14,8,0)),"",VLOOKUP($B129,'AUD.   WC MAS'!$B$2:$J$14,8,0))</f>
        <v/>
      </c>
      <c r="O129" s="14" t="str">
        <f aca="false">IF(ISNA(VLOOKUP($B129,'COBERT.'!$B$2:$J$8,8,0)),"",VLOOKUP($B129,'COBERT.'!$B$2:$J$8,8,0))</f>
        <v/>
      </c>
      <c r="P129" s="14" t="str">
        <f aca="false">IF(ISNA(VLOOKUP($B129,COPA!$B$2:$J$31,8,0)),"",VLOOKUP($B129,COPA!$B$2:$J$31,8,0))</f>
        <v/>
      </c>
      <c r="Q129" s="14" t="str">
        <f aca="false">IF(ISNA(VLOOKUP($B129,RECEPÇÃO!$B$2:$J$24,8,0)),"",VLOOKUP($B129,RECEPÇÃO!$B$2:$J$24,8,0))</f>
        <v/>
      </c>
      <c r="R129" s="14" t="str">
        <f aca="false">IF(ISNA(VLOOKUP($B129,'S.  DA ADM.'!$B$2:$J$24,8,0)),"",VLOOKUP($B129,'S.  DA ADM.'!$B$2:$J$24,8,0))</f>
        <v/>
      </c>
      <c r="S129" s="14" t="str">
        <f aca="false">IF(ISNA(VLOOKUP($B129,'S.  DA ADM.   WC'!$B$2:$J$27,8,0)),"",VLOOKUP($B129,'S.  DA ADM.   WC'!$B$2:$J$27,8,0))</f>
        <v/>
      </c>
      <c r="T129" s="14" t="str">
        <f aca="false">IF(ISNA(VLOOKUP($B129,'S. DA ATER'!$B$2:$J$23,8,0)),"",VLOOKUP($B129,'S. DA ATER'!$B$2:$J$23,8,0))</f>
        <v/>
      </c>
      <c r="U129" s="14" t="str">
        <f aca="false">IF(ISNA(VLOOKUP($B129,'S. DA GERÊNCIA'!$B$2:$J$27,8,0)),"",VLOOKUP($B129,'S. DA GERÊNCIA'!$B$2:$J$27,8,0))</f>
        <v/>
      </c>
      <c r="V129" s="14" t="str">
        <f aca="false">IF(ISNA(VLOOKUP($B129,'S. DE ESPERA'!$B$2:$J$23,8,0)),"",VLOOKUP($B129,'S. DE ESPERA'!$B$2:$J$23,8,0))</f>
        <v/>
      </c>
      <c r="W129" s="14" t="str">
        <f aca="false">IF(ISNA(VLOOKUP($B129,'S. DE REUNIÃO'!$B$2:$J$25,8,0)),"",VLOOKUP($B129,'S. DE REUNIÃO'!$B$2:$J$25,8,0))</f>
        <v/>
      </c>
      <c r="X129" s="14" t="str">
        <f aca="false">IF(ISNA(VLOOKUP($B129,'S. DO VIGIA'!$B$2:$J$23,8,0)),"",VLOOKUP($B129,'S. DO VIGIA'!$B$2:$J$23,8,0))</f>
        <v/>
      </c>
      <c r="Y129" s="14" t="str">
        <f aca="false">IF(ISNA(VLOOKUP($B129,'WC SOCIAL FEM'!$B$2:$J$28,8,0)),"",VLOOKUP($B129,'WC SOCIAL FEM'!$B$2:$J$28,8,0))</f>
        <v/>
      </c>
      <c r="Z129" s="14" t="str">
        <f aca="false">IF(ISNA(VLOOKUP($B129,'WC SOCIAL MAS'!$B$2:$J$29,8,0)),"",VLOOKUP($B129,'WC SOCIAL MAS'!$B$2:$J$29,8,0))</f>
        <v/>
      </c>
      <c r="AA129" s="14" t="str">
        <f aca="false">IF(ISNA(VLOOKUP($B129,HIDRÁULICA!$B$2:$J$32,8,0)),"",VLOOKUP($B129,HIDRÁULICA!$B$2:$J$32,8,0))</f>
        <v/>
      </c>
    </row>
    <row r="130" customFormat="false" ht="41.75" hidden="false" customHeight="false" outlineLevel="0" collapsed="false">
      <c r="A130" s="9"/>
      <c r="B130" s="9" t="s">
        <v>428</v>
      </c>
      <c r="C130" s="10" t="s">
        <v>429</v>
      </c>
      <c r="D130" s="11" t="s">
        <v>430</v>
      </c>
      <c r="E130" s="12" t="s">
        <v>43</v>
      </c>
      <c r="F130" s="13" t="n">
        <f aca="false">ROUND(SUM(G130:AA130),2)</f>
        <v>114.4</v>
      </c>
      <c r="G130" s="14" t="str">
        <f aca="false">IF(ISNA(VLOOKUP($B130,'CORREDOR 01'!$B$2:$J$19,8,0)),"",VLOOKUP($B130,'CORREDOR 01'!$B$2:$J$19,8,0))</f>
        <v/>
      </c>
      <c r="H130" s="14" t="str">
        <f aca="false">IF(ISNA(VLOOKUP($B130,'CORREDOR O2'!$B$2:$J$22,8,0)),"",VLOOKUP($B130,'CORREDOR O2'!$B$2:$J$22,8,0))</f>
        <v/>
      </c>
      <c r="I130" s="14" t="str">
        <f aca="false">IF(ISNA(VLOOKUP($B130,'Á. DE VENTIL.'!$B$2:$J$20,8,0)),"",VLOOKUP($B130,'Á. DE VENTIL.'!$B$2:$J$20,8,0))</f>
        <v/>
      </c>
      <c r="J130" s="14" t="n">
        <f aca="false">IF(ISNA(VLOOKUP($B130,'Á. EXTER '!$B$2:$J$24,8,0)),"",VLOOKUP($B130,'Á. EXTER '!$B$2:$J$24,8,0))</f>
        <v>114.4</v>
      </c>
      <c r="K130" s="14" t="str">
        <f aca="false">IF(ISNA(VLOOKUP($B130,'ÁREA DE CIR. EXTER.'!$B$2:$J$22,8,0)),"",VLOOKUP($B130,'ÁREA DE CIR. EXTER.'!$B$2:$J$22,8,0))</f>
        <v/>
      </c>
      <c r="L130" s="14" t="str">
        <f aca="false">IF(ISNA(VLOOKUP($B130,AUDITÓRIO!$B$2:$J$14,8,0)),"",VLOOKUP($B130,AUDITÓRIO!$B$2:$J$14,8,0))</f>
        <v/>
      </c>
      <c r="M130" s="14" t="str">
        <f aca="false">IF(ISNA(VLOOKUP($B130,'AUD.   WC FEM'!$B$2:$J$14,8,0)),"",VLOOKUP($B130,'AUD.   WC FEM'!$B$2:$J$14,8,0))</f>
        <v/>
      </c>
      <c r="N130" s="14" t="str">
        <f aca="false">IF(ISNA(VLOOKUP($B130,'AUD.   WC MAS'!$B$2:$J$14,8,0)),"",VLOOKUP($B130,'AUD.   WC MAS'!$B$2:$J$14,8,0))</f>
        <v/>
      </c>
      <c r="O130" s="14" t="str">
        <f aca="false">IF(ISNA(VLOOKUP($B130,'COBERT.'!$B$2:$J$8,8,0)),"",VLOOKUP($B130,'COBERT.'!$B$2:$J$8,8,0))</f>
        <v/>
      </c>
      <c r="P130" s="14" t="str">
        <f aca="false">IF(ISNA(VLOOKUP($B130,COPA!$B$2:$J$31,8,0)),"",VLOOKUP($B130,COPA!$B$2:$J$31,8,0))</f>
        <v/>
      </c>
      <c r="Q130" s="14" t="str">
        <f aca="false">IF(ISNA(VLOOKUP($B130,RECEPÇÃO!$B$2:$J$24,8,0)),"",VLOOKUP($B130,RECEPÇÃO!$B$2:$J$24,8,0))</f>
        <v/>
      </c>
      <c r="R130" s="14" t="str">
        <f aca="false">IF(ISNA(VLOOKUP($B130,'S.  DA ADM.'!$B$2:$J$24,8,0)),"",VLOOKUP($B130,'S.  DA ADM.'!$B$2:$J$24,8,0))</f>
        <v/>
      </c>
      <c r="S130" s="14" t="str">
        <f aca="false">IF(ISNA(VLOOKUP($B130,'S.  DA ADM.   WC'!$B$2:$J$27,8,0)),"",VLOOKUP($B130,'S.  DA ADM.   WC'!$B$2:$J$27,8,0))</f>
        <v/>
      </c>
      <c r="T130" s="14" t="str">
        <f aca="false">IF(ISNA(VLOOKUP($B130,'S. DA ATER'!$B$2:$J$23,8,0)),"",VLOOKUP($B130,'S. DA ATER'!$B$2:$J$23,8,0))</f>
        <v/>
      </c>
      <c r="U130" s="14" t="str">
        <f aca="false">IF(ISNA(VLOOKUP($B130,'S. DA GERÊNCIA'!$B$2:$J$27,8,0)),"",VLOOKUP($B130,'S. DA GERÊNCIA'!$B$2:$J$27,8,0))</f>
        <v/>
      </c>
      <c r="V130" s="14" t="str">
        <f aca="false">IF(ISNA(VLOOKUP($B130,'S. DE ESPERA'!$B$2:$J$23,8,0)),"",VLOOKUP($B130,'S. DE ESPERA'!$B$2:$J$23,8,0))</f>
        <v/>
      </c>
      <c r="W130" s="14" t="str">
        <f aca="false">IF(ISNA(VLOOKUP($B130,'S. DE REUNIÃO'!$B$2:$J$25,8,0)),"",VLOOKUP($B130,'S. DE REUNIÃO'!$B$2:$J$25,8,0))</f>
        <v/>
      </c>
      <c r="X130" s="14" t="str">
        <f aca="false">IF(ISNA(VLOOKUP($B130,'S. DO VIGIA'!$B$2:$J$23,8,0)),"",VLOOKUP($B130,'S. DO VIGIA'!$B$2:$J$23,8,0))</f>
        <v/>
      </c>
      <c r="Y130" s="14" t="str">
        <f aca="false">IF(ISNA(VLOOKUP($B130,'WC SOCIAL FEM'!$B$2:$J$28,8,0)),"",VLOOKUP($B130,'WC SOCIAL FEM'!$B$2:$J$28,8,0))</f>
        <v/>
      </c>
      <c r="Z130" s="14" t="str">
        <f aca="false">IF(ISNA(VLOOKUP($B130,'WC SOCIAL MAS'!$B$2:$J$29,8,0)),"",VLOOKUP($B130,'WC SOCIAL MAS'!$B$2:$J$29,8,0))</f>
        <v/>
      </c>
      <c r="AA130" s="14" t="str">
        <f aca="false">IF(ISNA(VLOOKUP($B130,HIDRÁULICA!$B$2:$J$32,8,0)),"",VLOOKUP($B130,HIDRÁULICA!$B$2:$J$32,8,0))</f>
        <v/>
      </c>
    </row>
    <row r="131" customFormat="false" ht="55.2" hidden="false" customHeight="false" outlineLevel="0" collapsed="false">
      <c r="A131" s="9"/>
      <c r="B131" s="9" t="s">
        <v>431</v>
      </c>
      <c r="C131" s="10" t="s">
        <v>432</v>
      </c>
      <c r="D131" s="11" t="s">
        <v>433</v>
      </c>
      <c r="E131" s="12" t="s">
        <v>43</v>
      </c>
      <c r="F131" s="13" t="n">
        <f aca="false">ROUND(SUM(G131:AA131),2)</f>
        <v>81.75</v>
      </c>
      <c r="G131" s="14" t="str">
        <f aca="false">IF(ISNA(VLOOKUP($B131,'CORREDOR 01'!$B$2:$J$19,8,0)),"",VLOOKUP($B131,'CORREDOR 01'!$B$2:$J$19,8,0))</f>
        <v/>
      </c>
      <c r="H131" s="14" t="str">
        <f aca="false">IF(ISNA(VLOOKUP($B131,'CORREDOR O2'!$B$2:$J$22,8,0)),"",VLOOKUP($B131,'CORREDOR O2'!$B$2:$J$22,8,0))</f>
        <v/>
      </c>
      <c r="I131" s="14" t="str">
        <f aca="false">IF(ISNA(VLOOKUP($B131,'Á. DE VENTIL.'!$B$2:$J$20,8,0)),"",VLOOKUP($B131,'Á. DE VENTIL.'!$B$2:$J$20,8,0))</f>
        <v/>
      </c>
      <c r="J131" s="14" t="n">
        <f aca="false">IF(ISNA(VLOOKUP($B131,'Á. EXTER '!$B$2:$J$24,8,0)),"",VLOOKUP($B131,'Á. EXTER '!$B$2:$J$24,8,0))</f>
        <v>81.75</v>
      </c>
      <c r="K131" s="14" t="str">
        <f aca="false">IF(ISNA(VLOOKUP($B131,'ÁREA DE CIR. EXTER.'!$B$2:$J$22,8,0)),"",VLOOKUP($B131,'ÁREA DE CIR. EXTER.'!$B$2:$J$22,8,0))</f>
        <v/>
      </c>
      <c r="L131" s="14" t="str">
        <f aca="false">IF(ISNA(VLOOKUP($B131,AUDITÓRIO!$B$2:$J$14,8,0)),"",VLOOKUP($B131,AUDITÓRIO!$B$2:$J$14,8,0))</f>
        <v/>
      </c>
      <c r="M131" s="14" t="str">
        <f aca="false">IF(ISNA(VLOOKUP($B131,'AUD.   WC FEM'!$B$2:$J$14,8,0)),"",VLOOKUP($B131,'AUD.   WC FEM'!$B$2:$J$14,8,0))</f>
        <v/>
      </c>
      <c r="N131" s="14" t="str">
        <f aca="false">IF(ISNA(VLOOKUP($B131,'AUD.   WC MAS'!$B$2:$J$14,8,0)),"",VLOOKUP($B131,'AUD.   WC MAS'!$B$2:$J$14,8,0))</f>
        <v/>
      </c>
      <c r="O131" s="14" t="str">
        <f aca="false">IF(ISNA(VLOOKUP($B131,'COBERT.'!$B$2:$J$8,8,0)),"",VLOOKUP($B131,'COBERT.'!$B$2:$J$8,8,0))</f>
        <v/>
      </c>
      <c r="P131" s="14" t="str">
        <f aca="false">IF(ISNA(VLOOKUP($B131,COPA!$B$2:$J$31,8,0)),"",VLOOKUP($B131,COPA!$B$2:$J$31,8,0))</f>
        <v/>
      </c>
      <c r="Q131" s="14" t="str">
        <f aca="false">IF(ISNA(VLOOKUP($B131,RECEPÇÃO!$B$2:$J$24,8,0)),"",VLOOKUP($B131,RECEPÇÃO!$B$2:$J$24,8,0))</f>
        <v/>
      </c>
      <c r="R131" s="14" t="str">
        <f aca="false">IF(ISNA(VLOOKUP($B131,'S.  DA ADM.'!$B$2:$J$24,8,0)),"",VLOOKUP($B131,'S.  DA ADM.'!$B$2:$J$24,8,0))</f>
        <v/>
      </c>
      <c r="S131" s="14" t="str">
        <f aca="false">IF(ISNA(VLOOKUP($B131,'S.  DA ADM.   WC'!$B$2:$J$27,8,0)),"",VLOOKUP($B131,'S.  DA ADM.   WC'!$B$2:$J$27,8,0))</f>
        <v/>
      </c>
      <c r="T131" s="14" t="str">
        <f aca="false">IF(ISNA(VLOOKUP($B131,'S. DA ATER'!$B$2:$J$23,8,0)),"",VLOOKUP($B131,'S. DA ATER'!$B$2:$J$23,8,0))</f>
        <v/>
      </c>
      <c r="U131" s="14" t="str">
        <f aca="false">IF(ISNA(VLOOKUP($B131,'S. DA GERÊNCIA'!$B$2:$J$27,8,0)),"",VLOOKUP($B131,'S. DA GERÊNCIA'!$B$2:$J$27,8,0))</f>
        <v/>
      </c>
      <c r="V131" s="14" t="str">
        <f aca="false">IF(ISNA(VLOOKUP($B131,'S. DE ESPERA'!$B$2:$J$23,8,0)),"",VLOOKUP($B131,'S. DE ESPERA'!$B$2:$J$23,8,0))</f>
        <v/>
      </c>
      <c r="W131" s="14" t="str">
        <f aca="false">IF(ISNA(VLOOKUP($B131,'S. DE REUNIÃO'!$B$2:$J$25,8,0)),"",VLOOKUP($B131,'S. DE REUNIÃO'!$B$2:$J$25,8,0))</f>
        <v/>
      </c>
      <c r="X131" s="14" t="str">
        <f aca="false">IF(ISNA(VLOOKUP($B131,'S. DO VIGIA'!$B$2:$J$23,8,0)),"",VLOOKUP($B131,'S. DO VIGIA'!$B$2:$J$23,8,0))</f>
        <v/>
      </c>
      <c r="Y131" s="14" t="str">
        <f aca="false">IF(ISNA(VLOOKUP($B131,'WC SOCIAL FEM'!$B$2:$J$28,8,0)),"",VLOOKUP($B131,'WC SOCIAL FEM'!$B$2:$J$28,8,0))</f>
        <v/>
      </c>
      <c r="Z131" s="14" t="str">
        <f aca="false">IF(ISNA(VLOOKUP($B131,'WC SOCIAL MAS'!$B$2:$J$29,8,0)),"",VLOOKUP($B131,'WC SOCIAL MAS'!$B$2:$J$29,8,0))</f>
        <v/>
      </c>
      <c r="AA131" s="14" t="str">
        <f aca="false">IF(ISNA(VLOOKUP($B131,HIDRÁULICA!$B$2:$J$32,8,0)),"",VLOOKUP($B131,HIDRÁULICA!$B$2:$J$32,8,0))</f>
        <v/>
      </c>
    </row>
    <row r="132" customFormat="false" ht="14.9" hidden="false" customHeight="false" outlineLevel="0" collapsed="false">
      <c r="A132" s="9"/>
      <c r="B132" s="9" t="s">
        <v>434</v>
      </c>
      <c r="C132" s="10" t="s">
        <v>435</v>
      </c>
      <c r="D132" s="11" t="s">
        <v>436</v>
      </c>
      <c r="E132" s="12" t="s">
        <v>33</v>
      </c>
      <c r="F132" s="13" t="n">
        <f aca="false">ROUND(SUM(G132:AA132),2)</f>
        <v>1336.9</v>
      </c>
      <c r="G132" s="14" t="str">
        <f aca="false">IF(ISNA(VLOOKUP($B132,'CORREDOR 01'!$B$2:$J$19,8,0)),"",VLOOKUP($B132,'CORREDOR 01'!$B$2:$J$19,8,0))</f>
        <v/>
      </c>
      <c r="H132" s="14" t="str">
        <f aca="false">IF(ISNA(VLOOKUP($B132,'CORREDOR O2'!$B$2:$J$22,8,0)),"",VLOOKUP($B132,'CORREDOR O2'!$B$2:$J$22,8,0))</f>
        <v/>
      </c>
      <c r="I132" s="14" t="str">
        <f aca="false">IF(ISNA(VLOOKUP($B132,'Á. DE VENTIL.'!$B$2:$J$20,8,0)),"",VLOOKUP($B132,'Á. DE VENTIL.'!$B$2:$J$20,8,0))</f>
        <v/>
      </c>
      <c r="J132" s="14" t="n">
        <f aca="false">IF(ISNA(VLOOKUP($B132,'Á. EXTER '!$B$2:$J$24,8,0)),"",VLOOKUP($B132,'Á. EXTER '!$B$2:$J$24,8,0))</f>
        <v>1336.9</v>
      </c>
      <c r="K132" s="14" t="str">
        <f aca="false">IF(ISNA(VLOOKUP($B132,'ÁREA DE CIR. EXTER.'!$B$2:$J$22,8,0)),"",VLOOKUP($B132,'ÁREA DE CIR. EXTER.'!$B$2:$J$22,8,0))</f>
        <v/>
      </c>
      <c r="L132" s="14" t="str">
        <f aca="false">IF(ISNA(VLOOKUP($B132,AUDITÓRIO!$B$2:$J$14,8,0)),"",VLOOKUP($B132,AUDITÓRIO!$B$2:$J$14,8,0))</f>
        <v/>
      </c>
      <c r="M132" s="14" t="str">
        <f aca="false">IF(ISNA(VLOOKUP($B132,'AUD.   WC FEM'!$B$2:$J$14,8,0)),"",VLOOKUP($B132,'AUD.   WC FEM'!$B$2:$J$14,8,0))</f>
        <v/>
      </c>
      <c r="N132" s="14" t="str">
        <f aca="false">IF(ISNA(VLOOKUP($B132,'AUD.   WC MAS'!$B$2:$J$14,8,0)),"",VLOOKUP($B132,'AUD.   WC MAS'!$B$2:$J$14,8,0))</f>
        <v/>
      </c>
      <c r="O132" s="14" t="str">
        <f aca="false">IF(ISNA(VLOOKUP($B132,'COBERT.'!$B$2:$J$8,8,0)),"",VLOOKUP($B132,'COBERT.'!$B$2:$J$8,8,0))</f>
        <v/>
      </c>
      <c r="P132" s="14" t="str">
        <f aca="false">IF(ISNA(VLOOKUP($B132,COPA!$B$2:$J$31,8,0)),"",VLOOKUP($B132,COPA!$B$2:$J$31,8,0))</f>
        <v/>
      </c>
      <c r="Q132" s="14" t="str">
        <f aca="false">IF(ISNA(VLOOKUP($B132,RECEPÇÃO!$B$2:$J$24,8,0)),"",VLOOKUP($B132,RECEPÇÃO!$B$2:$J$24,8,0))</f>
        <v/>
      </c>
      <c r="R132" s="14" t="str">
        <f aca="false">IF(ISNA(VLOOKUP($B132,'S.  DA ADM.'!$B$2:$J$24,8,0)),"",VLOOKUP($B132,'S.  DA ADM.'!$B$2:$J$24,8,0))</f>
        <v/>
      </c>
      <c r="S132" s="14" t="str">
        <f aca="false">IF(ISNA(VLOOKUP($B132,'S.  DA ADM.   WC'!$B$2:$J$27,8,0)),"",VLOOKUP($B132,'S.  DA ADM.   WC'!$B$2:$J$27,8,0))</f>
        <v/>
      </c>
      <c r="T132" s="14" t="str">
        <f aca="false">IF(ISNA(VLOOKUP($B132,'S. DA ATER'!$B$2:$J$23,8,0)),"",VLOOKUP($B132,'S. DA ATER'!$B$2:$J$23,8,0))</f>
        <v/>
      </c>
      <c r="U132" s="14" t="str">
        <f aca="false">IF(ISNA(VLOOKUP($B132,'S. DA GERÊNCIA'!$B$2:$J$27,8,0)),"",VLOOKUP($B132,'S. DA GERÊNCIA'!$B$2:$J$27,8,0))</f>
        <v/>
      </c>
      <c r="V132" s="14" t="str">
        <f aca="false">IF(ISNA(VLOOKUP($B132,'S. DE ESPERA'!$B$2:$J$23,8,0)),"",VLOOKUP($B132,'S. DE ESPERA'!$B$2:$J$23,8,0))</f>
        <v/>
      </c>
      <c r="W132" s="14" t="str">
        <f aca="false">IF(ISNA(VLOOKUP($B132,'S. DE REUNIÃO'!$B$2:$J$25,8,0)),"",VLOOKUP($B132,'S. DE REUNIÃO'!$B$2:$J$25,8,0))</f>
        <v/>
      </c>
      <c r="X132" s="14" t="str">
        <f aca="false">IF(ISNA(VLOOKUP($B132,'S. DO VIGIA'!$B$2:$J$23,8,0)),"",VLOOKUP($B132,'S. DO VIGIA'!$B$2:$J$23,8,0))</f>
        <v/>
      </c>
      <c r="Y132" s="14" t="str">
        <f aca="false">IF(ISNA(VLOOKUP($B132,'WC SOCIAL FEM'!$B$2:$J$28,8,0)),"",VLOOKUP($B132,'WC SOCIAL FEM'!$B$2:$J$28,8,0))</f>
        <v/>
      </c>
      <c r="Z132" s="14" t="str">
        <f aca="false">IF(ISNA(VLOOKUP($B132,'WC SOCIAL MAS'!$B$2:$J$29,8,0)),"",VLOOKUP($B132,'WC SOCIAL MAS'!$B$2:$J$29,8,0))</f>
        <v/>
      </c>
      <c r="AA132" s="14" t="str">
        <f aca="false">IF(ISNA(VLOOKUP($B132,HIDRÁULICA!$B$2:$J$32,8,0)),"",VLOOKUP($B132,HIDRÁULICA!$B$2:$J$32,8,0))</f>
        <v/>
      </c>
    </row>
    <row r="133" customFormat="false" ht="14.9" hidden="false" customHeight="false" outlineLevel="0" collapsed="false">
      <c r="A133" s="9"/>
      <c r="B133" s="9" t="s">
        <v>437</v>
      </c>
      <c r="C133" s="10" t="s">
        <v>438</v>
      </c>
      <c r="D133" s="11" t="s">
        <v>439</v>
      </c>
      <c r="E133" s="12" t="s">
        <v>33</v>
      </c>
      <c r="F133" s="13" t="n">
        <f aca="false">ROUND(SUM(G133:AA133),2)</f>
        <v>1060.3</v>
      </c>
      <c r="G133" s="14" t="str">
        <f aca="false">IF(ISNA(VLOOKUP($B133,'CORREDOR 01'!$B$2:$J$19,8,0)),"",VLOOKUP($B133,'CORREDOR 01'!$B$2:$J$19,8,0))</f>
        <v/>
      </c>
      <c r="H133" s="14" t="str">
        <f aca="false">IF(ISNA(VLOOKUP($B133,'CORREDOR O2'!$B$2:$J$22,8,0)),"",VLOOKUP($B133,'CORREDOR O2'!$B$2:$J$22,8,0))</f>
        <v/>
      </c>
      <c r="I133" s="14" t="str">
        <f aca="false">IF(ISNA(VLOOKUP($B133,'Á. DE VENTIL.'!$B$2:$J$20,8,0)),"",VLOOKUP($B133,'Á. DE VENTIL.'!$B$2:$J$20,8,0))</f>
        <v/>
      </c>
      <c r="J133" s="14" t="n">
        <f aca="false">IF(ISNA(VLOOKUP($B133,'Á. EXTER '!$B$2:$J$24,8,0)),"",VLOOKUP($B133,'Á. EXTER '!$B$2:$J$24,8,0))</f>
        <v>1060.3</v>
      </c>
      <c r="K133" s="14" t="str">
        <f aca="false">IF(ISNA(VLOOKUP($B133,'ÁREA DE CIR. EXTER.'!$B$2:$J$22,8,0)),"",VLOOKUP($B133,'ÁREA DE CIR. EXTER.'!$B$2:$J$22,8,0))</f>
        <v/>
      </c>
      <c r="L133" s="14" t="str">
        <f aca="false">IF(ISNA(VLOOKUP($B133,AUDITÓRIO!$B$2:$J$14,8,0)),"",VLOOKUP($B133,AUDITÓRIO!$B$2:$J$14,8,0))</f>
        <v/>
      </c>
      <c r="M133" s="14" t="str">
        <f aca="false">IF(ISNA(VLOOKUP($B133,'AUD.   WC FEM'!$B$2:$J$14,8,0)),"",VLOOKUP($B133,'AUD.   WC FEM'!$B$2:$J$14,8,0))</f>
        <v/>
      </c>
      <c r="N133" s="14" t="str">
        <f aca="false">IF(ISNA(VLOOKUP($B133,'AUD.   WC MAS'!$B$2:$J$14,8,0)),"",VLOOKUP($B133,'AUD.   WC MAS'!$B$2:$J$14,8,0))</f>
        <v/>
      </c>
      <c r="O133" s="14" t="str">
        <f aca="false">IF(ISNA(VLOOKUP($B133,'COBERT.'!$B$2:$J$8,8,0)),"",VLOOKUP($B133,'COBERT.'!$B$2:$J$8,8,0))</f>
        <v/>
      </c>
      <c r="P133" s="14" t="str">
        <f aca="false">IF(ISNA(VLOOKUP($B133,COPA!$B$2:$J$31,8,0)),"",VLOOKUP($B133,COPA!$B$2:$J$31,8,0))</f>
        <v/>
      </c>
      <c r="Q133" s="14" t="str">
        <f aca="false">IF(ISNA(VLOOKUP($B133,RECEPÇÃO!$B$2:$J$24,8,0)),"",VLOOKUP($B133,RECEPÇÃO!$B$2:$J$24,8,0))</f>
        <v/>
      </c>
      <c r="R133" s="14" t="str">
        <f aca="false">IF(ISNA(VLOOKUP($B133,'S.  DA ADM.'!$B$2:$J$24,8,0)),"",VLOOKUP($B133,'S.  DA ADM.'!$B$2:$J$24,8,0))</f>
        <v/>
      </c>
      <c r="S133" s="14" t="str">
        <f aca="false">IF(ISNA(VLOOKUP($B133,'S.  DA ADM.   WC'!$B$2:$J$27,8,0)),"",VLOOKUP($B133,'S.  DA ADM.   WC'!$B$2:$J$27,8,0))</f>
        <v/>
      </c>
      <c r="T133" s="14" t="str">
        <f aca="false">IF(ISNA(VLOOKUP($B133,'S. DA ATER'!$B$2:$J$23,8,0)),"",VLOOKUP($B133,'S. DA ATER'!$B$2:$J$23,8,0))</f>
        <v/>
      </c>
      <c r="U133" s="14" t="str">
        <f aca="false">IF(ISNA(VLOOKUP($B133,'S. DA GERÊNCIA'!$B$2:$J$27,8,0)),"",VLOOKUP($B133,'S. DA GERÊNCIA'!$B$2:$J$27,8,0))</f>
        <v/>
      </c>
      <c r="V133" s="14" t="str">
        <f aca="false">IF(ISNA(VLOOKUP($B133,'S. DE ESPERA'!$B$2:$J$23,8,0)),"",VLOOKUP($B133,'S. DE ESPERA'!$B$2:$J$23,8,0))</f>
        <v/>
      </c>
      <c r="W133" s="14" t="str">
        <f aca="false">IF(ISNA(VLOOKUP($B133,'S. DE REUNIÃO'!$B$2:$J$25,8,0)),"",VLOOKUP($B133,'S. DE REUNIÃO'!$B$2:$J$25,8,0))</f>
        <v/>
      </c>
      <c r="X133" s="14" t="str">
        <f aca="false">IF(ISNA(VLOOKUP($B133,'S. DO VIGIA'!$B$2:$J$23,8,0)),"",VLOOKUP($B133,'S. DO VIGIA'!$B$2:$J$23,8,0))</f>
        <v/>
      </c>
      <c r="Y133" s="14" t="str">
        <f aca="false">IF(ISNA(VLOOKUP($B133,'WC SOCIAL FEM'!$B$2:$J$28,8,0)),"",VLOOKUP($B133,'WC SOCIAL FEM'!$B$2:$J$28,8,0))</f>
        <v/>
      </c>
      <c r="Z133" s="14" t="str">
        <f aca="false">IF(ISNA(VLOOKUP($B133,'WC SOCIAL MAS'!$B$2:$J$29,8,0)),"",VLOOKUP($B133,'WC SOCIAL MAS'!$B$2:$J$29,8,0))</f>
        <v/>
      </c>
      <c r="AA133" s="14" t="str">
        <f aca="false">IF(ISNA(VLOOKUP($B133,HIDRÁULICA!$B$2:$J$32,8,0)),"",VLOOKUP($B133,HIDRÁULICA!$B$2:$J$32,8,0))</f>
        <v/>
      </c>
    </row>
    <row r="134" customFormat="false" ht="28.35" hidden="false" customHeight="false" outlineLevel="0" collapsed="false">
      <c r="A134" s="9"/>
      <c r="B134" s="9" t="s">
        <v>440</v>
      </c>
      <c r="C134" s="10" t="s">
        <v>441</v>
      </c>
      <c r="D134" s="11" t="s">
        <v>442</v>
      </c>
      <c r="E134" s="12" t="s">
        <v>443</v>
      </c>
      <c r="F134" s="13" t="n">
        <f aca="false">ROUND(SUM(G134:AA134),2)</f>
        <v>2343.93</v>
      </c>
      <c r="G134" s="14" t="n">
        <f aca="false">IF(ISNA(VLOOKUP($B134,'CORREDOR 01'!$B$2:$J$19,8,0)),"",VLOOKUP($B134,'CORREDOR 01'!$B$2:$J$19,8,0))</f>
        <v>2.04204</v>
      </c>
      <c r="H134" s="14" t="n">
        <f aca="false">IF(ISNA(VLOOKUP($B134,'CORREDOR O2'!$B$2:$J$22,8,0)),"",VLOOKUP($B134,'CORREDOR O2'!$B$2:$J$22,8,0))</f>
        <v>1.00464</v>
      </c>
      <c r="I134" s="14" t="n">
        <f aca="false">IF(ISNA(VLOOKUP($B134,'Á. DE VENTIL.'!$B$2:$J$20,8,0)),"",VLOOKUP($B134,'Á. DE VENTIL.'!$B$2:$J$20,8,0))</f>
        <v>4.7736</v>
      </c>
      <c r="J134" s="14" t="n">
        <f aca="false">IF(ISNA(VLOOKUP($B134,'Á. EXTER '!$B$2:$J$24,8,0)),"",VLOOKUP($B134,'Á. EXTER '!$B$2:$J$24,8,0))</f>
        <v>2300.3172</v>
      </c>
      <c r="K134" s="14" t="n">
        <f aca="false">IF(ISNA(VLOOKUP($B134,'ÁREA DE CIR. EXTER.'!$B$2:$J$22,8,0)),"",VLOOKUP($B134,'ÁREA DE CIR. EXTER.'!$B$2:$J$22,8,0))</f>
        <v>2.336390784</v>
      </c>
      <c r="L134" s="14" t="str">
        <f aca="false">IF(ISNA(VLOOKUP($B134,AUDITÓRIO!$B$2:$J$14,8,0)),"",VLOOKUP($B134,AUDITÓRIO!$B$2:$J$14,8,0))</f>
        <v/>
      </c>
      <c r="M134" s="14" t="n">
        <f aca="false">IF(ISNA(VLOOKUP($B134,'AUD.   WC FEM'!$B$2:$J$14,8,0)),"",VLOOKUP($B134,'AUD.   WC FEM'!$B$2:$J$14,8,0))</f>
        <v>1.638</v>
      </c>
      <c r="N134" s="14" t="n">
        <f aca="false">IF(ISNA(VLOOKUP($B134,'AUD.   WC MAS'!$B$2:$J$14,8,0)),"",VLOOKUP($B134,'AUD.   WC MAS'!$B$2:$J$14,8,0))</f>
        <v>1.638</v>
      </c>
      <c r="O134" s="14" t="str">
        <f aca="false">IF(ISNA(VLOOKUP($B134,'COBERT.'!$B$2:$J$8,8,0)),"",VLOOKUP($B134,'COBERT.'!$B$2:$J$8,8,0))</f>
        <v/>
      </c>
      <c r="P134" s="14" t="n">
        <f aca="false">IF(ISNA(VLOOKUP($B134,COPA!$B$2:$J$31,8,0)),"",VLOOKUP($B134,COPA!$B$2:$J$31,8,0))</f>
        <v>11.03232</v>
      </c>
      <c r="Q134" s="14" t="n">
        <f aca="false">IF(ISNA(VLOOKUP($B134,RECEPÇÃO!$B$2:$J$24,8,0)),"",VLOOKUP($B134,RECEPÇÃO!$B$2:$J$24,8,0))</f>
        <v>1.59432</v>
      </c>
      <c r="R134" s="14" t="n">
        <f aca="false">IF(ISNA(VLOOKUP($B134,'S.  DA ADM.'!$B$2:$J$24,8,0)),"",VLOOKUP($B134,'S.  DA ADM.'!$B$2:$J$24,8,0))</f>
        <v>1.5288</v>
      </c>
      <c r="S134" s="14" t="n">
        <f aca="false">IF(ISNA(VLOOKUP($B134,'S.  DA ADM.   WC'!$B$2:$J$27,8,0)),"",VLOOKUP($B134,'S.  DA ADM.   WC'!$B$2:$J$27,8,0))</f>
        <v>2.1384636</v>
      </c>
      <c r="T134" s="14" t="n">
        <f aca="false">IF(ISNA(VLOOKUP($B134,'S. DA ATER'!$B$2:$J$23,8,0)),"",VLOOKUP($B134,'S. DA ATER'!$B$2:$J$23,8,0))</f>
        <v>1.56156</v>
      </c>
      <c r="U134" s="14" t="n">
        <f aca="false">IF(ISNA(VLOOKUP($B134,'S. DA GERÊNCIA'!$B$2:$J$27,8,0)),"",VLOOKUP($B134,'S. DA GERÊNCIA'!$B$2:$J$27,8,0))</f>
        <v>3.92106</v>
      </c>
      <c r="V134" s="14" t="n">
        <f aca="false">IF(ISNA(VLOOKUP($B134,'S. DE ESPERA'!$B$2:$J$23,8,0)),"",VLOOKUP($B134,'S. DE ESPERA'!$B$2:$J$23,8,0))</f>
        <v>1.21212</v>
      </c>
      <c r="W134" s="14" t="n">
        <f aca="false">IF(ISNA(VLOOKUP($B134,'S. DE REUNIÃO'!$B$2:$J$25,8,0)),"",VLOOKUP($B134,'S. DE REUNIÃO'!$B$2:$J$25,8,0))</f>
        <v>1.5288</v>
      </c>
      <c r="X134" s="14" t="n">
        <f aca="false">IF(ISNA(VLOOKUP($B134,'S. DO VIGIA'!$B$2:$J$23,8,0)),"",VLOOKUP($B134,'S. DO VIGIA'!$B$2:$J$23,8,0))</f>
        <v>1.28856</v>
      </c>
      <c r="Y134" s="14" t="n">
        <f aca="false">IF(ISNA(VLOOKUP($B134,'WC SOCIAL FEM'!$B$2:$J$28,8,0)),"",VLOOKUP($B134,'WC SOCIAL FEM'!$B$2:$J$28,8,0))</f>
        <v>2.1865116</v>
      </c>
      <c r="Z134" s="14" t="n">
        <f aca="false">IF(ISNA(VLOOKUP($B134,'WC SOCIAL MAS'!$B$2:$J$29,8,0)),"",VLOOKUP($B134,'WC SOCIAL MAS'!$B$2:$J$29,8,0))</f>
        <v>2.1865116</v>
      </c>
      <c r="AA134" s="14" t="str">
        <f aca="false">IF(ISNA(VLOOKUP($B134,HIDRÁULICA!$B$2:$J$32,8,0)),"",VLOOKUP($B134,HIDRÁULICA!$B$2:$J$32,8,0))</f>
        <v/>
      </c>
    </row>
    <row r="135" customFormat="false" ht="14.9" hidden="false" customHeight="false" outlineLevel="0" collapsed="false">
      <c r="A135" s="9"/>
      <c r="B135" s="9" t="s">
        <v>444</v>
      </c>
      <c r="C135" s="10" t="s">
        <v>445</v>
      </c>
      <c r="D135" s="11" t="s">
        <v>446</v>
      </c>
      <c r="E135" s="12" t="s">
        <v>33</v>
      </c>
      <c r="F135" s="13" t="n">
        <f aca="false">ROUND(SUM(G135:AA135),2)</f>
        <v>135.77</v>
      </c>
      <c r="G135" s="14" t="n">
        <f aca="false">IF(ISNA(VLOOKUP($B135,'CORREDOR 01'!$B$2:$J$19,8,0)),"",VLOOKUP($B135,'CORREDOR 01'!$B$2:$J$19,8,0))</f>
        <v>11.15</v>
      </c>
      <c r="H135" s="14" t="n">
        <f aca="false">IF(ISNA(VLOOKUP($B135,'CORREDOR O2'!$B$2:$J$22,8,0)),"",VLOOKUP($B135,'CORREDOR O2'!$B$2:$J$22,8,0))</f>
        <v>10.4</v>
      </c>
      <c r="I135" s="14" t="n">
        <f aca="false">IF(ISNA(VLOOKUP($B135,'Á. DE VENTIL.'!$B$2:$J$20,8,0)),"",VLOOKUP($B135,'Á. DE VENTIL.'!$B$2:$J$20,8,0))</f>
        <v>6.12</v>
      </c>
      <c r="J135" s="14" t="str">
        <f aca="false">IF(ISNA(VLOOKUP($B135,'Á. EXTER '!$B$2:$J$24,8,0)),"",VLOOKUP($B135,'Á. EXTER '!$B$2:$J$24,8,0))</f>
        <v/>
      </c>
      <c r="K135" s="14" t="str">
        <f aca="false">IF(ISNA(VLOOKUP($B135,'ÁREA DE CIR. EXTER.'!$B$2:$J$22,8,0)),"",VLOOKUP($B135,'ÁREA DE CIR. EXTER.'!$B$2:$J$22,8,0))</f>
        <v/>
      </c>
      <c r="L135" s="14" t="str">
        <f aca="false">IF(ISNA(VLOOKUP($B135,AUDITÓRIO!$B$2:$J$14,8,0)),"",VLOOKUP($B135,AUDITÓRIO!$B$2:$J$14,8,0))</f>
        <v/>
      </c>
      <c r="M135" s="14" t="n">
        <f aca="false">IF(ISNA(VLOOKUP($B135,'AUD.   WC FEM'!$B$2:$J$14,8,0)),"",VLOOKUP($B135,'AUD.   WC FEM'!$B$2:$J$14,8,0))</f>
        <v>3</v>
      </c>
      <c r="N135" s="14" t="n">
        <f aca="false">IF(ISNA(VLOOKUP($B135,'AUD.   WC MAS'!$B$2:$J$14,8,0)),"",VLOOKUP($B135,'AUD.   WC MAS'!$B$2:$J$14,8,0))</f>
        <v>3</v>
      </c>
      <c r="O135" s="14" t="str">
        <f aca="false">IF(ISNA(VLOOKUP($B135,'COBERT.'!$B$2:$J$8,8,0)),"",VLOOKUP($B135,'COBERT.'!$B$2:$J$8,8,0))</f>
        <v/>
      </c>
      <c r="P135" s="14" t="n">
        <f aca="false">IF(ISNA(VLOOKUP($B135,COPA!$B$2:$J$31,8,0)),"",VLOOKUP($B135,COPA!$B$2:$J$31,8,0))</f>
        <v>0.4788</v>
      </c>
      <c r="Q135" s="14" t="n">
        <f aca="false">IF(ISNA(VLOOKUP($B135,RECEPÇÃO!$B$2:$J$24,8,0)),"",VLOOKUP($B135,RECEPÇÃO!$B$2:$J$24,8,0))</f>
        <v>13.72</v>
      </c>
      <c r="R135" s="14" t="n">
        <f aca="false">IF(ISNA(VLOOKUP($B135,'S.  DA ADM.'!$B$2:$J$24,8,0)),"",VLOOKUP($B135,'S.  DA ADM.'!$B$2:$J$24,8,0))</f>
        <v>13.5</v>
      </c>
      <c r="S135" s="14" t="n">
        <f aca="false">IF(ISNA(VLOOKUP($B135,'S.  DA ADM.   WC'!$B$2:$J$27,8,0)),"",VLOOKUP($B135,'S.  DA ADM.   WC'!$B$2:$J$27,8,0))</f>
        <v>2.7</v>
      </c>
      <c r="T135" s="14" t="n">
        <f aca="false">IF(ISNA(VLOOKUP($B135,'S. DA ATER'!$B$2:$J$23,8,0)),"",VLOOKUP($B135,'S. DA ATER'!$B$2:$J$23,8,0))</f>
        <v>14.22</v>
      </c>
      <c r="U135" s="14" t="n">
        <f aca="false">IF(ISNA(VLOOKUP($B135,'S. DA GERÊNCIA'!$B$2:$J$27,8,0)),"",VLOOKUP($B135,'S. DA GERÊNCIA'!$B$2:$J$27,8,0))</f>
        <v>10.22</v>
      </c>
      <c r="V135" s="14" t="n">
        <f aca="false">IF(ISNA(VLOOKUP($B135,'S. DE ESPERA'!$B$2:$J$23,8,0)),"",VLOOKUP($B135,'S. DE ESPERA'!$B$2:$J$23,8,0))</f>
        <v>19.25</v>
      </c>
      <c r="W135" s="14" t="n">
        <f aca="false">IF(ISNA(VLOOKUP($B135,'S. DE REUNIÃO'!$B$2:$J$25,8,0)),"",VLOOKUP($B135,'S. DE REUNIÃO'!$B$2:$J$25,8,0))</f>
        <v>12.69</v>
      </c>
      <c r="X135" s="14" t="n">
        <f aca="false">IF(ISNA(VLOOKUP($B135,'S. DO VIGIA'!$B$2:$J$23,8,0)),"",VLOOKUP($B135,'S. DO VIGIA'!$B$2:$J$23,8,0))</f>
        <v>9.72</v>
      </c>
      <c r="Y135" s="14" t="n">
        <f aca="false">IF(ISNA(VLOOKUP($B135,'WC SOCIAL FEM'!$B$2:$J$28,8,0)),"",VLOOKUP($B135,'WC SOCIAL FEM'!$B$2:$J$28,8,0))</f>
        <v>2.8</v>
      </c>
      <c r="Z135" s="14" t="n">
        <f aca="false">IF(ISNA(VLOOKUP($B135,'WC SOCIAL MAS'!$B$2:$J$29,8,0)),"",VLOOKUP($B135,'WC SOCIAL MAS'!$B$2:$J$29,8,0))</f>
        <v>2.8</v>
      </c>
      <c r="AA135" s="14" t="str">
        <f aca="false">IF(ISNA(VLOOKUP($B135,HIDRÁULICA!$B$2:$J$32,8,0)),"",VLOOKUP($B135,HIDRÁULICA!$B$2:$J$32,8,0))</f>
        <v/>
      </c>
    </row>
  </sheetData>
  <mergeCells count="13">
    <mergeCell ref="A1:F1"/>
    <mergeCell ref="G1:Z1"/>
    <mergeCell ref="A3:A18"/>
    <mergeCell ref="A19:A28"/>
    <mergeCell ref="A30:A33"/>
    <mergeCell ref="A34:A43"/>
    <mergeCell ref="A44:A53"/>
    <mergeCell ref="A54:A66"/>
    <mergeCell ref="A67:A76"/>
    <mergeCell ref="A77:A88"/>
    <mergeCell ref="A89:A97"/>
    <mergeCell ref="A98:A128"/>
    <mergeCell ref="A129:A135"/>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0"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J9"/>
  <sheetViews>
    <sheetView windowProtection="false"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J4" activeCellId="0" sqref="J4"/>
    </sheetView>
  </sheetViews>
  <sheetFormatPr defaultRowHeight="14.4"/>
  <cols>
    <col collapsed="false" hidden="false" max="2" min="1" style="0" width="15.7959183673469"/>
    <col collapsed="false" hidden="false" max="3" min="3" style="36" width="29.6989795918367"/>
    <col collapsed="false" hidden="false" max="8" min="4" style="36" width="7.96428571428571"/>
    <col collapsed="false" hidden="false" max="9" min="9" style="0" width="12.5561224489796"/>
    <col collapsed="false" hidden="false" max="10" min="10" style="0" width="35.234693877551"/>
    <col collapsed="false" hidden="false" max="1025" min="11"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75" hidden="false" customHeight="true" outlineLevel="0" collapsed="false">
      <c r="A2" s="23" t="s">
        <v>16</v>
      </c>
      <c r="B2" s="23" t="s">
        <v>163</v>
      </c>
      <c r="C2" s="25" t="s">
        <v>165</v>
      </c>
      <c r="D2" s="23" t="n">
        <v>14.2</v>
      </c>
      <c r="E2" s="23" t="n">
        <v>7.6</v>
      </c>
      <c r="F2" s="23" t="n">
        <v>0.3</v>
      </c>
      <c r="G2" s="23"/>
      <c r="H2" s="23"/>
      <c r="I2" s="23" t="n">
        <f aca="false">D2*E2*(1+F2)</f>
        <v>140.296</v>
      </c>
      <c r="J2" s="23" t="s">
        <v>534</v>
      </c>
    </row>
    <row r="3" customFormat="false" ht="82.45" hidden="false" customHeight="false" outlineLevel="0" collapsed="false">
      <c r="A3" s="23"/>
      <c r="B3" s="23" t="s">
        <v>166</v>
      </c>
      <c r="C3" s="25" t="s">
        <v>168</v>
      </c>
      <c r="D3" s="23" t="n">
        <v>22.25</v>
      </c>
      <c r="E3" s="23" t="n">
        <v>10.4</v>
      </c>
      <c r="F3" s="23" t="n">
        <v>0.25</v>
      </c>
      <c r="G3" s="23"/>
      <c r="H3" s="23"/>
      <c r="I3" s="23" t="n">
        <f aca="false">D3*E3*(1+F3)</f>
        <v>289.25</v>
      </c>
      <c r="J3" s="23" t="s">
        <v>535</v>
      </c>
    </row>
    <row r="4" customFormat="false" ht="43.2" hidden="false" customHeight="false" outlineLevel="0" collapsed="false">
      <c r="A4" s="23"/>
      <c r="B4" s="23" t="s">
        <v>169</v>
      </c>
      <c r="C4" s="25" t="s">
        <v>171</v>
      </c>
      <c r="D4" s="25"/>
      <c r="E4" s="25"/>
      <c r="F4" s="25"/>
      <c r="G4" s="25"/>
      <c r="H4" s="25"/>
      <c r="I4" s="23" t="n">
        <f aca="false">I2</f>
        <v>140.296</v>
      </c>
      <c r="J4" s="23" t="s">
        <v>536</v>
      </c>
    </row>
    <row r="5" customFormat="false" ht="43.2" hidden="false" customHeight="false" outlineLevel="0" collapsed="false">
      <c r="A5" s="23"/>
      <c r="B5" s="23" t="s">
        <v>172</v>
      </c>
      <c r="C5" s="25" t="s">
        <v>174</v>
      </c>
      <c r="D5" s="25"/>
      <c r="E5" s="25"/>
      <c r="F5" s="25"/>
      <c r="G5" s="25"/>
      <c r="H5" s="25"/>
      <c r="I5" s="23" t="n">
        <f aca="false">I2</f>
        <v>140.296</v>
      </c>
      <c r="J5" s="23" t="s">
        <v>536</v>
      </c>
    </row>
    <row r="6" customFormat="false" ht="72" hidden="false" customHeight="false" outlineLevel="0" collapsed="false">
      <c r="A6" s="23"/>
      <c r="B6" s="23" t="s">
        <v>175</v>
      </c>
      <c r="C6" s="25" t="s">
        <v>177</v>
      </c>
      <c r="D6" s="25"/>
      <c r="E6" s="25"/>
      <c r="F6" s="25"/>
      <c r="G6" s="25"/>
      <c r="H6" s="25"/>
      <c r="I6" s="23" t="n">
        <f aca="false">I5</f>
        <v>140.296</v>
      </c>
      <c r="J6" s="23" t="s">
        <v>536</v>
      </c>
    </row>
    <row r="7" customFormat="false" ht="72" hidden="false" customHeight="false" outlineLevel="0" collapsed="false">
      <c r="A7" s="23"/>
      <c r="B7" s="23" t="s">
        <v>178</v>
      </c>
      <c r="C7" s="25" t="s">
        <v>180</v>
      </c>
      <c r="D7" s="25"/>
      <c r="E7" s="25"/>
      <c r="F7" s="25"/>
      <c r="G7" s="25"/>
      <c r="H7" s="25"/>
      <c r="I7" s="23" t="n">
        <v>4</v>
      </c>
      <c r="J7" s="23" t="s">
        <v>537</v>
      </c>
    </row>
    <row r="8" customFormat="false" ht="72" hidden="false" customHeight="false" outlineLevel="0" collapsed="false">
      <c r="A8" s="23"/>
      <c r="B8" s="23" t="s">
        <v>181</v>
      </c>
      <c r="C8" s="25" t="s">
        <v>183</v>
      </c>
      <c r="D8" s="25"/>
      <c r="E8" s="25"/>
      <c r="F8" s="25"/>
      <c r="G8" s="25"/>
      <c r="H8" s="25"/>
      <c r="I8" s="23" t="n">
        <v>14.2</v>
      </c>
      <c r="J8" s="23" t="s">
        <v>538</v>
      </c>
    </row>
    <row r="9" customFormat="false" ht="14.4" hidden="false" customHeight="false" outlineLevel="0" collapsed="false">
      <c r="I9" s="0" t="n">
        <f aca="false">SUM(I2:I8)</f>
        <v>868.634</v>
      </c>
    </row>
  </sheetData>
  <mergeCells count="1">
    <mergeCell ref="A2:A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J32"/>
  <sheetViews>
    <sheetView windowProtection="false" showFormulas="false" showGridLines="true" showRowColHeaders="true" showZeros="true" rightToLeft="false" tabSelected="false" showOutlineSymbols="true" defaultGridColor="true" view="normal" topLeftCell="A28" colorId="64" zoomScale="90" zoomScaleNormal="90" zoomScalePageLayoutView="100" workbookViewId="0">
      <selection pane="topLeft" activeCell="I33" activeCellId="0" sqref="I33"/>
    </sheetView>
  </sheetViews>
  <sheetFormatPr defaultRowHeight="14.4"/>
  <cols>
    <col collapsed="false" hidden="false" max="2" min="1" style="1" width="15.7959183673469"/>
    <col collapsed="false" hidden="false" max="3" min="3" style="20" width="29.6989795918367"/>
    <col collapsed="false" hidden="false" max="8" min="4" style="20" width="7.96428571428571"/>
    <col collapsed="false" hidden="false" max="9" min="9" style="1" width="12.5561224489796"/>
    <col collapsed="false" hidden="false" max="10" min="10" style="1" width="35.234693877551"/>
    <col collapsed="false" hidden="false" max="1025" min="11" style="0" width="8.23469387755102"/>
  </cols>
  <sheetData>
    <row r="1" customFormat="false" ht="15.6" hidden="false" customHeight="false" outlineLevel="0" collapsed="false">
      <c r="A1" s="22" t="s">
        <v>447</v>
      </c>
      <c r="B1" s="22" t="s">
        <v>3</v>
      </c>
      <c r="C1" s="40" t="s">
        <v>448</v>
      </c>
      <c r="D1" s="22" t="s">
        <v>449</v>
      </c>
      <c r="E1" s="22" t="s">
        <v>450</v>
      </c>
      <c r="F1" s="22" t="s">
        <v>451</v>
      </c>
      <c r="G1" s="22" t="s">
        <v>452</v>
      </c>
      <c r="H1" s="22" t="s">
        <v>453</v>
      </c>
      <c r="I1" s="22" t="s">
        <v>454</v>
      </c>
      <c r="J1" s="22" t="s">
        <v>455</v>
      </c>
    </row>
    <row r="2" customFormat="false" ht="45" hidden="false" customHeight="true" outlineLevel="0" collapsed="false">
      <c r="A2" s="23" t="s">
        <v>17</v>
      </c>
      <c r="B2" s="23" t="s">
        <v>30</v>
      </c>
      <c r="C2" s="25" t="s">
        <v>32</v>
      </c>
      <c r="D2" s="23" t="n">
        <v>7.98</v>
      </c>
      <c r="E2" s="23"/>
      <c r="F2" s="23"/>
      <c r="G2" s="23"/>
      <c r="H2" s="23"/>
      <c r="I2" s="24" t="n">
        <f aca="false">D2</f>
        <v>7.98</v>
      </c>
      <c r="J2" s="23" t="s">
        <v>539</v>
      </c>
    </row>
    <row r="3" customFormat="false" ht="45" hidden="false" customHeight="true" outlineLevel="0" collapsed="false">
      <c r="A3" s="23"/>
      <c r="B3" s="23" t="s">
        <v>34</v>
      </c>
      <c r="C3" s="25" t="s">
        <v>36</v>
      </c>
      <c r="D3" s="23" t="n">
        <v>1</v>
      </c>
      <c r="E3" s="23" t="n">
        <v>5.18</v>
      </c>
      <c r="F3" s="23" t="n">
        <f aca="false">0.8+0.8</f>
        <v>1.6</v>
      </c>
      <c r="G3" s="23"/>
      <c r="H3" s="23"/>
      <c r="I3" s="24" t="n">
        <f aca="false">D3*(E3-F3)</f>
        <v>3.58</v>
      </c>
      <c r="J3" s="23" t="s">
        <v>467</v>
      </c>
    </row>
    <row r="4" customFormat="false" ht="28.8" hidden="false" customHeight="false" outlineLevel="0" collapsed="false">
      <c r="A4" s="23"/>
      <c r="B4" s="23" t="s">
        <v>51</v>
      </c>
      <c r="C4" s="25" t="s">
        <v>53</v>
      </c>
      <c r="D4" s="23" t="n">
        <f aca="false">1.2*2</f>
        <v>2.4</v>
      </c>
      <c r="E4" s="23" t="n">
        <f aca="false">2.1*0.8*2</f>
        <v>3.36</v>
      </c>
      <c r="F4" s="23"/>
      <c r="G4" s="23"/>
      <c r="H4" s="23"/>
      <c r="I4" s="23" t="n">
        <f aca="false">E4+D4</f>
        <v>5.76</v>
      </c>
      <c r="J4" s="23" t="s">
        <v>540</v>
      </c>
    </row>
    <row r="5" customFormat="false" ht="43.2" hidden="false" customHeight="false" outlineLevel="0" collapsed="false">
      <c r="A5" s="23"/>
      <c r="B5" s="23" t="s">
        <v>67</v>
      </c>
      <c r="C5" s="25" t="s">
        <v>541</v>
      </c>
      <c r="D5" s="23" t="n">
        <v>1.56</v>
      </c>
      <c r="E5" s="23" t="n">
        <f aca="false">2+2+2.8</f>
        <v>6.8</v>
      </c>
      <c r="F5" s="23"/>
      <c r="G5" s="23"/>
      <c r="H5" s="23"/>
      <c r="I5" s="24" t="n">
        <f aca="false">D5*E5</f>
        <v>10.608</v>
      </c>
      <c r="J5" s="23" t="s">
        <v>542</v>
      </c>
    </row>
    <row r="6" customFormat="false" ht="14.4" hidden="false" customHeight="false" outlineLevel="0" collapsed="false">
      <c r="A6" s="23"/>
      <c r="B6" s="23" t="s">
        <v>70</v>
      </c>
      <c r="C6" s="25" t="s">
        <v>72</v>
      </c>
      <c r="D6" s="23" t="n">
        <f aca="false">1.2*0.6</f>
        <v>0.72</v>
      </c>
      <c r="E6" s="23"/>
      <c r="F6" s="23"/>
      <c r="G6" s="23"/>
      <c r="H6" s="23"/>
      <c r="I6" s="24" t="n">
        <f aca="false">D6</f>
        <v>0.72</v>
      </c>
      <c r="J6" s="23" t="s">
        <v>543</v>
      </c>
    </row>
    <row r="7" customFormat="false" ht="28.8" hidden="false" customHeight="false" outlineLevel="0" collapsed="false">
      <c r="A7" s="23"/>
      <c r="B7" s="23" t="s">
        <v>55</v>
      </c>
      <c r="C7" s="25" t="s">
        <v>57</v>
      </c>
      <c r="D7" s="23"/>
      <c r="E7" s="23"/>
      <c r="F7" s="23"/>
      <c r="G7" s="23"/>
      <c r="H7" s="23"/>
      <c r="I7" s="24" t="n">
        <f aca="false">I2</f>
        <v>7.98</v>
      </c>
      <c r="J7" s="23" t="s">
        <v>544</v>
      </c>
    </row>
    <row r="8" customFormat="false" ht="86.4" hidden="false" customHeight="false" outlineLevel="0" collapsed="false">
      <c r="A8" s="23"/>
      <c r="B8" s="23" t="s">
        <v>102</v>
      </c>
      <c r="C8" s="25" t="s">
        <v>104</v>
      </c>
      <c r="D8" s="23" t="n">
        <f aca="false">0.3*0.4*2.8</f>
        <v>0.336</v>
      </c>
      <c r="E8" s="23"/>
      <c r="F8" s="23"/>
      <c r="G8" s="23"/>
      <c r="H8" s="23"/>
      <c r="I8" s="23" t="n">
        <f aca="false">D8</f>
        <v>0.336</v>
      </c>
      <c r="J8" s="23" t="s">
        <v>545</v>
      </c>
    </row>
    <row r="9" customFormat="false" ht="57.6" hidden="false" customHeight="false" outlineLevel="0" collapsed="false">
      <c r="A9" s="23"/>
      <c r="B9" s="23" t="s">
        <v>115</v>
      </c>
      <c r="C9" s="25" t="s">
        <v>117</v>
      </c>
      <c r="D9" s="25" t="n">
        <f aca="false">2.8*2.85</f>
        <v>7.98</v>
      </c>
      <c r="E9" s="23"/>
      <c r="F9" s="23"/>
      <c r="G9" s="23"/>
      <c r="H9" s="23"/>
      <c r="I9" s="23" t="n">
        <f aca="false">D9</f>
        <v>7.98</v>
      </c>
      <c r="J9" s="23" t="s">
        <v>546</v>
      </c>
    </row>
    <row r="10" customFormat="false" ht="57.6" hidden="false" customHeight="false" outlineLevel="0" collapsed="false">
      <c r="A10" s="23"/>
      <c r="B10" s="24" t="s">
        <v>119</v>
      </c>
      <c r="C10" s="25" t="s">
        <v>121</v>
      </c>
      <c r="D10" s="28" t="n">
        <f aca="false">I3</f>
        <v>3.58</v>
      </c>
      <c r="E10" s="25" t="n">
        <f aca="false">2.8*2.85</f>
        <v>7.98</v>
      </c>
      <c r="F10" s="25"/>
      <c r="G10" s="25"/>
      <c r="H10" s="25"/>
      <c r="I10" s="24" t="n">
        <f aca="false">D10+E10</f>
        <v>11.56</v>
      </c>
      <c r="J10" s="23" t="s">
        <v>547</v>
      </c>
    </row>
    <row r="11" customFormat="false" ht="72" hidden="false" customHeight="false" outlineLevel="0" collapsed="false">
      <c r="A11" s="23"/>
      <c r="B11" s="24" t="s">
        <v>125</v>
      </c>
      <c r="C11" s="25" t="s">
        <v>127</v>
      </c>
      <c r="D11" s="28" t="n">
        <f aca="false">I3</f>
        <v>3.58</v>
      </c>
      <c r="E11" s="25" t="n">
        <f aca="false">2.8*2.85</f>
        <v>7.98</v>
      </c>
      <c r="F11" s="25"/>
      <c r="G11" s="25"/>
      <c r="H11" s="25"/>
      <c r="I11" s="24" t="n">
        <f aca="false">D11+E11</f>
        <v>11.56</v>
      </c>
      <c r="J11" s="23" t="s">
        <v>547</v>
      </c>
    </row>
    <row r="12" customFormat="false" ht="86.4" hidden="false" customHeight="false" outlineLevel="0" collapsed="false">
      <c r="A12" s="23"/>
      <c r="B12" s="23" t="s">
        <v>128</v>
      </c>
      <c r="C12" s="25" t="s">
        <v>130</v>
      </c>
      <c r="D12" s="23" t="n">
        <v>2.58</v>
      </c>
      <c r="E12" s="23" t="n">
        <v>7</v>
      </c>
      <c r="F12" s="23" t="n">
        <f aca="false">(0.8*2.1*2)+(1.6*0.8)</f>
        <v>4.64</v>
      </c>
      <c r="G12" s="23"/>
      <c r="H12" s="23"/>
      <c r="I12" s="24" t="n">
        <f aca="false">D12*(E12-F12)</f>
        <v>6.0888</v>
      </c>
      <c r="J12" s="23" t="s">
        <v>529</v>
      </c>
    </row>
    <row r="13" customFormat="false" ht="41.95" hidden="false" customHeight="false" outlineLevel="0" collapsed="false">
      <c r="A13" s="23"/>
      <c r="B13" s="23" t="s">
        <v>132</v>
      </c>
      <c r="C13" s="25" t="s">
        <v>134</v>
      </c>
      <c r="D13" s="23" t="n">
        <f aca="false">0.862</f>
        <v>0.862</v>
      </c>
      <c r="E13" s="23" t="n">
        <v>2</v>
      </c>
      <c r="F13" s="23"/>
      <c r="G13" s="23"/>
      <c r="H13" s="23"/>
      <c r="I13" s="23" t="n">
        <f aca="false">D13*E13</f>
        <v>1.724</v>
      </c>
      <c r="J13" s="23" t="s">
        <v>548</v>
      </c>
    </row>
    <row r="14" customFormat="false" ht="43.2" hidden="false" customHeight="false" outlineLevel="0" collapsed="false">
      <c r="A14" s="23"/>
      <c r="B14" s="23" t="s">
        <v>141</v>
      </c>
      <c r="C14" s="25" t="s">
        <v>143</v>
      </c>
      <c r="D14" s="23" t="n">
        <v>7.98</v>
      </c>
      <c r="E14" s="23" t="n">
        <v>0.06</v>
      </c>
      <c r="F14" s="23"/>
      <c r="G14" s="23"/>
      <c r="H14" s="23"/>
      <c r="I14" s="24" t="n">
        <f aca="false">D14*E14</f>
        <v>0.4788</v>
      </c>
      <c r="J14" s="23" t="s">
        <v>530</v>
      </c>
    </row>
    <row r="15" customFormat="false" ht="72" hidden="false" customHeight="false" outlineLevel="0" collapsed="false">
      <c r="A15" s="23"/>
      <c r="B15" s="23" t="s">
        <v>144</v>
      </c>
      <c r="C15" s="25" t="s">
        <v>549</v>
      </c>
      <c r="D15" s="23"/>
      <c r="E15" s="23"/>
      <c r="F15" s="23"/>
      <c r="G15" s="23"/>
      <c r="H15" s="23"/>
      <c r="I15" s="24" t="n">
        <v>7.98</v>
      </c>
      <c r="J15" s="23" t="s">
        <v>458</v>
      </c>
    </row>
    <row r="16" customFormat="false" ht="43.2" hidden="false" customHeight="false" outlineLevel="0" collapsed="false">
      <c r="A16" s="23"/>
      <c r="B16" s="23" t="s">
        <v>147</v>
      </c>
      <c r="C16" s="25" t="s">
        <v>149</v>
      </c>
      <c r="D16" s="23"/>
      <c r="E16" s="23"/>
      <c r="F16" s="23"/>
      <c r="G16" s="23"/>
      <c r="H16" s="23"/>
      <c r="I16" s="24" t="n">
        <v>7.98</v>
      </c>
      <c r="J16" s="23" t="s">
        <v>458</v>
      </c>
    </row>
    <row r="17" customFormat="false" ht="14.4" hidden="false" customHeight="false" outlineLevel="0" collapsed="false">
      <c r="A17" s="23"/>
      <c r="B17" s="23" t="s">
        <v>194</v>
      </c>
      <c r="C17" s="25" t="s">
        <v>196</v>
      </c>
      <c r="D17" s="23"/>
      <c r="E17" s="23"/>
      <c r="F17" s="23"/>
      <c r="G17" s="23"/>
      <c r="H17" s="23"/>
      <c r="I17" s="24" t="n">
        <f aca="false">1.6*0.8</f>
        <v>1.28</v>
      </c>
      <c r="J17" s="23"/>
    </row>
    <row r="18" customFormat="false" ht="43.2" hidden="false" customHeight="false" outlineLevel="0" collapsed="false">
      <c r="A18" s="23"/>
      <c r="B18" s="23" t="s">
        <v>197</v>
      </c>
      <c r="C18" s="25" t="s">
        <v>199</v>
      </c>
      <c r="D18" s="23"/>
      <c r="E18" s="23"/>
      <c r="F18" s="23"/>
      <c r="G18" s="23"/>
      <c r="H18" s="23"/>
      <c r="I18" s="23" t="n">
        <v>2</v>
      </c>
      <c r="J18" s="23"/>
    </row>
    <row r="19" customFormat="false" ht="43.2" hidden="false" customHeight="false" outlineLevel="0" collapsed="false">
      <c r="A19" s="23"/>
      <c r="B19" s="23" t="s">
        <v>200</v>
      </c>
      <c r="C19" s="25" t="s">
        <v>202</v>
      </c>
      <c r="D19" s="23"/>
      <c r="E19" s="23"/>
      <c r="F19" s="23"/>
      <c r="G19" s="23"/>
      <c r="H19" s="23"/>
      <c r="I19" s="23" t="n">
        <v>1</v>
      </c>
      <c r="J19" s="23"/>
    </row>
    <row r="20" customFormat="false" ht="43.2" hidden="false" customHeight="false" outlineLevel="0" collapsed="false">
      <c r="A20" s="23"/>
      <c r="B20" s="23" t="s">
        <v>203</v>
      </c>
      <c r="C20" s="25" t="s">
        <v>205</v>
      </c>
      <c r="D20" s="23"/>
      <c r="E20" s="23"/>
      <c r="F20" s="23"/>
      <c r="G20" s="23"/>
      <c r="H20" s="23"/>
      <c r="I20" s="23" t="n">
        <v>1</v>
      </c>
      <c r="J20" s="23"/>
    </row>
    <row r="21" customFormat="false" ht="100.8" hidden="false" customHeight="false" outlineLevel="0" collapsed="false">
      <c r="A21" s="23"/>
      <c r="B21" s="23" t="s">
        <v>218</v>
      </c>
      <c r="C21" s="25" t="s">
        <v>220</v>
      </c>
      <c r="D21" s="23"/>
      <c r="E21" s="23"/>
      <c r="F21" s="23"/>
      <c r="G21" s="23"/>
      <c r="H21" s="23"/>
      <c r="I21" s="23" t="n">
        <v>1</v>
      </c>
      <c r="J21" s="23"/>
    </row>
    <row r="22" customFormat="false" ht="43.2" hidden="false" customHeight="false" outlineLevel="0" collapsed="false">
      <c r="A22" s="23"/>
      <c r="B22" s="24" t="s">
        <v>227</v>
      </c>
      <c r="C22" s="25" t="s">
        <v>229</v>
      </c>
      <c r="D22" s="24"/>
      <c r="E22" s="27"/>
      <c r="F22" s="23"/>
      <c r="G22" s="23"/>
      <c r="H22" s="23"/>
      <c r="I22" s="23" t="n">
        <v>1</v>
      </c>
      <c r="J22" s="23"/>
    </row>
    <row r="23" customFormat="false" ht="28.8" hidden="false" customHeight="false" outlineLevel="0" collapsed="false">
      <c r="A23" s="23"/>
      <c r="B23" s="23" t="s">
        <v>240</v>
      </c>
      <c r="C23" s="25" t="s">
        <v>242</v>
      </c>
      <c r="D23" s="24" t="n">
        <f aca="false">(0.8*2.1)*4</f>
        <v>6.72</v>
      </c>
      <c r="E23" s="24" t="n">
        <f aca="false">((0.15*2.1)*4)+(0.15*0.8*2)</f>
        <v>1.5</v>
      </c>
      <c r="F23" s="23" t="n">
        <f aca="false">0.05*((2.1*2)+0.8)*4</f>
        <v>1</v>
      </c>
      <c r="G23" s="23"/>
      <c r="H23" s="23"/>
      <c r="I23" s="24" t="n">
        <f aca="false">D23+E23+F23</f>
        <v>9.22</v>
      </c>
      <c r="J23" s="23" t="s">
        <v>472</v>
      </c>
    </row>
    <row r="24" customFormat="false" ht="43.2" hidden="false" customHeight="false" outlineLevel="0" collapsed="false">
      <c r="A24" s="23"/>
      <c r="B24" s="23" t="s">
        <v>255</v>
      </c>
      <c r="C24" s="25" t="s">
        <v>257</v>
      </c>
      <c r="D24" s="23"/>
      <c r="E24" s="23"/>
      <c r="F24" s="23"/>
      <c r="G24" s="23"/>
      <c r="H24" s="23"/>
      <c r="I24" s="23" t="n">
        <v>7.98</v>
      </c>
      <c r="J24" s="23" t="s">
        <v>480</v>
      </c>
    </row>
    <row r="25" customFormat="false" ht="86.4" hidden="false" customHeight="false" outlineLevel="0" collapsed="false">
      <c r="A25" s="23"/>
      <c r="B25" s="23" t="s">
        <v>289</v>
      </c>
      <c r="C25" s="25" t="s">
        <v>291</v>
      </c>
      <c r="D25" s="23"/>
      <c r="E25" s="23"/>
      <c r="F25" s="23"/>
      <c r="G25" s="23"/>
      <c r="H25" s="23"/>
      <c r="I25" s="23" t="n">
        <v>1</v>
      </c>
      <c r="J25" s="23"/>
    </row>
    <row r="26" customFormat="false" ht="57.6" hidden="false" customHeight="false" outlineLevel="0" collapsed="false">
      <c r="A26" s="23"/>
      <c r="B26" s="23" t="s">
        <v>302</v>
      </c>
      <c r="C26" s="25" t="s">
        <v>304</v>
      </c>
      <c r="D26" s="23"/>
      <c r="E26" s="23"/>
      <c r="F26" s="23"/>
      <c r="G26" s="23"/>
      <c r="H26" s="23"/>
      <c r="I26" s="23" t="n">
        <v>1</v>
      </c>
      <c r="J26" s="23"/>
    </row>
    <row r="27" customFormat="false" ht="43.2" hidden="false" customHeight="false" outlineLevel="0" collapsed="false">
      <c r="A27" s="23"/>
      <c r="B27" s="23" t="s">
        <v>312</v>
      </c>
      <c r="C27" s="25" t="s">
        <v>314</v>
      </c>
      <c r="D27" s="23"/>
      <c r="E27" s="23"/>
      <c r="F27" s="23"/>
      <c r="G27" s="23"/>
      <c r="H27" s="23"/>
      <c r="I27" s="23" t="n">
        <v>1</v>
      </c>
      <c r="J27" s="23"/>
    </row>
    <row r="28" customFormat="false" ht="57.6" hidden="false" customHeight="false" outlineLevel="0" collapsed="false">
      <c r="A28" s="23"/>
      <c r="B28" s="24" t="s">
        <v>318</v>
      </c>
      <c r="C28" s="25" t="s">
        <v>323</v>
      </c>
      <c r="D28" s="23"/>
      <c r="E28" s="23"/>
      <c r="F28" s="23"/>
      <c r="G28" s="23"/>
      <c r="H28" s="23"/>
      <c r="I28" s="23" t="n">
        <v>1</v>
      </c>
      <c r="J28" s="23"/>
    </row>
    <row r="29" customFormat="false" ht="72" hidden="false" customHeight="false" outlineLevel="0" collapsed="false">
      <c r="A29" s="23"/>
      <c r="B29" s="24" t="s">
        <v>324</v>
      </c>
      <c r="C29" s="25" t="s">
        <v>326</v>
      </c>
      <c r="D29" s="23"/>
      <c r="E29" s="23"/>
      <c r="F29" s="23"/>
      <c r="G29" s="23"/>
      <c r="H29" s="23"/>
      <c r="I29" s="23" t="n">
        <v>3</v>
      </c>
      <c r="J29" s="23"/>
    </row>
    <row r="30" customFormat="false" ht="72" hidden="false" customHeight="false" outlineLevel="0" collapsed="false">
      <c r="A30" s="23"/>
      <c r="B30" s="23" t="s">
        <v>440</v>
      </c>
      <c r="C30" s="25" t="s">
        <v>442</v>
      </c>
      <c r="D30" s="23" t="n">
        <f aca="false">I2*0.06</f>
        <v>0.4788</v>
      </c>
      <c r="E30" s="23" t="n">
        <f aca="false">I3*0.02</f>
        <v>0.0716</v>
      </c>
      <c r="F30" s="23" t="n">
        <f aca="false">I4*0.15</f>
        <v>0.864</v>
      </c>
      <c r="G30" s="23" t="n">
        <v>1.3</v>
      </c>
      <c r="H30" s="23" t="n">
        <v>6</v>
      </c>
      <c r="I30" s="24" t="n">
        <f aca="false">(D30+E30+F30)*G30*H30</f>
        <v>11.03232</v>
      </c>
      <c r="J30" s="23" t="s">
        <v>550</v>
      </c>
    </row>
    <row r="31" customFormat="false" ht="14.4" hidden="false" customHeight="false" outlineLevel="0" collapsed="false">
      <c r="A31" s="23"/>
      <c r="B31" s="24" t="s">
        <v>444</v>
      </c>
      <c r="C31" s="25" t="s">
        <v>446</v>
      </c>
      <c r="D31" s="24"/>
      <c r="E31" s="23"/>
      <c r="F31" s="23"/>
      <c r="G31" s="23"/>
      <c r="H31" s="23"/>
      <c r="I31" s="24" t="n">
        <f aca="false">I14</f>
        <v>0.4788</v>
      </c>
      <c r="J31" s="23" t="s">
        <v>458</v>
      </c>
    </row>
    <row r="32" customFormat="false" ht="14.4" hidden="false" customHeight="false" outlineLevel="0" collapsed="false">
      <c r="I32" s="1" t="n">
        <f aca="false">SUM(I2:I31)</f>
        <v>135.30672</v>
      </c>
    </row>
  </sheetData>
  <mergeCells count="1">
    <mergeCell ref="A2:A31"/>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J25"/>
  <sheetViews>
    <sheetView windowProtection="false" showFormulas="false" showGridLines="true" showRowColHeaders="true" showZeros="true" rightToLeft="false" tabSelected="false" showOutlineSymbols="true" defaultGridColor="true" view="normal" topLeftCell="A19" colorId="64" zoomScale="90" zoomScaleNormal="90" zoomScalePageLayoutView="100" workbookViewId="0">
      <selection pane="topLeft" activeCell="I26" activeCellId="0" sqref="I26"/>
    </sheetView>
  </sheetViews>
  <sheetFormatPr defaultRowHeight="14.4"/>
  <cols>
    <col collapsed="false" hidden="false" max="2" min="1" style="0" width="15.7959183673469"/>
    <col collapsed="false" hidden="false" max="3" min="3" style="36" width="29.6989795918367"/>
    <col collapsed="false" hidden="false" max="8" min="4" style="36" width="7.96428571428571"/>
    <col collapsed="false" hidden="false" max="9" min="9" style="0" width="12.5561224489796"/>
    <col collapsed="false" hidden="false" max="10" min="10" style="0" width="35.234693877551"/>
    <col collapsed="false" hidden="false" max="1025" min="11"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45" hidden="false" customHeight="true" outlineLevel="0" collapsed="false">
      <c r="A2" s="23" t="s">
        <v>18</v>
      </c>
      <c r="B2" s="23" t="s">
        <v>34</v>
      </c>
      <c r="C2" s="25" t="s">
        <v>36</v>
      </c>
      <c r="D2" s="23" t="n">
        <v>0.7</v>
      </c>
      <c r="E2" s="23" t="n">
        <v>15.4</v>
      </c>
      <c r="F2" s="23" t="n">
        <f aca="false">0.8</f>
        <v>0.8</v>
      </c>
      <c r="G2" s="23"/>
      <c r="H2" s="23"/>
      <c r="I2" s="24" t="n">
        <f aca="false">D2*(E2-F2)</f>
        <v>10.22</v>
      </c>
      <c r="J2" s="23" t="s">
        <v>467</v>
      </c>
    </row>
    <row r="3" customFormat="false" ht="57.6" hidden="false" customHeight="false" outlineLevel="0" collapsed="false">
      <c r="A3" s="23"/>
      <c r="B3" s="23" t="s">
        <v>55</v>
      </c>
      <c r="C3" s="25" t="s">
        <v>57</v>
      </c>
      <c r="D3" s="23" t="n">
        <v>2.58</v>
      </c>
      <c r="E3" s="23" t="n">
        <f aca="false">E2</f>
        <v>15.4</v>
      </c>
      <c r="F3" s="24" t="n">
        <f aca="false">I2</f>
        <v>10.22</v>
      </c>
      <c r="G3" s="23" t="n">
        <f aca="false">((2.1-0.7)*0.8)+(1*1.1)</f>
        <v>2.22</v>
      </c>
      <c r="H3" s="24" t="n">
        <f aca="false">I4</f>
        <v>13.72</v>
      </c>
      <c r="I3" s="24" t="n">
        <f aca="false">(D3*E3)-F3-G3+H3</f>
        <v>41.012</v>
      </c>
      <c r="J3" s="23" t="s">
        <v>457</v>
      </c>
    </row>
    <row r="4" customFormat="false" ht="28.45" hidden="false" customHeight="false" outlineLevel="0" collapsed="false">
      <c r="A4" s="23"/>
      <c r="B4" s="24" t="s">
        <v>73</v>
      </c>
      <c r="C4" s="25" t="s">
        <v>75</v>
      </c>
      <c r="D4" s="23"/>
      <c r="E4" s="23"/>
      <c r="F4" s="23"/>
      <c r="G4" s="23"/>
      <c r="H4" s="23"/>
      <c r="I4" s="24" t="n">
        <v>13.72</v>
      </c>
      <c r="J4" s="23" t="s">
        <v>458</v>
      </c>
    </row>
    <row r="5" customFormat="false" ht="57.6" hidden="false" customHeight="false" outlineLevel="0" collapsed="false">
      <c r="A5" s="23"/>
      <c r="B5" s="23" t="s">
        <v>119</v>
      </c>
      <c r="C5" s="25" t="s">
        <v>121</v>
      </c>
      <c r="D5" s="25"/>
      <c r="E5" s="25"/>
      <c r="F5" s="25"/>
      <c r="G5" s="25"/>
      <c r="H5" s="25"/>
      <c r="I5" s="24" t="n">
        <f aca="false">I2</f>
        <v>10.22</v>
      </c>
      <c r="J5" s="23" t="s">
        <v>460</v>
      </c>
    </row>
    <row r="6" customFormat="false" ht="72" hidden="false" customHeight="false" outlineLevel="0" collapsed="false">
      <c r="A6" s="23"/>
      <c r="B6" s="23" t="s">
        <v>125</v>
      </c>
      <c r="C6" s="25" t="s">
        <v>127</v>
      </c>
      <c r="D6" s="25"/>
      <c r="E6" s="25"/>
      <c r="F6" s="25"/>
      <c r="G6" s="25"/>
      <c r="H6" s="25"/>
      <c r="I6" s="24" t="n">
        <f aca="false">I2</f>
        <v>10.22</v>
      </c>
      <c r="J6" s="23" t="s">
        <v>460</v>
      </c>
    </row>
    <row r="7" customFormat="false" ht="28.8" hidden="false" customHeight="false" outlineLevel="0" collapsed="false">
      <c r="A7" s="23"/>
      <c r="B7" s="23" t="s">
        <v>132</v>
      </c>
      <c r="C7" s="25" t="s">
        <v>134</v>
      </c>
      <c r="D7" s="23" t="n">
        <v>0.86</v>
      </c>
      <c r="E7" s="23"/>
      <c r="F7" s="23"/>
      <c r="G7" s="23"/>
      <c r="H7" s="23"/>
      <c r="I7" s="23" t="n">
        <f aca="false">D7</f>
        <v>0.86</v>
      </c>
      <c r="J7" s="23" t="s">
        <v>551</v>
      </c>
    </row>
    <row r="8" customFormat="false" ht="43.2" hidden="false" customHeight="false" outlineLevel="0" collapsed="false">
      <c r="A8" s="23"/>
      <c r="B8" s="24" t="s">
        <v>135</v>
      </c>
      <c r="C8" s="25" t="s">
        <v>137</v>
      </c>
      <c r="D8" s="23" t="n">
        <f aca="false">E2</f>
        <v>15.4</v>
      </c>
      <c r="E8" s="23" t="n">
        <v>0.8</v>
      </c>
      <c r="F8" s="23"/>
      <c r="G8" s="23"/>
      <c r="H8" s="23"/>
      <c r="I8" s="24" t="n">
        <f aca="false">D8-E8</f>
        <v>14.6</v>
      </c>
      <c r="J8" s="23" t="s">
        <v>470</v>
      </c>
    </row>
    <row r="9" customFormat="false" ht="72" hidden="false" customHeight="false" outlineLevel="0" collapsed="false">
      <c r="A9" s="23"/>
      <c r="B9" s="24" t="s">
        <v>144</v>
      </c>
      <c r="C9" s="25" t="s">
        <v>146</v>
      </c>
      <c r="D9" s="23"/>
      <c r="E9" s="27"/>
      <c r="F9" s="23"/>
      <c r="G9" s="23"/>
      <c r="H9" s="23"/>
      <c r="I9" s="24" t="n">
        <f aca="false">I4</f>
        <v>13.72</v>
      </c>
      <c r="J9" s="23" t="s">
        <v>458</v>
      </c>
    </row>
    <row r="10" customFormat="false" ht="43.2" hidden="false" customHeight="false" outlineLevel="0" collapsed="false">
      <c r="A10" s="23"/>
      <c r="B10" s="24" t="s">
        <v>147</v>
      </c>
      <c r="C10" s="25" t="s">
        <v>149</v>
      </c>
      <c r="D10" s="24" t="n">
        <f aca="false">I4</f>
        <v>13.72</v>
      </c>
      <c r="E10" s="27" t="n">
        <v>0.3</v>
      </c>
      <c r="F10" s="23"/>
      <c r="G10" s="23"/>
      <c r="H10" s="23"/>
      <c r="I10" s="23" t="n">
        <f aca="false">D10*E10</f>
        <v>4.116</v>
      </c>
      <c r="J10" s="23" t="s">
        <v>462</v>
      </c>
    </row>
    <row r="11" customFormat="false" ht="14.4" hidden="false" customHeight="false" outlineLevel="0" collapsed="false">
      <c r="A11" s="23"/>
      <c r="B11" s="23" t="s">
        <v>194</v>
      </c>
      <c r="C11" s="25" t="s">
        <v>196</v>
      </c>
      <c r="D11" s="23" t="n">
        <f aca="false">(1*1.1)</f>
        <v>1.1</v>
      </c>
      <c r="E11" s="25"/>
      <c r="F11" s="25"/>
      <c r="G11" s="25"/>
      <c r="H11" s="25"/>
      <c r="I11" s="23" t="n">
        <f aca="false">D11</f>
        <v>1.1</v>
      </c>
      <c r="J11" s="23" t="s">
        <v>552</v>
      </c>
    </row>
    <row r="12" customFormat="false" ht="43.2" hidden="false" customHeight="false" outlineLevel="0" collapsed="false">
      <c r="A12" s="23"/>
      <c r="B12" s="23" t="s">
        <v>197</v>
      </c>
      <c r="C12" s="25" t="s">
        <v>199</v>
      </c>
      <c r="D12" s="25"/>
      <c r="E12" s="25"/>
      <c r="F12" s="25"/>
      <c r="G12" s="25"/>
      <c r="H12" s="25"/>
      <c r="I12" s="23" t="n">
        <v>2</v>
      </c>
      <c r="J12" s="23"/>
    </row>
    <row r="13" customFormat="false" ht="43.2" hidden="false" customHeight="false" outlineLevel="0" collapsed="false">
      <c r="A13" s="23"/>
      <c r="B13" s="24" t="s">
        <v>227</v>
      </c>
      <c r="C13" s="25" t="s">
        <v>229</v>
      </c>
      <c r="D13" s="24"/>
      <c r="E13" s="27"/>
      <c r="F13" s="23"/>
      <c r="G13" s="23"/>
      <c r="H13" s="23"/>
      <c r="I13" s="23" t="n">
        <v>1</v>
      </c>
      <c r="J13" s="23"/>
    </row>
    <row r="14" customFormat="false" ht="28.8" hidden="false" customHeight="false" outlineLevel="0" collapsed="false">
      <c r="A14" s="23"/>
      <c r="B14" s="23" t="s">
        <v>240</v>
      </c>
      <c r="C14" s="25" t="s">
        <v>242</v>
      </c>
      <c r="D14" s="24" t="n">
        <f aca="false">((0.8*2.1)*2)+((1.1*1)*2)</f>
        <v>5.56</v>
      </c>
      <c r="E14" s="24" t="n">
        <f aca="false">((0.15*2.1)*2)+(0.15*0.8)</f>
        <v>0.75</v>
      </c>
      <c r="F14" s="23" t="n">
        <f aca="false">0.05*((2.1*2)+0.8)*2</f>
        <v>0.5</v>
      </c>
      <c r="G14" s="23"/>
      <c r="H14" s="23"/>
      <c r="I14" s="24" t="n">
        <f aca="false">D14+E14+F14</f>
        <v>6.81</v>
      </c>
      <c r="J14" s="23" t="s">
        <v>472</v>
      </c>
    </row>
    <row r="15" customFormat="false" ht="41.95" hidden="false" customHeight="false" outlineLevel="0" collapsed="false">
      <c r="A15" s="23"/>
      <c r="B15" s="23" t="s">
        <v>246</v>
      </c>
      <c r="C15" s="25" t="s">
        <v>248</v>
      </c>
      <c r="D15" s="23" t="n">
        <v>2.58</v>
      </c>
      <c r="E15" s="23" t="n">
        <v>15.4</v>
      </c>
      <c r="F15" s="23" t="n">
        <f aca="false">(2.1*0.8)+(1*1.1)</f>
        <v>2.78</v>
      </c>
      <c r="G15" s="23"/>
      <c r="H15" s="23"/>
      <c r="I15" s="24" t="n">
        <f aca="false">(D15*E15)-F15</f>
        <v>36.952</v>
      </c>
      <c r="J15" s="23" t="s">
        <v>465</v>
      </c>
    </row>
    <row r="16" customFormat="false" ht="43.2" hidden="false" customHeight="false" outlineLevel="0" collapsed="false">
      <c r="A16" s="23"/>
      <c r="B16" s="23" t="s">
        <v>255</v>
      </c>
      <c r="C16" s="25" t="s">
        <v>257</v>
      </c>
      <c r="D16" s="25"/>
      <c r="E16" s="25"/>
      <c r="F16" s="25"/>
      <c r="G16" s="25"/>
      <c r="H16" s="25"/>
      <c r="I16" s="24" t="n">
        <v>13.72</v>
      </c>
      <c r="J16" s="23" t="s">
        <v>464</v>
      </c>
    </row>
    <row r="17" customFormat="false" ht="43.2" hidden="false" customHeight="false" outlineLevel="0" collapsed="false">
      <c r="A17" s="23"/>
      <c r="B17" s="23" t="s">
        <v>258</v>
      </c>
      <c r="C17" s="25" t="s">
        <v>260</v>
      </c>
      <c r="D17" s="23" t="n">
        <v>2.58</v>
      </c>
      <c r="E17" s="23" t="n">
        <v>15.4</v>
      </c>
      <c r="F17" s="23" t="n">
        <f aca="false">(2.1*0.8)+(1*1.1)</f>
        <v>2.78</v>
      </c>
      <c r="G17" s="23"/>
      <c r="H17" s="23"/>
      <c r="I17" s="24" t="n">
        <f aca="false">(D17*E17)-F17</f>
        <v>36.952</v>
      </c>
      <c r="J17" s="23" t="s">
        <v>465</v>
      </c>
    </row>
    <row r="18" customFormat="false" ht="43.2" hidden="false" customHeight="false" outlineLevel="0" collapsed="false">
      <c r="A18" s="23"/>
      <c r="B18" s="23" t="s">
        <v>305</v>
      </c>
      <c r="C18" s="25" t="s">
        <v>307</v>
      </c>
      <c r="D18" s="23"/>
      <c r="E18" s="23"/>
      <c r="F18" s="23"/>
      <c r="G18" s="23"/>
      <c r="H18" s="23"/>
      <c r="I18" s="23" t="n">
        <v>1</v>
      </c>
      <c r="J18" s="23"/>
    </row>
    <row r="19" customFormat="false" ht="43.2" hidden="false" customHeight="false" outlineLevel="0" collapsed="false">
      <c r="A19" s="23"/>
      <c r="B19" s="23" t="s">
        <v>312</v>
      </c>
      <c r="C19" s="25" t="s">
        <v>314</v>
      </c>
      <c r="D19" s="23"/>
      <c r="E19" s="23"/>
      <c r="F19" s="23"/>
      <c r="G19" s="23"/>
      <c r="H19" s="23"/>
      <c r="I19" s="23" t="n">
        <v>1</v>
      </c>
      <c r="J19" s="23"/>
    </row>
    <row r="20" customFormat="false" ht="57.6" hidden="false" customHeight="false" outlineLevel="0" collapsed="false">
      <c r="A20" s="23"/>
      <c r="B20" s="24" t="s">
        <v>321</v>
      </c>
      <c r="C20" s="25" t="s">
        <v>323</v>
      </c>
      <c r="D20" s="23"/>
      <c r="E20" s="23"/>
      <c r="F20" s="23"/>
      <c r="G20" s="23"/>
      <c r="H20" s="23"/>
      <c r="I20" s="23" t="n">
        <v>2</v>
      </c>
      <c r="J20" s="23"/>
    </row>
    <row r="21" customFormat="false" ht="72" hidden="false" customHeight="false" outlineLevel="0" collapsed="false">
      <c r="A21" s="23"/>
      <c r="B21" s="24" t="s">
        <v>324</v>
      </c>
      <c r="C21" s="25" t="s">
        <v>326</v>
      </c>
      <c r="D21" s="23"/>
      <c r="E21" s="23"/>
      <c r="F21" s="23"/>
      <c r="G21" s="23"/>
      <c r="H21" s="23"/>
      <c r="I21" s="23" t="n">
        <v>3</v>
      </c>
      <c r="J21" s="23"/>
    </row>
    <row r="22" customFormat="false" ht="28.8" hidden="false" customHeight="false" outlineLevel="0" collapsed="false">
      <c r="A22" s="23"/>
      <c r="B22" s="24" t="s">
        <v>327</v>
      </c>
      <c r="C22" s="25" t="s">
        <v>329</v>
      </c>
      <c r="D22" s="23"/>
      <c r="E22" s="23"/>
      <c r="F22" s="23"/>
      <c r="G22" s="23"/>
      <c r="H22" s="23"/>
      <c r="I22" s="23" t="n">
        <v>1</v>
      </c>
      <c r="J22" s="23"/>
    </row>
    <row r="23" customFormat="false" ht="57.6" hidden="false" customHeight="false" outlineLevel="0" collapsed="false">
      <c r="A23" s="23"/>
      <c r="B23" s="23" t="s">
        <v>440</v>
      </c>
      <c r="C23" s="25" t="s">
        <v>442</v>
      </c>
      <c r="D23" s="24" t="n">
        <f aca="false">I2</f>
        <v>10.22</v>
      </c>
      <c r="E23" s="23" t="n">
        <v>0.02</v>
      </c>
      <c r="F23" s="23" t="n">
        <v>1.3</v>
      </c>
      <c r="G23" s="23" t="n">
        <v>6</v>
      </c>
      <c r="H23" s="23"/>
      <c r="I23" s="24" t="n">
        <f aca="false">D23*E23*F23*G23</f>
        <v>1.59432</v>
      </c>
      <c r="J23" s="23" t="s">
        <v>466</v>
      </c>
    </row>
    <row r="24" customFormat="false" ht="14.4" hidden="false" customHeight="false" outlineLevel="0" collapsed="false">
      <c r="A24" s="23"/>
      <c r="B24" s="24" t="s">
        <v>444</v>
      </c>
      <c r="C24" s="25" t="s">
        <v>446</v>
      </c>
      <c r="D24" s="24"/>
      <c r="E24" s="23"/>
      <c r="F24" s="23"/>
      <c r="G24" s="23"/>
      <c r="H24" s="23"/>
      <c r="I24" s="24" t="n">
        <f aca="false">I4</f>
        <v>13.72</v>
      </c>
      <c r="J24" s="23" t="s">
        <v>458</v>
      </c>
    </row>
    <row r="25" customFormat="false" ht="14.4" hidden="false" customHeight="false" outlineLevel="0" collapsed="false">
      <c r="I25" s="0" t="n">
        <f aca="false">SUM(I2:I24)</f>
        <v>240.53632</v>
      </c>
    </row>
  </sheetData>
  <mergeCells count="1">
    <mergeCell ref="A2:A2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J25"/>
  <sheetViews>
    <sheetView windowProtection="false" showFormulas="false" showGridLines="true" showRowColHeaders="true" showZeros="true" rightToLeft="false" tabSelected="false" showOutlineSymbols="true" defaultGridColor="true" view="normal" topLeftCell="A19" colorId="64" zoomScale="90" zoomScaleNormal="90" zoomScalePageLayoutView="100" workbookViewId="0">
      <selection pane="topLeft" activeCell="I26" activeCellId="0" sqref="I26"/>
    </sheetView>
  </sheetViews>
  <sheetFormatPr defaultRowHeight="14.4"/>
  <cols>
    <col collapsed="false" hidden="false" max="2" min="1" style="0" width="15.7959183673469"/>
    <col collapsed="false" hidden="false" max="3" min="3" style="36" width="29.6989795918367"/>
    <col collapsed="false" hidden="false" max="8" min="4" style="36" width="7.96428571428571"/>
    <col collapsed="false" hidden="false" max="9" min="9" style="0" width="12.5561224489796"/>
    <col collapsed="false" hidden="false" max="10" min="10" style="0" width="35.234693877551"/>
    <col collapsed="false" hidden="false" max="1025" min="11"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45" hidden="false" customHeight="true" outlineLevel="0" collapsed="false">
      <c r="A2" s="23" t="s">
        <v>19</v>
      </c>
      <c r="B2" s="23" t="s">
        <v>34</v>
      </c>
      <c r="C2" s="25" t="s">
        <v>36</v>
      </c>
      <c r="D2" s="23" t="n">
        <v>0.7</v>
      </c>
      <c r="E2" s="23" t="n">
        <v>15.4</v>
      </c>
      <c r="F2" s="23" t="n">
        <f aca="false">0.8+0.6</f>
        <v>1.4</v>
      </c>
      <c r="G2" s="23"/>
      <c r="H2" s="23"/>
      <c r="I2" s="24" t="n">
        <f aca="false">D2*(E2-F2)</f>
        <v>9.8</v>
      </c>
      <c r="J2" s="23" t="s">
        <v>467</v>
      </c>
    </row>
    <row r="3" customFormat="false" ht="55.45" hidden="false" customHeight="false" outlineLevel="0" collapsed="false">
      <c r="A3" s="23"/>
      <c r="B3" s="23" t="s">
        <v>55</v>
      </c>
      <c r="C3" s="25" t="s">
        <v>57</v>
      </c>
      <c r="D3" s="23" t="n">
        <v>2.58</v>
      </c>
      <c r="E3" s="23" t="n">
        <f aca="false">E2</f>
        <v>15.4</v>
      </c>
      <c r="F3" s="24" t="n">
        <f aca="false">I2</f>
        <v>9.8</v>
      </c>
      <c r="G3" s="23" t="n">
        <f aca="false">((2.1-0.7)*0.8*2)+(1*1.1)</f>
        <v>3.34</v>
      </c>
      <c r="H3" s="24" t="n">
        <f aca="false">I4</f>
        <v>13.5</v>
      </c>
      <c r="I3" s="24" t="n">
        <f aca="false">(D3*E3)-F3-G3+H3</f>
        <v>40.092</v>
      </c>
      <c r="J3" s="23" t="s">
        <v>457</v>
      </c>
    </row>
    <row r="4" customFormat="false" ht="28.45" hidden="false" customHeight="false" outlineLevel="0" collapsed="false">
      <c r="A4" s="23"/>
      <c r="B4" s="24" t="s">
        <v>73</v>
      </c>
      <c r="C4" s="25" t="s">
        <v>75</v>
      </c>
      <c r="D4" s="23"/>
      <c r="E4" s="23"/>
      <c r="F4" s="23"/>
      <c r="G4" s="23"/>
      <c r="H4" s="23"/>
      <c r="I4" s="24" t="n">
        <v>13.5</v>
      </c>
      <c r="J4" s="23" t="s">
        <v>458</v>
      </c>
    </row>
    <row r="5" customFormat="false" ht="55.45" hidden="false" customHeight="false" outlineLevel="0" collapsed="false">
      <c r="A5" s="23"/>
      <c r="B5" s="23" t="s">
        <v>119</v>
      </c>
      <c r="C5" s="25" t="s">
        <v>121</v>
      </c>
      <c r="D5" s="25"/>
      <c r="E5" s="25"/>
      <c r="F5" s="25"/>
      <c r="G5" s="25"/>
      <c r="H5" s="25"/>
      <c r="I5" s="24" t="n">
        <f aca="false">I2</f>
        <v>9.8</v>
      </c>
      <c r="J5" s="23" t="s">
        <v>460</v>
      </c>
    </row>
    <row r="6" customFormat="false" ht="68.95" hidden="false" customHeight="false" outlineLevel="0" collapsed="false">
      <c r="A6" s="23"/>
      <c r="B6" s="23" t="s">
        <v>125</v>
      </c>
      <c r="C6" s="25" t="s">
        <v>127</v>
      </c>
      <c r="D6" s="25"/>
      <c r="E6" s="25"/>
      <c r="F6" s="25"/>
      <c r="G6" s="25"/>
      <c r="H6" s="25"/>
      <c r="I6" s="24" t="n">
        <f aca="false">I2</f>
        <v>9.8</v>
      </c>
      <c r="J6" s="23" t="s">
        <v>460</v>
      </c>
    </row>
    <row r="7" customFormat="false" ht="28.45" hidden="false" customHeight="false" outlineLevel="0" collapsed="false">
      <c r="A7" s="23"/>
      <c r="B7" s="23" t="s">
        <v>132</v>
      </c>
      <c r="C7" s="25" t="s">
        <v>134</v>
      </c>
      <c r="D7" s="23" t="n">
        <f aca="false">0.8+0.6+0.06+0.06</f>
        <v>1.52</v>
      </c>
      <c r="E7" s="23"/>
      <c r="F7" s="23"/>
      <c r="G7" s="23"/>
      <c r="H7" s="23"/>
      <c r="I7" s="23" t="n">
        <f aca="false">D7</f>
        <v>1.52</v>
      </c>
      <c r="J7" s="23" t="s">
        <v>553</v>
      </c>
    </row>
    <row r="8" customFormat="false" ht="55.45" hidden="false" customHeight="false" outlineLevel="0" collapsed="false">
      <c r="A8" s="23"/>
      <c r="B8" s="24" t="s">
        <v>135</v>
      </c>
      <c r="C8" s="25" t="s">
        <v>137</v>
      </c>
      <c r="D8" s="23" t="n">
        <f aca="false">E2</f>
        <v>15.4</v>
      </c>
      <c r="E8" s="23" t="n">
        <f aca="false">0.8+0.6</f>
        <v>1.4</v>
      </c>
      <c r="F8" s="23"/>
      <c r="G8" s="23"/>
      <c r="H8" s="23"/>
      <c r="I8" s="24" t="n">
        <f aca="false">D8-E8</f>
        <v>14</v>
      </c>
      <c r="J8" s="23" t="s">
        <v>470</v>
      </c>
    </row>
    <row r="9" customFormat="false" ht="68.95" hidden="false" customHeight="false" outlineLevel="0" collapsed="false">
      <c r="A9" s="23"/>
      <c r="B9" s="24" t="s">
        <v>144</v>
      </c>
      <c r="C9" s="25" t="s">
        <v>146</v>
      </c>
      <c r="D9" s="23"/>
      <c r="E9" s="27"/>
      <c r="F9" s="23"/>
      <c r="G9" s="23"/>
      <c r="H9" s="23"/>
      <c r="I9" s="24" t="n">
        <f aca="false">I4</f>
        <v>13.5</v>
      </c>
      <c r="J9" s="23" t="s">
        <v>458</v>
      </c>
    </row>
    <row r="10" customFormat="false" ht="41.95" hidden="false" customHeight="false" outlineLevel="0" collapsed="false">
      <c r="A10" s="23"/>
      <c r="B10" s="24" t="s">
        <v>147</v>
      </c>
      <c r="C10" s="25" t="s">
        <v>149</v>
      </c>
      <c r="D10" s="24" t="n">
        <f aca="false">I4</f>
        <v>13.5</v>
      </c>
      <c r="E10" s="27" t="n">
        <v>0.3</v>
      </c>
      <c r="F10" s="23"/>
      <c r="G10" s="23"/>
      <c r="H10" s="23"/>
      <c r="I10" s="23" t="n">
        <f aca="false">D10*E10</f>
        <v>4.05</v>
      </c>
      <c r="J10" s="23" t="s">
        <v>462</v>
      </c>
    </row>
    <row r="11" customFormat="false" ht="14.95" hidden="false" customHeight="false" outlineLevel="0" collapsed="false">
      <c r="A11" s="23"/>
      <c r="B11" s="23" t="s">
        <v>194</v>
      </c>
      <c r="C11" s="25" t="s">
        <v>196</v>
      </c>
      <c r="D11" s="23" t="n">
        <f aca="false">(1*1.1)</f>
        <v>1.1</v>
      </c>
      <c r="E11" s="25"/>
      <c r="F11" s="25"/>
      <c r="G11" s="25"/>
      <c r="H11" s="25"/>
      <c r="I11" s="23" t="n">
        <f aca="false">D11</f>
        <v>1.1</v>
      </c>
      <c r="J11" s="23" t="s">
        <v>552</v>
      </c>
    </row>
    <row r="12" customFormat="false" ht="41.95" hidden="false" customHeight="false" outlineLevel="0" collapsed="false">
      <c r="A12" s="23"/>
      <c r="B12" s="23" t="s">
        <v>197</v>
      </c>
      <c r="C12" s="25" t="s">
        <v>199</v>
      </c>
      <c r="D12" s="25"/>
      <c r="E12" s="25"/>
      <c r="F12" s="25"/>
      <c r="G12" s="25"/>
      <c r="H12" s="25"/>
      <c r="I12" s="23" t="n">
        <v>2</v>
      </c>
      <c r="J12" s="23"/>
    </row>
    <row r="13" customFormat="false" ht="41.95" hidden="false" customHeight="false" outlineLevel="0" collapsed="false">
      <c r="A13" s="23"/>
      <c r="B13" s="24" t="s">
        <v>227</v>
      </c>
      <c r="C13" s="25" t="s">
        <v>229</v>
      </c>
      <c r="D13" s="24"/>
      <c r="E13" s="27"/>
      <c r="F13" s="23"/>
      <c r="G13" s="23"/>
      <c r="H13" s="23"/>
      <c r="I13" s="23" t="n">
        <v>1</v>
      </c>
      <c r="J13" s="23"/>
    </row>
    <row r="14" customFormat="false" ht="28.45" hidden="false" customHeight="false" outlineLevel="0" collapsed="false">
      <c r="A14" s="23"/>
      <c r="B14" s="23" t="s">
        <v>240</v>
      </c>
      <c r="C14" s="25" t="s">
        <v>242</v>
      </c>
      <c r="D14" s="24" t="n">
        <f aca="false">((0.8*2.1)*2)+(0.6*2.1*2)+((1.1*1)*2)</f>
        <v>8.08</v>
      </c>
      <c r="E14" s="24" t="n">
        <f aca="false">((0.15*2.1)*4)+(0.15*0.8)+(0.15*0.6)</f>
        <v>1.47</v>
      </c>
      <c r="F14" s="23" t="n">
        <f aca="false">0.05*((2.1*2)+0.8)*4</f>
        <v>1</v>
      </c>
      <c r="G14" s="23"/>
      <c r="H14" s="23"/>
      <c r="I14" s="24" t="n">
        <f aca="false">D14+E14+F14</f>
        <v>10.55</v>
      </c>
      <c r="J14" s="23" t="s">
        <v>472</v>
      </c>
    </row>
    <row r="15" customFormat="false" ht="41.95" hidden="false" customHeight="false" outlineLevel="0" collapsed="false">
      <c r="A15" s="23"/>
      <c r="B15" s="23" t="s">
        <v>246</v>
      </c>
      <c r="C15" s="25" t="s">
        <v>248</v>
      </c>
      <c r="D15" s="24" t="n">
        <f aca="false">I2</f>
        <v>9.8</v>
      </c>
      <c r="E15" s="24"/>
      <c r="F15" s="24"/>
      <c r="G15" s="24"/>
      <c r="H15" s="25"/>
      <c r="I15" s="24" t="n">
        <f aca="false">D15</f>
        <v>9.8</v>
      </c>
      <c r="J15" s="23" t="s">
        <v>554</v>
      </c>
    </row>
    <row r="16" customFormat="false" ht="41.95" hidden="false" customHeight="false" outlineLevel="0" collapsed="false">
      <c r="A16" s="23"/>
      <c r="B16" s="23" t="s">
        <v>255</v>
      </c>
      <c r="C16" s="25" t="s">
        <v>257</v>
      </c>
      <c r="D16" s="25"/>
      <c r="E16" s="25"/>
      <c r="F16" s="25"/>
      <c r="G16" s="25"/>
      <c r="H16" s="25"/>
      <c r="I16" s="24" t="n">
        <f aca="false">I4</f>
        <v>13.5</v>
      </c>
      <c r="J16" s="23" t="s">
        <v>464</v>
      </c>
    </row>
    <row r="17" customFormat="false" ht="41.95" hidden="false" customHeight="false" outlineLevel="0" collapsed="false">
      <c r="A17" s="23"/>
      <c r="B17" s="23" t="s">
        <v>258</v>
      </c>
      <c r="C17" s="25" t="s">
        <v>260</v>
      </c>
      <c r="D17" s="23" t="n">
        <v>2.58</v>
      </c>
      <c r="E17" s="23" t="n">
        <f aca="false">E2</f>
        <v>15.4</v>
      </c>
      <c r="F17" s="23" t="n">
        <f aca="false">(2.1*(0.6+0.8)+(1*1.1))</f>
        <v>4.04</v>
      </c>
      <c r="G17" s="23"/>
      <c r="H17" s="23"/>
      <c r="I17" s="24" t="n">
        <f aca="false">(D17*E17)-F17</f>
        <v>35.692</v>
      </c>
      <c r="J17" s="23" t="s">
        <v>465</v>
      </c>
    </row>
    <row r="18" customFormat="false" ht="43.2" hidden="false" customHeight="false" outlineLevel="0" collapsed="false">
      <c r="A18" s="23"/>
      <c r="B18" s="23" t="s">
        <v>305</v>
      </c>
      <c r="C18" s="25" t="s">
        <v>307</v>
      </c>
      <c r="D18" s="23"/>
      <c r="E18" s="23"/>
      <c r="F18" s="23"/>
      <c r="G18" s="23"/>
      <c r="H18" s="23"/>
      <c r="I18" s="23" t="n">
        <v>1</v>
      </c>
      <c r="J18" s="23"/>
    </row>
    <row r="19" customFormat="false" ht="43.2" hidden="false" customHeight="false" outlineLevel="0" collapsed="false">
      <c r="A19" s="23"/>
      <c r="B19" s="23" t="s">
        <v>312</v>
      </c>
      <c r="C19" s="25" t="s">
        <v>314</v>
      </c>
      <c r="D19" s="23"/>
      <c r="E19" s="23"/>
      <c r="F19" s="23"/>
      <c r="G19" s="23"/>
      <c r="H19" s="23"/>
      <c r="I19" s="23" t="n">
        <v>1</v>
      </c>
      <c r="J19" s="23"/>
    </row>
    <row r="20" customFormat="false" ht="57.6" hidden="false" customHeight="false" outlineLevel="0" collapsed="false">
      <c r="A20" s="23"/>
      <c r="B20" s="24" t="s">
        <v>321</v>
      </c>
      <c r="C20" s="25" t="s">
        <v>323</v>
      </c>
      <c r="D20" s="23"/>
      <c r="E20" s="23"/>
      <c r="F20" s="23"/>
      <c r="G20" s="23"/>
      <c r="H20" s="23"/>
      <c r="I20" s="23" t="n">
        <v>2</v>
      </c>
      <c r="J20" s="23"/>
    </row>
    <row r="21" customFormat="false" ht="72" hidden="false" customHeight="false" outlineLevel="0" collapsed="false">
      <c r="A21" s="23"/>
      <c r="B21" s="24" t="s">
        <v>324</v>
      </c>
      <c r="C21" s="25" t="s">
        <v>326</v>
      </c>
      <c r="D21" s="23"/>
      <c r="E21" s="23"/>
      <c r="F21" s="23"/>
      <c r="G21" s="23"/>
      <c r="H21" s="23"/>
      <c r="I21" s="23" t="n">
        <v>3</v>
      </c>
      <c r="J21" s="23"/>
    </row>
    <row r="22" customFormat="false" ht="28.8" hidden="false" customHeight="false" outlineLevel="0" collapsed="false">
      <c r="A22" s="23"/>
      <c r="B22" s="24" t="s">
        <v>327</v>
      </c>
      <c r="C22" s="25" t="s">
        <v>329</v>
      </c>
      <c r="D22" s="23"/>
      <c r="E22" s="23"/>
      <c r="F22" s="23"/>
      <c r="G22" s="23"/>
      <c r="H22" s="23"/>
      <c r="I22" s="23" t="n">
        <v>1</v>
      </c>
      <c r="J22" s="23"/>
    </row>
    <row r="23" customFormat="false" ht="57.6" hidden="false" customHeight="false" outlineLevel="0" collapsed="false">
      <c r="A23" s="23"/>
      <c r="B23" s="23" t="s">
        <v>440</v>
      </c>
      <c r="C23" s="25" t="s">
        <v>442</v>
      </c>
      <c r="D23" s="24" t="n">
        <f aca="false">I2</f>
        <v>9.8</v>
      </c>
      <c r="E23" s="23" t="n">
        <v>0.02</v>
      </c>
      <c r="F23" s="23" t="n">
        <v>1.3</v>
      </c>
      <c r="G23" s="23" t="n">
        <v>6</v>
      </c>
      <c r="H23" s="23"/>
      <c r="I23" s="24" t="n">
        <f aca="false">D23*E23*F23*G23</f>
        <v>1.5288</v>
      </c>
      <c r="J23" s="23" t="s">
        <v>466</v>
      </c>
    </row>
    <row r="24" customFormat="false" ht="14.4" hidden="false" customHeight="false" outlineLevel="0" collapsed="false">
      <c r="A24" s="23"/>
      <c r="B24" s="24" t="s">
        <v>444</v>
      </c>
      <c r="C24" s="25" t="s">
        <v>446</v>
      </c>
      <c r="D24" s="24"/>
      <c r="E24" s="23"/>
      <c r="F24" s="23"/>
      <c r="G24" s="23"/>
      <c r="H24" s="23"/>
      <c r="I24" s="24" t="n">
        <f aca="false">I9</f>
        <v>13.5</v>
      </c>
      <c r="J24" s="23" t="s">
        <v>458</v>
      </c>
    </row>
    <row r="25" customFormat="false" ht="14.4" hidden="false" customHeight="false" outlineLevel="0" collapsed="false">
      <c r="I25" s="0" t="n">
        <f aca="false">SUM(I2:I24)</f>
        <v>212.7328</v>
      </c>
    </row>
  </sheetData>
  <mergeCells count="1">
    <mergeCell ref="A2:A2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J28"/>
  <sheetViews>
    <sheetView windowProtection="false" showFormulas="false" showGridLines="true" showRowColHeaders="true" showZeros="true" rightToLeft="false" tabSelected="false" showOutlineSymbols="true" defaultGridColor="true" view="normal" topLeftCell="A25" colorId="64" zoomScale="90" zoomScaleNormal="90" zoomScalePageLayoutView="100" workbookViewId="0">
      <selection pane="topLeft" activeCell="L25" activeCellId="0" sqref="L25"/>
    </sheetView>
  </sheetViews>
  <sheetFormatPr defaultRowHeight="13.8"/>
  <cols>
    <col collapsed="false" hidden="false" max="1" min="1" style="0" width="10.530612244898"/>
    <col collapsed="false" hidden="false" max="2" min="2" style="0" width="8.23469387755102"/>
    <col collapsed="false" hidden="false" max="3" min="3" style="0" width="22.8112244897959"/>
    <col collapsed="false" hidden="false" max="8" min="4" style="0" width="8.23469387755102"/>
    <col collapsed="false" hidden="false" max="9" min="9" style="0" width="8.36734693877551"/>
    <col collapsed="false" hidden="false" max="10" min="10" style="0" width="22.5459183673469"/>
    <col collapsed="false" hidden="false" max="1025" min="11" style="0" width="8.23469387755102"/>
  </cols>
  <sheetData>
    <row r="1" customFormat="false" ht="29.85"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68.65" hidden="false" customHeight="true" outlineLevel="0" collapsed="false">
      <c r="A2" s="41" t="s">
        <v>20</v>
      </c>
      <c r="B2" s="23" t="s">
        <v>34</v>
      </c>
      <c r="C2" s="25" t="s">
        <v>36</v>
      </c>
      <c r="D2" s="23" t="n">
        <v>0.7</v>
      </c>
      <c r="E2" s="23" t="n">
        <v>7.4</v>
      </c>
      <c r="F2" s="23" t="n">
        <f aca="false">0.6</f>
        <v>0.6</v>
      </c>
      <c r="G2" s="23"/>
      <c r="H2" s="23"/>
      <c r="I2" s="24" t="n">
        <f aca="false">D2*(E2-F2)</f>
        <v>4.76</v>
      </c>
      <c r="J2" s="23" t="s">
        <v>467</v>
      </c>
    </row>
    <row r="3" customFormat="false" ht="28.35" hidden="false" customHeight="false" outlineLevel="0" collapsed="false">
      <c r="A3" s="41"/>
      <c r="B3" s="23" t="s">
        <v>37</v>
      </c>
      <c r="C3" s="25" t="s">
        <v>39</v>
      </c>
      <c r="D3" s="23"/>
      <c r="E3" s="23"/>
      <c r="F3" s="23"/>
      <c r="G3" s="23"/>
      <c r="H3" s="23"/>
      <c r="I3" s="24" t="n">
        <v>2.7</v>
      </c>
      <c r="J3" s="23" t="s">
        <v>458</v>
      </c>
    </row>
    <row r="4" customFormat="false" ht="14.9" hidden="false" customHeight="false" outlineLevel="0" collapsed="false">
      <c r="A4" s="41"/>
      <c r="B4" s="23" t="s">
        <v>47</v>
      </c>
      <c r="C4" s="25" t="s">
        <v>49</v>
      </c>
      <c r="D4" s="25"/>
      <c r="E4" s="25"/>
      <c r="F4" s="25"/>
      <c r="G4" s="25"/>
      <c r="H4" s="25"/>
      <c r="I4" s="23" t="n">
        <v>1</v>
      </c>
      <c r="J4" s="23"/>
    </row>
    <row r="5" customFormat="false" ht="28.35" hidden="false" customHeight="false" outlineLevel="0" collapsed="false">
      <c r="A5" s="41"/>
      <c r="B5" s="23" t="s">
        <v>61</v>
      </c>
      <c r="C5" s="25" t="s">
        <v>63</v>
      </c>
      <c r="D5" s="25"/>
      <c r="E5" s="25"/>
      <c r="F5" s="25"/>
      <c r="G5" s="25"/>
      <c r="H5" s="25"/>
      <c r="I5" s="23" t="n">
        <v>1</v>
      </c>
      <c r="J5" s="23"/>
    </row>
    <row r="6" customFormat="false" ht="82.05" hidden="false" customHeight="false" outlineLevel="0" collapsed="false">
      <c r="A6" s="41"/>
      <c r="B6" s="23" t="s">
        <v>67</v>
      </c>
      <c r="C6" s="25" t="s">
        <v>541</v>
      </c>
      <c r="D6" s="23" t="n">
        <v>2.58</v>
      </c>
      <c r="E6" s="23" t="n">
        <f aca="false">E2</f>
        <v>7.4</v>
      </c>
      <c r="F6" s="23" t="n">
        <f aca="false">(0.6*2.1)+(0.5*0.5)</f>
        <v>1.51</v>
      </c>
      <c r="G6" s="23"/>
      <c r="H6" s="23"/>
      <c r="I6" s="24" t="n">
        <f aca="false">D6*(E6-F6)</f>
        <v>15.1962</v>
      </c>
      <c r="J6" s="23" t="s">
        <v>555</v>
      </c>
    </row>
    <row r="7" customFormat="false" ht="95.5" hidden="false" customHeight="false" outlineLevel="0" collapsed="false">
      <c r="A7" s="41"/>
      <c r="B7" s="23" t="s">
        <v>119</v>
      </c>
      <c r="C7" s="25" t="s">
        <v>121</v>
      </c>
      <c r="D7" s="25"/>
      <c r="E7" s="25"/>
      <c r="F7" s="25"/>
      <c r="G7" s="25"/>
      <c r="H7" s="25"/>
      <c r="I7" s="24" t="n">
        <f aca="false">I2</f>
        <v>4.76</v>
      </c>
      <c r="J7" s="23" t="s">
        <v>460</v>
      </c>
    </row>
    <row r="8" customFormat="false" ht="95.5" hidden="false" customHeight="false" outlineLevel="0" collapsed="false">
      <c r="A8" s="41"/>
      <c r="B8" s="23" t="s">
        <v>125</v>
      </c>
      <c r="C8" s="25" t="s">
        <v>127</v>
      </c>
      <c r="D8" s="25"/>
      <c r="E8" s="25"/>
      <c r="F8" s="25"/>
      <c r="G8" s="25"/>
      <c r="H8" s="25"/>
      <c r="I8" s="24" t="n">
        <f aca="false">I2</f>
        <v>4.76</v>
      </c>
      <c r="J8" s="23" t="s">
        <v>460</v>
      </c>
    </row>
    <row r="9" customFormat="false" ht="122.35" hidden="false" customHeight="false" outlineLevel="0" collapsed="false">
      <c r="A9" s="41"/>
      <c r="B9" s="23" t="s">
        <v>128</v>
      </c>
      <c r="C9" s="25" t="s">
        <v>130</v>
      </c>
      <c r="D9" s="23" t="n">
        <f aca="false">D6</f>
        <v>2.58</v>
      </c>
      <c r="E9" s="23" t="n">
        <f aca="false">E6</f>
        <v>7.4</v>
      </c>
      <c r="F9" s="23" t="n">
        <f aca="false">(0.6*2.1)+(0.5*0.5)</f>
        <v>1.51</v>
      </c>
      <c r="G9" s="23"/>
      <c r="H9" s="23"/>
      <c r="I9" s="24" t="n">
        <f aca="false">D9*(E9-F9)</f>
        <v>15.1962</v>
      </c>
      <c r="J9" s="23" t="s">
        <v>529</v>
      </c>
    </row>
    <row r="10" customFormat="false" ht="41.75" hidden="false" customHeight="false" outlineLevel="0" collapsed="false">
      <c r="A10" s="41"/>
      <c r="B10" s="23" t="s">
        <v>132</v>
      </c>
      <c r="C10" s="25" t="s">
        <v>134</v>
      </c>
      <c r="D10" s="23" t="n">
        <v>0.66</v>
      </c>
      <c r="E10" s="23"/>
      <c r="F10" s="23"/>
      <c r="G10" s="23"/>
      <c r="H10" s="23"/>
      <c r="I10" s="23" t="n">
        <f aca="false">D10</f>
        <v>0.66</v>
      </c>
      <c r="J10" s="23" t="s">
        <v>551</v>
      </c>
    </row>
    <row r="11" customFormat="false" ht="95.5" hidden="false" customHeight="false" outlineLevel="0" collapsed="false">
      <c r="A11" s="41"/>
      <c r="B11" s="24" t="s">
        <v>144</v>
      </c>
      <c r="C11" s="25" t="s">
        <v>146</v>
      </c>
      <c r="D11" s="23"/>
      <c r="E11" s="27"/>
      <c r="F11" s="23"/>
      <c r="G11" s="23"/>
      <c r="H11" s="23"/>
      <c r="I11" s="24" t="n">
        <f aca="false">I3</f>
        <v>2.7</v>
      </c>
      <c r="J11" s="23" t="s">
        <v>458</v>
      </c>
    </row>
    <row r="12" customFormat="false" ht="55.2" hidden="false" customHeight="false" outlineLevel="0" collapsed="false">
      <c r="A12" s="41"/>
      <c r="B12" s="24" t="s">
        <v>147</v>
      </c>
      <c r="C12" s="25" t="s">
        <v>149</v>
      </c>
      <c r="D12" s="24" t="n">
        <f aca="false">I3</f>
        <v>2.7</v>
      </c>
      <c r="E12" s="27" t="n">
        <v>0.3</v>
      </c>
      <c r="F12" s="23"/>
      <c r="G12" s="23"/>
      <c r="H12" s="23"/>
      <c r="I12" s="23" t="n">
        <f aca="false">D12*E12</f>
        <v>0.81</v>
      </c>
      <c r="J12" s="23" t="s">
        <v>462</v>
      </c>
    </row>
    <row r="13" customFormat="false" ht="28.35" hidden="false" customHeight="false" outlineLevel="0" collapsed="false">
      <c r="A13" s="41"/>
      <c r="B13" s="23" t="s">
        <v>194</v>
      </c>
      <c r="C13" s="25" t="s">
        <v>196</v>
      </c>
      <c r="D13" s="25"/>
      <c r="E13" s="25"/>
      <c r="F13" s="25"/>
      <c r="G13" s="25"/>
      <c r="H13" s="25"/>
      <c r="I13" s="23" t="n">
        <f aca="false">0.5*0.5</f>
        <v>0.25</v>
      </c>
      <c r="J13" s="23"/>
    </row>
    <row r="14" customFormat="false" ht="55.2" hidden="false" customHeight="false" outlineLevel="0" collapsed="false">
      <c r="A14" s="41"/>
      <c r="B14" s="23" t="s">
        <v>197</v>
      </c>
      <c r="C14" s="25" t="s">
        <v>199</v>
      </c>
      <c r="D14" s="25"/>
      <c r="E14" s="25"/>
      <c r="F14" s="25"/>
      <c r="G14" s="25"/>
      <c r="H14" s="25"/>
      <c r="I14" s="23" t="n">
        <v>2</v>
      </c>
      <c r="J14" s="23" t="s">
        <v>463</v>
      </c>
    </row>
    <row r="15" customFormat="false" ht="95.5" hidden="false" customHeight="false" outlineLevel="0" collapsed="false">
      <c r="A15" s="41"/>
      <c r="B15" s="23" t="s">
        <v>206</v>
      </c>
      <c r="C15" s="25" t="s">
        <v>208</v>
      </c>
      <c r="D15" s="25"/>
      <c r="E15" s="25"/>
      <c r="F15" s="25"/>
      <c r="G15" s="25"/>
      <c r="H15" s="25"/>
      <c r="I15" s="23" t="n">
        <v>1</v>
      </c>
      <c r="J15" s="23"/>
    </row>
    <row r="16" customFormat="false" ht="28.35" hidden="false" customHeight="false" outlineLevel="0" collapsed="false">
      <c r="A16" s="41"/>
      <c r="B16" s="23" t="s">
        <v>268</v>
      </c>
      <c r="C16" s="25" t="s">
        <v>270</v>
      </c>
      <c r="D16" s="25"/>
      <c r="E16" s="25"/>
      <c r="F16" s="25"/>
      <c r="G16" s="25"/>
      <c r="H16" s="25"/>
      <c r="I16" s="23" t="n">
        <v>1</v>
      </c>
      <c r="J16" s="23"/>
    </row>
    <row r="17" customFormat="false" ht="41.75" hidden="false" customHeight="false" outlineLevel="0" collapsed="false">
      <c r="A17" s="41"/>
      <c r="B17" s="23" t="s">
        <v>271</v>
      </c>
      <c r="C17" s="25" t="s">
        <v>273</v>
      </c>
      <c r="D17" s="25" t="n">
        <v>0.6</v>
      </c>
      <c r="E17" s="25" t="n">
        <v>0.8</v>
      </c>
      <c r="F17" s="25"/>
      <c r="G17" s="25"/>
      <c r="H17" s="25"/>
      <c r="I17" s="23" t="n">
        <f aca="false">D17*E17</f>
        <v>0.48</v>
      </c>
      <c r="J17" s="23" t="s">
        <v>556</v>
      </c>
    </row>
    <row r="18" customFormat="false" ht="41.75" hidden="false" customHeight="false" outlineLevel="0" collapsed="false">
      <c r="A18" s="41"/>
      <c r="B18" s="23" t="s">
        <v>274</v>
      </c>
      <c r="C18" s="25" t="s">
        <v>276</v>
      </c>
      <c r="D18" s="25"/>
      <c r="E18" s="25"/>
      <c r="F18" s="25"/>
      <c r="G18" s="25"/>
      <c r="H18" s="25"/>
      <c r="I18" s="23" t="n">
        <v>1</v>
      </c>
      <c r="J18" s="23"/>
    </row>
    <row r="19" customFormat="false" ht="41.75" hidden="false" customHeight="false" outlineLevel="0" collapsed="false">
      <c r="A19" s="41"/>
      <c r="B19" s="23" t="s">
        <v>277</v>
      </c>
      <c r="C19" s="25" t="s">
        <v>279</v>
      </c>
      <c r="D19" s="25"/>
      <c r="E19" s="25"/>
      <c r="F19" s="25"/>
      <c r="G19" s="25"/>
      <c r="H19" s="25"/>
      <c r="I19" s="23" t="n">
        <v>1</v>
      </c>
      <c r="J19" s="23"/>
    </row>
    <row r="20" customFormat="false" ht="135.8" hidden="false" customHeight="false" outlineLevel="0" collapsed="false">
      <c r="A20" s="41"/>
      <c r="B20" s="23" t="s">
        <v>283</v>
      </c>
      <c r="C20" s="25" t="s">
        <v>285</v>
      </c>
      <c r="D20" s="25"/>
      <c r="E20" s="25"/>
      <c r="F20" s="25"/>
      <c r="G20" s="25"/>
      <c r="H20" s="25"/>
      <c r="I20" s="23" t="n">
        <v>1</v>
      </c>
      <c r="J20" s="23"/>
    </row>
    <row r="21" customFormat="false" ht="162.65" hidden="false" customHeight="false" outlineLevel="0" collapsed="false">
      <c r="A21" s="41"/>
      <c r="B21" s="23" t="s">
        <v>292</v>
      </c>
      <c r="C21" s="25" t="s">
        <v>294</v>
      </c>
      <c r="D21" s="25"/>
      <c r="E21" s="25"/>
      <c r="F21" s="25"/>
      <c r="G21" s="25"/>
      <c r="H21" s="25"/>
      <c r="I21" s="23" t="n">
        <v>1</v>
      </c>
      <c r="J21" s="23"/>
    </row>
    <row r="22" customFormat="false" ht="68.65" hidden="false" customHeight="false" outlineLevel="0" collapsed="false">
      <c r="A22" s="41"/>
      <c r="B22" s="23" t="s">
        <v>302</v>
      </c>
      <c r="C22" s="25" t="s">
        <v>304</v>
      </c>
      <c r="D22" s="23"/>
      <c r="E22" s="23"/>
      <c r="F22" s="23"/>
      <c r="G22" s="23"/>
      <c r="H22" s="23"/>
      <c r="I22" s="23" t="n">
        <v>1</v>
      </c>
      <c r="J22" s="23"/>
    </row>
    <row r="23" customFormat="false" ht="82.05" hidden="false" customHeight="false" outlineLevel="0" collapsed="false">
      <c r="A23" s="41"/>
      <c r="B23" s="24" t="s">
        <v>321</v>
      </c>
      <c r="C23" s="25" t="s">
        <v>323</v>
      </c>
      <c r="D23" s="23"/>
      <c r="E23" s="23"/>
      <c r="F23" s="23"/>
      <c r="G23" s="23"/>
      <c r="H23" s="23"/>
      <c r="I23" s="23" t="n">
        <v>1</v>
      </c>
      <c r="J23" s="23"/>
    </row>
    <row r="24" customFormat="false" ht="108.95" hidden="false" customHeight="false" outlineLevel="0" collapsed="false">
      <c r="A24" s="41"/>
      <c r="B24" s="24" t="s">
        <v>324</v>
      </c>
      <c r="C24" s="25" t="s">
        <v>326</v>
      </c>
      <c r="D24" s="23"/>
      <c r="E24" s="23"/>
      <c r="F24" s="23"/>
      <c r="G24" s="23"/>
      <c r="H24" s="23"/>
      <c r="I24" s="23" t="n">
        <v>1</v>
      </c>
      <c r="J24" s="23"/>
    </row>
    <row r="25" customFormat="false" ht="28.35" hidden="false" customHeight="false" outlineLevel="0" collapsed="false">
      <c r="A25" s="41"/>
      <c r="B25" s="24" t="s">
        <v>327</v>
      </c>
      <c r="C25" s="25" t="s">
        <v>329</v>
      </c>
      <c r="D25" s="23"/>
      <c r="E25" s="23"/>
      <c r="F25" s="23"/>
      <c r="G25" s="23"/>
      <c r="H25" s="23"/>
      <c r="I25" s="23" t="n">
        <v>1</v>
      </c>
      <c r="J25" s="23"/>
    </row>
    <row r="26" customFormat="false" ht="135.8" hidden="false" customHeight="false" outlineLevel="0" collapsed="false">
      <c r="A26" s="41"/>
      <c r="B26" s="23" t="s">
        <v>440</v>
      </c>
      <c r="C26" s="25" t="s">
        <v>442</v>
      </c>
      <c r="D26" s="23" t="n">
        <f aca="false">(I3+I6)*0.01</f>
        <v>0.178962</v>
      </c>
      <c r="E26" s="23" t="n">
        <f aca="false">I2*0.02</f>
        <v>0.0952</v>
      </c>
      <c r="F26" s="23" t="n">
        <v>1.3</v>
      </c>
      <c r="G26" s="23" t="n">
        <v>6</v>
      </c>
      <c r="H26" s="23"/>
      <c r="I26" s="24" t="n">
        <f aca="false">(D26+E26)*F26*G26</f>
        <v>2.1384636</v>
      </c>
      <c r="J26" s="23" t="s">
        <v>557</v>
      </c>
    </row>
    <row r="27" customFormat="false" ht="14.9" hidden="false" customHeight="false" outlineLevel="0" collapsed="false">
      <c r="A27" s="41"/>
      <c r="B27" s="24" t="s">
        <v>444</v>
      </c>
      <c r="C27" s="25" t="s">
        <v>446</v>
      </c>
      <c r="D27" s="24"/>
      <c r="E27" s="23"/>
      <c r="F27" s="23"/>
      <c r="G27" s="23"/>
      <c r="H27" s="23"/>
      <c r="I27" s="24" t="n">
        <f aca="false">I11</f>
        <v>2.7</v>
      </c>
      <c r="J27" s="23" t="s">
        <v>458</v>
      </c>
    </row>
    <row r="28" customFormat="false" ht="13.8" hidden="false" customHeight="false" outlineLevel="0" collapsed="false">
      <c r="I28" s="0" t="n">
        <f aca="false">SUM(I2:I27)</f>
        <v>71.1108636</v>
      </c>
    </row>
  </sheetData>
  <mergeCells count="1">
    <mergeCell ref="A2:A2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J24"/>
  <sheetViews>
    <sheetView windowProtection="false" showFormulas="false" showGridLines="true" showRowColHeaders="true" showZeros="true" rightToLeft="false" tabSelected="false" showOutlineSymbols="true" defaultGridColor="true" view="normal" topLeftCell="A19" colorId="64" zoomScale="90" zoomScaleNormal="90" zoomScalePageLayoutView="100" workbookViewId="0">
      <selection pane="topLeft" activeCell="I25" activeCellId="0" sqref="I25"/>
    </sheetView>
  </sheetViews>
  <sheetFormatPr defaultRowHeight="14.4"/>
  <cols>
    <col collapsed="false" hidden="false" max="2" min="1" style="0" width="15.7959183673469"/>
    <col collapsed="false" hidden="false" max="3" min="3" style="36" width="29.6989795918367"/>
    <col collapsed="false" hidden="false" max="8" min="4" style="36" width="7.96428571428571"/>
    <col collapsed="false" hidden="false" max="9" min="9" style="0" width="12.5561224489796"/>
    <col collapsed="false" hidden="false" max="10" min="10" style="0" width="35.234693877551"/>
    <col collapsed="false" hidden="false" max="1025" min="11"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45" hidden="false" customHeight="true" outlineLevel="0" collapsed="false">
      <c r="A2" s="23" t="s">
        <v>21</v>
      </c>
      <c r="B2" s="23" t="s">
        <v>34</v>
      </c>
      <c r="C2" s="25" t="s">
        <v>36</v>
      </c>
      <c r="D2" s="23" t="n">
        <v>0.7</v>
      </c>
      <c r="E2" s="23" t="n">
        <v>15.1</v>
      </c>
      <c r="F2" s="23" t="n">
        <f aca="false">0.8</f>
        <v>0.8</v>
      </c>
      <c r="G2" s="23"/>
      <c r="H2" s="23"/>
      <c r="I2" s="24" t="n">
        <f aca="false">D2*(E2-F2)</f>
        <v>10.01</v>
      </c>
      <c r="J2" s="23" t="s">
        <v>467</v>
      </c>
    </row>
    <row r="3" customFormat="false" ht="57.6" hidden="false" customHeight="false" outlineLevel="0" collapsed="false">
      <c r="A3" s="23"/>
      <c r="B3" s="23" t="s">
        <v>55</v>
      </c>
      <c r="C3" s="25" t="s">
        <v>57</v>
      </c>
      <c r="D3" s="23" t="n">
        <v>2.58</v>
      </c>
      <c r="E3" s="23" t="n">
        <f aca="false">E2</f>
        <v>15.1</v>
      </c>
      <c r="F3" s="24" t="n">
        <f aca="false">I2</f>
        <v>10.01</v>
      </c>
      <c r="G3" s="23" t="n">
        <f aca="false">((2.1-0.7)*0.8)+((1*1.1)*2)</f>
        <v>3.32</v>
      </c>
      <c r="H3" s="24" t="n">
        <f aca="false">I4</f>
        <v>14.22</v>
      </c>
      <c r="I3" s="24" t="n">
        <f aca="false">(D3*E3)-F3-G3+H3</f>
        <v>39.848</v>
      </c>
      <c r="J3" s="23" t="s">
        <v>457</v>
      </c>
    </row>
    <row r="4" customFormat="false" ht="14.4" hidden="false" customHeight="false" outlineLevel="0" collapsed="false">
      <c r="A4" s="23"/>
      <c r="B4" s="24" t="s">
        <v>73</v>
      </c>
      <c r="C4" s="25" t="s">
        <v>75</v>
      </c>
      <c r="D4" s="23"/>
      <c r="E4" s="23"/>
      <c r="F4" s="23"/>
      <c r="G4" s="23"/>
      <c r="H4" s="23"/>
      <c r="I4" s="24" t="n">
        <v>14.22</v>
      </c>
      <c r="J4" s="23" t="s">
        <v>458</v>
      </c>
    </row>
    <row r="5" customFormat="false" ht="57.6" hidden="false" customHeight="false" outlineLevel="0" collapsed="false">
      <c r="A5" s="23"/>
      <c r="B5" s="23" t="s">
        <v>119</v>
      </c>
      <c r="C5" s="25" t="s">
        <v>121</v>
      </c>
      <c r="D5" s="25"/>
      <c r="E5" s="25"/>
      <c r="F5" s="25"/>
      <c r="G5" s="25"/>
      <c r="H5" s="25"/>
      <c r="I5" s="24" t="n">
        <f aca="false">I2</f>
        <v>10.01</v>
      </c>
      <c r="J5" s="23" t="s">
        <v>460</v>
      </c>
    </row>
    <row r="6" customFormat="false" ht="72" hidden="false" customHeight="false" outlineLevel="0" collapsed="false">
      <c r="A6" s="23"/>
      <c r="B6" s="23" t="s">
        <v>125</v>
      </c>
      <c r="C6" s="25" t="s">
        <v>127</v>
      </c>
      <c r="D6" s="25"/>
      <c r="E6" s="25"/>
      <c r="F6" s="25"/>
      <c r="G6" s="25"/>
      <c r="H6" s="25"/>
      <c r="I6" s="24" t="n">
        <f aca="false">I2</f>
        <v>10.01</v>
      </c>
      <c r="J6" s="23" t="s">
        <v>460</v>
      </c>
    </row>
    <row r="7" customFormat="false" ht="28.8" hidden="false" customHeight="false" outlineLevel="0" collapsed="false">
      <c r="A7" s="23"/>
      <c r="B7" s="23" t="s">
        <v>132</v>
      </c>
      <c r="C7" s="25" t="s">
        <v>134</v>
      </c>
      <c r="D7" s="23" t="n">
        <v>0.86</v>
      </c>
      <c r="E7" s="23"/>
      <c r="F7" s="23"/>
      <c r="G7" s="23"/>
      <c r="H7" s="23"/>
      <c r="I7" s="23" t="n">
        <f aca="false">D7</f>
        <v>0.86</v>
      </c>
      <c r="J7" s="23" t="s">
        <v>551</v>
      </c>
    </row>
    <row r="8" customFormat="false" ht="43.2" hidden="false" customHeight="false" outlineLevel="0" collapsed="false">
      <c r="A8" s="23"/>
      <c r="B8" s="24" t="s">
        <v>135</v>
      </c>
      <c r="C8" s="25" t="s">
        <v>137</v>
      </c>
      <c r="D8" s="23" t="n">
        <f aca="false">E2</f>
        <v>15.1</v>
      </c>
      <c r="E8" s="23" t="n">
        <v>0.8</v>
      </c>
      <c r="F8" s="23"/>
      <c r="G8" s="23"/>
      <c r="H8" s="23"/>
      <c r="I8" s="24" t="n">
        <f aca="false">D8-E8</f>
        <v>14.3</v>
      </c>
      <c r="J8" s="23" t="s">
        <v>470</v>
      </c>
    </row>
    <row r="9" customFormat="false" ht="72" hidden="false" customHeight="false" outlineLevel="0" collapsed="false">
      <c r="A9" s="23"/>
      <c r="B9" s="24" t="s">
        <v>144</v>
      </c>
      <c r="C9" s="25" t="s">
        <v>146</v>
      </c>
      <c r="D9" s="23"/>
      <c r="E9" s="27"/>
      <c r="F9" s="23"/>
      <c r="G9" s="23"/>
      <c r="H9" s="23"/>
      <c r="I9" s="24" t="n">
        <f aca="false">I4</f>
        <v>14.22</v>
      </c>
      <c r="J9" s="23" t="s">
        <v>458</v>
      </c>
    </row>
    <row r="10" customFormat="false" ht="43.2" hidden="false" customHeight="false" outlineLevel="0" collapsed="false">
      <c r="A10" s="23"/>
      <c r="B10" s="24" t="s">
        <v>147</v>
      </c>
      <c r="C10" s="25" t="s">
        <v>149</v>
      </c>
      <c r="D10" s="24" t="n">
        <f aca="false">I4</f>
        <v>14.22</v>
      </c>
      <c r="E10" s="27" t="n">
        <v>0.3</v>
      </c>
      <c r="F10" s="23"/>
      <c r="G10" s="23"/>
      <c r="H10" s="23"/>
      <c r="I10" s="24" t="n">
        <f aca="false">D10*E10</f>
        <v>4.266</v>
      </c>
      <c r="J10" s="23" t="s">
        <v>462</v>
      </c>
    </row>
    <row r="11" customFormat="false" ht="14.4" hidden="false" customHeight="false" outlineLevel="0" collapsed="false">
      <c r="A11" s="23"/>
      <c r="B11" s="23" t="s">
        <v>194</v>
      </c>
      <c r="C11" s="25" t="s">
        <v>196</v>
      </c>
      <c r="D11" s="23" t="n">
        <f aca="false">(1*1.1)*2</f>
        <v>2.2</v>
      </c>
      <c r="E11" s="25"/>
      <c r="F11" s="25"/>
      <c r="G11" s="25"/>
      <c r="H11" s="25"/>
      <c r="I11" s="23" t="n">
        <f aca="false">D11</f>
        <v>2.2</v>
      </c>
      <c r="J11" s="23" t="s">
        <v>552</v>
      </c>
    </row>
    <row r="12" customFormat="false" ht="43.2" hidden="false" customHeight="false" outlineLevel="0" collapsed="false">
      <c r="A12" s="23"/>
      <c r="B12" s="23" t="s">
        <v>197</v>
      </c>
      <c r="C12" s="25" t="s">
        <v>199</v>
      </c>
      <c r="D12" s="25"/>
      <c r="E12" s="25"/>
      <c r="F12" s="25"/>
      <c r="G12" s="25"/>
      <c r="H12" s="25"/>
      <c r="I12" s="23" t="n">
        <v>4</v>
      </c>
      <c r="J12" s="23"/>
    </row>
    <row r="13" customFormat="false" ht="43.2" hidden="false" customHeight="false" outlineLevel="0" collapsed="false">
      <c r="A13" s="23"/>
      <c r="B13" s="24" t="s">
        <v>227</v>
      </c>
      <c r="C13" s="25" t="s">
        <v>229</v>
      </c>
      <c r="D13" s="24"/>
      <c r="E13" s="27"/>
      <c r="F13" s="23"/>
      <c r="G13" s="23"/>
      <c r="H13" s="23"/>
      <c r="I13" s="23" t="n">
        <v>1</v>
      </c>
      <c r="J13" s="23"/>
    </row>
    <row r="14" customFormat="false" ht="28.8" hidden="false" customHeight="false" outlineLevel="0" collapsed="false">
      <c r="A14" s="23"/>
      <c r="B14" s="23" t="s">
        <v>240</v>
      </c>
      <c r="C14" s="25" t="s">
        <v>242</v>
      </c>
      <c r="D14" s="24" t="n">
        <f aca="false">((0.8*2.1)*2)+((1.1*1)*4)</f>
        <v>7.76</v>
      </c>
      <c r="E14" s="24" t="n">
        <f aca="false">((0.15*2.1)*2)+(0.15*0.8)</f>
        <v>0.75</v>
      </c>
      <c r="F14" s="23" t="n">
        <f aca="false">0.05*((2.1*2)+0.8)*2</f>
        <v>0.5</v>
      </c>
      <c r="G14" s="23"/>
      <c r="H14" s="23"/>
      <c r="I14" s="24" t="n">
        <f aca="false">D14+E14+F14</f>
        <v>9.01</v>
      </c>
      <c r="J14" s="23" t="s">
        <v>472</v>
      </c>
    </row>
    <row r="15" customFormat="false" ht="41.95" hidden="false" customHeight="false" outlineLevel="0" collapsed="false">
      <c r="A15" s="23"/>
      <c r="B15" s="23" t="s">
        <v>246</v>
      </c>
      <c r="C15" s="25" t="s">
        <v>248</v>
      </c>
      <c r="D15" s="23" t="n">
        <v>2.58</v>
      </c>
      <c r="E15" s="23" t="n">
        <v>15.4</v>
      </c>
      <c r="F15" s="23" t="n">
        <f aca="false">(2.1*0.8)+((1*1.1)*2)</f>
        <v>3.88</v>
      </c>
      <c r="G15" s="24" t="n">
        <f aca="false">I4</f>
        <v>14.22</v>
      </c>
      <c r="H15" s="23"/>
      <c r="I15" s="23" t="n">
        <f aca="false">(D15*E15)-F15+G15</f>
        <v>50.072</v>
      </c>
      <c r="J15" s="23" t="s">
        <v>558</v>
      </c>
    </row>
    <row r="16" customFormat="false" ht="43.2" hidden="false" customHeight="false" outlineLevel="0" collapsed="false">
      <c r="A16" s="23"/>
      <c r="B16" s="23" t="s">
        <v>255</v>
      </c>
      <c r="C16" s="25" t="s">
        <v>257</v>
      </c>
      <c r="D16" s="25"/>
      <c r="E16" s="25"/>
      <c r="F16" s="25"/>
      <c r="G16" s="25"/>
      <c r="H16" s="25"/>
      <c r="I16" s="24" t="n">
        <f aca="false">H3</f>
        <v>14.22</v>
      </c>
      <c r="J16" s="23" t="s">
        <v>464</v>
      </c>
    </row>
    <row r="17" customFormat="false" ht="43.2" hidden="false" customHeight="false" outlineLevel="0" collapsed="false">
      <c r="A17" s="23"/>
      <c r="B17" s="23" t="s">
        <v>258</v>
      </c>
      <c r="C17" s="25" t="s">
        <v>260</v>
      </c>
      <c r="D17" s="23" t="n">
        <v>2.58</v>
      </c>
      <c r="E17" s="23" t="n">
        <f aca="false">E2</f>
        <v>15.1</v>
      </c>
      <c r="F17" s="23" t="n">
        <f aca="false">(2.1*0.8)+((1*1.1)*2)</f>
        <v>3.88</v>
      </c>
      <c r="G17" s="23"/>
      <c r="H17" s="23"/>
      <c r="I17" s="23" t="n">
        <f aca="false">(D17*E17)-F17</f>
        <v>35.078</v>
      </c>
      <c r="J17" s="23" t="s">
        <v>465</v>
      </c>
    </row>
    <row r="18" customFormat="false" ht="57.6" hidden="false" customHeight="false" outlineLevel="0" collapsed="false">
      <c r="A18" s="23"/>
      <c r="B18" s="23" t="s">
        <v>302</v>
      </c>
      <c r="C18" s="25" t="s">
        <v>304</v>
      </c>
      <c r="D18" s="23"/>
      <c r="E18" s="23"/>
      <c r="F18" s="23"/>
      <c r="G18" s="23"/>
      <c r="H18" s="23"/>
      <c r="I18" s="23" t="n">
        <v>1</v>
      </c>
      <c r="J18" s="23"/>
    </row>
    <row r="19" customFormat="false" ht="57.6" hidden="false" customHeight="false" outlineLevel="0" collapsed="false">
      <c r="A19" s="23"/>
      <c r="B19" s="24" t="s">
        <v>321</v>
      </c>
      <c r="C19" s="25" t="s">
        <v>323</v>
      </c>
      <c r="D19" s="23"/>
      <c r="E19" s="23"/>
      <c r="F19" s="23"/>
      <c r="G19" s="23"/>
      <c r="H19" s="23"/>
      <c r="I19" s="23" t="n">
        <v>1</v>
      </c>
      <c r="J19" s="23"/>
    </row>
    <row r="20" customFormat="false" ht="72" hidden="false" customHeight="false" outlineLevel="0" collapsed="false">
      <c r="A20" s="23"/>
      <c r="B20" s="24" t="s">
        <v>324</v>
      </c>
      <c r="C20" s="25" t="s">
        <v>326</v>
      </c>
      <c r="D20" s="23"/>
      <c r="E20" s="23"/>
      <c r="F20" s="23"/>
      <c r="G20" s="23"/>
      <c r="H20" s="23"/>
      <c r="I20" s="23" t="n">
        <v>3</v>
      </c>
      <c r="J20" s="23"/>
    </row>
    <row r="21" customFormat="false" ht="28.8" hidden="false" customHeight="false" outlineLevel="0" collapsed="false">
      <c r="A21" s="23"/>
      <c r="B21" s="24" t="s">
        <v>327</v>
      </c>
      <c r="C21" s="25" t="s">
        <v>329</v>
      </c>
      <c r="D21" s="23"/>
      <c r="E21" s="23"/>
      <c r="F21" s="23"/>
      <c r="G21" s="23"/>
      <c r="H21" s="23"/>
      <c r="I21" s="23" t="n">
        <v>1</v>
      </c>
      <c r="J21" s="23"/>
    </row>
    <row r="22" customFormat="false" ht="57.6" hidden="false" customHeight="false" outlineLevel="0" collapsed="false">
      <c r="A22" s="23"/>
      <c r="B22" s="23" t="s">
        <v>440</v>
      </c>
      <c r="C22" s="25" t="s">
        <v>442</v>
      </c>
      <c r="D22" s="24" t="n">
        <f aca="false">I2</f>
        <v>10.01</v>
      </c>
      <c r="E22" s="23" t="n">
        <v>0.02</v>
      </c>
      <c r="F22" s="23" t="n">
        <v>1.3</v>
      </c>
      <c r="G22" s="23" t="n">
        <v>6</v>
      </c>
      <c r="H22" s="23"/>
      <c r="I22" s="24" t="n">
        <f aca="false">D22*E22*F22*G22</f>
        <v>1.56156</v>
      </c>
      <c r="J22" s="23" t="s">
        <v>466</v>
      </c>
    </row>
    <row r="23" customFormat="false" ht="14.4" hidden="false" customHeight="false" outlineLevel="0" collapsed="false">
      <c r="A23" s="23"/>
      <c r="B23" s="24" t="s">
        <v>444</v>
      </c>
      <c r="C23" s="25" t="s">
        <v>446</v>
      </c>
      <c r="D23" s="24"/>
      <c r="E23" s="23"/>
      <c r="F23" s="23"/>
      <c r="G23" s="23"/>
      <c r="H23" s="23"/>
      <c r="I23" s="24" t="n">
        <f aca="false">I9</f>
        <v>14.22</v>
      </c>
      <c r="J23" s="23" t="s">
        <v>458</v>
      </c>
    </row>
    <row r="24" customFormat="false" ht="14.4" hidden="false" customHeight="false" outlineLevel="0" collapsed="false">
      <c r="I24" s="0" t="n">
        <f aca="false">SUM(I2:I23)</f>
        <v>255.10556</v>
      </c>
    </row>
  </sheetData>
  <mergeCells count="1">
    <mergeCell ref="A2:A2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J28"/>
  <sheetViews>
    <sheetView windowProtection="false" showFormulas="false" showGridLines="true" showRowColHeaders="true" showZeros="true" rightToLeft="false" tabSelected="false" showOutlineSymbols="true" defaultGridColor="true" view="normal" topLeftCell="A23" colorId="64" zoomScale="90" zoomScaleNormal="90" zoomScalePageLayoutView="100" workbookViewId="0">
      <selection pane="topLeft" activeCell="I29" activeCellId="0" sqref="I29"/>
    </sheetView>
  </sheetViews>
  <sheetFormatPr defaultRowHeight="14.4"/>
  <cols>
    <col collapsed="false" hidden="false" max="2" min="1" style="0" width="15.7959183673469"/>
    <col collapsed="false" hidden="false" max="3" min="3" style="36" width="29.6989795918367"/>
    <col collapsed="false" hidden="false" max="8" min="4" style="36" width="7.96428571428571"/>
    <col collapsed="false" hidden="false" max="9" min="9" style="0" width="12.5561224489796"/>
    <col collapsed="false" hidden="false" max="10" min="10" style="0" width="35.234693877551"/>
    <col collapsed="false" hidden="false" max="1025" min="11"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41.4" hidden="false" customHeight="true" outlineLevel="0" collapsed="false">
      <c r="A2" s="23" t="s">
        <v>22</v>
      </c>
      <c r="B2" s="23" t="s">
        <v>34</v>
      </c>
      <c r="C2" s="25" t="s">
        <v>36</v>
      </c>
      <c r="D2" s="23" t="n">
        <v>0.7</v>
      </c>
      <c r="E2" s="23" t="n">
        <v>12.9</v>
      </c>
      <c r="F2" s="23" t="n">
        <f aca="false">0.8</f>
        <v>0.8</v>
      </c>
      <c r="G2" s="23"/>
      <c r="H2" s="23"/>
      <c r="I2" s="24" t="n">
        <f aca="false">D2*(E2-F2)</f>
        <v>8.47</v>
      </c>
      <c r="J2" s="23" t="s">
        <v>467</v>
      </c>
    </row>
    <row r="3" customFormat="false" ht="28.8" hidden="false" customHeight="false" outlineLevel="0" collapsed="false">
      <c r="A3" s="23"/>
      <c r="B3" s="24" t="s">
        <v>37</v>
      </c>
      <c r="C3" s="25" t="s">
        <v>39</v>
      </c>
      <c r="D3" s="23"/>
      <c r="E3" s="23"/>
      <c r="F3" s="23"/>
      <c r="G3" s="23"/>
      <c r="H3" s="23"/>
      <c r="I3" s="24" t="n">
        <v>10.22</v>
      </c>
      <c r="J3" s="23" t="s">
        <v>458</v>
      </c>
    </row>
    <row r="4" customFormat="false" ht="28.8" hidden="false" customHeight="false" outlineLevel="0" collapsed="false">
      <c r="A4" s="23"/>
      <c r="B4" s="23" t="s">
        <v>51</v>
      </c>
      <c r="C4" s="25" t="s">
        <v>53</v>
      </c>
      <c r="D4" s="23" t="n">
        <f aca="false">0.6*1*2</f>
        <v>1.2</v>
      </c>
      <c r="E4" s="23"/>
      <c r="F4" s="23"/>
      <c r="G4" s="23"/>
      <c r="H4" s="23"/>
      <c r="I4" s="23" t="n">
        <f aca="false">D4</f>
        <v>1.2</v>
      </c>
      <c r="J4" s="23" t="s">
        <v>559</v>
      </c>
    </row>
    <row r="5" customFormat="false" ht="57.6" hidden="false" customHeight="false" outlineLevel="0" collapsed="false">
      <c r="A5" s="23"/>
      <c r="B5" s="23" t="s">
        <v>55</v>
      </c>
      <c r="C5" s="25" t="s">
        <v>57</v>
      </c>
      <c r="D5" s="23" t="n">
        <v>2.58</v>
      </c>
      <c r="E5" s="23" t="n">
        <f aca="false">E2</f>
        <v>12.9</v>
      </c>
      <c r="F5" s="24" t="n">
        <f aca="false">I2</f>
        <v>8.47</v>
      </c>
      <c r="G5" s="23" t="n">
        <f aca="false">((2.1-0.7)*0.8)+(1*0.5)</f>
        <v>1.62</v>
      </c>
      <c r="H5" s="24" t="n">
        <f aca="false">I3</f>
        <v>10.22</v>
      </c>
      <c r="I5" s="24" t="n">
        <f aca="false">(D5*E5)-F5-G5+H5</f>
        <v>33.412</v>
      </c>
      <c r="J5" s="23" t="s">
        <v>457</v>
      </c>
    </row>
    <row r="6" customFormat="false" ht="43.2" hidden="false" customHeight="false" outlineLevel="0" collapsed="false">
      <c r="A6" s="23"/>
      <c r="B6" s="23" t="s">
        <v>67</v>
      </c>
      <c r="C6" s="25" t="s">
        <v>541</v>
      </c>
      <c r="D6" s="23" t="n">
        <v>1.75</v>
      </c>
      <c r="E6" s="23" t="n">
        <v>12.9</v>
      </c>
      <c r="F6" s="23" t="n">
        <f aca="false">0.8</f>
        <v>0.8</v>
      </c>
      <c r="G6" s="23"/>
      <c r="H6" s="23"/>
      <c r="I6" s="24" t="n">
        <f aca="false">D6*(E6-F6)</f>
        <v>21.175</v>
      </c>
      <c r="J6" s="23" t="s">
        <v>467</v>
      </c>
    </row>
    <row r="7" customFormat="false" ht="41.95" hidden="false" customHeight="false" outlineLevel="0" collapsed="false">
      <c r="A7" s="23"/>
      <c r="B7" s="24" t="s">
        <v>79</v>
      </c>
      <c r="C7" s="25" t="s">
        <v>80</v>
      </c>
      <c r="D7" s="24" t="n">
        <f aca="false">I5</f>
        <v>33.412</v>
      </c>
      <c r="E7" s="27" t="n">
        <v>0.1</v>
      </c>
      <c r="F7" s="23"/>
      <c r="G7" s="23"/>
      <c r="H7" s="23"/>
      <c r="I7" s="24" t="n">
        <f aca="false">D7*E7</f>
        <v>3.3412</v>
      </c>
      <c r="J7" s="23" t="s">
        <v>459</v>
      </c>
    </row>
    <row r="8" customFormat="false" ht="57.6" hidden="false" customHeight="false" outlineLevel="0" collapsed="false">
      <c r="A8" s="23"/>
      <c r="B8" s="23" t="s">
        <v>119</v>
      </c>
      <c r="C8" s="25" t="s">
        <v>121</v>
      </c>
      <c r="D8" s="25"/>
      <c r="E8" s="25"/>
      <c r="F8" s="25"/>
      <c r="G8" s="25"/>
      <c r="H8" s="25"/>
      <c r="I8" s="24" t="n">
        <f aca="false">I2</f>
        <v>8.47</v>
      </c>
      <c r="J8" s="23" t="s">
        <v>460</v>
      </c>
    </row>
    <row r="9" customFormat="false" ht="72" hidden="false" customHeight="false" outlineLevel="0" collapsed="false">
      <c r="A9" s="23"/>
      <c r="B9" s="23" t="s">
        <v>125</v>
      </c>
      <c r="C9" s="25" t="s">
        <v>127</v>
      </c>
      <c r="D9" s="25"/>
      <c r="E9" s="25"/>
      <c r="F9" s="25"/>
      <c r="G9" s="25"/>
      <c r="H9" s="25"/>
      <c r="I9" s="24" t="n">
        <f aca="false">I2</f>
        <v>8.47</v>
      </c>
      <c r="J9" s="23" t="s">
        <v>460</v>
      </c>
    </row>
    <row r="10" customFormat="false" ht="28.8" hidden="false" customHeight="false" outlineLevel="0" collapsed="false">
      <c r="A10" s="23"/>
      <c r="B10" s="23" t="s">
        <v>132</v>
      </c>
      <c r="C10" s="25" t="s">
        <v>134</v>
      </c>
      <c r="D10" s="23" t="n">
        <v>0.86</v>
      </c>
      <c r="E10" s="23"/>
      <c r="F10" s="23"/>
      <c r="G10" s="23"/>
      <c r="H10" s="23"/>
      <c r="I10" s="23" t="n">
        <f aca="false">D10</f>
        <v>0.86</v>
      </c>
      <c r="J10" s="23" t="s">
        <v>551</v>
      </c>
    </row>
    <row r="11" customFormat="false" ht="43.2" hidden="false" customHeight="false" outlineLevel="0" collapsed="false">
      <c r="A11" s="23"/>
      <c r="B11" s="23" t="s">
        <v>135</v>
      </c>
      <c r="C11" s="25" t="s">
        <v>137</v>
      </c>
      <c r="D11" s="23" t="n">
        <f aca="false">E2</f>
        <v>12.9</v>
      </c>
      <c r="E11" s="23" t="n">
        <v>0.8</v>
      </c>
      <c r="F11" s="23"/>
      <c r="G11" s="23"/>
      <c r="H11" s="23"/>
      <c r="I11" s="24" t="n">
        <f aca="false">D11-E11</f>
        <v>12.1</v>
      </c>
      <c r="J11" s="23" t="s">
        <v>470</v>
      </c>
    </row>
    <row r="12" customFormat="false" ht="72" hidden="false" customHeight="false" outlineLevel="0" collapsed="false">
      <c r="A12" s="23"/>
      <c r="B12" s="24" t="s">
        <v>144</v>
      </c>
      <c r="C12" s="25" t="s">
        <v>146</v>
      </c>
      <c r="D12" s="23"/>
      <c r="E12" s="27"/>
      <c r="F12" s="23"/>
      <c r="G12" s="23"/>
      <c r="H12" s="23"/>
      <c r="I12" s="24" t="n">
        <f aca="false">I3</f>
        <v>10.22</v>
      </c>
      <c r="J12" s="23" t="s">
        <v>458</v>
      </c>
    </row>
    <row r="13" customFormat="false" ht="43.2" hidden="false" customHeight="false" outlineLevel="0" collapsed="false">
      <c r="A13" s="23"/>
      <c r="B13" s="24" t="s">
        <v>147</v>
      </c>
      <c r="C13" s="25" t="s">
        <v>149</v>
      </c>
      <c r="D13" s="24" t="n">
        <f aca="false">I3</f>
        <v>10.22</v>
      </c>
      <c r="E13" s="27" t="n">
        <v>0.3</v>
      </c>
      <c r="F13" s="23"/>
      <c r="G13" s="23"/>
      <c r="H13" s="23"/>
      <c r="I13" s="23" t="n">
        <f aca="false">D13*E13</f>
        <v>3.066</v>
      </c>
      <c r="J13" s="23" t="s">
        <v>462</v>
      </c>
    </row>
    <row r="14" customFormat="false" ht="14.4" hidden="false" customHeight="false" outlineLevel="0" collapsed="false">
      <c r="A14" s="23"/>
      <c r="B14" s="23" t="s">
        <v>194</v>
      </c>
      <c r="C14" s="25" t="s">
        <v>196</v>
      </c>
      <c r="D14" s="23" t="n">
        <f aca="false">(1*0.5)</f>
        <v>0.5</v>
      </c>
      <c r="E14" s="25"/>
      <c r="F14" s="25"/>
      <c r="G14" s="25"/>
      <c r="H14" s="25"/>
      <c r="I14" s="23" t="n">
        <f aca="false">D14</f>
        <v>0.5</v>
      </c>
      <c r="J14" s="23" t="s">
        <v>552</v>
      </c>
    </row>
    <row r="15" customFormat="false" ht="43.2" hidden="false" customHeight="false" outlineLevel="0" collapsed="false">
      <c r="A15" s="23"/>
      <c r="B15" s="23" t="s">
        <v>197</v>
      </c>
      <c r="C15" s="25" t="s">
        <v>199</v>
      </c>
      <c r="D15" s="25"/>
      <c r="E15" s="25"/>
      <c r="F15" s="25"/>
      <c r="G15" s="25"/>
      <c r="H15" s="25"/>
      <c r="I15" s="23" t="n">
        <v>2</v>
      </c>
      <c r="J15" s="23"/>
    </row>
    <row r="16" customFormat="false" ht="100.8" hidden="false" customHeight="false" outlineLevel="0" collapsed="false">
      <c r="A16" s="23"/>
      <c r="B16" s="23" t="s">
        <v>218</v>
      </c>
      <c r="C16" s="25" t="s">
        <v>220</v>
      </c>
      <c r="D16" s="23"/>
      <c r="E16" s="23"/>
      <c r="F16" s="23"/>
      <c r="G16" s="23"/>
      <c r="H16" s="23"/>
      <c r="I16" s="23" t="n">
        <v>1</v>
      </c>
      <c r="J16" s="23"/>
    </row>
    <row r="17" customFormat="false" ht="43.2" hidden="false" customHeight="false" outlineLevel="0" collapsed="false">
      <c r="A17" s="23"/>
      <c r="B17" s="24" t="s">
        <v>227</v>
      </c>
      <c r="C17" s="25" t="s">
        <v>229</v>
      </c>
      <c r="D17" s="24"/>
      <c r="E17" s="27"/>
      <c r="F17" s="23"/>
      <c r="G17" s="23"/>
      <c r="H17" s="23"/>
      <c r="I17" s="23" t="n">
        <v>1</v>
      </c>
      <c r="J17" s="23"/>
    </row>
    <row r="18" customFormat="false" ht="28.8" hidden="false" customHeight="false" outlineLevel="0" collapsed="false">
      <c r="A18" s="23"/>
      <c r="B18" s="23" t="s">
        <v>240</v>
      </c>
      <c r="C18" s="25" t="s">
        <v>242</v>
      </c>
      <c r="D18" s="24" t="n">
        <f aca="false">((0.8*2.1)*2)</f>
        <v>3.36</v>
      </c>
      <c r="E18" s="24" t="n">
        <f aca="false">((0.15*2.1)*2)+(0.15*0.8)</f>
        <v>0.75</v>
      </c>
      <c r="F18" s="23" t="n">
        <f aca="false">0.05*((2.1*2)+0.8)*2</f>
        <v>0.5</v>
      </c>
      <c r="G18" s="23"/>
      <c r="H18" s="23"/>
      <c r="I18" s="24" t="n">
        <f aca="false">D18+E18+F18</f>
        <v>4.61</v>
      </c>
      <c r="J18" s="23" t="s">
        <v>472</v>
      </c>
    </row>
    <row r="19" customFormat="false" ht="43.2" hidden="false" customHeight="false" outlineLevel="0" collapsed="false">
      <c r="A19" s="23"/>
      <c r="B19" s="23" t="s">
        <v>246</v>
      </c>
      <c r="C19" s="25" t="s">
        <v>248</v>
      </c>
      <c r="D19" s="24" t="n">
        <f aca="false">I6</f>
        <v>21.175</v>
      </c>
      <c r="E19" s="24"/>
      <c r="F19" s="24"/>
      <c r="G19" s="24"/>
      <c r="H19" s="25"/>
      <c r="I19" s="24" t="n">
        <f aca="false">D19</f>
        <v>21.175</v>
      </c>
      <c r="J19" s="23" t="s">
        <v>560</v>
      </c>
    </row>
    <row r="20" customFormat="false" ht="43.2" hidden="false" customHeight="false" outlineLevel="0" collapsed="false">
      <c r="A20" s="23"/>
      <c r="B20" s="23" t="s">
        <v>255</v>
      </c>
      <c r="C20" s="25" t="s">
        <v>257</v>
      </c>
      <c r="D20" s="25"/>
      <c r="E20" s="25"/>
      <c r="F20" s="25"/>
      <c r="G20" s="25"/>
      <c r="H20" s="25"/>
      <c r="I20" s="24" t="n">
        <f aca="false">H5</f>
        <v>10.22</v>
      </c>
      <c r="J20" s="23" t="s">
        <v>464</v>
      </c>
    </row>
    <row r="21" customFormat="false" ht="43.2" hidden="false" customHeight="false" outlineLevel="0" collapsed="false">
      <c r="A21" s="23"/>
      <c r="B21" s="23" t="s">
        <v>258</v>
      </c>
      <c r="C21" s="25" t="s">
        <v>260</v>
      </c>
      <c r="D21" s="23" t="n">
        <v>2.58</v>
      </c>
      <c r="E21" s="23" t="n">
        <f aca="false">E2</f>
        <v>12.9</v>
      </c>
      <c r="F21" s="23" t="n">
        <f aca="false">(2.1*0.8)+(1*0.5)</f>
        <v>2.18</v>
      </c>
      <c r="G21" s="23"/>
      <c r="H21" s="23"/>
      <c r="I21" s="23" t="n">
        <f aca="false">(D21*E21)-F21</f>
        <v>31.102</v>
      </c>
      <c r="J21" s="23" t="s">
        <v>465</v>
      </c>
    </row>
    <row r="22" customFormat="false" ht="57.6" hidden="false" customHeight="false" outlineLevel="0" collapsed="false">
      <c r="A22" s="23"/>
      <c r="B22" s="23" t="s">
        <v>302</v>
      </c>
      <c r="C22" s="25" t="s">
        <v>304</v>
      </c>
      <c r="D22" s="23"/>
      <c r="E22" s="23"/>
      <c r="F22" s="23"/>
      <c r="G22" s="23"/>
      <c r="H22" s="23"/>
      <c r="I22" s="23" t="n">
        <v>1</v>
      </c>
      <c r="J22" s="23"/>
    </row>
    <row r="23" customFormat="false" ht="57.6" hidden="false" customHeight="false" outlineLevel="0" collapsed="false">
      <c r="A23" s="23"/>
      <c r="B23" s="24" t="s">
        <v>321</v>
      </c>
      <c r="C23" s="25" t="s">
        <v>323</v>
      </c>
      <c r="D23" s="23"/>
      <c r="E23" s="23"/>
      <c r="F23" s="23"/>
      <c r="G23" s="23"/>
      <c r="H23" s="23"/>
      <c r="I23" s="23" t="n">
        <v>1</v>
      </c>
      <c r="J23" s="23"/>
    </row>
    <row r="24" customFormat="false" ht="72" hidden="false" customHeight="false" outlineLevel="0" collapsed="false">
      <c r="A24" s="23"/>
      <c r="B24" s="24" t="s">
        <v>324</v>
      </c>
      <c r="C24" s="25" t="s">
        <v>326</v>
      </c>
      <c r="D24" s="23"/>
      <c r="E24" s="23"/>
      <c r="F24" s="23"/>
      <c r="G24" s="23"/>
      <c r="H24" s="23"/>
      <c r="I24" s="23" t="n">
        <v>3</v>
      </c>
      <c r="J24" s="23"/>
    </row>
    <row r="25" customFormat="false" ht="28.8" hidden="false" customHeight="false" outlineLevel="0" collapsed="false">
      <c r="A25" s="23"/>
      <c r="B25" s="24" t="s">
        <v>327</v>
      </c>
      <c r="C25" s="25" t="s">
        <v>329</v>
      </c>
      <c r="D25" s="23"/>
      <c r="E25" s="23"/>
      <c r="F25" s="23"/>
      <c r="G25" s="23"/>
      <c r="H25" s="23"/>
      <c r="I25" s="23" t="n">
        <v>1</v>
      </c>
      <c r="J25" s="23"/>
    </row>
    <row r="26" customFormat="false" ht="72" hidden="false" customHeight="false" outlineLevel="0" collapsed="false">
      <c r="A26" s="23"/>
      <c r="B26" s="23" t="s">
        <v>440</v>
      </c>
      <c r="C26" s="25" t="s">
        <v>442</v>
      </c>
      <c r="D26" s="23" t="n">
        <f aca="false">I3*0.015</f>
        <v>0.1533</v>
      </c>
      <c r="E26" s="23" t="n">
        <f aca="false">I2*0.02</f>
        <v>0.1694</v>
      </c>
      <c r="F26" s="23" t="n">
        <f aca="false">I4*0.15</f>
        <v>0.18</v>
      </c>
      <c r="G26" s="23" t="n">
        <v>1.3</v>
      </c>
      <c r="H26" s="23" t="n">
        <v>6</v>
      </c>
      <c r="I26" s="24" t="n">
        <f aca="false">(D26+E26+F26)*G26*H26</f>
        <v>3.92106</v>
      </c>
      <c r="J26" s="23" t="s">
        <v>550</v>
      </c>
    </row>
    <row r="27" customFormat="false" ht="14.4" hidden="false" customHeight="false" outlineLevel="0" collapsed="false">
      <c r="A27" s="23"/>
      <c r="B27" s="24" t="s">
        <v>444</v>
      </c>
      <c r="C27" s="25" t="s">
        <v>446</v>
      </c>
      <c r="D27" s="24"/>
      <c r="E27" s="23"/>
      <c r="F27" s="23"/>
      <c r="G27" s="23"/>
      <c r="H27" s="23"/>
      <c r="I27" s="24" t="n">
        <f aca="false">I12</f>
        <v>10.22</v>
      </c>
      <c r="J27" s="23" t="s">
        <v>458</v>
      </c>
    </row>
    <row r="28" customFormat="false" ht="14.4" hidden="false" customHeight="false" outlineLevel="0" collapsed="false">
      <c r="I28" s="0" t="n">
        <f aca="false">SUM(I2:I27)</f>
        <v>212.75226</v>
      </c>
    </row>
  </sheetData>
  <mergeCells count="1">
    <mergeCell ref="A2:A2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J24"/>
  <sheetViews>
    <sheetView windowProtection="false" showFormulas="false" showGridLines="true" showRowColHeaders="true" showZeros="true" rightToLeft="false" tabSelected="false" showOutlineSymbols="true" defaultGridColor="true" view="normal" topLeftCell="A17" colorId="64" zoomScale="90" zoomScaleNormal="90" zoomScalePageLayoutView="100" workbookViewId="0">
      <selection pane="topLeft" activeCell="I25" activeCellId="0" sqref="I25"/>
    </sheetView>
  </sheetViews>
  <sheetFormatPr defaultRowHeight="14.4"/>
  <cols>
    <col collapsed="false" hidden="false" max="2" min="1" style="0" width="15.7959183673469"/>
    <col collapsed="false" hidden="false" max="3" min="3" style="36" width="29.6989795918367"/>
    <col collapsed="false" hidden="false" max="8" min="4" style="42" width="7.96428571428571"/>
    <col collapsed="false" hidden="false" max="9" min="9" style="0" width="12.5561224489796"/>
    <col collapsed="false" hidden="false" max="10" min="10" style="0" width="35.234693877551"/>
    <col collapsed="false" hidden="false" max="1025" min="11" style="0" width="8.23469387755102"/>
  </cols>
  <sheetData>
    <row r="1" customFormat="false" ht="15.6" hidden="false" customHeight="false" outlineLevel="0" collapsed="false">
      <c r="A1" s="22" t="s">
        <v>1</v>
      </c>
      <c r="B1" s="22" t="s">
        <v>3</v>
      </c>
      <c r="C1" s="22" t="s">
        <v>561</v>
      </c>
      <c r="D1" s="22" t="s">
        <v>449</v>
      </c>
      <c r="E1" s="22" t="s">
        <v>450</v>
      </c>
      <c r="F1" s="22" t="s">
        <v>451</v>
      </c>
      <c r="G1" s="22" t="s">
        <v>452</v>
      </c>
      <c r="H1" s="22" t="s">
        <v>453</v>
      </c>
      <c r="I1" s="22" t="s">
        <v>454</v>
      </c>
      <c r="J1" s="22" t="s">
        <v>562</v>
      </c>
    </row>
    <row r="2" customFormat="false" ht="45" hidden="false" customHeight="true" outlineLevel="0" collapsed="false">
      <c r="A2" s="23" t="s">
        <v>23</v>
      </c>
      <c r="B2" s="23" t="s">
        <v>34</v>
      </c>
      <c r="C2" s="25" t="s">
        <v>36</v>
      </c>
      <c r="D2" s="23" t="n">
        <v>0.7</v>
      </c>
      <c r="E2" s="23" t="n">
        <v>17.7</v>
      </c>
      <c r="F2" s="23" t="n">
        <f aca="false">(0.8*4)+(1.2*2)+1</f>
        <v>6.6</v>
      </c>
      <c r="G2" s="23"/>
      <c r="H2" s="23"/>
      <c r="I2" s="24" t="n">
        <f aca="false">D2*(E2-F2)</f>
        <v>7.77</v>
      </c>
      <c r="J2" s="23" t="s">
        <v>467</v>
      </c>
    </row>
    <row r="3" customFormat="false" ht="55.45" hidden="false" customHeight="false" outlineLevel="0" collapsed="false">
      <c r="A3" s="23"/>
      <c r="B3" s="23" t="s">
        <v>55</v>
      </c>
      <c r="C3" s="25" t="s">
        <v>57</v>
      </c>
      <c r="D3" s="23" t="n">
        <v>2.58</v>
      </c>
      <c r="E3" s="23" t="n">
        <f aca="false">E2</f>
        <v>17.7</v>
      </c>
      <c r="F3" s="24" t="n">
        <f aca="false">I2</f>
        <v>7.77</v>
      </c>
      <c r="G3" s="23" t="n">
        <f aca="false">((2.1-0.7)*0.8*4)+(1*1.1)+((2.1-0.7)*1.2*2)+(1*(2.58-0.7))</f>
        <v>10.82</v>
      </c>
      <c r="H3" s="24" t="n">
        <f aca="false">I4</f>
        <v>19.25</v>
      </c>
      <c r="I3" s="24" t="n">
        <f aca="false">(D3*E3)-F3-G3+H3</f>
        <v>46.326</v>
      </c>
      <c r="J3" s="23" t="s">
        <v>457</v>
      </c>
    </row>
    <row r="4" customFormat="false" ht="28.45" hidden="false" customHeight="false" outlineLevel="0" collapsed="false">
      <c r="A4" s="23"/>
      <c r="B4" s="24" t="s">
        <v>73</v>
      </c>
      <c r="C4" s="25" t="s">
        <v>75</v>
      </c>
      <c r="D4" s="23"/>
      <c r="E4" s="23"/>
      <c r="F4" s="23"/>
      <c r="G4" s="23"/>
      <c r="H4" s="23"/>
      <c r="I4" s="24" t="n">
        <v>19.25</v>
      </c>
      <c r="J4" s="23" t="s">
        <v>458</v>
      </c>
    </row>
    <row r="5" customFormat="false" ht="41.95" hidden="false" customHeight="false" outlineLevel="0" collapsed="false">
      <c r="A5" s="23"/>
      <c r="B5" s="24" t="s">
        <v>79</v>
      </c>
      <c r="C5" s="25" t="s">
        <v>80</v>
      </c>
      <c r="D5" s="24" t="n">
        <f aca="false">I3</f>
        <v>46.326</v>
      </c>
      <c r="E5" s="27" t="n">
        <v>0.1</v>
      </c>
      <c r="F5" s="23"/>
      <c r="G5" s="23"/>
      <c r="H5" s="23"/>
      <c r="I5" s="24" t="n">
        <f aca="false">D5*E5</f>
        <v>4.6326</v>
      </c>
      <c r="J5" s="23" t="s">
        <v>459</v>
      </c>
    </row>
    <row r="6" customFormat="false" ht="57.6" hidden="false" customHeight="false" outlineLevel="0" collapsed="false">
      <c r="A6" s="23"/>
      <c r="B6" s="23" t="s">
        <v>119</v>
      </c>
      <c r="C6" s="25" t="s">
        <v>121</v>
      </c>
      <c r="D6" s="25"/>
      <c r="E6" s="25"/>
      <c r="F6" s="25"/>
      <c r="G6" s="25"/>
      <c r="H6" s="25"/>
      <c r="I6" s="24" t="n">
        <f aca="false">I2</f>
        <v>7.77</v>
      </c>
      <c r="J6" s="23" t="s">
        <v>460</v>
      </c>
    </row>
    <row r="7" customFormat="false" ht="72" hidden="false" customHeight="false" outlineLevel="0" collapsed="false">
      <c r="A7" s="23"/>
      <c r="B7" s="23" t="s">
        <v>125</v>
      </c>
      <c r="C7" s="25" t="s">
        <v>127</v>
      </c>
      <c r="D7" s="25"/>
      <c r="E7" s="25"/>
      <c r="F7" s="25"/>
      <c r="G7" s="25"/>
      <c r="H7" s="25"/>
      <c r="I7" s="24" t="n">
        <f aca="false">I2</f>
        <v>7.77</v>
      </c>
      <c r="J7" s="23" t="s">
        <v>460</v>
      </c>
    </row>
    <row r="8" customFormat="false" ht="43.2" hidden="false" customHeight="false" outlineLevel="0" collapsed="false">
      <c r="A8" s="23"/>
      <c r="B8" s="24" t="s">
        <v>135</v>
      </c>
      <c r="C8" s="25" t="s">
        <v>137</v>
      </c>
      <c r="D8" s="23" t="n">
        <f aca="false">E2</f>
        <v>17.7</v>
      </c>
      <c r="E8" s="23" t="n">
        <f aca="false">F2</f>
        <v>6.6</v>
      </c>
      <c r="F8" s="23"/>
      <c r="G8" s="23"/>
      <c r="H8" s="23"/>
      <c r="I8" s="24" t="n">
        <f aca="false">D8-E8</f>
        <v>11.1</v>
      </c>
      <c r="J8" s="23" t="s">
        <v>470</v>
      </c>
    </row>
    <row r="9" customFormat="false" ht="72" hidden="false" customHeight="false" outlineLevel="0" collapsed="false">
      <c r="A9" s="23"/>
      <c r="B9" s="24" t="s">
        <v>144</v>
      </c>
      <c r="C9" s="25" t="s">
        <v>146</v>
      </c>
      <c r="D9" s="23"/>
      <c r="E9" s="27"/>
      <c r="F9" s="23"/>
      <c r="G9" s="23"/>
      <c r="H9" s="23"/>
      <c r="I9" s="24" t="n">
        <f aca="false">I4</f>
        <v>19.25</v>
      </c>
      <c r="J9" s="23" t="s">
        <v>458</v>
      </c>
    </row>
    <row r="10" customFormat="false" ht="43.2" hidden="false" customHeight="false" outlineLevel="0" collapsed="false">
      <c r="A10" s="23"/>
      <c r="B10" s="24" t="s">
        <v>147</v>
      </c>
      <c r="C10" s="25" t="s">
        <v>149</v>
      </c>
      <c r="D10" s="24" t="n">
        <f aca="false">I4</f>
        <v>19.25</v>
      </c>
      <c r="E10" s="27" t="n">
        <v>0.3</v>
      </c>
      <c r="F10" s="23"/>
      <c r="G10" s="23"/>
      <c r="H10" s="23"/>
      <c r="I10" s="24" t="n">
        <f aca="false">D10*E10</f>
        <v>5.775</v>
      </c>
      <c r="J10" s="23" t="s">
        <v>462</v>
      </c>
    </row>
    <row r="11" customFormat="false" ht="14.4" hidden="false" customHeight="false" outlineLevel="0" collapsed="false">
      <c r="A11" s="23"/>
      <c r="B11" s="23" t="s">
        <v>194</v>
      </c>
      <c r="C11" s="25" t="s">
        <v>196</v>
      </c>
      <c r="D11" s="23" t="n">
        <f aca="false">(1*1.1)</f>
        <v>1.1</v>
      </c>
      <c r="E11" s="25"/>
      <c r="F11" s="25"/>
      <c r="G11" s="25"/>
      <c r="H11" s="25"/>
      <c r="I11" s="23" t="n">
        <f aca="false">D11</f>
        <v>1.1</v>
      </c>
      <c r="J11" s="23" t="s">
        <v>552</v>
      </c>
    </row>
    <row r="12" customFormat="false" ht="43.2" hidden="false" customHeight="false" outlineLevel="0" collapsed="false">
      <c r="A12" s="23"/>
      <c r="B12" s="23" t="s">
        <v>197</v>
      </c>
      <c r="C12" s="25" t="s">
        <v>199</v>
      </c>
      <c r="D12" s="25"/>
      <c r="E12" s="25"/>
      <c r="F12" s="25"/>
      <c r="G12" s="25"/>
      <c r="H12" s="25"/>
      <c r="I12" s="23" t="n">
        <v>2</v>
      </c>
      <c r="J12" s="23"/>
    </row>
    <row r="13" customFormat="false" ht="28.8" hidden="false" customHeight="false" outlineLevel="0" collapsed="false">
      <c r="A13" s="23"/>
      <c r="B13" s="23" t="s">
        <v>240</v>
      </c>
      <c r="C13" s="25" t="s">
        <v>242</v>
      </c>
      <c r="D13" s="24" t="n">
        <f aca="false">((1.2*2.1)*2)+((1.1*1)*2)</f>
        <v>7.24</v>
      </c>
      <c r="E13" s="24" t="n">
        <f aca="false">((0.15*2.1)*2)+(0.15*1.2*2)</f>
        <v>0.99</v>
      </c>
      <c r="F13" s="23" t="n">
        <f aca="false">0.05*((2.1*2)+1.2)*2</f>
        <v>0.54</v>
      </c>
      <c r="G13" s="23"/>
      <c r="H13" s="23"/>
      <c r="I13" s="24" t="n">
        <f aca="false">D13+E13+F13</f>
        <v>8.77</v>
      </c>
      <c r="J13" s="23" t="s">
        <v>472</v>
      </c>
    </row>
    <row r="14" customFormat="false" ht="43.2" hidden="false" customHeight="false" outlineLevel="0" collapsed="false">
      <c r="A14" s="23"/>
      <c r="B14" s="23" t="s">
        <v>246</v>
      </c>
      <c r="C14" s="25" t="s">
        <v>248</v>
      </c>
      <c r="D14" s="24" t="n">
        <f aca="false">I2</f>
        <v>7.77</v>
      </c>
      <c r="E14" s="24"/>
      <c r="F14" s="24"/>
      <c r="G14" s="24"/>
      <c r="H14" s="25"/>
      <c r="I14" s="24" t="n">
        <f aca="false">D14</f>
        <v>7.77</v>
      </c>
      <c r="J14" s="23" t="s">
        <v>554</v>
      </c>
    </row>
    <row r="15" customFormat="false" ht="43.2" hidden="false" customHeight="false" outlineLevel="0" collapsed="false">
      <c r="A15" s="23"/>
      <c r="B15" s="23" t="s">
        <v>255</v>
      </c>
      <c r="C15" s="25" t="s">
        <v>257</v>
      </c>
      <c r="D15" s="25"/>
      <c r="E15" s="25"/>
      <c r="F15" s="25"/>
      <c r="G15" s="25"/>
      <c r="H15" s="25"/>
      <c r="I15" s="24" t="n">
        <f aca="false">I4</f>
        <v>19.25</v>
      </c>
      <c r="J15" s="23" t="s">
        <v>464</v>
      </c>
    </row>
    <row r="16" customFormat="false" ht="43.2" hidden="false" customHeight="false" outlineLevel="0" collapsed="false">
      <c r="A16" s="23"/>
      <c r="B16" s="23" t="s">
        <v>258</v>
      </c>
      <c r="C16" s="25" t="s">
        <v>260</v>
      </c>
      <c r="D16" s="23" t="n">
        <v>2.58</v>
      </c>
      <c r="E16" s="23" t="n">
        <f aca="false">E2</f>
        <v>17.7</v>
      </c>
      <c r="F16" s="23" t="n">
        <f aca="false">(2.1*0.8*4)+(1*1.1)+(1*2.85)+(1.2*2.1)</f>
        <v>13.19</v>
      </c>
      <c r="G16" s="23"/>
      <c r="H16" s="23"/>
      <c r="I16" s="24" t="n">
        <f aca="false">(D16*E16)-F16</f>
        <v>32.476</v>
      </c>
      <c r="J16" s="23" t="s">
        <v>465</v>
      </c>
    </row>
    <row r="17" customFormat="false" ht="43.2" hidden="false" customHeight="false" outlineLevel="0" collapsed="false">
      <c r="A17" s="23"/>
      <c r="B17" s="23" t="s">
        <v>305</v>
      </c>
      <c r="C17" s="25" t="s">
        <v>307</v>
      </c>
      <c r="D17" s="23"/>
      <c r="E17" s="23"/>
      <c r="F17" s="23"/>
      <c r="G17" s="23"/>
      <c r="H17" s="23"/>
      <c r="I17" s="23" t="n">
        <v>1</v>
      </c>
      <c r="J17" s="23"/>
    </row>
    <row r="18" customFormat="false" ht="43.2" hidden="false" customHeight="false" outlineLevel="0" collapsed="false">
      <c r="A18" s="23"/>
      <c r="B18" s="23" t="s">
        <v>312</v>
      </c>
      <c r="C18" s="25" t="s">
        <v>314</v>
      </c>
      <c r="D18" s="23"/>
      <c r="E18" s="23"/>
      <c r="F18" s="23"/>
      <c r="G18" s="23"/>
      <c r="H18" s="23"/>
      <c r="I18" s="23" t="n">
        <v>1</v>
      </c>
      <c r="J18" s="23"/>
    </row>
    <row r="19" customFormat="false" ht="57.6" hidden="false" customHeight="false" outlineLevel="0" collapsed="false">
      <c r="A19" s="23"/>
      <c r="B19" s="24" t="s">
        <v>321</v>
      </c>
      <c r="C19" s="25" t="s">
        <v>323</v>
      </c>
      <c r="D19" s="23"/>
      <c r="E19" s="23"/>
      <c r="F19" s="23"/>
      <c r="G19" s="23"/>
      <c r="H19" s="23"/>
      <c r="I19" s="23" t="n">
        <v>2</v>
      </c>
      <c r="J19" s="23"/>
    </row>
    <row r="20" customFormat="false" ht="72" hidden="false" customHeight="false" outlineLevel="0" collapsed="false">
      <c r="A20" s="23"/>
      <c r="B20" s="24" t="s">
        <v>324</v>
      </c>
      <c r="C20" s="25" t="s">
        <v>326</v>
      </c>
      <c r="D20" s="23"/>
      <c r="E20" s="23"/>
      <c r="F20" s="23"/>
      <c r="G20" s="23"/>
      <c r="H20" s="23"/>
      <c r="I20" s="23" t="n">
        <v>3</v>
      </c>
      <c r="J20" s="23"/>
    </row>
    <row r="21" customFormat="false" ht="28.8" hidden="false" customHeight="false" outlineLevel="0" collapsed="false">
      <c r="A21" s="23"/>
      <c r="B21" s="24" t="s">
        <v>327</v>
      </c>
      <c r="C21" s="25" t="s">
        <v>329</v>
      </c>
      <c r="D21" s="23"/>
      <c r="E21" s="23"/>
      <c r="F21" s="23"/>
      <c r="G21" s="23"/>
      <c r="H21" s="23"/>
      <c r="I21" s="23" t="n">
        <v>1</v>
      </c>
      <c r="J21" s="23"/>
    </row>
    <row r="22" customFormat="false" ht="57.6" hidden="false" customHeight="false" outlineLevel="0" collapsed="false">
      <c r="A22" s="23"/>
      <c r="B22" s="23" t="s">
        <v>440</v>
      </c>
      <c r="C22" s="25" t="s">
        <v>442</v>
      </c>
      <c r="D22" s="24" t="n">
        <f aca="false">I2</f>
        <v>7.77</v>
      </c>
      <c r="E22" s="23" t="n">
        <v>0.02</v>
      </c>
      <c r="F22" s="23" t="n">
        <v>1.3</v>
      </c>
      <c r="G22" s="23" t="n">
        <v>6</v>
      </c>
      <c r="H22" s="23"/>
      <c r="I22" s="24" t="n">
        <f aca="false">D22*E22*F22*G22</f>
        <v>1.21212</v>
      </c>
      <c r="J22" s="23" t="s">
        <v>466</v>
      </c>
    </row>
    <row r="23" customFormat="false" ht="14.4" hidden="false" customHeight="false" outlineLevel="0" collapsed="false">
      <c r="A23" s="23"/>
      <c r="B23" s="24" t="s">
        <v>444</v>
      </c>
      <c r="C23" s="25" t="s">
        <v>446</v>
      </c>
      <c r="D23" s="24"/>
      <c r="E23" s="23"/>
      <c r="F23" s="23"/>
      <c r="G23" s="23"/>
      <c r="H23" s="23"/>
      <c r="I23" s="24" t="n">
        <f aca="false">I9</f>
        <v>19.25</v>
      </c>
      <c r="J23" s="23" t="s">
        <v>458</v>
      </c>
    </row>
    <row r="24" customFormat="false" ht="14.4" hidden="false" customHeight="false" outlineLevel="0" collapsed="false">
      <c r="I24" s="0" t="n">
        <f aca="false">SUM(I2:I23)</f>
        <v>229.47172</v>
      </c>
    </row>
  </sheetData>
  <mergeCells count="1">
    <mergeCell ref="A2:A2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J26"/>
  <sheetViews>
    <sheetView windowProtection="false" showFormulas="false" showGridLines="true" showRowColHeaders="true" showZeros="true" rightToLeft="false" tabSelected="false" showOutlineSymbols="true" defaultGridColor="true" view="normal" topLeftCell="A19" colorId="64" zoomScale="90" zoomScaleNormal="90" zoomScalePageLayoutView="100" workbookViewId="0">
      <selection pane="topLeft" activeCell="I27" activeCellId="0" sqref="I27"/>
    </sheetView>
  </sheetViews>
  <sheetFormatPr defaultRowHeight="14.4"/>
  <cols>
    <col collapsed="false" hidden="false" max="2" min="1" style="1" width="15.7959183673469"/>
    <col collapsed="false" hidden="false" max="3" min="3" style="20" width="29.6989795918367"/>
    <col collapsed="false" hidden="false" max="8" min="4" style="20" width="7.96428571428571"/>
    <col collapsed="false" hidden="false" max="9" min="9" style="1" width="7.56122448979592"/>
    <col collapsed="false" hidden="false" max="10" min="10" style="1" width="35.234693877551"/>
    <col collapsed="false" hidden="false" max="1025" min="11" style="0" width="8.23469387755102"/>
  </cols>
  <sheetData>
    <row r="1" customFormat="false" ht="31.2" hidden="false" customHeight="false" outlineLevel="0" collapsed="false">
      <c r="A1" s="22" t="s">
        <v>1</v>
      </c>
      <c r="B1" s="22" t="s">
        <v>3</v>
      </c>
      <c r="C1" s="22" t="s">
        <v>561</v>
      </c>
      <c r="D1" s="22" t="s">
        <v>449</v>
      </c>
      <c r="E1" s="22" t="s">
        <v>450</v>
      </c>
      <c r="F1" s="22" t="s">
        <v>451</v>
      </c>
      <c r="G1" s="22" t="s">
        <v>452</v>
      </c>
      <c r="H1" s="22" t="s">
        <v>453</v>
      </c>
      <c r="I1" s="22" t="s">
        <v>454</v>
      </c>
      <c r="J1" s="22" t="s">
        <v>562</v>
      </c>
    </row>
    <row r="2" customFormat="false" ht="45" hidden="false" customHeight="true" outlineLevel="0" collapsed="false">
      <c r="A2" s="23" t="s">
        <v>24</v>
      </c>
      <c r="B2" s="23" t="s">
        <v>34</v>
      </c>
      <c r="C2" s="25" t="s">
        <v>36</v>
      </c>
      <c r="D2" s="23" t="n">
        <v>0.7</v>
      </c>
      <c r="E2" s="23" t="n">
        <v>14.8</v>
      </c>
      <c r="F2" s="23" t="n">
        <f aca="false">0.8</f>
        <v>0.8</v>
      </c>
      <c r="G2" s="23"/>
      <c r="H2" s="23"/>
      <c r="I2" s="24" t="n">
        <f aca="false">D2*(E2-F2)</f>
        <v>9.8</v>
      </c>
      <c r="J2" s="23" t="s">
        <v>467</v>
      </c>
    </row>
    <row r="3" customFormat="false" ht="57.6" hidden="false" customHeight="false" outlineLevel="0" collapsed="false">
      <c r="A3" s="23"/>
      <c r="B3" s="23" t="s">
        <v>55</v>
      </c>
      <c r="C3" s="25" t="s">
        <v>57</v>
      </c>
      <c r="D3" s="23" t="n">
        <v>2.58</v>
      </c>
      <c r="E3" s="23" t="n">
        <f aca="false">E2</f>
        <v>14.8</v>
      </c>
      <c r="F3" s="24" t="n">
        <f aca="false">I2</f>
        <v>9.8</v>
      </c>
      <c r="G3" s="23" t="n">
        <f aca="false">((2.1-0.7)*0.8)+(1*1.1)</f>
        <v>2.22</v>
      </c>
      <c r="H3" s="24" t="n">
        <f aca="false">I4</f>
        <v>12.69</v>
      </c>
      <c r="I3" s="24" t="n">
        <f aca="false">(D3*E3)-F3-G3+H3</f>
        <v>38.854</v>
      </c>
      <c r="J3" s="23" t="s">
        <v>457</v>
      </c>
    </row>
    <row r="4" customFormat="false" ht="14.4" hidden="false" customHeight="false" outlineLevel="0" collapsed="false">
      <c r="A4" s="23"/>
      <c r="B4" s="24" t="s">
        <v>73</v>
      </c>
      <c r="C4" s="25" t="s">
        <v>75</v>
      </c>
      <c r="D4" s="23"/>
      <c r="E4" s="23"/>
      <c r="F4" s="23"/>
      <c r="G4" s="23"/>
      <c r="H4" s="23"/>
      <c r="I4" s="24" t="n">
        <v>12.69</v>
      </c>
      <c r="J4" s="23" t="s">
        <v>458</v>
      </c>
    </row>
    <row r="5" customFormat="false" ht="57.6" hidden="false" customHeight="false" outlineLevel="0" collapsed="false">
      <c r="A5" s="23"/>
      <c r="B5" s="23" t="s">
        <v>119</v>
      </c>
      <c r="C5" s="25" t="s">
        <v>121</v>
      </c>
      <c r="D5" s="25"/>
      <c r="E5" s="25"/>
      <c r="F5" s="25"/>
      <c r="G5" s="25"/>
      <c r="H5" s="25"/>
      <c r="I5" s="24" t="n">
        <f aca="false">I2</f>
        <v>9.8</v>
      </c>
      <c r="J5" s="23" t="s">
        <v>460</v>
      </c>
    </row>
    <row r="6" customFormat="false" ht="72" hidden="false" customHeight="false" outlineLevel="0" collapsed="false">
      <c r="A6" s="23"/>
      <c r="B6" s="23" t="s">
        <v>125</v>
      </c>
      <c r="C6" s="25" t="s">
        <v>127</v>
      </c>
      <c r="D6" s="25"/>
      <c r="E6" s="25"/>
      <c r="F6" s="25"/>
      <c r="G6" s="25"/>
      <c r="H6" s="25"/>
      <c r="I6" s="24" t="n">
        <f aca="false">I2</f>
        <v>9.8</v>
      </c>
      <c r="J6" s="23" t="s">
        <v>460</v>
      </c>
    </row>
    <row r="7" customFormat="false" ht="28.8" hidden="false" customHeight="false" outlineLevel="0" collapsed="false">
      <c r="A7" s="23"/>
      <c r="B7" s="23" t="s">
        <v>132</v>
      </c>
      <c r="C7" s="25" t="s">
        <v>134</v>
      </c>
      <c r="D7" s="23" t="n">
        <v>0.86</v>
      </c>
      <c r="E7" s="23"/>
      <c r="F7" s="23"/>
      <c r="G7" s="23"/>
      <c r="H7" s="23"/>
      <c r="I7" s="23" t="n">
        <f aca="false">D7</f>
        <v>0.86</v>
      </c>
      <c r="J7" s="23" t="s">
        <v>551</v>
      </c>
    </row>
    <row r="8" customFormat="false" ht="43.2" hidden="false" customHeight="false" outlineLevel="0" collapsed="false">
      <c r="A8" s="23"/>
      <c r="B8" s="24" t="s">
        <v>135</v>
      </c>
      <c r="C8" s="25" t="s">
        <v>137</v>
      </c>
      <c r="D8" s="23" t="n">
        <f aca="false">E2</f>
        <v>14.8</v>
      </c>
      <c r="E8" s="23" t="n">
        <v>0.8</v>
      </c>
      <c r="F8" s="23"/>
      <c r="G8" s="23"/>
      <c r="H8" s="23"/>
      <c r="I8" s="24" t="n">
        <f aca="false">D8-E8</f>
        <v>14</v>
      </c>
      <c r="J8" s="23" t="s">
        <v>470</v>
      </c>
    </row>
    <row r="9" customFormat="false" ht="72" hidden="false" customHeight="false" outlineLevel="0" collapsed="false">
      <c r="A9" s="23"/>
      <c r="B9" s="24" t="s">
        <v>144</v>
      </c>
      <c r="C9" s="25" t="s">
        <v>146</v>
      </c>
      <c r="D9" s="23"/>
      <c r="E9" s="27"/>
      <c r="F9" s="23"/>
      <c r="G9" s="23"/>
      <c r="H9" s="23"/>
      <c r="I9" s="24" t="n">
        <f aca="false">I4</f>
        <v>12.69</v>
      </c>
      <c r="J9" s="23" t="s">
        <v>458</v>
      </c>
    </row>
    <row r="10" customFormat="false" ht="43.2" hidden="false" customHeight="false" outlineLevel="0" collapsed="false">
      <c r="A10" s="23"/>
      <c r="B10" s="24" t="s">
        <v>147</v>
      </c>
      <c r="C10" s="25" t="s">
        <v>149</v>
      </c>
      <c r="D10" s="24" t="n">
        <f aca="false">I4</f>
        <v>12.69</v>
      </c>
      <c r="E10" s="27" t="n">
        <v>0.3</v>
      </c>
      <c r="F10" s="23"/>
      <c r="G10" s="23"/>
      <c r="H10" s="23"/>
      <c r="I10" s="23" t="n">
        <f aca="false">D10*E10</f>
        <v>3.807</v>
      </c>
      <c r="J10" s="23" t="s">
        <v>462</v>
      </c>
    </row>
    <row r="11" customFormat="false" ht="14.4" hidden="false" customHeight="false" outlineLevel="0" collapsed="false">
      <c r="A11" s="23"/>
      <c r="B11" s="23" t="s">
        <v>194</v>
      </c>
      <c r="C11" s="25" t="s">
        <v>196</v>
      </c>
      <c r="D11" s="23" t="n">
        <f aca="false">(1*1.1)</f>
        <v>1.1</v>
      </c>
      <c r="E11" s="25"/>
      <c r="F11" s="25"/>
      <c r="G11" s="25"/>
      <c r="H11" s="25"/>
      <c r="I11" s="23" t="n">
        <f aca="false">D11</f>
        <v>1.1</v>
      </c>
      <c r="J11" s="23" t="s">
        <v>552</v>
      </c>
    </row>
    <row r="12" customFormat="false" ht="43.2" hidden="false" customHeight="false" outlineLevel="0" collapsed="false">
      <c r="A12" s="23"/>
      <c r="B12" s="23" t="s">
        <v>197</v>
      </c>
      <c r="C12" s="25" t="s">
        <v>199</v>
      </c>
      <c r="D12" s="25"/>
      <c r="E12" s="25"/>
      <c r="F12" s="25"/>
      <c r="G12" s="25"/>
      <c r="H12" s="25"/>
      <c r="I12" s="23" t="n">
        <v>2</v>
      </c>
      <c r="J12" s="23"/>
    </row>
    <row r="13" customFormat="false" ht="72" hidden="false" customHeight="false" outlineLevel="0" collapsed="false">
      <c r="A13" s="23"/>
      <c r="B13" s="23" t="s">
        <v>215</v>
      </c>
      <c r="C13" s="25" t="s">
        <v>217</v>
      </c>
      <c r="D13" s="23"/>
      <c r="E13" s="23"/>
      <c r="F13" s="23"/>
      <c r="G13" s="23"/>
      <c r="H13" s="23"/>
      <c r="I13" s="23" t="n">
        <v>1</v>
      </c>
      <c r="J13" s="23"/>
    </row>
    <row r="14" customFormat="false" ht="43.2" hidden="false" customHeight="false" outlineLevel="0" collapsed="false">
      <c r="A14" s="23"/>
      <c r="B14" s="24" t="s">
        <v>227</v>
      </c>
      <c r="C14" s="25" t="s">
        <v>229</v>
      </c>
      <c r="D14" s="24"/>
      <c r="E14" s="27"/>
      <c r="F14" s="23"/>
      <c r="G14" s="23"/>
      <c r="H14" s="23"/>
      <c r="I14" s="23" t="n">
        <v>1</v>
      </c>
      <c r="J14" s="23"/>
    </row>
    <row r="15" customFormat="false" ht="28.8" hidden="false" customHeight="false" outlineLevel="0" collapsed="false">
      <c r="A15" s="23"/>
      <c r="B15" s="23" t="s">
        <v>240</v>
      </c>
      <c r="C15" s="25" t="s">
        <v>242</v>
      </c>
      <c r="D15" s="24" t="n">
        <f aca="false">((0.8*2.1)*2)+((1.1*1)*2)</f>
        <v>5.56</v>
      </c>
      <c r="E15" s="24" t="n">
        <f aca="false">((0.15*2.1)*2)+(0.15*0.8)</f>
        <v>0.75</v>
      </c>
      <c r="F15" s="23" t="n">
        <f aca="false">0.05*((2.1*2)+0.8)*2</f>
        <v>0.5</v>
      </c>
      <c r="G15" s="23"/>
      <c r="H15" s="23"/>
      <c r="I15" s="24" t="n">
        <f aca="false">D15+E15+F15</f>
        <v>6.81</v>
      </c>
      <c r="J15" s="23" t="s">
        <v>472</v>
      </c>
    </row>
    <row r="16" customFormat="false" ht="41.95" hidden="false" customHeight="false" outlineLevel="0" collapsed="false">
      <c r="A16" s="23"/>
      <c r="B16" s="23" t="s">
        <v>246</v>
      </c>
      <c r="C16" s="25" t="s">
        <v>248</v>
      </c>
      <c r="D16" s="23" t="n">
        <v>2.58</v>
      </c>
      <c r="E16" s="23" t="n">
        <f aca="false">E2</f>
        <v>14.8</v>
      </c>
      <c r="F16" s="23" t="n">
        <f aca="false">(2.1*0.8)+(1*1.1)</f>
        <v>2.78</v>
      </c>
      <c r="G16" s="23"/>
      <c r="H16" s="23"/>
      <c r="I16" s="24" t="n">
        <f aca="false">(D16*E16)-F16</f>
        <v>35.404</v>
      </c>
      <c r="J16" s="23" t="s">
        <v>465</v>
      </c>
    </row>
    <row r="17" customFormat="false" ht="41.95" hidden="false" customHeight="false" outlineLevel="0" collapsed="false">
      <c r="A17" s="23"/>
      <c r="B17" s="23" t="s">
        <v>255</v>
      </c>
      <c r="C17" s="25" t="s">
        <v>257</v>
      </c>
      <c r="D17" s="25"/>
      <c r="E17" s="25"/>
      <c r="F17" s="25"/>
      <c r="G17" s="25"/>
      <c r="H17" s="25"/>
      <c r="I17" s="24" t="n">
        <f aca="false">I4</f>
        <v>12.69</v>
      </c>
      <c r="J17" s="23" t="s">
        <v>464</v>
      </c>
    </row>
    <row r="18" customFormat="false" ht="41.95" hidden="false" customHeight="false" outlineLevel="0" collapsed="false">
      <c r="A18" s="23"/>
      <c r="B18" s="23" t="s">
        <v>258</v>
      </c>
      <c r="C18" s="25" t="s">
        <v>260</v>
      </c>
      <c r="D18" s="23" t="n">
        <v>2.58</v>
      </c>
      <c r="E18" s="23" t="n">
        <f aca="false">E2</f>
        <v>14.8</v>
      </c>
      <c r="F18" s="23" t="n">
        <f aca="false">(2.1*0.8)+(1*1.1)</f>
        <v>2.78</v>
      </c>
      <c r="G18" s="23"/>
      <c r="H18" s="23"/>
      <c r="I18" s="24" t="n">
        <f aca="false">(D18*E18)-F18</f>
        <v>35.404</v>
      </c>
      <c r="J18" s="23" t="s">
        <v>465</v>
      </c>
    </row>
    <row r="19" customFormat="false" ht="43.2" hidden="false" customHeight="false" outlineLevel="0" collapsed="false">
      <c r="A19" s="23"/>
      <c r="B19" s="23" t="s">
        <v>305</v>
      </c>
      <c r="C19" s="25" t="s">
        <v>307</v>
      </c>
      <c r="D19" s="23"/>
      <c r="E19" s="23"/>
      <c r="F19" s="23"/>
      <c r="G19" s="23"/>
      <c r="H19" s="23"/>
      <c r="I19" s="23" t="n">
        <v>1</v>
      </c>
      <c r="J19" s="23"/>
    </row>
    <row r="20" customFormat="false" ht="43.2" hidden="false" customHeight="false" outlineLevel="0" collapsed="false">
      <c r="A20" s="23"/>
      <c r="B20" s="23" t="s">
        <v>312</v>
      </c>
      <c r="C20" s="25" t="s">
        <v>314</v>
      </c>
      <c r="D20" s="23"/>
      <c r="E20" s="23"/>
      <c r="F20" s="23"/>
      <c r="G20" s="23"/>
      <c r="H20" s="23"/>
      <c r="I20" s="23" t="n">
        <v>1</v>
      </c>
      <c r="J20" s="23"/>
    </row>
    <row r="21" customFormat="false" ht="57.6" hidden="false" customHeight="false" outlineLevel="0" collapsed="false">
      <c r="A21" s="23"/>
      <c r="B21" s="24" t="s">
        <v>321</v>
      </c>
      <c r="C21" s="25" t="s">
        <v>323</v>
      </c>
      <c r="D21" s="23"/>
      <c r="E21" s="23"/>
      <c r="F21" s="23"/>
      <c r="G21" s="23"/>
      <c r="H21" s="23"/>
      <c r="I21" s="23" t="n">
        <v>2</v>
      </c>
      <c r="J21" s="23"/>
    </row>
    <row r="22" customFormat="false" ht="72" hidden="false" customHeight="false" outlineLevel="0" collapsed="false">
      <c r="A22" s="23"/>
      <c r="B22" s="24" t="s">
        <v>324</v>
      </c>
      <c r="C22" s="25" t="s">
        <v>326</v>
      </c>
      <c r="D22" s="23"/>
      <c r="E22" s="23"/>
      <c r="F22" s="23"/>
      <c r="G22" s="23"/>
      <c r="H22" s="23"/>
      <c r="I22" s="23" t="n">
        <v>3</v>
      </c>
      <c r="J22" s="23"/>
    </row>
    <row r="23" customFormat="false" ht="28.8" hidden="false" customHeight="false" outlineLevel="0" collapsed="false">
      <c r="A23" s="23"/>
      <c r="B23" s="24" t="s">
        <v>327</v>
      </c>
      <c r="C23" s="25" t="s">
        <v>329</v>
      </c>
      <c r="D23" s="23"/>
      <c r="E23" s="23"/>
      <c r="F23" s="23"/>
      <c r="G23" s="23"/>
      <c r="H23" s="23"/>
      <c r="I23" s="23" t="n">
        <v>1</v>
      </c>
      <c r="J23" s="23"/>
    </row>
    <row r="24" customFormat="false" ht="57.6" hidden="false" customHeight="false" outlineLevel="0" collapsed="false">
      <c r="A24" s="23"/>
      <c r="B24" s="23" t="s">
        <v>440</v>
      </c>
      <c r="C24" s="25" t="s">
        <v>442</v>
      </c>
      <c r="D24" s="24" t="n">
        <f aca="false">I2</f>
        <v>9.8</v>
      </c>
      <c r="E24" s="23" t="n">
        <v>0.02</v>
      </c>
      <c r="F24" s="23" t="n">
        <v>1.3</v>
      </c>
      <c r="G24" s="23" t="n">
        <v>6</v>
      </c>
      <c r="H24" s="23"/>
      <c r="I24" s="24" t="n">
        <f aca="false">D24*E24*F24*G24</f>
        <v>1.5288</v>
      </c>
      <c r="J24" s="23" t="s">
        <v>466</v>
      </c>
    </row>
    <row r="25" customFormat="false" ht="14.4" hidden="false" customHeight="false" outlineLevel="0" collapsed="false">
      <c r="A25" s="23"/>
      <c r="B25" s="24" t="s">
        <v>444</v>
      </c>
      <c r="C25" s="25" t="s">
        <v>446</v>
      </c>
      <c r="D25" s="24"/>
      <c r="E25" s="23"/>
      <c r="F25" s="23"/>
      <c r="G25" s="23"/>
      <c r="H25" s="23"/>
      <c r="I25" s="24" t="n">
        <f aca="false">I9</f>
        <v>12.69</v>
      </c>
      <c r="J25" s="23" t="s">
        <v>458</v>
      </c>
    </row>
    <row r="26" customFormat="false" ht="14.4" hidden="false" customHeight="false" outlineLevel="0" collapsed="false">
      <c r="I26" s="1" t="n">
        <f aca="false">SUM(I2:I25)</f>
        <v>229.9278</v>
      </c>
    </row>
  </sheetData>
  <mergeCells count="1">
    <mergeCell ref="A2:A2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J24"/>
  <sheetViews>
    <sheetView windowProtection="false" showFormulas="false" showGridLines="true" showRowColHeaders="true" showZeros="true" rightToLeft="false" tabSelected="false" showOutlineSymbols="true" defaultGridColor="true" view="normal" topLeftCell="A19" colorId="64" zoomScale="90" zoomScaleNormal="90" zoomScalePageLayoutView="100" workbookViewId="0">
      <selection pane="topLeft" activeCell="I25" activeCellId="0" sqref="I25"/>
    </sheetView>
  </sheetViews>
  <sheetFormatPr defaultRowHeight="14.4"/>
  <cols>
    <col collapsed="false" hidden="false" max="2" min="1" style="1" width="15.7959183673469"/>
    <col collapsed="false" hidden="false" max="3" min="3" style="20" width="29.6989795918367"/>
    <col collapsed="false" hidden="false" max="8" min="4" style="20" width="7.96428571428571"/>
    <col collapsed="false" hidden="false" max="9" min="9" style="1" width="7.56122448979592"/>
    <col collapsed="false" hidden="false" max="10" min="10" style="1" width="35.234693877551"/>
    <col collapsed="false" hidden="false" max="1025" min="11" style="0" width="8.23469387755102"/>
  </cols>
  <sheetData>
    <row r="1" customFormat="false" ht="31.2" hidden="false" customHeight="false" outlineLevel="0" collapsed="false">
      <c r="A1" s="22" t="s">
        <v>1</v>
      </c>
      <c r="B1" s="22" t="s">
        <v>3</v>
      </c>
      <c r="C1" s="22" t="s">
        <v>561</v>
      </c>
      <c r="D1" s="22" t="s">
        <v>449</v>
      </c>
      <c r="E1" s="22" t="s">
        <v>450</v>
      </c>
      <c r="F1" s="22" t="s">
        <v>451</v>
      </c>
      <c r="G1" s="22" t="s">
        <v>452</v>
      </c>
      <c r="H1" s="22" t="s">
        <v>453</v>
      </c>
      <c r="I1" s="22" t="s">
        <v>454</v>
      </c>
      <c r="J1" s="22" t="s">
        <v>562</v>
      </c>
    </row>
    <row r="2" customFormat="false" ht="45" hidden="false" customHeight="true" outlineLevel="0" collapsed="false">
      <c r="A2" s="23" t="s">
        <v>25</v>
      </c>
      <c r="B2" s="23" t="s">
        <v>34</v>
      </c>
      <c r="C2" s="25" t="s">
        <v>36</v>
      </c>
      <c r="D2" s="23" t="n">
        <v>0.7</v>
      </c>
      <c r="E2" s="23" t="n">
        <v>12.6</v>
      </c>
      <c r="F2" s="23" t="n">
        <f aca="false">0.8</f>
        <v>0.8</v>
      </c>
      <c r="G2" s="23"/>
      <c r="H2" s="23"/>
      <c r="I2" s="24" t="n">
        <f aca="false">D2*(E2-F2)</f>
        <v>8.26</v>
      </c>
      <c r="J2" s="23" t="s">
        <v>467</v>
      </c>
    </row>
    <row r="3" customFormat="false" ht="57.6" hidden="false" customHeight="false" outlineLevel="0" collapsed="false">
      <c r="A3" s="23"/>
      <c r="B3" s="23" t="s">
        <v>55</v>
      </c>
      <c r="C3" s="25" t="s">
        <v>57</v>
      </c>
      <c r="D3" s="23" t="n">
        <v>2.58</v>
      </c>
      <c r="E3" s="23" t="n">
        <f aca="false">E2</f>
        <v>12.6</v>
      </c>
      <c r="F3" s="24" t="n">
        <f aca="false">I2</f>
        <v>8.26</v>
      </c>
      <c r="G3" s="23" t="n">
        <f aca="false">((2.1-0.7)*0.8*2)+(1*1.1)</f>
        <v>3.34</v>
      </c>
      <c r="H3" s="24" t="n">
        <f aca="false">I4</f>
        <v>9.72</v>
      </c>
      <c r="I3" s="24" t="n">
        <f aca="false">(D3*E3)-F3-G3+H3</f>
        <v>30.628</v>
      </c>
      <c r="J3" s="23" t="s">
        <v>457</v>
      </c>
    </row>
    <row r="4" customFormat="false" ht="14.4" hidden="false" customHeight="false" outlineLevel="0" collapsed="false">
      <c r="A4" s="23"/>
      <c r="B4" s="24" t="s">
        <v>73</v>
      </c>
      <c r="C4" s="25" t="s">
        <v>75</v>
      </c>
      <c r="D4" s="23"/>
      <c r="E4" s="23"/>
      <c r="F4" s="23"/>
      <c r="G4" s="23"/>
      <c r="H4" s="23"/>
      <c r="I4" s="24" t="n">
        <v>9.72</v>
      </c>
      <c r="J4" s="23" t="s">
        <v>458</v>
      </c>
    </row>
    <row r="5" customFormat="false" ht="57.6" hidden="false" customHeight="false" outlineLevel="0" collapsed="false">
      <c r="A5" s="23"/>
      <c r="B5" s="23" t="s">
        <v>119</v>
      </c>
      <c r="C5" s="25" t="s">
        <v>121</v>
      </c>
      <c r="D5" s="25"/>
      <c r="E5" s="25"/>
      <c r="F5" s="25"/>
      <c r="G5" s="25"/>
      <c r="H5" s="25"/>
      <c r="I5" s="24" t="n">
        <f aca="false">I2</f>
        <v>8.26</v>
      </c>
      <c r="J5" s="23" t="s">
        <v>460</v>
      </c>
    </row>
    <row r="6" customFormat="false" ht="72" hidden="false" customHeight="false" outlineLevel="0" collapsed="false">
      <c r="A6" s="23"/>
      <c r="B6" s="23" t="s">
        <v>125</v>
      </c>
      <c r="C6" s="25" t="s">
        <v>127</v>
      </c>
      <c r="D6" s="25"/>
      <c r="E6" s="25"/>
      <c r="F6" s="25"/>
      <c r="G6" s="25"/>
      <c r="H6" s="25"/>
      <c r="I6" s="24" t="n">
        <f aca="false">I2</f>
        <v>8.26</v>
      </c>
      <c r="J6" s="23" t="s">
        <v>460</v>
      </c>
    </row>
    <row r="7" customFormat="false" ht="28.8" hidden="false" customHeight="false" outlineLevel="0" collapsed="false">
      <c r="A7" s="23"/>
      <c r="B7" s="23" t="s">
        <v>132</v>
      </c>
      <c r="C7" s="25" t="s">
        <v>134</v>
      </c>
      <c r="D7" s="23" t="n">
        <v>0.86</v>
      </c>
      <c r="E7" s="23"/>
      <c r="F7" s="23"/>
      <c r="G7" s="23"/>
      <c r="H7" s="23"/>
      <c r="I7" s="23" t="n">
        <f aca="false">D7</f>
        <v>0.86</v>
      </c>
      <c r="J7" s="23" t="s">
        <v>551</v>
      </c>
    </row>
    <row r="8" customFormat="false" ht="43.2" hidden="false" customHeight="false" outlineLevel="0" collapsed="false">
      <c r="A8" s="23"/>
      <c r="B8" s="24" t="s">
        <v>135</v>
      </c>
      <c r="C8" s="25" t="s">
        <v>137</v>
      </c>
      <c r="D8" s="23" t="n">
        <f aca="false">E2</f>
        <v>12.6</v>
      </c>
      <c r="E8" s="23" t="n">
        <f aca="false">0.8</f>
        <v>0.8</v>
      </c>
      <c r="F8" s="23"/>
      <c r="G8" s="23"/>
      <c r="H8" s="23"/>
      <c r="I8" s="24" t="n">
        <f aca="false">D8-E8</f>
        <v>11.8</v>
      </c>
      <c r="J8" s="23" t="s">
        <v>470</v>
      </c>
    </row>
    <row r="9" customFormat="false" ht="72" hidden="false" customHeight="false" outlineLevel="0" collapsed="false">
      <c r="A9" s="23"/>
      <c r="B9" s="24" t="s">
        <v>144</v>
      </c>
      <c r="C9" s="25" t="s">
        <v>146</v>
      </c>
      <c r="D9" s="23"/>
      <c r="E9" s="27"/>
      <c r="F9" s="23"/>
      <c r="G9" s="23"/>
      <c r="H9" s="23"/>
      <c r="I9" s="24" t="n">
        <f aca="false">I4</f>
        <v>9.72</v>
      </c>
      <c r="J9" s="23" t="s">
        <v>458</v>
      </c>
    </row>
    <row r="10" customFormat="false" ht="43.2" hidden="false" customHeight="false" outlineLevel="0" collapsed="false">
      <c r="A10" s="23"/>
      <c r="B10" s="24" t="s">
        <v>147</v>
      </c>
      <c r="C10" s="25" t="s">
        <v>149</v>
      </c>
      <c r="D10" s="24" t="n">
        <f aca="false">I4</f>
        <v>9.72</v>
      </c>
      <c r="E10" s="27" t="n">
        <v>0.3</v>
      </c>
      <c r="F10" s="23"/>
      <c r="G10" s="23"/>
      <c r="H10" s="23"/>
      <c r="I10" s="23" t="n">
        <f aca="false">D10*E10</f>
        <v>2.916</v>
      </c>
      <c r="J10" s="23" t="s">
        <v>462</v>
      </c>
    </row>
    <row r="11" customFormat="false" ht="14.4" hidden="false" customHeight="false" outlineLevel="0" collapsed="false">
      <c r="A11" s="23"/>
      <c r="B11" s="23" t="s">
        <v>194</v>
      </c>
      <c r="C11" s="25" t="s">
        <v>196</v>
      </c>
      <c r="D11" s="23" t="n">
        <f aca="false">(1*1.1)</f>
        <v>1.1</v>
      </c>
      <c r="E11" s="25"/>
      <c r="F11" s="25"/>
      <c r="G11" s="25"/>
      <c r="H11" s="25"/>
      <c r="I11" s="23" t="n">
        <f aca="false">D11</f>
        <v>1.1</v>
      </c>
      <c r="J11" s="23" t="s">
        <v>552</v>
      </c>
    </row>
    <row r="12" customFormat="false" ht="43.2" hidden="false" customHeight="false" outlineLevel="0" collapsed="false">
      <c r="A12" s="23"/>
      <c r="B12" s="23" t="s">
        <v>197</v>
      </c>
      <c r="C12" s="25" t="s">
        <v>199</v>
      </c>
      <c r="D12" s="25"/>
      <c r="E12" s="25"/>
      <c r="F12" s="25"/>
      <c r="G12" s="25"/>
      <c r="H12" s="25"/>
      <c r="I12" s="23" t="n">
        <v>2</v>
      </c>
      <c r="J12" s="23"/>
    </row>
    <row r="13" customFormat="false" ht="43.2" hidden="false" customHeight="false" outlineLevel="0" collapsed="false">
      <c r="A13" s="23"/>
      <c r="B13" s="24" t="s">
        <v>227</v>
      </c>
      <c r="C13" s="25" t="s">
        <v>229</v>
      </c>
      <c r="D13" s="24"/>
      <c r="E13" s="27"/>
      <c r="F13" s="23"/>
      <c r="G13" s="23"/>
      <c r="H13" s="23"/>
      <c r="I13" s="23" t="n">
        <v>1</v>
      </c>
      <c r="J13" s="23"/>
    </row>
    <row r="14" customFormat="false" ht="28.45" hidden="false" customHeight="false" outlineLevel="0" collapsed="false">
      <c r="A14" s="23"/>
      <c r="B14" s="23" t="s">
        <v>240</v>
      </c>
      <c r="C14" s="25" t="s">
        <v>242</v>
      </c>
      <c r="D14" s="24" t="n">
        <f aca="false">((0.8*2.1)*2)+((1.1*1*2))</f>
        <v>5.56</v>
      </c>
      <c r="E14" s="24" t="n">
        <f aca="false">((0.15*2.1)*4)+(0.15*0.8*2)</f>
        <v>1.5</v>
      </c>
      <c r="F14" s="23" t="n">
        <f aca="false">0.05*((2.1*2)+0.8)*4</f>
        <v>1</v>
      </c>
      <c r="G14" s="23"/>
      <c r="H14" s="23"/>
      <c r="I14" s="24" t="n">
        <f aca="false">D14+E14+F14</f>
        <v>8.06</v>
      </c>
      <c r="J14" s="23" t="s">
        <v>472</v>
      </c>
    </row>
    <row r="15" customFormat="false" ht="43.2" hidden="false" customHeight="false" outlineLevel="0" collapsed="false">
      <c r="A15" s="23"/>
      <c r="B15" s="23" t="s">
        <v>246</v>
      </c>
      <c r="C15" s="25" t="s">
        <v>248</v>
      </c>
      <c r="D15" s="24" t="n">
        <f aca="false">I2</f>
        <v>8.26</v>
      </c>
      <c r="E15" s="24"/>
      <c r="F15" s="24"/>
      <c r="G15" s="24"/>
      <c r="H15" s="25"/>
      <c r="I15" s="24" t="n">
        <f aca="false">D15</f>
        <v>8.26</v>
      </c>
      <c r="J15" s="23" t="s">
        <v>554</v>
      </c>
    </row>
    <row r="16" customFormat="false" ht="43.2" hidden="false" customHeight="false" outlineLevel="0" collapsed="false">
      <c r="A16" s="23"/>
      <c r="B16" s="23" t="s">
        <v>255</v>
      </c>
      <c r="C16" s="25" t="s">
        <v>257</v>
      </c>
      <c r="D16" s="25"/>
      <c r="E16" s="25"/>
      <c r="F16" s="25"/>
      <c r="G16" s="25"/>
      <c r="H16" s="25"/>
      <c r="I16" s="24" t="n">
        <f aca="false">I4</f>
        <v>9.72</v>
      </c>
      <c r="J16" s="23" t="s">
        <v>464</v>
      </c>
    </row>
    <row r="17" customFormat="false" ht="43.2" hidden="false" customHeight="false" outlineLevel="0" collapsed="false">
      <c r="A17" s="23"/>
      <c r="B17" s="23" t="s">
        <v>258</v>
      </c>
      <c r="C17" s="25" t="s">
        <v>260</v>
      </c>
      <c r="D17" s="23" t="n">
        <v>2.58</v>
      </c>
      <c r="E17" s="23" t="n">
        <f aca="false">E2</f>
        <v>12.6</v>
      </c>
      <c r="F17" s="23" t="n">
        <f aca="false">(2.1*0.8)+(1*1.1)</f>
        <v>2.78</v>
      </c>
      <c r="G17" s="23"/>
      <c r="H17" s="23"/>
      <c r="I17" s="24" t="n">
        <f aca="false">(D17*E17)-F17</f>
        <v>29.728</v>
      </c>
      <c r="J17" s="23" t="s">
        <v>465</v>
      </c>
    </row>
    <row r="18" customFormat="false" ht="57.6" hidden="false" customHeight="false" outlineLevel="0" collapsed="false">
      <c r="A18" s="23"/>
      <c r="B18" s="23" t="s">
        <v>302</v>
      </c>
      <c r="C18" s="25" t="s">
        <v>304</v>
      </c>
      <c r="D18" s="23"/>
      <c r="E18" s="23"/>
      <c r="F18" s="23"/>
      <c r="G18" s="23"/>
      <c r="H18" s="23"/>
      <c r="I18" s="23" t="n">
        <v>1</v>
      </c>
      <c r="J18" s="23"/>
    </row>
    <row r="19" customFormat="false" ht="57.6" hidden="false" customHeight="false" outlineLevel="0" collapsed="false">
      <c r="A19" s="23"/>
      <c r="B19" s="24" t="s">
        <v>321</v>
      </c>
      <c r="C19" s="25" t="s">
        <v>323</v>
      </c>
      <c r="D19" s="23"/>
      <c r="E19" s="23"/>
      <c r="F19" s="23"/>
      <c r="G19" s="23"/>
      <c r="H19" s="23"/>
      <c r="I19" s="23" t="n">
        <v>1</v>
      </c>
      <c r="J19" s="23"/>
    </row>
    <row r="20" customFormat="false" ht="72" hidden="false" customHeight="false" outlineLevel="0" collapsed="false">
      <c r="A20" s="23"/>
      <c r="B20" s="24" t="s">
        <v>324</v>
      </c>
      <c r="C20" s="25" t="s">
        <v>326</v>
      </c>
      <c r="D20" s="23"/>
      <c r="E20" s="23"/>
      <c r="F20" s="23"/>
      <c r="G20" s="23"/>
      <c r="H20" s="23"/>
      <c r="I20" s="23" t="n">
        <v>3</v>
      </c>
      <c r="J20" s="23"/>
    </row>
    <row r="21" customFormat="false" ht="28.8" hidden="false" customHeight="false" outlineLevel="0" collapsed="false">
      <c r="A21" s="23"/>
      <c r="B21" s="24" t="s">
        <v>327</v>
      </c>
      <c r="C21" s="25" t="s">
        <v>329</v>
      </c>
      <c r="D21" s="23"/>
      <c r="E21" s="23"/>
      <c r="F21" s="23"/>
      <c r="G21" s="23"/>
      <c r="H21" s="23"/>
      <c r="I21" s="23" t="n">
        <v>1</v>
      </c>
      <c r="J21" s="23"/>
    </row>
    <row r="22" customFormat="false" ht="57.6" hidden="false" customHeight="false" outlineLevel="0" collapsed="false">
      <c r="A22" s="23"/>
      <c r="B22" s="23" t="s">
        <v>440</v>
      </c>
      <c r="C22" s="25" t="s">
        <v>442</v>
      </c>
      <c r="D22" s="24" t="n">
        <f aca="false">I2</f>
        <v>8.26</v>
      </c>
      <c r="E22" s="23" t="n">
        <v>0.02</v>
      </c>
      <c r="F22" s="23" t="n">
        <v>1.3</v>
      </c>
      <c r="G22" s="23" t="n">
        <v>6</v>
      </c>
      <c r="H22" s="23"/>
      <c r="I22" s="24" t="n">
        <f aca="false">D22*E22*F22*G22</f>
        <v>1.28856</v>
      </c>
      <c r="J22" s="23" t="s">
        <v>466</v>
      </c>
    </row>
    <row r="23" customFormat="false" ht="14.4" hidden="false" customHeight="false" outlineLevel="0" collapsed="false">
      <c r="A23" s="23"/>
      <c r="B23" s="24" t="s">
        <v>444</v>
      </c>
      <c r="C23" s="25" t="s">
        <v>446</v>
      </c>
      <c r="D23" s="24"/>
      <c r="E23" s="23"/>
      <c r="F23" s="23"/>
      <c r="G23" s="23"/>
      <c r="H23" s="23"/>
      <c r="I23" s="24" t="n">
        <f aca="false">I9</f>
        <v>9.72</v>
      </c>
      <c r="J23" s="23" t="s">
        <v>458</v>
      </c>
    </row>
    <row r="24" customFormat="false" ht="14.4" hidden="false" customHeight="false" outlineLevel="0" collapsed="false">
      <c r="I24" s="1" t="n">
        <f aca="false">SUM(I2:I23)</f>
        <v>167.30056</v>
      </c>
    </row>
  </sheetData>
  <mergeCells count="1">
    <mergeCell ref="A2:A2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L20"/>
  <sheetViews>
    <sheetView windowProtection="false" showFormulas="false" showGridLines="true" showRowColHeaders="true" showZeros="true" rightToLeft="false" tabSelected="false" showOutlineSymbols="true" defaultGridColor="true" view="normal" topLeftCell="A16" colorId="64" zoomScale="90" zoomScaleNormal="90" zoomScalePageLayoutView="100" workbookViewId="0">
      <selection pane="topLeft" activeCell="B20" activeCellId="0" sqref="B20"/>
    </sheetView>
  </sheetViews>
  <sheetFormatPr defaultRowHeight="14.4"/>
  <cols>
    <col collapsed="false" hidden="false" max="1" min="1" style="0" width="10.530612244898"/>
    <col collapsed="false" hidden="false" max="2" min="2" style="0" width="15.7959183673469"/>
    <col collapsed="false" hidden="false" max="3" min="3" style="20" width="29.6989795918367"/>
    <col collapsed="false" hidden="false" max="4" min="4" style="20" width="13.0918367346939"/>
    <col collapsed="false" hidden="false" max="5" min="5" style="20" width="15.5255102040816"/>
    <col collapsed="false" hidden="false" max="6" min="6" style="20" width="14.0408163265306"/>
    <col collapsed="false" hidden="false" max="8" min="7" style="20" width="7.96428571428571"/>
    <col collapsed="false" hidden="false" max="9" min="9" style="21" width="10.530612244898"/>
    <col collapsed="false" hidden="false" max="10" min="10" style="20" width="36.9897959183673"/>
    <col collapsed="false" hidden="false" max="11" min="11" style="0" width="8.23469387755102"/>
    <col collapsed="false" hidden="false" max="12" min="12" style="0" width="6.0765306122449"/>
    <col collapsed="false" hidden="false" max="1025" min="13"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45" hidden="false" customHeight="true" outlineLevel="0" collapsed="false">
      <c r="A2" s="23" t="s">
        <v>8</v>
      </c>
      <c r="B2" s="24" t="s">
        <v>34</v>
      </c>
      <c r="C2" s="25" t="s">
        <v>36</v>
      </c>
      <c r="D2" s="23" t="n">
        <v>0.7</v>
      </c>
      <c r="E2" s="23" t="n">
        <f aca="false">11.15+11.15</f>
        <v>22.3</v>
      </c>
      <c r="F2" s="23" t="n">
        <f aca="false">0.8+0.8+0.8+0.6+0.6</f>
        <v>3.6</v>
      </c>
      <c r="G2" s="23"/>
      <c r="H2" s="23"/>
      <c r="I2" s="24" t="n">
        <f aca="false">D2*(E2-F2)</f>
        <v>13.09</v>
      </c>
      <c r="J2" s="23" t="s">
        <v>456</v>
      </c>
      <c r="K2" s="26"/>
      <c r="L2" s="26"/>
    </row>
    <row r="3" customFormat="false" ht="55.45" hidden="false" customHeight="false" outlineLevel="0" collapsed="false">
      <c r="A3" s="23"/>
      <c r="B3" s="24" t="s">
        <v>55</v>
      </c>
      <c r="C3" s="25" t="s">
        <v>57</v>
      </c>
      <c r="D3" s="23" t="n">
        <v>2.58</v>
      </c>
      <c r="E3" s="23" t="n">
        <f aca="false">11.15+11.15</f>
        <v>22.3</v>
      </c>
      <c r="F3" s="24" t="n">
        <f aca="false">I2</f>
        <v>13.09</v>
      </c>
      <c r="G3" s="23" t="n">
        <f aca="false">((0.8+0.8+0.8+0.6+0.6)*1.4)</f>
        <v>5.04</v>
      </c>
      <c r="H3" s="23" t="n">
        <v>11.15</v>
      </c>
      <c r="I3" s="24" t="n">
        <f aca="false">(D3*E3)-F3-G3+H3</f>
        <v>50.554</v>
      </c>
      <c r="J3" s="23" t="s">
        <v>457</v>
      </c>
    </row>
    <row r="4" customFormat="false" ht="28.45" hidden="false" customHeight="false" outlineLevel="0" collapsed="false">
      <c r="A4" s="23"/>
      <c r="B4" s="24" t="s">
        <v>73</v>
      </c>
      <c r="C4" s="25" t="s">
        <v>75</v>
      </c>
      <c r="D4" s="23"/>
      <c r="E4" s="23"/>
      <c r="F4" s="23"/>
      <c r="G4" s="23"/>
      <c r="H4" s="23"/>
      <c r="I4" s="24" t="n">
        <v>11.15</v>
      </c>
      <c r="J4" s="23" t="s">
        <v>458</v>
      </c>
    </row>
    <row r="5" customFormat="false" ht="41.95" hidden="false" customHeight="false" outlineLevel="0" collapsed="false">
      <c r="A5" s="23"/>
      <c r="B5" s="24" t="s">
        <v>79</v>
      </c>
      <c r="C5" s="25" t="s">
        <v>80</v>
      </c>
      <c r="D5" s="24" t="n">
        <f aca="false">I3</f>
        <v>50.554</v>
      </c>
      <c r="E5" s="27" t="n">
        <v>0.1</v>
      </c>
      <c r="F5" s="23"/>
      <c r="G5" s="23"/>
      <c r="H5" s="23"/>
      <c r="I5" s="24" t="n">
        <f aca="false">D5*E5</f>
        <v>5.0554</v>
      </c>
      <c r="J5" s="23" t="s">
        <v>459</v>
      </c>
    </row>
    <row r="6" customFormat="false" ht="55.45" hidden="false" customHeight="false" outlineLevel="0" collapsed="false">
      <c r="A6" s="23"/>
      <c r="B6" s="24" t="s">
        <v>119</v>
      </c>
      <c r="C6" s="25" t="s">
        <v>121</v>
      </c>
      <c r="D6" s="23"/>
      <c r="E6" s="23"/>
      <c r="F6" s="23"/>
      <c r="G6" s="23"/>
      <c r="H6" s="23"/>
      <c r="I6" s="24" t="n">
        <f aca="false">I2</f>
        <v>13.09</v>
      </c>
      <c r="J6" s="23" t="s">
        <v>460</v>
      </c>
    </row>
    <row r="7" customFormat="false" ht="68.95" hidden="false" customHeight="false" outlineLevel="0" collapsed="false">
      <c r="A7" s="23"/>
      <c r="B7" s="24" t="s">
        <v>125</v>
      </c>
      <c r="C7" s="25" t="s">
        <v>127</v>
      </c>
      <c r="D7" s="23"/>
      <c r="E7" s="23"/>
      <c r="F7" s="23"/>
      <c r="G7" s="23"/>
      <c r="H7" s="23"/>
      <c r="I7" s="24" t="n">
        <f aca="false">I6</f>
        <v>13.09</v>
      </c>
      <c r="J7" s="23" t="s">
        <v>460</v>
      </c>
    </row>
    <row r="8" customFormat="false" ht="55.45" hidden="false" customHeight="false" outlineLevel="0" collapsed="false">
      <c r="A8" s="23"/>
      <c r="B8" s="24" t="s">
        <v>135</v>
      </c>
      <c r="C8" s="25" t="s">
        <v>137</v>
      </c>
      <c r="D8" s="23" t="n">
        <f aca="false">11.15+11.15</f>
        <v>22.3</v>
      </c>
      <c r="E8" s="23" t="n">
        <f aca="false">F2</f>
        <v>3.6</v>
      </c>
      <c r="F8" s="23"/>
      <c r="G8" s="23"/>
      <c r="H8" s="23"/>
      <c r="I8" s="24" t="n">
        <f aca="false">D8-E8</f>
        <v>18.7</v>
      </c>
      <c r="J8" s="23" t="s">
        <v>461</v>
      </c>
    </row>
    <row r="9" customFormat="false" ht="68.95" hidden="false" customHeight="false" outlineLevel="0" collapsed="false">
      <c r="A9" s="23"/>
      <c r="B9" s="24" t="s">
        <v>144</v>
      </c>
      <c r="C9" s="25" t="s">
        <v>146</v>
      </c>
      <c r="D9" s="23"/>
      <c r="E9" s="27"/>
      <c r="F9" s="23"/>
      <c r="G9" s="23"/>
      <c r="H9" s="23"/>
      <c r="I9" s="23" t="n">
        <v>11.15</v>
      </c>
      <c r="J9" s="23" t="s">
        <v>458</v>
      </c>
    </row>
    <row r="10" customFormat="false" ht="41.95" hidden="false" customHeight="false" outlineLevel="0" collapsed="false">
      <c r="A10" s="23"/>
      <c r="B10" s="24" t="s">
        <v>147</v>
      </c>
      <c r="C10" s="25" t="s">
        <v>149</v>
      </c>
      <c r="D10" s="23" t="n">
        <v>11.15</v>
      </c>
      <c r="E10" s="27" t="n">
        <v>0.3</v>
      </c>
      <c r="F10" s="23"/>
      <c r="G10" s="23"/>
      <c r="H10" s="23"/>
      <c r="I10" s="23" t="n">
        <f aca="false">D10*E10</f>
        <v>3.345</v>
      </c>
      <c r="J10" s="23" t="s">
        <v>462</v>
      </c>
    </row>
    <row r="11" customFormat="false" ht="28.45" hidden="false" customHeight="false" outlineLevel="0" collapsed="false">
      <c r="A11" s="23"/>
      <c r="B11" s="24" t="s">
        <v>243</v>
      </c>
      <c r="C11" s="25" t="s">
        <v>245</v>
      </c>
      <c r="D11" s="23"/>
      <c r="E11" s="23"/>
      <c r="F11" s="23"/>
      <c r="G11" s="23"/>
      <c r="H11" s="23"/>
      <c r="I11" s="23" t="n">
        <v>2</v>
      </c>
      <c r="J11" s="23" t="s">
        <v>463</v>
      </c>
    </row>
    <row r="12" customFormat="false" ht="41.95" hidden="false" customHeight="false" outlineLevel="0" collapsed="false">
      <c r="A12" s="23"/>
      <c r="B12" s="24" t="s">
        <v>246</v>
      </c>
      <c r="C12" s="25" t="s">
        <v>248</v>
      </c>
      <c r="D12" s="23"/>
      <c r="E12" s="23"/>
      <c r="F12" s="23"/>
      <c r="G12" s="23"/>
      <c r="H12" s="23"/>
      <c r="I12" s="24" t="n">
        <f aca="false">I2</f>
        <v>13.09</v>
      </c>
      <c r="J12" s="23" t="s">
        <v>460</v>
      </c>
    </row>
    <row r="13" customFormat="false" ht="41.95" hidden="false" customHeight="false" outlineLevel="0" collapsed="false">
      <c r="A13" s="23"/>
      <c r="B13" s="24" t="s">
        <v>255</v>
      </c>
      <c r="C13" s="25" t="s">
        <v>257</v>
      </c>
      <c r="D13" s="23"/>
      <c r="E13" s="23"/>
      <c r="F13" s="23"/>
      <c r="G13" s="23"/>
      <c r="H13" s="23"/>
      <c r="I13" s="23" t="n">
        <v>11.15</v>
      </c>
      <c r="J13" s="23" t="s">
        <v>464</v>
      </c>
    </row>
    <row r="14" customFormat="false" ht="41.95" hidden="false" customHeight="false" outlineLevel="0" collapsed="false">
      <c r="A14" s="23"/>
      <c r="B14" s="24" t="s">
        <v>258</v>
      </c>
      <c r="C14" s="25" t="s">
        <v>260</v>
      </c>
      <c r="D14" s="23" t="n">
        <v>2.58</v>
      </c>
      <c r="E14" s="23" t="n">
        <f aca="false">11.15+11.15</f>
        <v>22.3</v>
      </c>
      <c r="F14" s="23" t="n">
        <f aca="false">((0.8+0.8+0.8+0.6+0.6)*2.1)</f>
        <v>7.56</v>
      </c>
      <c r="G14" s="23"/>
      <c r="H14" s="23"/>
      <c r="I14" s="23" t="n">
        <f aca="false">(D14*E14)-F14</f>
        <v>49.974</v>
      </c>
      <c r="J14" s="23" t="s">
        <v>465</v>
      </c>
    </row>
    <row r="15" customFormat="false" ht="55.45" hidden="false" customHeight="false" outlineLevel="0" collapsed="false">
      <c r="A15" s="23"/>
      <c r="B15" s="23" t="s">
        <v>302</v>
      </c>
      <c r="C15" s="25" t="s">
        <v>304</v>
      </c>
      <c r="D15" s="23"/>
      <c r="E15" s="23"/>
      <c r="F15" s="23"/>
      <c r="G15" s="23"/>
      <c r="H15" s="23"/>
      <c r="I15" s="23" t="n">
        <v>2</v>
      </c>
      <c r="J15" s="23"/>
    </row>
    <row r="16" customFormat="false" ht="41.95" hidden="false" customHeight="false" outlineLevel="0" collapsed="false">
      <c r="A16" s="23"/>
      <c r="B16" s="23" t="s">
        <v>312</v>
      </c>
      <c r="C16" s="25" t="s">
        <v>314</v>
      </c>
      <c r="D16" s="23"/>
      <c r="E16" s="23"/>
      <c r="F16" s="23"/>
      <c r="G16" s="23"/>
      <c r="H16" s="23"/>
      <c r="I16" s="23" t="n">
        <v>2</v>
      </c>
      <c r="J16" s="23"/>
    </row>
    <row r="17" customFormat="false" ht="68.95" hidden="false" customHeight="false" outlineLevel="0" collapsed="false">
      <c r="A17" s="23"/>
      <c r="B17" s="24" t="s">
        <v>321</v>
      </c>
      <c r="C17" s="25" t="s">
        <v>323</v>
      </c>
      <c r="D17" s="23"/>
      <c r="E17" s="23"/>
      <c r="F17" s="23"/>
      <c r="G17" s="23"/>
      <c r="H17" s="23"/>
      <c r="I17" s="23" t="n">
        <v>2</v>
      </c>
      <c r="J17" s="23"/>
    </row>
    <row r="18" customFormat="false" ht="55.45" hidden="false" customHeight="false" outlineLevel="0" collapsed="false">
      <c r="A18" s="23"/>
      <c r="B18" s="24" t="s">
        <v>440</v>
      </c>
      <c r="C18" s="25" t="s">
        <v>442</v>
      </c>
      <c r="D18" s="24" t="n">
        <f aca="false">I2</f>
        <v>13.09</v>
      </c>
      <c r="E18" s="23" t="n">
        <v>0.02</v>
      </c>
      <c r="F18" s="23" t="n">
        <v>1.3</v>
      </c>
      <c r="G18" s="23" t="n">
        <v>6</v>
      </c>
      <c r="H18" s="23"/>
      <c r="I18" s="24" t="n">
        <f aca="false">D18*E18*F18*G18</f>
        <v>2.04204</v>
      </c>
      <c r="J18" s="23" t="s">
        <v>466</v>
      </c>
    </row>
    <row r="19" customFormat="false" ht="19.5" hidden="false" customHeight="true" outlineLevel="0" collapsed="false">
      <c r="A19" s="23"/>
      <c r="B19" s="24" t="s">
        <v>444</v>
      </c>
      <c r="C19" s="25" t="s">
        <v>446</v>
      </c>
      <c r="D19" s="24"/>
      <c r="E19" s="23"/>
      <c r="F19" s="23"/>
      <c r="G19" s="23"/>
      <c r="H19" s="23"/>
      <c r="I19" s="24" t="n">
        <f aca="false">I4</f>
        <v>11.15</v>
      </c>
      <c r="J19" s="23" t="s">
        <v>458</v>
      </c>
    </row>
    <row r="20" customFormat="false" ht="13.8" hidden="false" customHeight="false" outlineLevel="0" collapsed="false">
      <c r="I20" s="21" t="n">
        <f aca="false">SUM(I2:I19)</f>
        <v>234.63044</v>
      </c>
    </row>
  </sheetData>
  <mergeCells count="1">
    <mergeCell ref="A2:A19"/>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J29"/>
  <sheetViews>
    <sheetView windowProtection="false" showFormulas="false" showGridLines="true" showRowColHeaders="true" showZeros="true" rightToLeft="false" tabSelected="false" showOutlineSymbols="true" defaultGridColor="true" view="normal" topLeftCell="A25" colorId="64" zoomScale="90" zoomScaleNormal="90" zoomScalePageLayoutView="100" workbookViewId="0">
      <selection pane="topLeft" activeCell="I31" activeCellId="0" sqref="I31"/>
    </sheetView>
  </sheetViews>
  <sheetFormatPr defaultRowHeight="14.4"/>
  <cols>
    <col collapsed="false" hidden="false" max="1" min="1" style="0" width="12.5561224489796"/>
    <col collapsed="false" hidden="false" max="2" min="2" style="0" width="10.530612244898"/>
    <col collapsed="false" hidden="false" max="3" min="3" style="0" width="22.5459183673469"/>
    <col collapsed="false" hidden="false" max="9" min="4" style="0" width="8.23469387755102"/>
    <col collapsed="false" hidden="false" max="10" min="10" style="0" width="30.780612244898"/>
    <col collapsed="false" hidden="false" max="1025" min="11" style="0" width="8.23469387755102"/>
  </cols>
  <sheetData>
    <row r="1" customFormat="false" ht="31.2" hidden="false" customHeight="false" outlineLevel="0" collapsed="false">
      <c r="A1" s="22" t="s">
        <v>1</v>
      </c>
      <c r="B1" s="22" t="s">
        <v>3</v>
      </c>
      <c r="C1" s="22" t="s">
        <v>561</v>
      </c>
      <c r="D1" s="22" t="s">
        <v>449</v>
      </c>
      <c r="E1" s="22" t="s">
        <v>450</v>
      </c>
      <c r="F1" s="22" t="s">
        <v>451</v>
      </c>
      <c r="G1" s="22" t="s">
        <v>452</v>
      </c>
      <c r="H1" s="22" t="s">
        <v>453</v>
      </c>
      <c r="I1" s="22" t="s">
        <v>454</v>
      </c>
      <c r="J1" s="22" t="s">
        <v>562</v>
      </c>
    </row>
    <row r="2" customFormat="false" ht="37.2" hidden="false" customHeight="true" outlineLevel="0" collapsed="false">
      <c r="A2" s="23" t="s">
        <v>26</v>
      </c>
      <c r="B2" s="23" t="s">
        <v>61</v>
      </c>
      <c r="C2" s="25" t="s">
        <v>63</v>
      </c>
      <c r="D2" s="25"/>
      <c r="E2" s="25"/>
      <c r="F2" s="25"/>
      <c r="G2" s="25"/>
      <c r="H2" s="25"/>
      <c r="I2" s="23" t="n">
        <v>1</v>
      </c>
      <c r="J2" s="23"/>
    </row>
    <row r="3" customFormat="false" ht="57.6" hidden="false" customHeight="false" outlineLevel="0" collapsed="false">
      <c r="A3" s="23"/>
      <c r="B3" s="23" t="s">
        <v>34</v>
      </c>
      <c r="C3" s="25" t="s">
        <v>36</v>
      </c>
      <c r="D3" s="23" t="n">
        <v>0.7</v>
      </c>
      <c r="E3" s="23" t="n">
        <v>7.6</v>
      </c>
      <c r="F3" s="23" t="n">
        <f aca="false">0.8</f>
        <v>0.8</v>
      </c>
      <c r="G3" s="23"/>
      <c r="H3" s="23"/>
      <c r="I3" s="24" t="n">
        <f aca="false">D3*(E3-F3)</f>
        <v>4.76</v>
      </c>
      <c r="J3" s="23" t="s">
        <v>467</v>
      </c>
    </row>
    <row r="4" customFormat="false" ht="28.8" hidden="false" customHeight="false" outlineLevel="0" collapsed="false">
      <c r="A4" s="23"/>
      <c r="B4" s="23" t="s">
        <v>37</v>
      </c>
      <c r="C4" s="25" t="s">
        <v>39</v>
      </c>
      <c r="D4" s="23"/>
      <c r="E4" s="23"/>
      <c r="F4" s="23"/>
      <c r="G4" s="23"/>
      <c r="H4" s="23"/>
      <c r="I4" s="24" t="n">
        <v>2.8</v>
      </c>
      <c r="J4" s="23" t="s">
        <v>458</v>
      </c>
    </row>
    <row r="5" customFormat="false" ht="14.4" hidden="false" customHeight="false" outlineLevel="0" collapsed="false">
      <c r="A5" s="23"/>
      <c r="B5" s="23" t="s">
        <v>47</v>
      </c>
      <c r="C5" s="25" t="s">
        <v>49</v>
      </c>
      <c r="D5" s="25"/>
      <c r="E5" s="25"/>
      <c r="F5" s="25"/>
      <c r="G5" s="25"/>
      <c r="H5" s="25"/>
      <c r="I5" s="23" t="n">
        <v>1</v>
      </c>
      <c r="J5" s="23"/>
    </row>
    <row r="6" customFormat="false" ht="57.6" hidden="false" customHeight="false" outlineLevel="0" collapsed="false">
      <c r="A6" s="23"/>
      <c r="B6" s="23" t="s">
        <v>67</v>
      </c>
      <c r="C6" s="25" t="s">
        <v>69</v>
      </c>
      <c r="D6" s="23" t="n">
        <v>2.58</v>
      </c>
      <c r="E6" s="23" t="n">
        <f aca="false">E3</f>
        <v>7.6</v>
      </c>
      <c r="F6" s="23" t="n">
        <f aca="false">(0.6*2.1)+(0.5*0.5)</f>
        <v>1.51</v>
      </c>
      <c r="G6" s="23"/>
      <c r="H6" s="23"/>
      <c r="I6" s="24" t="n">
        <f aca="false">D6*(E6-F6)</f>
        <v>15.7122</v>
      </c>
      <c r="J6" s="23" t="s">
        <v>555</v>
      </c>
    </row>
    <row r="7" customFormat="false" ht="72" hidden="false" customHeight="false" outlineLevel="0" collapsed="false">
      <c r="A7" s="23"/>
      <c r="B7" s="23" t="s">
        <v>119</v>
      </c>
      <c r="C7" s="25" t="s">
        <v>121</v>
      </c>
      <c r="D7" s="25"/>
      <c r="E7" s="25"/>
      <c r="F7" s="25"/>
      <c r="G7" s="25"/>
      <c r="H7" s="25"/>
      <c r="I7" s="24" t="n">
        <f aca="false">I3</f>
        <v>4.76</v>
      </c>
      <c r="J7" s="23" t="s">
        <v>460</v>
      </c>
    </row>
    <row r="8" customFormat="false" ht="100.8" hidden="false" customHeight="false" outlineLevel="0" collapsed="false">
      <c r="A8" s="23"/>
      <c r="B8" s="23" t="s">
        <v>125</v>
      </c>
      <c r="C8" s="25" t="s">
        <v>127</v>
      </c>
      <c r="D8" s="25"/>
      <c r="E8" s="25"/>
      <c r="F8" s="25"/>
      <c r="G8" s="25"/>
      <c r="H8" s="25"/>
      <c r="I8" s="24" t="n">
        <f aca="false">I3</f>
        <v>4.76</v>
      </c>
      <c r="J8" s="23" t="s">
        <v>460</v>
      </c>
    </row>
    <row r="9" customFormat="false" ht="100.8" hidden="false" customHeight="false" outlineLevel="0" collapsed="false">
      <c r="A9" s="23"/>
      <c r="B9" s="23" t="s">
        <v>128</v>
      </c>
      <c r="C9" s="25" t="s">
        <v>130</v>
      </c>
      <c r="D9" s="23" t="n">
        <f aca="false">D6</f>
        <v>2.58</v>
      </c>
      <c r="E9" s="23" t="n">
        <f aca="false">E6</f>
        <v>7.6</v>
      </c>
      <c r="F9" s="23" t="n">
        <f aca="false">(0.6*2.1)+(0.5*0.5)</f>
        <v>1.51</v>
      </c>
      <c r="G9" s="23"/>
      <c r="H9" s="23"/>
      <c r="I9" s="24" t="n">
        <f aca="false">D9*(E9-F9)</f>
        <v>15.7122</v>
      </c>
      <c r="J9" s="23" t="s">
        <v>529</v>
      </c>
    </row>
    <row r="10" customFormat="false" ht="43.2" hidden="false" customHeight="false" outlineLevel="0" collapsed="false">
      <c r="A10" s="23"/>
      <c r="B10" s="23" t="s">
        <v>132</v>
      </c>
      <c r="C10" s="25" t="s">
        <v>134</v>
      </c>
      <c r="D10" s="23" t="n">
        <v>0.66</v>
      </c>
      <c r="E10" s="23"/>
      <c r="F10" s="23"/>
      <c r="G10" s="23"/>
      <c r="H10" s="23"/>
      <c r="I10" s="23" t="n">
        <f aca="false">D10</f>
        <v>0.66</v>
      </c>
      <c r="J10" s="23" t="s">
        <v>551</v>
      </c>
    </row>
    <row r="11" customFormat="false" ht="100.8" hidden="false" customHeight="false" outlineLevel="0" collapsed="false">
      <c r="A11" s="23"/>
      <c r="B11" s="24" t="s">
        <v>144</v>
      </c>
      <c r="C11" s="25" t="s">
        <v>146</v>
      </c>
      <c r="D11" s="23"/>
      <c r="E11" s="27"/>
      <c r="F11" s="23"/>
      <c r="G11" s="23"/>
      <c r="H11" s="23"/>
      <c r="I11" s="24" t="n">
        <f aca="false">I4</f>
        <v>2.8</v>
      </c>
      <c r="J11" s="23" t="s">
        <v>458</v>
      </c>
    </row>
    <row r="12" customFormat="false" ht="43.2" hidden="false" customHeight="false" outlineLevel="0" collapsed="false">
      <c r="A12" s="23"/>
      <c r="B12" s="24" t="s">
        <v>147</v>
      </c>
      <c r="C12" s="25" t="s">
        <v>149</v>
      </c>
      <c r="D12" s="24" t="n">
        <f aca="false">I4</f>
        <v>2.8</v>
      </c>
      <c r="E12" s="27" t="n">
        <v>0.3</v>
      </c>
      <c r="F12" s="23"/>
      <c r="G12" s="23"/>
      <c r="H12" s="23"/>
      <c r="I12" s="23" t="n">
        <f aca="false">D12*E12</f>
        <v>0.84</v>
      </c>
      <c r="J12" s="23" t="s">
        <v>462</v>
      </c>
    </row>
    <row r="13" customFormat="false" ht="28.8" hidden="false" customHeight="false" outlineLevel="0" collapsed="false">
      <c r="A13" s="23"/>
      <c r="B13" s="23" t="s">
        <v>194</v>
      </c>
      <c r="C13" s="25" t="s">
        <v>196</v>
      </c>
      <c r="D13" s="25"/>
      <c r="E13" s="25"/>
      <c r="F13" s="25"/>
      <c r="G13" s="25"/>
      <c r="H13" s="25"/>
      <c r="I13" s="23" t="n">
        <f aca="false">0.5*0.5</f>
        <v>0.25</v>
      </c>
      <c r="J13" s="23"/>
    </row>
    <row r="14" customFormat="false" ht="43.2" hidden="false" customHeight="false" outlineLevel="0" collapsed="false">
      <c r="A14" s="23"/>
      <c r="B14" s="23" t="s">
        <v>197</v>
      </c>
      <c r="C14" s="25" t="s">
        <v>199</v>
      </c>
      <c r="D14" s="25"/>
      <c r="E14" s="25"/>
      <c r="F14" s="25"/>
      <c r="G14" s="25"/>
      <c r="H14" s="25"/>
      <c r="I14" s="23" t="n">
        <v>2</v>
      </c>
      <c r="J14" s="23" t="s">
        <v>463</v>
      </c>
    </row>
    <row r="15" customFormat="false" ht="100.8" hidden="false" customHeight="false" outlineLevel="0" collapsed="false">
      <c r="A15" s="23"/>
      <c r="B15" s="23" t="s">
        <v>221</v>
      </c>
      <c r="C15" s="25" t="s">
        <v>223</v>
      </c>
      <c r="D15" s="25"/>
      <c r="E15" s="25"/>
      <c r="F15" s="25"/>
      <c r="G15" s="25"/>
      <c r="H15" s="25"/>
      <c r="I15" s="23" t="n">
        <v>1</v>
      </c>
      <c r="J15" s="23"/>
    </row>
    <row r="16" customFormat="false" ht="28.8" hidden="false" customHeight="false" outlineLevel="0" collapsed="false">
      <c r="A16" s="23"/>
      <c r="B16" s="23" t="s">
        <v>265</v>
      </c>
      <c r="C16" s="25" t="s">
        <v>267</v>
      </c>
      <c r="D16" s="25"/>
      <c r="E16" s="25"/>
      <c r="F16" s="25"/>
      <c r="G16" s="25"/>
      <c r="H16" s="25"/>
      <c r="I16" s="23" t="n">
        <v>1</v>
      </c>
      <c r="J16" s="23"/>
    </row>
    <row r="17" customFormat="false" ht="28.8" hidden="false" customHeight="false" outlineLevel="0" collapsed="false">
      <c r="A17" s="23"/>
      <c r="B17" s="23" t="s">
        <v>268</v>
      </c>
      <c r="C17" s="25" t="s">
        <v>270</v>
      </c>
      <c r="D17" s="25"/>
      <c r="E17" s="25"/>
      <c r="F17" s="25"/>
      <c r="G17" s="25"/>
      <c r="H17" s="25"/>
      <c r="I17" s="23" t="n">
        <v>1</v>
      </c>
      <c r="J17" s="23"/>
    </row>
    <row r="18" customFormat="false" ht="43.2" hidden="false" customHeight="false" outlineLevel="0" collapsed="false">
      <c r="A18" s="23"/>
      <c r="B18" s="23" t="s">
        <v>271</v>
      </c>
      <c r="C18" s="25" t="s">
        <v>273</v>
      </c>
      <c r="D18" s="25"/>
      <c r="E18" s="25"/>
      <c r="F18" s="25"/>
      <c r="G18" s="25"/>
      <c r="H18" s="25"/>
      <c r="I18" s="23" t="n">
        <v>0.48</v>
      </c>
      <c r="J18" s="23" t="s">
        <v>556</v>
      </c>
    </row>
    <row r="19" customFormat="false" ht="43.2" hidden="false" customHeight="false" outlineLevel="0" collapsed="false">
      <c r="A19" s="23"/>
      <c r="B19" s="23" t="s">
        <v>274</v>
      </c>
      <c r="C19" s="25" t="s">
        <v>276</v>
      </c>
      <c r="D19" s="25"/>
      <c r="E19" s="25"/>
      <c r="F19" s="25"/>
      <c r="G19" s="25"/>
      <c r="H19" s="25"/>
      <c r="I19" s="23" t="n">
        <v>1</v>
      </c>
      <c r="J19" s="23"/>
    </row>
    <row r="20" customFormat="false" ht="43.2" hidden="false" customHeight="false" outlineLevel="0" collapsed="false">
      <c r="A20" s="23"/>
      <c r="B20" s="23" t="s">
        <v>277</v>
      </c>
      <c r="C20" s="25" t="s">
        <v>279</v>
      </c>
      <c r="D20" s="25"/>
      <c r="E20" s="25"/>
      <c r="F20" s="25"/>
      <c r="G20" s="25"/>
      <c r="H20" s="25"/>
      <c r="I20" s="23" t="n">
        <v>1</v>
      </c>
      <c r="J20" s="23"/>
    </row>
    <row r="21" customFormat="false" ht="144" hidden="false" customHeight="false" outlineLevel="0" collapsed="false">
      <c r="A21" s="23"/>
      <c r="B21" s="23" t="s">
        <v>283</v>
      </c>
      <c r="C21" s="25" t="s">
        <v>285</v>
      </c>
      <c r="D21" s="25"/>
      <c r="E21" s="25"/>
      <c r="F21" s="25"/>
      <c r="G21" s="25"/>
      <c r="H21" s="25"/>
      <c r="I21" s="23" t="n">
        <v>1</v>
      </c>
      <c r="J21" s="23"/>
    </row>
    <row r="22" customFormat="false" ht="158.4" hidden="false" customHeight="false" outlineLevel="0" collapsed="false">
      <c r="A22" s="23"/>
      <c r="B22" s="23" t="s">
        <v>292</v>
      </c>
      <c r="C22" s="25" t="s">
        <v>294</v>
      </c>
      <c r="D22" s="25"/>
      <c r="E22" s="25"/>
      <c r="F22" s="25"/>
      <c r="G22" s="25"/>
      <c r="H22" s="25"/>
      <c r="I22" s="23" t="n">
        <v>1</v>
      </c>
      <c r="J22" s="23"/>
    </row>
    <row r="23" customFormat="false" ht="72" hidden="false" customHeight="false" outlineLevel="0" collapsed="false">
      <c r="A23" s="23"/>
      <c r="B23" s="23" t="s">
        <v>302</v>
      </c>
      <c r="C23" s="25" t="s">
        <v>304</v>
      </c>
      <c r="D23" s="23"/>
      <c r="E23" s="23"/>
      <c r="F23" s="23"/>
      <c r="G23" s="23"/>
      <c r="H23" s="23"/>
      <c r="I23" s="23" t="n">
        <v>1</v>
      </c>
      <c r="J23" s="23"/>
    </row>
    <row r="24" customFormat="false" ht="86.4" hidden="false" customHeight="false" outlineLevel="0" collapsed="false">
      <c r="A24" s="23"/>
      <c r="B24" s="24" t="s">
        <v>321</v>
      </c>
      <c r="C24" s="25" t="s">
        <v>323</v>
      </c>
      <c r="D24" s="23"/>
      <c r="E24" s="23"/>
      <c r="F24" s="23"/>
      <c r="G24" s="23"/>
      <c r="H24" s="23"/>
      <c r="I24" s="23" t="n">
        <v>1</v>
      </c>
      <c r="J24" s="23"/>
    </row>
    <row r="25" customFormat="false" ht="100.8" hidden="false" customHeight="false" outlineLevel="0" collapsed="false">
      <c r="A25" s="23"/>
      <c r="B25" s="24" t="s">
        <v>324</v>
      </c>
      <c r="C25" s="25" t="s">
        <v>326</v>
      </c>
      <c r="D25" s="23"/>
      <c r="E25" s="23"/>
      <c r="F25" s="23"/>
      <c r="G25" s="23"/>
      <c r="H25" s="23"/>
      <c r="I25" s="23" t="n">
        <v>1</v>
      </c>
      <c r="J25" s="23"/>
    </row>
    <row r="26" customFormat="false" ht="28.8" hidden="false" customHeight="false" outlineLevel="0" collapsed="false">
      <c r="A26" s="23"/>
      <c r="B26" s="24" t="s">
        <v>327</v>
      </c>
      <c r="C26" s="25" t="s">
        <v>329</v>
      </c>
      <c r="D26" s="23"/>
      <c r="E26" s="23"/>
      <c r="F26" s="23"/>
      <c r="G26" s="23"/>
      <c r="H26" s="23"/>
      <c r="I26" s="23" t="n">
        <v>1</v>
      </c>
      <c r="J26" s="23"/>
    </row>
    <row r="27" customFormat="false" ht="86.4" hidden="false" customHeight="false" outlineLevel="0" collapsed="false">
      <c r="A27" s="23"/>
      <c r="B27" s="23" t="s">
        <v>440</v>
      </c>
      <c r="C27" s="25" t="s">
        <v>442</v>
      </c>
      <c r="D27" s="23" t="n">
        <f aca="false">(I4+I6)*0.01</f>
        <v>0.185122</v>
      </c>
      <c r="E27" s="23" t="n">
        <f aca="false">I3*0.02</f>
        <v>0.0952</v>
      </c>
      <c r="F27" s="23" t="n">
        <v>1.3</v>
      </c>
      <c r="G27" s="23" t="n">
        <v>6</v>
      </c>
      <c r="H27" s="23"/>
      <c r="I27" s="24" t="n">
        <f aca="false">(D27+E27)*F27*G27</f>
        <v>2.1865116</v>
      </c>
      <c r="J27" s="23" t="s">
        <v>557</v>
      </c>
    </row>
    <row r="28" customFormat="false" ht="14.4" hidden="false" customHeight="false" outlineLevel="0" collapsed="false">
      <c r="A28" s="23"/>
      <c r="B28" s="24" t="s">
        <v>444</v>
      </c>
      <c r="C28" s="25" t="s">
        <v>446</v>
      </c>
      <c r="D28" s="24"/>
      <c r="E28" s="23"/>
      <c r="F28" s="23"/>
      <c r="G28" s="23"/>
      <c r="H28" s="23"/>
      <c r="I28" s="24" t="n">
        <f aca="false">I4</f>
        <v>2.8</v>
      </c>
      <c r="J28" s="23" t="s">
        <v>458</v>
      </c>
    </row>
    <row r="29" customFormat="false" ht="14.4" hidden="false" customHeight="false" outlineLevel="0" collapsed="false">
      <c r="I29" s="0" t="n">
        <f aca="false">SUM(I2:I28)</f>
        <v>73.5209116</v>
      </c>
    </row>
  </sheetData>
  <mergeCells count="1">
    <mergeCell ref="A2:A2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J30"/>
  <sheetViews>
    <sheetView windowProtection="false" showFormulas="false" showGridLines="true" showRowColHeaders="true" showZeros="true" rightToLeft="false" tabSelected="false" showOutlineSymbols="true" defaultGridColor="true" view="normal" topLeftCell="A25" colorId="64" zoomScale="90" zoomScaleNormal="90" zoomScalePageLayoutView="100" workbookViewId="0">
      <selection pane="topLeft" activeCell="I31" activeCellId="0" sqref="I31"/>
    </sheetView>
  </sheetViews>
  <sheetFormatPr defaultRowHeight="14.4"/>
  <cols>
    <col collapsed="false" hidden="false" max="1" min="1" style="0" width="11.0714285714286"/>
    <col collapsed="false" hidden="false" max="2" min="2" style="0" width="10.530612244898"/>
    <col collapsed="false" hidden="false" max="3" min="3" style="0" width="22.8112244897959"/>
    <col collapsed="false" hidden="false" max="9" min="4" style="0" width="8.23469387755102"/>
    <col collapsed="false" hidden="false" max="10" min="10" style="0" width="31.0459183673469"/>
    <col collapsed="false" hidden="false" max="1025" min="11" style="0" width="8.23469387755102"/>
  </cols>
  <sheetData>
    <row r="1" customFormat="false" ht="31.2" hidden="false" customHeight="false" outlineLevel="0" collapsed="false">
      <c r="A1" s="22" t="s">
        <v>1</v>
      </c>
      <c r="B1" s="22" t="s">
        <v>3</v>
      </c>
      <c r="C1" s="22" t="s">
        <v>561</v>
      </c>
      <c r="D1" s="22" t="s">
        <v>449</v>
      </c>
      <c r="E1" s="22" t="s">
        <v>450</v>
      </c>
      <c r="F1" s="22" t="s">
        <v>451</v>
      </c>
      <c r="G1" s="22" t="s">
        <v>452</v>
      </c>
      <c r="H1" s="22" t="s">
        <v>453</v>
      </c>
      <c r="I1" s="22" t="s">
        <v>454</v>
      </c>
      <c r="J1" s="22" t="s">
        <v>562</v>
      </c>
    </row>
    <row r="2" customFormat="false" ht="22.35" hidden="false" customHeight="true" outlineLevel="0" collapsed="false">
      <c r="A2" s="23" t="s">
        <v>27</v>
      </c>
      <c r="B2" s="23" t="s">
        <v>61</v>
      </c>
      <c r="C2" s="25" t="s">
        <v>63</v>
      </c>
      <c r="D2" s="25"/>
      <c r="E2" s="25"/>
      <c r="F2" s="25"/>
      <c r="G2" s="25"/>
      <c r="H2" s="25"/>
      <c r="I2" s="23" t="n">
        <v>1</v>
      </c>
      <c r="J2" s="23"/>
    </row>
    <row r="3" customFormat="false" ht="57.6" hidden="false" customHeight="false" outlineLevel="0" collapsed="false">
      <c r="A3" s="23"/>
      <c r="B3" s="23" t="s">
        <v>34</v>
      </c>
      <c r="C3" s="25" t="s">
        <v>36</v>
      </c>
      <c r="D3" s="23" t="n">
        <v>0.7</v>
      </c>
      <c r="E3" s="23" t="n">
        <v>7.6</v>
      </c>
      <c r="F3" s="23" t="n">
        <f aca="false">0.8</f>
        <v>0.8</v>
      </c>
      <c r="G3" s="23"/>
      <c r="H3" s="23"/>
      <c r="I3" s="24" t="n">
        <f aca="false">D3*(E3-F3)</f>
        <v>4.76</v>
      </c>
      <c r="J3" s="23" t="s">
        <v>467</v>
      </c>
    </row>
    <row r="4" customFormat="false" ht="28.8" hidden="false" customHeight="false" outlineLevel="0" collapsed="false">
      <c r="A4" s="23"/>
      <c r="B4" s="23" t="s">
        <v>37</v>
      </c>
      <c r="C4" s="25" t="s">
        <v>39</v>
      </c>
      <c r="D4" s="23"/>
      <c r="E4" s="23"/>
      <c r="F4" s="23"/>
      <c r="G4" s="23"/>
      <c r="H4" s="23"/>
      <c r="I4" s="24" t="n">
        <v>2.8</v>
      </c>
      <c r="J4" s="23" t="s">
        <v>458</v>
      </c>
    </row>
    <row r="5" customFormat="false" ht="14.4" hidden="false" customHeight="false" outlineLevel="0" collapsed="false">
      <c r="A5" s="23"/>
      <c r="B5" s="23" t="s">
        <v>47</v>
      </c>
      <c r="C5" s="25" t="s">
        <v>49</v>
      </c>
      <c r="D5" s="25"/>
      <c r="E5" s="25"/>
      <c r="F5" s="25"/>
      <c r="G5" s="25"/>
      <c r="H5" s="25"/>
      <c r="I5" s="23" t="n">
        <v>1</v>
      </c>
      <c r="J5" s="23"/>
    </row>
    <row r="6" customFormat="false" ht="57.6" hidden="false" customHeight="false" outlineLevel="0" collapsed="false">
      <c r="A6" s="23"/>
      <c r="B6" s="23" t="s">
        <v>67</v>
      </c>
      <c r="C6" s="25" t="s">
        <v>541</v>
      </c>
      <c r="D6" s="23" t="n">
        <v>2.58</v>
      </c>
      <c r="E6" s="23" t="n">
        <f aca="false">E3</f>
        <v>7.6</v>
      </c>
      <c r="F6" s="23" t="n">
        <f aca="false">(0.6*2.1)+(0.5*0.5)</f>
        <v>1.51</v>
      </c>
      <c r="G6" s="23"/>
      <c r="H6" s="23"/>
      <c r="I6" s="24" t="n">
        <f aca="false">D6*(E6-F6)</f>
        <v>15.7122</v>
      </c>
      <c r="J6" s="23" t="s">
        <v>555</v>
      </c>
    </row>
    <row r="7" customFormat="false" ht="72" hidden="false" customHeight="false" outlineLevel="0" collapsed="false">
      <c r="A7" s="23"/>
      <c r="B7" s="23" t="s">
        <v>119</v>
      </c>
      <c r="C7" s="25" t="s">
        <v>121</v>
      </c>
      <c r="D7" s="25"/>
      <c r="E7" s="25"/>
      <c r="F7" s="25"/>
      <c r="G7" s="25"/>
      <c r="H7" s="25"/>
      <c r="I7" s="24" t="n">
        <f aca="false">I3</f>
        <v>4.76</v>
      </c>
      <c r="J7" s="23" t="s">
        <v>460</v>
      </c>
    </row>
    <row r="8" customFormat="false" ht="100.8" hidden="false" customHeight="false" outlineLevel="0" collapsed="false">
      <c r="A8" s="23"/>
      <c r="B8" s="23" t="s">
        <v>125</v>
      </c>
      <c r="C8" s="25" t="s">
        <v>127</v>
      </c>
      <c r="D8" s="25"/>
      <c r="E8" s="25"/>
      <c r="F8" s="25"/>
      <c r="G8" s="25"/>
      <c r="H8" s="25"/>
      <c r="I8" s="24" t="n">
        <f aca="false">I3</f>
        <v>4.76</v>
      </c>
      <c r="J8" s="23" t="s">
        <v>460</v>
      </c>
    </row>
    <row r="9" customFormat="false" ht="100.8" hidden="false" customHeight="false" outlineLevel="0" collapsed="false">
      <c r="A9" s="23"/>
      <c r="B9" s="23" t="s">
        <v>128</v>
      </c>
      <c r="C9" s="25" t="s">
        <v>130</v>
      </c>
      <c r="D9" s="23" t="n">
        <f aca="false">D6</f>
        <v>2.58</v>
      </c>
      <c r="E9" s="23" t="n">
        <f aca="false">E6</f>
        <v>7.6</v>
      </c>
      <c r="F9" s="23" t="n">
        <f aca="false">(0.6*2.1)+(0.5*0.5)</f>
        <v>1.51</v>
      </c>
      <c r="G9" s="23"/>
      <c r="H9" s="23"/>
      <c r="I9" s="24" t="n">
        <f aca="false">D9*(E9-F9)</f>
        <v>15.7122</v>
      </c>
      <c r="J9" s="23" t="s">
        <v>529</v>
      </c>
    </row>
    <row r="10" customFormat="false" ht="43.2" hidden="false" customHeight="false" outlineLevel="0" collapsed="false">
      <c r="A10" s="23"/>
      <c r="B10" s="23" t="s">
        <v>132</v>
      </c>
      <c r="C10" s="25" t="s">
        <v>134</v>
      </c>
      <c r="D10" s="23" t="n">
        <v>0.66</v>
      </c>
      <c r="E10" s="23"/>
      <c r="F10" s="23"/>
      <c r="G10" s="23"/>
      <c r="H10" s="23"/>
      <c r="I10" s="23" t="n">
        <f aca="false">D10</f>
        <v>0.66</v>
      </c>
      <c r="J10" s="23" t="s">
        <v>551</v>
      </c>
    </row>
    <row r="11" customFormat="false" ht="100.8" hidden="false" customHeight="false" outlineLevel="0" collapsed="false">
      <c r="A11" s="23"/>
      <c r="B11" s="24" t="s">
        <v>144</v>
      </c>
      <c r="C11" s="25" t="s">
        <v>146</v>
      </c>
      <c r="D11" s="23"/>
      <c r="E11" s="27"/>
      <c r="F11" s="23"/>
      <c r="G11" s="23"/>
      <c r="H11" s="23"/>
      <c r="I11" s="24" t="n">
        <f aca="false">I4</f>
        <v>2.8</v>
      </c>
      <c r="J11" s="23" t="s">
        <v>458</v>
      </c>
    </row>
    <row r="12" customFormat="false" ht="43.2" hidden="false" customHeight="false" outlineLevel="0" collapsed="false">
      <c r="A12" s="23"/>
      <c r="B12" s="24" t="s">
        <v>147</v>
      </c>
      <c r="C12" s="25" t="s">
        <v>149</v>
      </c>
      <c r="D12" s="24" t="n">
        <f aca="false">I4</f>
        <v>2.8</v>
      </c>
      <c r="E12" s="27" t="n">
        <v>0.3</v>
      </c>
      <c r="F12" s="23"/>
      <c r="G12" s="23"/>
      <c r="H12" s="23"/>
      <c r="I12" s="23" t="n">
        <f aca="false">D12*E12</f>
        <v>0.84</v>
      </c>
      <c r="J12" s="23" t="s">
        <v>462</v>
      </c>
    </row>
    <row r="13" customFormat="false" ht="28.8" hidden="false" customHeight="false" outlineLevel="0" collapsed="false">
      <c r="A13" s="23"/>
      <c r="B13" s="23" t="s">
        <v>194</v>
      </c>
      <c r="C13" s="25" t="s">
        <v>196</v>
      </c>
      <c r="D13" s="25"/>
      <c r="E13" s="25"/>
      <c r="F13" s="25"/>
      <c r="G13" s="25"/>
      <c r="H13" s="25"/>
      <c r="I13" s="23" t="n">
        <f aca="false">0.5*0.5</f>
        <v>0.25</v>
      </c>
      <c r="J13" s="23"/>
    </row>
    <row r="14" customFormat="false" ht="43.2" hidden="false" customHeight="false" outlineLevel="0" collapsed="false">
      <c r="A14" s="23"/>
      <c r="B14" s="23" t="s">
        <v>197</v>
      </c>
      <c r="C14" s="25" t="s">
        <v>199</v>
      </c>
      <c r="D14" s="25"/>
      <c r="E14" s="25"/>
      <c r="F14" s="25"/>
      <c r="G14" s="25"/>
      <c r="H14" s="25"/>
      <c r="I14" s="23" t="n">
        <v>2</v>
      </c>
      <c r="J14" s="23" t="s">
        <v>463</v>
      </c>
    </row>
    <row r="15" customFormat="false" ht="100.8" hidden="false" customHeight="false" outlineLevel="0" collapsed="false">
      <c r="A15" s="23"/>
      <c r="B15" s="23" t="s">
        <v>221</v>
      </c>
      <c r="C15" s="25" t="s">
        <v>223</v>
      </c>
      <c r="D15" s="25"/>
      <c r="E15" s="25"/>
      <c r="F15" s="25"/>
      <c r="G15" s="25"/>
      <c r="H15" s="25"/>
      <c r="I15" s="23" t="n">
        <v>1</v>
      </c>
      <c r="J15" s="23"/>
    </row>
    <row r="16" customFormat="false" ht="28.8" hidden="false" customHeight="false" outlineLevel="0" collapsed="false">
      <c r="A16" s="23"/>
      <c r="B16" s="23" t="s">
        <v>265</v>
      </c>
      <c r="C16" s="25" t="s">
        <v>267</v>
      </c>
      <c r="D16" s="25"/>
      <c r="E16" s="25"/>
      <c r="F16" s="25"/>
      <c r="G16" s="25"/>
      <c r="H16" s="25"/>
      <c r="I16" s="23" t="n">
        <v>1</v>
      </c>
      <c r="J16" s="23"/>
    </row>
    <row r="17" customFormat="false" ht="28.8" hidden="false" customHeight="false" outlineLevel="0" collapsed="false">
      <c r="A17" s="23"/>
      <c r="B17" s="23" t="s">
        <v>268</v>
      </c>
      <c r="C17" s="25" t="s">
        <v>270</v>
      </c>
      <c r="D17" s="25"/>
      <c r="E17" s="25"/>
      <c r="F17" s="25"/>
      <c r="G17" s="25"/>
      <c r="H17" s="25"/>
      <c r="I17" s="23" t="n">
        <v>1</v>
      </c>
      <c r="J17" s="23"/>
    </row>
    <row r="18" customFormat="false" ht="43.2" hidden="false" customHeight="false" outlineLevel="0" collapsed="false">
      <c r="A18" s="23"/>
      <c r="B18" s="23" t="s">
        <v>271</v>
      </c>
      <c r="C18" s="25" t="s">
        <v>273</v>
      </c>
      <c r="D18" s="25"/>
      <c r="E18" s="25"/>
      <c r="F18" s="25"/>
      <c r="G18" s="25"/>
      <c r="H18" s="25"/>
      <c r="I18" s="23" t="n">
        <v>0.48</v>
      </c>
      <c r="J18" s="23" t="s">
        <v>556</v>
      </c>
    </row>
    <row r="19" customFormat="false" ht="43.2" hidden="false" customHeight="false" outlineLevel="0" collapsed="false">
      <c r="A19" s="23"/>
      <c r="B19" s="23" t="s">
        <v>274</v>
      </c>
      <c r="C19" s="25" t="s">
        <v>276</v>
      </c>
      <c r="D19" s="25"/>
      <c r="E19" s="25"/>
      <c r="F19" s="25"/>
      <c r="G19" s="25"/>
      <c r="H19" s="25"/>
      <c r="I19" s="23" t="n">
        <v>1</v>
      </c>
      <c r="J19" s="23"/>
    </row>
    <row r="20" customFormat="false" ht="43.2" hidden="false" customHeight="false" outlineLevel="0" collapsed="false">
      <c r="A20" s="23"/>
      <c r="B20" s="23" t="s">
        <v>277</v>
      </c>
      <c r="C20" s="25" t="s">
        <v>279</v>
      </c>
      <c r="D20" s="25"/>
      <c r="E20" s="25"/>
      <c r="F20" s="25"/>
      <c r="G20" s="25"/>
      <c r="H20" s="25"/>
      <c r="I20" s="23" t="n">
        <v>1</v>
      </c>
      <c r="J20" s="23"/>
    </row>
    <row r="21" customFormat="false" ht="129.6" hidden="false" customHeight="false" outlineLevel="0" collapsed="false">
      <c r="A21" s="23"/>
      <c r="B21" s="23" t="s">
        <v>283</v>
      </c>
      <c r="C21" s="25" t="s">
        <v>285</v>
      </c>
      <c r="D21" s="25"/>
      <c r="E21" s="25"/>
      <c r="F21" s="25"/>
      <c r="G21" s="25"/>
      <c r="H21" s="25"/>
      <c r="I21" s="23" t="n">
        <v>1</v>
      </c>
      <c r="J21" s="23"/>
    </row>
    <row r="22" customFormat="false" ht="144" hidden="false" customHeight="false" outlineLevel="0" collapsed="false">
      <c r="A22" s="23"/>
      <c r="B22" s="23" t="s">
        <v>292</v>
      </c>
      <c r="C22" s="25" t="s">
        <v>294</v>
      </c>
      <c r="D22" s="25"/>
      <c r="E22" s="25"/>
      <c r="F22" s="25"/>
      <c r="G22" s="25"/>
      <c r="H22" s="25"/>
      <c r="I22" s="23" t="n">
        <v>1</v>
      </c>
      <c r="J22" s="23"/>
    </row>
    <row r="23" customFormat="false" ht="86.4" hidden="false" customHeight="false" outlineLevel="0" collapsed="false">
      <c r="A23" s="23"/>
      <c r="B23" s="23" t="s">
        <v>295</v>
      </c>
      <c r="C23" s="25" t="s">
        <v>297</v>
      </c>
      <c r="D23" s="25"/>
      <c r="E23" s="25"/>
      <c r="F23" s="25"/>
      <c r="G23" s="25"/>
      <c r="H23" s="25"/>
      <c r="I23" s="23" t="n">
        <v>1</v>
      </c>
      <c r="J23" s="23"/>
    </row>
    <row r="24" customFormat="false" ht="72" hidden="false" customHeight="false" outlineLevel="0" collapsed="false">
      <c r="A24" s="23"/>
      <c r="B24" s="23" t="s">
        <v>302</v>
      </c>
      <c r="C24" s="25" t="s">
        <v>304</v>
      </c>
      <c r="D24" s="23"/>
      <c r="E24" s="23"/>
      <c r="F24" s="23"/>
      <c r="G24" s="23"/>
      <c r="H24" s="23"/>
      <c r="I24" s="23" t="n">
        <v>1</v>
      </c>
      <c r="J24" s="23"/>
    </row>
    <row r="25" customFormat="false" ht="86.4" hidden="false" customHeight="false" outlineLevel="0" collapsed="false">
      <c r="A25" s="23"/>
      <c r="B25" s="24" t="s">
        <v>321</v>
      </c>
      <c r="C25" s="25" t="s">
        <v>323</v>
      </c>
      <c r="D25" s="23"/>
      <c r="E25" s="23"/>
      <c r="F25" s="23"/>
      <c r="G25" s="23"/>
      <c r="H25" s="23"/>
      <c r="I25" s="23" t="n">
        <v>1</v>
      </c>
      <c r="J25" s="23"/>
    </row>
    <row r="26" customFormat="false" ht="100.8" hidden="false" customHeight="false" outlineLevel="0" collapsed="false">
      <c r="A26" s="23"/>
      <c r="B26" s="24" t="s">
        <v>324</v>
      </c>
      <c r="C26" s="25" t="s">
        <v>326</v>
      </c>
      <c r="D26" s="23"/>
      <c r="E26" s="23"/>
      <c r="F26" s="23"/>
      <c r="G26" s="23"/>
      <c r="H26" s="23"/>
      <c r="I26" s="23" t="n">
        <v>1</v>
      </c>
      <c r="J26" s="23"/>
    </row>
    <row r="27" customFormat="false" ht="28.8" hidden="false" customHeight="false" outlineLevel="0" collapsed="false">
      <c r="A27" s="23"/>
      <c r="B27" s="24" t="s">
        <v>327</v>
      </c>
      <c r="C27" s="25" t="s">
        <v>329</v>
      </c>
      <c r="D27" s="23"/>
      <c r="E27" s="23"/>
      <c r="F27" s="23"/>
      <c r="G27" s="23"/>
      <c r="H27" s="23"/>
      <c r="I27" s="23" t="n">
        <v>1</v>
      </c>
      <c r="J27" s="23"/>
    </row>
    <row r="28" customFormat="false" ht="86.4" hidden="false" customHeight="false" outlineLevel="0" collapsed="false">
      <c r="A28" s="23"/>
      <c r="B28" s="23" t="s">
        <v>440</v>
      </c>
      <c r="C28" s="25" t="s">
        <v>442</v>
      </c>
      <c r="D28" s="23" t="n">
        <f aca="false">(I4+I6)*0.01</f>
        <v>0.185122</v>
      </c>
      <c r="E28" s="23" t="n">
        <f aca="false">I3*0.02</f>
        <v>0.0952</v>
      </c>
      <c r="F28" s="23" t="n">
        <v>1.3</v>
      </c>
      <c r="G28" s="23" t="n">
        <v>6</v>
      </c>
      <c r="H28" s="23"/>
      <c r="I28" s="24" t="n">
        <f aca="false">(D28+E28)*F28*G28</f>
        <v>2.1865116</v>
      </c>
      <c r="J28" s="23" t="s">
        <v>557</v>
      </c>
    </row>
    <row r="29" customFormat="false" ht="14.4" hidden="false" customHeight="false" outlineLevel="0" collapsed="false">
      <c r="A29" s="23"/>
      <c r="B29" s="24" t="s">
        <v>444</v>
      </c>
      <c r="C29" s="25" t="s">
        <v>446</v>
      </c>
      <c r="D29" s="24"/>
      <c r="E29" s="23"/>
      <c r="F29" s="23"/>
      <c r="G29" s="23"/>
      <c r="H29" s="23"/>
      <c r="I29" s="24" t="n">
        <f aca="false">I4</f>
        <v>2.8</v>
      </c>
      <c r="J29" s="23" t="s">
        <v>458</v>
      </c>
    </row>
    <row r="30" customFormat="false" ht="14.4" hidden="false" customHeight="false" outlineLevel="0" collapsed="false">
      <c r="I30" s="0" t="n">
        <f aca="false">SUM(I2:I29)</f>
        <v>74.5209116</v>
      </c>
    </row>
  </sheetData>
  <mergeCells count="1">
    <mergeCell ref="A2:A29"/>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J33"/>
  <sheetViews>
    <sheetView windowProtection="false" showFormulas="false" showGridLines="true" showRowColHeaders="true" showZeros="true" rightToLeft="false" tabSelected="false" showOutlineSymbols="true" defaultGridColor="true" view="normal" topLeftCell="A28" colorId="64" zoomScale="90" zoomScaleNormal="90" zoomScalePageLayoutView="100" workbookViewId="0">
      <selection pane="topLeft" activeCell="I34" activeCellId="0" sqref="I34"/>
    </sheetView>
  </sheetViews>
  <sheetFormatPr defaultRowHeight="14.4"/>
  <cols>
    <col collapsed="false" hidden="false" max="1" min="1" style="0" width="11.8775510204082"/>
    <col collapsed="false" hidden="false" max="3" min="3" style="0" width="27.2704081632653"/>
    <col collapsed="false" hidden="false" max="5" min="4" style="0" width="6.61224489795918"/>
    <col collapsed="false" hidden="false" max="6" min="6" style="0" width="7.4234693877551"/>
    <col collapsed="false" hidden="false" max="7" min="7" style="0" width="8.23469387755102"/>
    <col collapsed="false" hidden="false" max="9" min="9" style="0" width="8.50510204081633"/>
    <col collapsed="false" hidden="false" max="10" min="10" style="0" width="28.2142857142857"/>
  </cols>
  <sheetData>
    <row r="1" customFormat="false" ht="15.6" hidden="false" customHeight="false" outlineLevel="0" collapsed="false">
      <c r="A1" s="22" t="s">
        <v>1</v>
      </c>
      <c r="B1" s="22" t="s">
        <v>3</v>
      </c>
      <c r="C1" s="22" t="s">
        <v>561</v>
      </c>
      <c r="D1" s="22" t="s">
        <v>449</v>
      </c>
      <c r="E1" s="22" t="s">
        <v>450</v>
      </c>
      <c r="F1" s="22" t="s">
        <v>451</v>
      </c>
      <c r="G1" s="22" t="s">
        <v>452</v>
      </c>
      <c r="H1" s="22" t="s">
        <v>453</v>
      </c>
      <c r="I1" s="22" t="s">
        <v>454</v>
      </c>
      <c r="J1" s="22" t="s">
        <v>562</v>
      </c>
    </row>
    <row r="2" customFormat="false" ht="33" hidden="false" customHeight="true" outlineLevel="0" collapsed="false">
      <c r="A2" s="23" t="s">
        <v>563</v>
      </c>
      <c r="B2" s="23" t="s">
        <v>331</v>
      </c>
      <c r="C2" s="25" t="s">
        <v>333</v>
      </c>
      <c r="D2" s="25"/>
      <c r="E2" s="25"/>
      <c r="F2" s="25"/>
      <c r="G2" s="25"/>
      <c r="H2" s="25"/>
      <c r="I2" s="23" t="n">
        <v>3</v>
      </c>
      <c r="J2" s="23"/>
    </row>
    <row r="3" customFormat="false" ht="100.8" hidden="false" customHeight="false" outlineLevel="0" collapsed="false">
      <c r="A3" s="23"/>
      <c r="B3" s="23" t="s">
        <v>334</v>
      </c>
      <c r="C3" s="25" t="s">
        <v>336</v>
      </c>
      <c r="D3" s="23"/>
      <c r="E3" s="23"/>
      <c r="F3" s="23"/>
      <c r="G3" s="23"/>
      <c r="H3" s="23"/>
      <c r="I3" s="24" t="n">
        <v>3</v>
      </c>
      <c r="J3" s="23"/>
    </row>
    <row r="4" customFormat="false" ht="43.2" hidden="false" customHeight="false" outlineLevel="0" collapsed="false">
      <c r="A4" s="23"/>
      <c r="B4" s="23" t="s">
        <v>337</v>
      </c>
      <c r="C4" s="25" t="s">
        <v>339</v>
      </c>
      <c r="D4" s="23"/>
      <c r="E4" s="23"/>
      <c r="F4" s="23"/>
      <c r="G4" s="23"/>
      <c r="H4" s="23"/>
      <c r="I4" s="24" t="n">
        <v>5</v>
      </c>
      <c r="J4" s="23"/>
    </row>
    <row r="5" customFormat="false" ht="57.6" hidden="false" customHeight="false" outlineLevel="0" collapsed="false">
      <c r="A5" s="23"/>
      <c r="B5" s="23" t="s">
        <v>340</v>
      </c>
      <c r="C5" s="25" t="s">
        <v>342</v>
      </c>
      <c r="D5" s="25"/>
      <c r="E5" s="25"/>
      <c r="F5" s="25"/>
      <c r="G5" s="25"/>
      <c r="H5" s="25"/>
      <c r="I5" s="23" t="n">
        <v>5</v>
      </c>
      <c r="J5" s="23"/>
    </row>
    <row r="6" customFormat="false" ht="57.6" hidden="false" customHeight="false" outlineLevel="0" collapsed="false">
      <c r="A6" s="23"/>
      <c r="B6" s="23" t="s">
        <v>343</v>
      </c>
      <c r="C6" s="25" t="s">
        <v>345</v>
      </c>
      <c r="D6" s="23"/>
      <c r="E6" s="23"/>
      <c r="F6" s="23"/>
      <c r="G6" s="23"/>
      <c r="H6" s="23"/>
      <c r="I6" s="24" t="n">
        <v>5</v>
      </c>
      <c r="J6" s="23"/>
    </row>
    <row r="7" customFormat="false" ht="28.8" hidden="false" customHeight="false" outlineLevel="0" collapsed="false">
      <c r="A7" s="23"/>
      <c r="B7" s="23" t="s">
        <v>346</v>
      </c>
      <c r="C7" s="25" t="s">
        <v>348</v>
      </c>
      <c r="D7" s="25"/>
      <c r="E7" s="25"/>
      <c r="F7" s="25"/>
      <c r="G7" s="25"/>
      <c r="H7" s="25"/>
      <c r="I7" s="24" t="n">
        <v>9</v>
      </c>
      <c r="J7" s="23"/>
    </row>
    <row r="8" customFormat="false" ht="28.8" hidden="false" customHeight="false" outlineLevel="0" collapsed="false">
      <c r="A8" s="23"/>
      <c r="B8" s="23" t="s">
        <v>349</v>
      </c>
      <c r="C8" s="25" t="s">
        <v>351</v>
      </c>
      <c r="D8" s="25"/>
      <c r="E8" s="25"/>
      <c r="F8" s="25"/>
      <c r="G8" s="25"/>
      <c r="H8" s="25"/>
      <c r="I8" s="24" t="n">
        <v>3</v>
      </c>
      <c r="J8" s="23"/>
    </row>
    <row r="9" customFormat="false" ht="28.8" hidden="false" customHeight="false" outlineLevel="0" collapsed="false">
      <c r="A9" s="23"/>
      <c r="B9" s="23" t="s">
        <v>352</v>
      </c>
      <c r="C9" s="25" t="s">
        <v>354</v>
      </c>
      <c r="D9" s="23"/>
      <c r="E9" s="23"/>
      <c r="F9" s="23"/>
      <c r="G9" s="23"/>
      <c r="H9" s="23"/>
      <c r="I9" s="24" t="n">
        <v>2</v>
      </c>
      <c r="J9" s="23"/>
    </row>
    <row r="10" customFormat="false" ht="28.8" hidden="false" customHeight="false" outlineLevel="0" collapsed="false">
      <c r="A10" s="23"/>
      <c r="B10" s="23" t="s">
        <v>355</v>
      </c>
      <c r="C10" s="25" t="s">
        <v>357</v>
      </c>
      <c r="D10" s="23"/>
      <c r="E10" s="23"/>
      <c r="F10" s="23"/>
      <c r="G10" s="23"/>
      <c r="H10" s="23"/>
      <c r="I10" s="23" t="n">
        <v>1</v>
      </c>
      <c r="J10" s="23"/>
    </row>
    <row r="11" customFormat="false" ht="28.8" hidden="false" customHeight="false" outlineLevel="0" collapsed="false">
      <c r="A11" s="23"/>
      <c r="B11" s="23" t="s">
        <v>358</v>
      </c>
      <c r="C11" s="25" t="s">
        <v>360</v>
      </c>
      <c r="D11" s="23"/>
      <c r="E11" s="27"/>
      <c r="F11" s="23"/>
      <c r="G11" s="23"/>
      <c r="H11" s="23"/>
      <c r="I11" s="24" t="n">
        <v>1</v>
      </c>
      <c r="J11" s="23"/>
    </row>
    <row r="12" customFormat="false" ht="72" hidden="false" customHeight="false" outlineLevel="0" collapsed="false">
      <c r="A12" s="23"/>
      <c r="B12" s="23" t="s">
        <v>361</v>
      </c>
      <c r="C12" s="25" t="s">
        <v>363</v>
      </c>
      <c r="D12" s="24"/>
      <c r="E12" s="27"/>
      <c r="F12" s="23"/>
      <c r="G12" s="23"/>
      <c r="H12" s="23"/>
      <c r="I12" s="23" t="n">
        <v>4</v>
      </c>
      <c r="J12" s="23"/>
    </row>
    <row r="13" customFormat="false" ht="43.2" hidden="false" customHeight="false" outlineLevel="0" collapsed="false">
      <c r="A13" s="23"/>
      <c r="B13" s="23" t="s">
        <v>364</v>
      </c>
      <c r="C13" s="25" t="s">
        <v>366</v>
      </c>
      <c r="D13" s="25"/>
      <c r="E13" s="25"/>
      <c r="F13" s="25"/>
      <c r="G13" s="25"/>
      <c r="H13" s="25"/>
      <c r="I13" s="23" t="n">
        <v>1</v>
      </c>
      <c r="J13" s="23"/>
    </row>
    <row r="14" customFormat="false" ht="43.2" hidden="false" customHeight="false" outlineLevel="0" collapsed="false">
      <c r="A14" s="23"/>
      <c r="B14" s="23" t="s">
        <v>367</v>
      </c>
      <c r="C14" s="25" t="s">
        <v>369</v>
      </c>
      <c r="D14" s="25"/>
      <c r="E14" s="25"/>
      <c r="F14" s="25"/>
      <c r="G14" s="25"/>
      <c r="H14" s="25"/>
      <c r="I14" s="23" t="n">
        <v>3</v>
      </c>
      <c r="J14" s="23"/>
    </row>
    <row r="15" customFormat="false" ht="43.2" hidden="false" customHeight="false" outlineLevel="0" collapsed="false">
      <c r="A15" s="23"/>
      <c r="B15" s="23" t="s">
        <v>370</v>
      </c>
      <c r="C15" s="25" t="s">
        <v>372</v>
      </c>
      <c r="D15" s="25"/>
      <c r="E15" s="25"/>
      <c r="F15" s="25"/>
      <c r="G15" s="25"/>
      <c r="H15" s="25"/>
      <c r="I15" s="23" t="n">
        <v>2</v>
      </c>
      <c r="J15" s="23"/>
    </row>
    <row r="16" customFormat="false" ht="43.2" hidden="false" customHeight="false" outlineLevel="0" collapsed="false">
      <c r="A16" s="23"/>
      <c r="B16" s="23" t="s">
        <v>373</v>
      </c>
      <c r="C16" s="25" t="s">
        <v>375</v>
      </c>
      <c r="D16" s="25"/>
      <c r="E16" s="25"/>
      <c r="F16" s="25"/>
      <c r="G16" s="25"/>
      <c r="H16" s="25"/>
      <c r="I16" s="23" t="n">
        <v>3</v>
      </c>
      <c r="J16" s="23"/>
    </row>
    <row r="17" customFormat="false" ht="43.2" hidden="false" customHeight="false" outlineLevel="0" collapsed="false">
      <c r="A17" s="23"/>
      <c r="B17" s="23" t="s">
        <v>376</v>
      </c>
      <c r="C17" s="25" t="s">
        <v>378</v>
      </c>
      <c r="D17" s="25"/>
      <c r="E17" s="25"/>
      <c r="F17" s="25"/>
      <c r="G17" s="25"/>
      <c r="H17" s="25"/>
      <c r="I17" s="23" t="n">
        <v>1</v>
      </c>
      <c r="J17" s="23"/>
    </row>
    <row r="18" customFormat="false" ht="43.2" hidden="false" customHeight="false" outlineLevel="0" collapsed="false">
      <c r="A18" s="23"/>
      <c r="B18" s="23" t="s">
        <v>379</v>
      </c>
      <c r="C18" s="25" t="s">
        <v>381</v>
      </c>
      <c r="D18" s="25"/>
      <c r="E18" s="25"/>
      <c r="F18" s="25"/>
      <c r="G18" s="25"/>
      <c r="H18" s="25"/>
      <c r="I18" s="23" t="n">
        <v>5</v>
      </c>
      <c r="J18" s="23"/>
    </row>
    <row r="19" customFormat="false" ht="43.2" hidden="false" customHeight="false" outlineLevel="0" collapsed="false">
      <c r="A19" s="23"/>
      <c r="B19" s="23" t="s">
        <v>382</v>
      </c>
      <c r="C19" s="25" t="s">
        <v>384</v>
      </c>
      <c r="D19" s="25"/>
      <c r="E19" s="25"/>
      <c r="F19" s="25"/>
      <c r="G19" s="25"/>
      <c r="H19" s="25"/>
      <c r="I19" s="23" t="n">
        <v>5</v>
      </c>
      <c r="J19" s="23"/>
    </row>
    <row r="20" customFormat="false" ht="43.2" hidden="false" customHeight="false" outlineLevel="0" collapsed="false">
      <c r="A20" s="23"/>
      <c r="B20" s="23" t="s">
        <v>385</v>
      </c>
      <c r="C20" s="25" t="s">
        <v>387</v>
      </c>
      <c r="D20" s="25"/>
      <c r="E20" s="25"/>
      <c r="F20" s="25"/>
      <c r="G20" s="25"/>
      <c r="H20" s="25"/>
      <c r="I20" s="23" t="n">
        <v>2</v>
      </c>
      <c r="J20" s="23"/>
    </row>
    <row r="21" customFormat="false" ht="28.8" hidden="false" customHeight="false" outlineLevel="0" collapsed="false">
      <c r="A21" s="23"/>
      <c r="B21" s="23" t="s">
        <v>388</v>
      </c>
      <c r="C21" s="25" t="s">
        <v>390</v>
      </c>
      <c r="D21" s="25"/>
      <c r="E21" s="25"/>
      <c r="F21" s="25"/>
      <c r="G21" s="25"/>
      <c r="H21" s="25"/>
      <c r="I21" s="23" t="n">
        <v>1.4</v>
      </c>
      <c r="J21" s="23"/>
    </row>
    <row r="22" customFormat="false" ht="28.8" hidden="false" customHeight="false" outlineLevel="0" collapsed="false">
      <c r="A22" s="23"/>
      <c r="B22" s="23" t="s">
        <v>391</v>
      </c>
      <c r="C22" s="25" t="s">
        <v>393</v>
      </c>
      <c r="D22" s="25"/>
      <c r="E22" s="25"/>
      <c r="F22" s="25"/>
      <c r="G22" s="25"/>
      <c r="H22" s="25"/>
      <c r="I22" s="23" t="n">
        <v>15.03</v>
      </c>
      <c r="J22" s="23"/>
    </row>
    <row r="23" customFormat="false" ht="28.8" hidden="false" customHeight="false" outlineLevel="0" collapsed="false">
      <c r="A23" s="23"/>
      <c r="B23" s="23" t="s">
        <v>394</v>
      </c>
      <c r="C23" s="25" t="s">
        <v>396</v>
      </c>
      <c r="D23" s="25"/>
      <c r="E23" s="25"/>
      <c r="F23" s="25"/>
      <c r="G23" s="25"/>
      <c r="H23" s="25"/>
      <c r="I23" s="23" t="n">
        <v>11.23</v>
      </c>
      <c r="J23" s="23"/>
    </row>
    <row r="24" customFormat="false" ht="28.8" hidden="false" customHeight="false" outlineLevel="0" collapsed="false">
      <c r="A24" s="23"/>
      <c r="B24" s="23" t="s">
        <v>397</v>
      </c>
      <c r="C24" s="25" t="s">
        <v>399</v>
      </c>
      <c r="D24" s="25"/>
      <c r="E24" s="25"/>
      <c r="F24" s="25"/>
      <c r="G24" s="25"/>
      <c r="H24" s="25"/>
      <c r="I24" s="23" t="n">
        <v>41.3</v>
      </c>
      <c r="J24" s="23"/>
    </row>
    <row r="25" customFormat="false" ht="28.8" hidden="false" customHeight="false" outlineLevel="0" collapsed="false">
      <c r="A25" s="23"/>
      <c r="B25" s="23" t="s">
        <v>400</v>
      </c>
      <c r="C25" s="25" t="s">
        <v>402</v>
      </c>
      <c r="D25" s="23"/>
      <c r="E25" s="23"/>
      <c r="F25" s="23"/>
      <c r="G25" s="23"/>
      <c r="H25" s="23"/>
      <c r="I25" s="23" t="n">
        <v>18.91</v>
      </c>
      <c r="J25" s="23"/>
    </row>
    <row r="26" customFormat="false" ht="57.6" hidden="false" customHeight="false" outlineLevel="0" collapsed="false">
      <c r="A26" s="23"/>
      <c r="B26" s="23" t="s">
        <v>403</v>
      </c>
      <c r="C26" s="25" t="s">
        <v>405</v>
      </c>
      <c r="D26" s="23"/>
      <c r="E26" s="23"/>
      <c r="F26" s="23"/>
      <c r="G26" s="23"/>
      <c r="H26" s="23"/>
      <c r="I26" s="23" t="n">
        <v>2</v>
      </c>
      <c r="J26" s="23"/>
    </row>
    <row r="27" customFormat="false" ht="57.6" hidden="false" customHeight="false" outlineLevel="0" collapsed="false">
      <c r="A27" s="23"/>
      <c r="B27" s="23" t="s">
        <v>406</v>
      </c>
      <c r="C27" s="25" t="s">
        <v>408</v>
      </c>
      <c r="D27" s="23"/>
      <c r="E27" s="23"/>
      <c r="F27" s="23"/>
      <c r="G27" s="23"/>
      <c r="H27" s="23"/>
      <c r="I27" s="23" t="n">
        <v>12</v>
      </c>
      <c r="J27" s="23"/>
    </row>
    <row r="28" customFormat="false" ht="72" hidden="false" customHeight="false" outlineLevel="0" collapsed="false">
      <c r="A28" s="23"/>
      <c r="B28" s="23" t="s">
        <v>409</v>
      </c>
      <c r="C28" s="25" t="s">
        <v>411</v>
      </c>
      <c r="D28" s="23"/>
      <c r="E28" s="23"/>
      <c r="F28" s="23"/>
      <c r="G28" s="23"/>
      <c r="H28" s="23"/>
      <c r="I28" s="23" t="n">
        <v>30</v>
      </c>
      <c r="J28" s="23"/>
    </row>
    <row r="29" customFormat="false" ht="28.8" hidden="false" customHeight="false" outlineLevel="0" collapsed="false">
      <c r="A29" s="23"/>
      <c r="B29" s="23" t="s">
        <v>412</v>
      </c>
      <c r="C29" s="25" t="s">
        <v>414</v>
      </c>
      <c r="D29" s="23"/>
      <c r="E29" s="23"/>
      <c r="F29" s="23"/>
      <c r="G29" s="23"/>
      <c r="H29" s="23"/>
      <c r="I29" s="23" t="n">
        <v>2</v>
      </c>
      <c r="J29" s="23"/>
    </row>
    <row r="30" customFormat="false" ht="115.2" hidden="false" customHeight="false" outlineLevel="0" collapsed="false">
      <c r="A30" s="23"/>
      <c r="B30" s="23" t="s">
        <v>415</v>
      </c>
      <c r="C30" s="25" t="s">
        <v>417</v>
      </c>
      <c r="D30" s="23"/>
      <c r="E30" s="23"/>
      <c r="F30" s="23"/>
      <c r="G30" s="23"/>
      <c r="H30" s="23"/>
      <c r="I30" s="23" t="n">
        <v>5</v>
      </c>
      <c r="J30" s="23"/>
    </row>
    <row r="31" customFormat="false" ht="28.8" hidden="false" customHeight="false" outlineLevel="0" collapsed="false">
      <c r="A31" s="23"/>
      <c r="B31" s="23" t="s">
        <v>418</v>
      </c>
      <c r="C31" s="25" t="s">
        <v>420</v>
      </c>
      <c r="D31" s="23"/>
      <c r="E31" s="23"/>
      <c r="F31" s="23"/>
      <c r="G31" s="23"/>
      <c r="H31" s="23"/>
      <c r="I31" s="24" t="n">
        <v>1</v>
      </c>
      <c r="J31" s="23"/>
    </row>
    <row r="32" customFormat="false" ht="72" hidden="false" customHeight="false" outlineLevel="0" collapsed="false">
      <c r="A32" s="23"/>
      <c r="B32" s="23" t="s">
        <v>421</v>
      </c>
      <c r="C32" s="25" t="s">
        <v>423</v>
      </c>
      <c r="D32" s="24"/>
      <c r="E32" s="23"/>
      <c r="F32" s="23"/>
      <c r="G32" s="23"/>
      <c r="H32" s="23"/>
      <c r="I32" s="24" t="n">
        <v>6</v>
      </c>
      <c r="J32" s="23"/>
    </row>
    <row r="33" customFormat="false" ht="14.4" hidden="false" customHeight="false" outlineLevel="0" collapsed="false">
      <c r="I33" s="0" t="n">
        <f aca="false">SUM(I2:I32)</f>
        <v>208.87</v>
      </c>
    </row>
  </sheetData>
  <mergeCells count="1">
    <mergeCell ref="A2:A32"/>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Roman,Normal"&amp;12Página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L23"/>
  <sheetViews>
    <sheetView windowProtection="false" showFormulas="false" showGridLines="true" showRowColHeaders="true" showZeros="true" rightToLeft="false" tabSelected="false" showOutlineSymbols="true" defaultGridColor="true" view="normal" topLeftCell="A19" colorId="64" zoomScale="90" zoomScaleNormal="90" zoomScalePageLayoutView="100" workbookViewId="0">
      <selection pane="topLeft" activeCell="I24" activeCellId="0" sqref="I24"/>
    </sheetView>
  </sheetViews>
  <sheetFormatPr defaultRowHeight="14.4"/>
  <cols>
    <col collapsed="false" hidden="false" max="1" min="1" style="0" width="10.530612244898"/>
    <col collapsed="false" hidden="false" max="2" min="2" style="0" width="8.23469387755102"/>
    <col collapsed="false" hidden="false" max="3" min="3" style="20" width="29.4285714285714"/>
    <col collapsed="false" hidden="false" max="4" min="4" style="20" width="13.0918367346939"/>
    <col collapsed="false" hidden="false" max="5" min="5" style="20" width="15.5255102040816"/>
    <col collapsed="false" hidden="false" max="6" min="6" style="20" width="14.0408163265306"/>
    <col collapsed="false" hidden="false" max="8" min="7" style="20" width="7.96428571428571"/>
    <col collapsed="false" hidden="false" max="9" min="9" style="21" width="7.96428571428571"/>
    <col collapsed="false" hidden="false" max="10" min="10" style="20" width="27.5408163265306"/>
    <col collapsed="false" hidden="false" max="11" min="11" style="0" width="8.23469387755102"/>
    <col collapsed="false" hidden="false" max="12" min="12" style="0" width="6.0765306122449"/>
    <col collapsed="false" hidden="false" max="1025" min="13"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78.75" hidden="false" customHeight="true" outlineLevel="0" collapsed="false">
      <c r="A2" s="23" t="s">
        <v>9</v>
      </c>
      <c r="B2" s="24" t="s">
        <v>34</v>
      </c>
      <c r="C2" s="25" t="s">
        <v>36</v>
      </c>
      <c r="D2" s="23" t="n">
        <v>0.7</v>
      </c>
      <c r="E2" s="23" t="n">
        <f aca="false">5.2+2+2+2.4</f>
        <v>11.6</v>
      </c>
      <c r="F2" s="23" t="n">
        <f aca="false">1.2+1.2</f>
        <v>2.4</v>
      </c>
      <c r="G2" s="23"/>
      <c r="H2" s="23"/>
      <c r="I2" s="24" t="n">
        <f aca="false">D2*(E2-F2)</f>
        <v>6.44</v>
      </c>
      <c r="J2" s="23" t="s">
        <v>467</v>
      </c>
      <c r="K2" s="26"/>
      <c r="L2" s="26"/>
    </row>
    <row r="3" customFormat="false" ht="78.75" hidden="false" customHeight="true" outlineLevel="0" collapsed="false">
      <c r="A3" s="23"/>
      <c r="B3" s="24" t="s">
        <v>44</v>
      </c>
      <c r="C3" s="25" t="s">
        <v>46</v>
      </c>
      <c r="D3" s="23" t="n">
        <f aca="false">2.1*0.6*2</f>
        <v>2.52</v>
      </c>
      <c r="E3" s="23"/>
      <c r="F3" s="23"/>
      <c r="G3" s="23"/>
      <c r="H3" s="23"/>
      <c r="I3" s="24" t="n">
        <f aca="false">D3</f>
        <v>2.52</v>
      </c>
      <c r="J3" s="23" t="s">
        <v>468</v>
      </c>
      <c r="K3" s="26"/>
      <c r="L3" s="26"/>
    </row>
    <row r="4" customFormat="false" ht="83.25" hidden="false" customHeight="true" outlineLevel="0" collapsed="false">
      <c r="A4" s="23"/>
      <c r="B4" s="24" t="s">
        <v>55</v>
      </c>
      <c r="C4" s="25" t="s">
        <v>57</v>
      </c>
      <c r="D4" s="23" t="n">
        <v>2.58</v>
      </c>
      <c r="E4" s="23" t="n">
        <f aca="false">5.2+2+2+2.4</f>
        <v>11.6</v>
      </c>
      <c r="F4" s="24" t="n">
        <f aca="false">I2</f>
        <v>6.44</v>
      </c>
      <c r="G4" s="23" t="n">
        <f aca="false">((1.2+1.2)*1.4)+((1.85+1.85)*1.1)</f>
        <v>7.43</v>
      </c>
      <c r="H4" s="24" t="n">
        <f aca="false">I5</f>
        <v>10.4</v>
      </c>
      <c r="I4" s="24" t="n">
        <f aca="false">(D4*E4)-F4-G4+H4</f>
        <v>26.458</v>
      </c>
      <c r="J4" s="23" t="s">
        <v>457</v>
      </c>
    </row>
    <row r="5" customFormat="false" ht="83.25" hidden="false" customHeight="true" outlineLevel="0" collapsed="false">
      <c r="A5" s="23"/>
      <c r="B5" s="24" t="s">
        <v>73</v>
      </c>
      <c r="C5" s="25" t="s">
        <v>75</v>
      </c>
      <c r="D5" s="23"/>
      <c r="E5" s="23"/>
      <c r="F5" s="23"/>
      <c r="G5" s="23"/>
      <c r="H5" s="23"/>
      <c r="I5" s="24" t="n">
        <v>10.4</v>
      </c>
      <c r="J5" s="23" t="s">
        <v>458</v>
      </c>
    </row>
    <row r="6" customFormat="false" ht="55.45" hidden="false" customHeight="false" outlineLevel="0" collapsed="false">
      <c r="A6" s="23"/>
      <c r="B6" s="24" t="s">
        <v>119</v>
      </c>
      <c r="C6" s="25" t="s">
        <v>121</v>
      </c>
      <c r="D6" s="28" t="n">
        <f aca="false">I2</f>
        <v>6.44</v>
      </c>
      <c r="E6" s="25" t="n">
        <f aca="false">2.8*2.85</f>
        <v>7.98</v>
      </c>
      <c r="F6" s="25"/>
      <c r="G6" s="25"/>
      <c r="H6" s="25"/>
      <c r="I6" s="24" t="n">
        <f aca="false">D6+E6</f>
        <v>14.42</v>
      </c>
      <c r="J6" s="23" t="s">
        <v>469</v>
      </c>
    </row>
    <row r="7" customFormat="false" ht="79.5" hidden="false" customHeight="true" outlineLevel="0" collapsed="false">
      <c r="A7" s="23"/>
      <c r="B7" s="24" t="s">
        <v>125</v>
      </c>
      <c r="C7" s="25" t="s">
        <v>127</v>
      </c>
      <c r="D7" s="28" t="n">
        <f aca="false">I2</f>
        <v>6.44</v>
      </c>
      <c r="E7" s="25" t="n">
        <f aca="false">2.8*2.85</f>
        <v>7.98</v>
      </c>
      <c r="F7" s="25"/>
      <c r="G7" s="25"/>
      <c r="H7" s="25"/>
      <c r="I7" s="24" t="n">
        <f aca="false">D7+E7</f>
        <v>14.42</v>
      </c>
      <c r="J7" s="23" t="s">
        <v>469</v>
      </c>
    </row>
    <row r="8" customFormat="false" ht="79.5" hidden="false" customHeight="true" outlineLevel="0" collapsed="false">
      <c r="A8" s="23"/>
      <c r="B8" s="24" t="s">
        <v>135</v>
      </c>
      <c r="C8" s="25" t="s">
        <v>137</v>
      </c>
      <c r="D8" s="23" t="n">
        <f aca="false">5.2+5.2+2+2</f>
        <v>14.4</v>
      </c>
      <c r="E8" s="23" t="n">
        <f aca="false">1.2+1.2</f>
        <v>2.4</v>
      </c>
      <c r="F8" s="23"/>
      <c r="G8" s="23"/>
      <c r="H8" s="23"/>
      <c r="I8" s="24" t="n">
        <f aca="false">D8-E8</f>
        <v>12</v>
      </c>
      <c r="J8" s="23" t="s">
        <v>470</v>
      </c>
    </row>
    <row r="9" customFormat="false" ht="79.5" hidden="false" customHeight="true" outlineLevel="0" collapsed="false">
      <c r="A9" s="23"/>
      <c r="B9" s="24" t="s">
        <v>144</v>
      </c>
      <c r="C9" s="25" t="s">
        <v>146</v>
      </c>
      <c r="D9" s="23"/>
      <c r="E9" s="27"/>
      <c r="F9" s="23"/>
      <c r="G9" s="23"/>
      <c r="H9" s="23"/>
      <c r="I9" s="24" t="n">
        <f aca="false">I5</f>
        <v>10.4</v>
      </c>
      <c r="J9" s="23" t="s">
        <v>458</v>
      </c>
    </row>
    <row r="10" customFormat="false" ht="41.95" hidden="false" customHeight="false" outlineLevel="0" collapsed="false">
      <c r="A10" s="23"/>
      <c r="B10" s="24" t="s">
        <v>147</v>
      </c>
      <c r="C10" s="25" t="s">
        <v>149</v>
      </c>
      <c r="D10" s="24" t="n">
        <f aca="false">I5</f>
        <v>10.4</v>
      </c>
      <c r="E10" s="27" t="n">
        <v>0.3</v>
      </c>
      <c r="F10" s="23"/>
      <c r="G10" s="23"/>
      <c r="H10" s="23"/>
      <c r="I10" s="23" t="n">
        <f aca="false">D10*E10</f>
        <v>3.12</v>
      </c>
      <c r="J10" s="23" t="s">
        <v>462</v>
      </c>
    </row>
    <row r="11" customFormat="false" ht="95.95" hidden="false" customHeight="false" outlineLevel="0" collapsed="false">
      <c r="A11" s="23"/>
      <c r="B11" s="24" t="s">
        <v>190</v>
      </c>
      <c r="C11" s="25" t="s">
        <v>192</v>
      </c>
      <c r="D11" s="24"/>
      <c r="E11" s="27"/>
      <c r="F11" s="23"/>
      <c r="G11" s="23"/>
      <c r="H11" s="23"/>
      <c r="I11" s="23" t="n">
        <v>4.5</v>
      </c>
      <c r="J11" s="23" t="s">
        <v>471</v>
      </c>
    </row>
    <row r="12" customFormat="false" ht="68.95" hidden="false" customHeight="false" outlineLevel="0" collapsed="false">
      <c r="A12" s="23"/>
      <c r="B12" s="24" t="s">
        <v>224</v>
      </c>
      <c r="C12" s="25" t="s">
        <v>226</v>
      </c>
      <c r="D12" s="24"/>
      <c r="E12" s="27"/>
      <c r="F12" s="23"/>
      <c r="G12" s="23"/>
      <c r="H12" s="23"/>
      <c r="I12" s="23" t="n">
        <v>2</v>
      </c>
      <c r="J12" s="23"/>
    </row>
    <row r="13" customFormat="false" ht="41.95" hidden="false" customHeight="false" outlineLevel="0" collapsed="false">
      <c r="A13" s="23"/>
      <c r="B13" s="24" t="s">
        <v>227</v>
      </c>
      <c r="C13" s="25" t="s">
        <v>229</v>
      </c>
      <c r="D13" s="24"/>
      <c r="E13" s="27"/>
      <c r="F13" s="23"/>
      <c r="G13" s="23"/>
      <c r="H13" s="23"/>
      <c r="I13" s="23" t="n">
        <v>1</v>
      </c>
      <c r="J13" s="23"/>
    </row>
    <row r="14" customFormat="false" ht="28.45" hidden="false" customHeight="false" outlineLevel="0" collapsed="false">
      <c r="A14" s="23"/>
      <c r="B14" s="24" t="s">
        <v>240</v>
      </c>
      <c r="C14" s="25" t="s">
        <v>242</v>
      </c>
      <c r="D14" s="24" t="n">
        <f aca="false">(0.6*2.1)*4</f>
        <v>5.04</v>
      </c>
      <c r="E14" s="24" t="n">
        <f aca="false">((0.15*2.1)*2)+(0.15*1.2)</f>
        <v>0.81</v>
      </c>
      <c r="F14" s="23" t="n">
        <f aca="false">0.05*((2.1*2)+1.2)*2</f>
        <v>0.54</v>
      </c>
      <c r="G14" s="23"/>
      <c r="H14" s="23"/>
      <c r="I14" s="24" t="n">
        <f aca="false">D14+E14+F14</f>
        <v>6.39</v>
      </c>
      <c r="J14" s="23" t="s">
        <v>472</v>
      </c>
    </row>
    <row r="15" customFormat="false" ht="61.5" hidden="false" customHeight="true" outlineLevel="0" collapsed="false">
      <c r="A15" s="23"/>
      <c r="B15" s="24" t="s">
        <v>246</v>
      </c>
      <c r="C15" s="25" t="s">
        <v>248</v>
      </c>
      <c r="D15" s="24" t="n">
        <f aca="false">I2</f>
        <v>6.44</v>
      </c>
      <c r="E15" s="24" t="n">
        <f aca="false">2.8*2.85</f>
        <v>7.98</v>
      </c>
      <c r="F15" s="24"/>
      <c r="G15" s="24"/>
      <c r="H15" s="25"/>
      <c r="I15" s="24" t="n">
        <f aca="false">E15+D15</f>
        <v>14.42</v>
      </c>
      <c r="J15" s="23" t="s">
        <v>473</v>
      </c>
    </row>
    <row r="16" customFormat="false" ht="62.25" hidden="false" customHeight="true" outlineLevel="0" collapsed="false">
      <c r="A16" s="23"/>
      <c r="B16" s="24" t="s">
        <v>255</v>
      </c>
      <c r="C16" s="25" t="s">
        <v>257</v>
      </c>
      <c r="D16" s="25"/>
      <c r="E16" s="25"/>
      <c r="F16" s="25"/>
      <c r="G16" s="25"/>
      <c r="H16" s="25"/>
      <c r="I16" s="24" t="n">
        <f aca="false">I5</f>
        <v>10.4</v>
      </c>
      <c r="J16" s="23" t="s">
        <v>464</v>
      </c>
    </row>
    <row r="17" customFormat="false" ht="72.75" hidden="false" customHeight="true" outlineLevel="0" collapsed="false">
      <c r="A17" s="23"/>
      <c r="B17" s="24" t="s">
        <v>258</v>
      </c>
      <c r="C17" s="25" t="s">
        <v>260</v>
      </c>
      <c r="D17" s="23" t="n">
        <v>2.85</v>
      </c>
      <c r="E17" s="23" t="n">
        <f aca="false">5.2+5.2+2+2</f>
        <v>14.4</v>
      </c>
      <c r="F17" s="23" t="n">
        <f aca="false">((1.2+1.2)*2.1)+((1.85+1.85)*1.1)</f>
        <v>9.11</v>
      </c>
      <c r="G17" s="23"/>
      <c r="H17" s="23"/>
      <c r="I17" s="23" t="n">
        <f aca="false">(D17*E17)-F17</f>
        <v>31.93</v>
      </c>
      <c r="J17" s="23" t="s">
        <v>465</v>
      </c>
    </row>
    <row r="18" customFormat="false" ht="72.75" hidden="false" customHeight="true" outlineLevel="0" collapsed="false">
      <c r="A18" s="23"/>
      <c r="B18" s="23" t="s">
        <v>302</v>
      </c>
      <c r="C18" s="25" t="s">
        <v>304</v>
      </c>
      <c r="D18" s="23"/>
      <c r="E18" s="23"/>
      <c r="F18" s="23"/>
      <c r="G18" s="23"/>
      <c r="H18" s="23"/>
      <c r="I18" s="23" t="n">
        <v>1</v>
      </c>
      <c r="J18" s="23"/>
    </row>
    <row r="19" customFormat="false" ht="72.75" hidden="false" customHeight="true" outlineLevel="0" collapsed="false">
      <c r="A19" s="23"/>
      <c r="B19" s="23" t="s">
        <v>312</v>
      </c>
      <c r="C19" s="25" t="s">
        <v>314</v>
      </c>
      <c r="D19" s="23"/>
      <c r="E19" s="23"/>
      <c r="F19" s="23"/>
      <c r="G19" s="23"/>
      <c r="H19" s="23"/>
      <c r="I19" s="23" t="n">
        <v>1</v>
      </c>
      <c r="J19" s="23"/>
    </row>
    <row r="20" customFormat="false" ht="72.75" hidden="false" customHeight="true" outlineLevel="0" collapsed="false">
      <c r="A20" s="23"/>
      <c r="B20" s="24" t="s">
        <v>321</v>
      </c>
      <c r="C20" s="25" t="s">
        <v>323</v>
      </c>
      <c r="D20" s="23"/>
      <c r="E20" s="23"/>
      <c r="F20" s="23"/>
      <c r="G20" s="23"/>
      <c r="H20" s="23"/>
      <c r="I20" s="23" t="n">
        <v>1</v>
      </c>
      <c r="J20" s="23"/>
    </row>
    <row r="21" customFormat="false" ht="72.75" hidden="false" customHeight="true" outlineLevel="0" collapsed="false">
      <c r="A21" s="23"/>
      <c r="B21" s="24" t="s">
        <v>440</v>
      </c>
      <c r="C21" s="25" t="s">
        <v>442</v>
      </c>
      <c r="D21" s="24" t="n">
        <f aca="false">I2</f>
        <v>6.44</v>
      </c>
      <c r="E21" s="23" t="n">
        <v>0.02</v>
      </c>
      <c r="F21" s="23" t="n">
        <v>1.3</v>
      </c>
      <c r="G21" s="23" t="n">
        <v>6</v>
      </c>
      <c r="H21" s="23"/>
      <c r="I21" s="24" t="n">
        <f aca="false">D21*E21*F21*G21</f>
        <v>1.00464</v>
      </c>
      <c r="J21" s="23" t="s">
        <v>466</v>
      </c>
    </row>
    <row r="22" customFormat="false" ht="73.5" hidden="false" customHeight="true" outlineLevel="0" collapsed="false">
      <c r="A22" s="23"/>
      <c r="B22" s="24" t="s">
        <v>444</v>
      </c>
      <c r="C22" s="25" t="s">
        <v>446</v>
      </c>
      <c r="D22" s="24"/>
      <c r="E22" s="23"/>
      <c r="F22" s="23"/>
      <c r="G22" s="23"/>
      <c r="H22" s="23"/>
      <c r="I22" s="24" t="n">
        <f aca="false">I5</f>
        <v>10.4</v>
      </c>
      <c r="J22" s="23" t="s">
        <v>458</v>
      </c>
    </row>
    <row r="23" customFormat="false" ht="14.4" hidden="false" customHeight="false" outlineLevel="0" collapsed="false">
      <c r="I23" s="21" t="n">
        <f aca="false">SUM(I2:I22)</f>
        <v>185.22264</v>
      </c>
    </row>
  </sheetData>
  <mergeCells count="1">
    <mergeCell ref="A2:A2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J21"/>
  <sheetViews>
    <sheetView windowProtection="false" showFormulas="false" showGridLines="true" showRowColHeaders="true" showZeros="true" rightToLeft="false" tabSelected="false" showOutlineSymbols="true" defaultGridColor="true" view="normal" topLeftCell="A13" colorId="64" zoomScale="90" zoomScaleNormal="90" zoomScalePageLayoutView="100" workbookViewId="0">
      <selection pane="topLeft" activeCell="I22" activeCellId="0" sqref="I22"/>
    </sheetView>
  </sheetViews>
  <sheetFormatPr defaultRowHeight="14.4"/>
  <cols>
    <col collapsed="false" hidden="false" max="2" min="1" style="1" width="15.7959183673469"/>
    <col collapsed="false" hidden="false" max="3" min="3" style="20" width="29.6989795918367"/>
    <col collapsed="false" hidden="false" max="8" min="4" style="20" width="7.96428571428571"/>
    <col collapsed="false" hidden="false" max="9" min="9" style="1" width="10.530612244898"/>
    <col collapsed="false" hidden="false" max="10" min="10" style="1" width="34.2857142857143"/>
    <col collapsed="false" hidden="false" max="1025" min="11"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63" hidden="false" customHeight="true" outlineLevel="0" collapsed="false">
      <c r="A2" s="23" t="s">
        <v>10</v>
      </c>
      <c r="B2" s="23" t="s">
        <v>34</v>
      </c>
      <c r="C2" s="25" t="s">
        <v>36</v>
      </c>
      <c r="D2" s="23" t="n">
        <v>1</v>
      </c>
      <c r="E2" s="23" t="n">
        <v>15.4</v>
      </c>
      <c r="F2" s="23" t="n">
        <v>1</v>
      </c>
      <c r="G2" s="23"/>
      <c r="H2" s="23"/>
      <c r="I2" s="24" t="n">
        <f aca="false">D2*(E2-F2)</f>
        <v>14.4</v>
      </c>
      <c r="J2" s="23" t="s">
        <v>474</v>
      </c>
    </row>
    <row r="3" customFormat="false" ht="28.8" hidden="false" customHeight="false" outlineLevel="0" collapsed="false">
      <c r="A3" s="23"/>
      <c r="B3" s="23" t="s">
        <v>51</v>
      </c>
      <c r="C3" s="25" t="s">
        <v>53</v>
      </c>
      <c r="D3" s="23" t="n">
        <f aca="false">2*1.8*0.6</f>
        <v>2.16</v>
      </c>
      <c r="E3" s="25"/>
      <c r="F3" s="25"/>
      <c r="G3" s="25"/>
      <c r="H3" s="25"/>
      <c r="I3" s="23" t="n">
        <f aca="false">D3</f>
        <v>2.16</v>
      </c>
      <c r="J3" s="23" t="s">
        <v>475</v>
      </c>
    </row>
    <row r="4" customFormat="false" ht="55.45" hidden="false" customHeight="false" outlineLevel="0" collapsed="false">
      <c r="A4" s="23"/>
      <c r="B4" s="23" t="s">
        <v>55</v>
      </c>
      <c r="C4" s="25" t="s">
        <v>57</v>
      </c>
      <c r="D4" s="23" t="n">
        <v>2.58</v>
      </c>
      <c r="E4" s="23" t="n">
        <f aca="false">E2</f>
        <v>15.4</v>
      </c>
      <c r="F4" s="24" t="n">
        <f aca="false">I2</f>
        <v>14.4</v>
      </c>
      <c r="G4" s="23" t="n">
        <f aca="false">(2*1.8*0.6)+(1*1.4)</f>
        <v>3.56</v>
      </c>
      <c r="H4" s="24" t="n">
        <v>6.12</v>
      </c>
      <c r="I4" s="24" t="n">
        <f aca="false">(D4*E4)-F4-G4+H4</f>
        <v>27.892</v>
      </c>
      <c r="J4" s="23" t="s">
        <v>457</v>
      </c>
    </row>
    <row r="5" customFormat="false" ht="28.45" hidden="false" customHeight="false" outlineLevel="0" collapsed="false">
      <c r="A5" s="23"/>
      <c r="B5" s="24" t="s">
        <v>73</v>
      </c>
      <c r="C5" s="25" t="s">
        <v>75</v>
      </c>
      <c r="D5" s="23"/>
      <c r="E5" s="23"/>
      <c r="F5" s="23"/>
      <c r="G5" s="23"/>
      <c r="H5" s="23"/>
      <c r="I5" s="24" t="n">
        <v>6.12</v>
      </c>
      <c r="J5" s="23" t="s">
        <v>458</v>
      </c>
    </row>
    <row r="6" customFormat="false" ht="72" hidden="false" customHeight="false" outlineLevel="0" collapsed="false">
      <c r="A6" s="23"/>
      <c r="B6" s="23" t="s">
        <v>111</v>
      </c>
      <c r="C6" s="25" t="s">
        <v>113</v>
      </c>
      <c r="D6" s="23" t="n">
        <f aca="false">(1.8+0.3+0.3)*4</f>
        <v>9.6</v>
      </c>
      <c r="E6" s="23" t="n">
        <f aca="false">0.2*0.12</f>
        <v>0.024</v>
      </c>
      <c r="F6" s="24"/>
      <c r="G6" s="23"/>
      <c r="H6" s="24"/>
      <c r="I6" s="24" t="n">
        <f aca="false">D6*E6</f>
        <v>0.2304</v>
      </c>
      <c r="J6" s="23" t="s">
        <v>476</v>
      </c>
    </row>
    <row r="7" customFormat="false" ht="57.6" hidden="false" customHeight="false" outlineLevel="0" collapsed="false">
      <c r="A7" s="23"/>
      <c r="B7" s="23" t="s">
        <v>119</v>
      </c>
      <c r="C7" s="25" t="s">
        <v>121</v>
      </c>
      <c r="D7" s="25"/>
      <c r="E7" s="25"/>
      <c r="F7" s="25"/>
      <c r="G7" s="25"/>
      <c r="H7" s="25"/>
      <c r="I7" s="24" t="n">
        <f aca="false">I2</f>
        <v>14.4</v>
      </c>
      <c r="J7" s="23" t="s">
        <v>460</v>
      </c>
    </row>
    <row r="8" customFormat="false" ht="72" hidden="false" customHeight="false" outlineLevel="0" collapsed="false">
      <c r="A8" s="23"/>
      <c r="B8" s="23" t="s">
        <v>125</v>
      </c>
      <c r="C8" s="25" t="s">
        <v>127</v>
      </c>
      <c r="D8" s="25"/>
      <c r="E8" s="25"/>
      <c r="F8" s="25"/>
      <c r="G8" s="25"/>
      <c r="H8" s="25"/>
      <c r="I8" s="24" t="n">
        <f aca="false">I2</f>
        <v>14.4</v>
      </c>
      <c r="J8" s="23" t="s">
        <v>460</v>
      </c>
    </row>
    <row r="9" customFormat="false" ht="43.2" hidden="false" customHeight="false" outlineLevel="0" collapsed="false">
      <c r="A9" s="23"/>
      <c r="B9" s="23" t="s">
        <v>132</v>
      </c>
      <c r="C9" s="25" t="s">
        <v>134</v>
      </c>
      <c r="D9" s="23" t="n">
        <v>1</v>
      </c>
      <c r="E9" s="23" t="n">
        <v>0.06</v>
      </c>
      <c r="F9" s="23"/>
      <c r="G9" s="23"/>
      <c r="H9" s="23"/>
      <c r="I9" s="23" t="n">
        <v>1.06</v>
      </c>
      <c r="J9" s="23" t="s">
        <v>477</v>
      </c>
    </row>
    <row r="10" customFormat="false" ht="43.2" hidden="false" customHeight="false" outlineLevel="0" collapsed="false">
      <c r="A10" s="23"/>
      <c r="B10" s="24" t="s">
        <v>135</v>
      </c>
      <c r="C10" s="25" t="s">
        <v>137</v>
      </c>
      <c r="D10" s="23" t="n">
        <f aca="false">E2</f>
        <v>15.4</v>
      </c>
      <c r="E10" s="23" t="n">
        <f aca="false">F2</f>
        <v>1</v>
      </c>
      <c r="F10" s="23"/>
      <c r="G10" s="23"/>
      <c r="H10" s="23"/>
      <c r="I10" s="24" t="n">
        <f aca="false">D10-E10</f>
        <v>14.4</v>
      </c>
      <c r="J10" s="23" t="s">
        <v>470</v>
      </c>
    </row>
    <row r="11" customFormat="false" ht="72" hidden="false" customHeight="false" outlineLevel="0" collapsed="false">
      <c r="A11" s="23"/>
      <c r="B11" s="24" t="s">
        <v>144</v>
      </c>
      <c r="C11" s="25" t="s">
        <v>146</v>
      </c>
      <c r="D11" s="23"/>
      <c r="E11" s="27"/>
      <c r="F11" s="23"/>
      <c r="G11" s="23"/>
      <c r="H11" s="23"/>
      <c r="I11" s="24" t="n">
        <f aca="false">I5</f>
        <v>6.12</v>
      </c>
      <c r="J11" s="23" t="s">
        <v>458</v>
      </c>
    </row>
    <row r="12" customFormat="false" ht="43.2" hidden="false" customHeight="false" outlineLevel="0" collapsed="false">
      <c r="A12" s="23"/>
      <c r="B12" s="24" t="s">
        <v>147</v>
      </c>
      <c r="C12" s="25" t="s">
        <v>149</v>
      </c>
      <c r="D12" s="24" t="n">
        <f aca="false">I11</f>
        <v>6.12</v>
      </c>
      <c r="E12" s="27" t="n">
        <v>0.3</v>
      </c>
      <c r="F12" s="23"/>
      <c r="G12" s="23"/>
      <c r="H12" s="23"/>
      <c r="I12" s="23" t="n">
        <f aca="false">D12*E12</f>
        <v>1.836</v>
      </c>
      <c r="J12" s="23" t="s">
        <v>462</v>
      </c>
    </row>
    <row r="13" customFormat="false" ht="72" hidden="false" customHeight="false" outlineLevel="0" collapsed="false">
      <c r="A13" s="23"/>
      <c r="B13" s="23" t="s">
        <v>230</v>
      </c>
      <c r="C13" s="25" t="s">
        <v>232</v>
      </c>
      <c r="D13" s="23" t="n">
        <f aca="false">1.8*0.6*2</f>
        <v>2.16</v>
      </c>
      <c r="E13" s="23"/>
      <c r="F13" s="23"/>
      <c r="G13" s="23"/>
      <c r="H13" s="23"/>
      <c r="I13" s="23" t="n">
        <f aca="false">D13</f>
        <v>2.16</v>
      </c>
      <c r="J13" s="23" t="s">
        <v>475</v>
      </c>
    </row>
    <row r="14" customFormat="false" ht="28.8" hidden="false" customHeight="false" outlineLevel="0" collapsed="false">
      <c r="A14" s="23"/>
      <c r="B14" s="23" t="s">
        <v>234</v>
      </c>
      <c r="C14" s="25" t="s">
        <v>236</v>
      </c>
      <c r="D14" s="25" t="n">
        <f aca="false">1*2.1</f>
        <v>2.1</v>
      </c>
      <c r="E14" s="25"/>
      <c r="F14" s="25"/>
      <c r="G14" s="25"/>
      <c r="H14" s="25"/>
      <c r="I14" s="23" t="n">
        <f aca="false">D14</f>
        <v>2.1</v>
      </c>
      <c r="J14" s="23" t="s">
        <v>478</v>
      </c>
    </row>
    <row r="15" customFormat="false" ht="28.8" hidden="false" customHeight="false" outlineLevel="0" collapsed="false">
      <c r="A15" s="23"/>
      <c r="B15" s="23" t="s">
        <v>237</v>
      </c>
      <c r="C15" s="25" t="s">
        <v>239</v>
      </c>
      <c r="D15" s="25" t="n">
        <f aca="false">1*2.1</f>
        <v>2.1</v>
      </c>
      <c r="E15" s="25"/>
      <c r="F15" s="25"/>
      <c r="G15" s="25"/>
      <c r="H15" s="25"/>
      <c r="I15" s="23" t="n">
        <f aca="false">D15</f>
        <v>2.1</v>
      </c>
      <c r="J15" s="23" t="s">
        <v>478</v>
      </c>
    </row>
    <row r="16" customFormat="false" ht="43.2" hidden="false" customHeight="false" outlineLevel="0" collapsed="false">
      <c r="A16" s="23"/>
      <c r="B16" s="23" t="s">
        <v>246</v>
      </c>
      <c r="C16" s="25" t="s">
        <v>248</v>
      </c>
      <c r="D16" s="24" t="n">
        <f aca="false">I2</f>
        <v>14.4</v>
      </c>
      <c r="E16" s="24"/>
      <c r="F16" s="24"/>
      <c r="G16" s="24"/>
      <c r="H16" s="25"/>
      <c r="I16" s="24" t="n">
        <f aca="false">D16</f>
        <v>14.4</v>
      </c>
      <c r="J16" s="23" t="s">
        <v>479</v>
      </c>
    </row>
    <row r="17" customFormat="false" ht="43.2" hidden="false" customHeight="false" outlineLevel="0" collapsed="false">
      <c r="A17" s="23"/>
      <c r="B17" s="23" t="s">
        <v>255</v>
      </c>
      <c r="C17" s="25" t="s">
        <v>257</v>
      </c>
      <c r="D17" s="23" t="n">
        <v>6.12</v>
      </c>
      <c r="E17" s="25"/>
      <c r="F17" s="25"/>
      <c r="G17" s="25"/>
      <c r="H17" s="25"/>
      <c r="I17" s="23" t="n">
        <f aca="false">D17</f>
        <v>6.12</v>
      </c>
      <c r="J17" s="23" t="s">
        <v>480</v>
      </c>
    </row>
    <row r="18" customFormat="false" ht="43.2" hidden="false" customHeight="false" outlineLevel="0" collapsed="false">
      <c r="A18" s="23"/>
      <c r="B18" s="23" t="s">
        <v>258</v>
      </c>
      <c r="C18" s="25" t="s">
        <v>260</v>
      </c>
      <c r="D18" s="23" t="n">
        <v>2.58</v>
      </c>
      <c r="E18" s="23" t="n">
        <f aca="false">E2</f>
        <v>15.4</v>
      </c>
      <c r="F18" s="23" t="n">
        <f aca="false">(2*1.8*0.6)+(1*2.1)</f>
        <v>4.26</v>
      </c>
      <c r="G18" s="23"/>
      <c r="H18" s="23"/>
      <c r="I18" s="23" t="n">
        <f aca="false">(D18*E18)-F18</f>
        <v>35.472</v>
      </c>
      <c r="J18" s="23" t="s">
        <v>465</v>
      </c>
    </row>
    <row r="19" customFormat="false" ht="86.4" hidden="false" customHeight="false" outlineLevel="0" collapsed="false">
      <c r="A19" s="23"/>
      <c r="B19" s="23" t="s">
        <v>440</v>
      </c>
      <c r="C19" s="25" t="s">
        <v>442</v>
      </c>
      <c r="D19" s="24" t="n">
        <f aca="false">I2</f>
        <v>14.4</v>
      </c>
      <c r="E19" s="23" t="n">
        <v>0.02</v>
      </c>
      <c r="F19" s="23" t="n">
        <f aca="false">I3*0.15</f>
        <v>0.324</v>
      </c>
      <c r="G19" s="23" t="n">
        <v>1.3</v>
      </c>
      <c r="H19" s="23" t="n">
        <v>6</v>
      </c>
      <c r="I19" s="24" t="n">
        <f aca="false">((D19*E19)+F19)*G19*H19</f>
        <v>4.7736</v>
      </c>
      <c r="J19" s="23" t="s">
        <v>481</v>
      </c>
    </row>
    <row r="20" customFormat="false" ht="14.4" hidden="false" customHeight="false" outlineLevel="0" collapsed="false">
      <c r="A20" s="23"/>
      <c r="B20" s="24" t="s">
        <v>444</v>
      </c>
      <c r="C20" s="25" t="s">
        <v>446</v>
      </c>
      <c r="D20" s="24"/>
      <c r="E20" s="23"/>
      <c r="F20" s="23"/>
      <c r="G20" s="23"/>
      <c r="H20" s="23"/>
      <c r="I20" s="24" t="n">
        <f aca="false">I5</f>
        <v>6.12</v>
      </c>
      <c r="J20" s="23" t="s">
        <v>458</v>
      </c>
    </row>
    <row r="21" customFormat="false" ht="14.4" hidden="false" customHeight="false" outlineLevel="0" collapsed="false">
      <c r="I21" s="1" t="n">
        <f aca="false">SUM(I2:I20)</f>
        <v>176.264</v>
      </c>
      <c r="J21" s="1" t="s">
        <v>482</v>
      </c>
    </row>
  </sheetData>
  <mergeCells count="1">
    <mergeCell ref="A2:A2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J25"/>
  <sheetViews>
    <sheetView windowProtection="false" showFormulas="false" showGridLines="true" showRowColHeaders="true" showZeros="true" rightToLeft="false" tabSelected="false" showOutlineSymbols="true" defaultGridColor="true" view="normal" topLeftCell="A23" colorId="64" zoomScale="90" zoomScaleNormal="90" zoomScalePageLayoutView="100" workbookViewId="0">
      <selection pane="topLeft" activeCell="I26" activeCellId="0" sqref="I26"/>
    </sheetView>
  </sheetViews>
  <sheetFormatPr defaultRowHeight="14.4"/>
  <cols>
    <col collapsed="false" hidden="false" max="2" min="1" style="1" width="15.7959183673469"/>
    <col collapsed="false" hidden="false" max="3" min="3" style="20" width="29.6989795918367"/>
    <col collapsed="false" hidden="false" max="5" min="4" style="20" width="7.96428571428571"/>
    <col collapsed="false" hidden="false" max="6" min="6" style="20" width="10.1224489795918"/>
    <col collapsed="false" hidden="false" max="8" min="7" style="20" width="7.96428571428571"/>
    <col collapsed="false" hidden="false" max="9" min="9" style="1" width="9.98979591836735"/>
    <col collapsed="false" hidden="false" max="10" min="10" style="1" width="35.234693877551"/>
    <col collapsed="false" hidden="false" max="1025" min="11"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44.4" hidden="false" customHeight="true" outlineLevel="0" collapsed="false">
      <c r="A2" s="29" t="s">
        <v>483</v>
      </c>
      <c r="B2" s="23" t="s">
        <v>40</v>
      </c>
      <c r="C2" s="25" t="s">
        <v>42</v>
      </c>
      <c r="D2" s="23"/>
      <c r="E2" s="23"/>
      <c r="F2" s="23"/>
      <c r="G2" s="23"/>
      <c r="H2" s="23"/>
      <c r="I2" s="23" t="n">
        <v>26</v>
      </c>
      <c r="J2" s="23" t="s">
        <v>484</v>
      </c>
    </row>
    <row r="3" customFormat="false" ht="43.2" hidden="false" customHeight="false" outlineLevel="0" collapsed="false">
      <c r="A3" s="30"/>
      <c r="B3" s="23" t="s">
        <v>58</v>
      </c>
      <c r="C3" s="25" t="s">
        <v>60</v>
      </c>
      <c r="D3" s="23" t="n">
        <f aca="false">0.25*0.2*2.4</f>
        <v>0.12</v>
      </c>
      <c r="E3" s="23" t="n">
        <v>2</v>
      </c>
      <c r="F3" s="23"/>
      <c r="G3" s="23"/>
      <c r="H3" s="23"/>
      <c r="I3" s="23" t="n">
        <f aca="false">D3*E3</f>
        <v>0.24</v>
      </c>
      <c r="J3" s="23" t="s">
        <v>485</v>
      </c>
    </row>
    <row r="4" customFormat="false" ht="14.4" hidden="false" customHeight="false" outlineLevel="0" collapsed="false">
      <c r="A4" s="30"/>
      <c r="B4" s="23" t="s">
        <v>64</v>
      </c>
      <c r="C4" s="25" t="s">
        <v>66</v>
      </c>
      <c r="D4" s="23" t="n">
        <f aca="false">1.4*4.2</f>
        <v>5.88</v>
      </c>
      <c r="E4" s="23"/>
      <c r="F4" s="23"/>
      <c r="G4" s="23"/>
      <c r="H4" s="23"/>
      <c r="I4" s="23" t="n">
        <f aca="false">D4</f>
        <v>5.88</v>
      </c>
      <c r="J4" s="23" t="s">
        <v>486</v>
      </c>
    </row>
    <row r="5" customFormat="false" ht="68.95" hidden="false" customHeight="false" outlineLevel="0" collapsed="false">
      <c r="A5" s="30"/>
      <c r="B5" s="23" t="s">
        <v>76</v>
      </c>
      <c r="C5" s="25" t="s">
        <v>78</v>
      </c>
      <c r="D5" s="23" t="n">
        <v>494.35</v>
      </c>
      <c r="E5" s="23" t="n">
        <v>6.1</v>
      </c>
      <c r="F5" s="23" t="n">
        <f aca="false">2.54*4</f>
        <v>10.16</v>
      </c>
      <c r="G5" s="23" t="n">
        <v>0.06</v>
      </c>
      <c r="H5" s="23"/>
      <c r="I5" s="24" t="n">
        <f aca="false">(D5-E5-F5)*G5</f>
        <v>28.6854</v>
      </c>
      <c r="J5" s="23" t="s">
        <v>487</v>
      </c>
    </row>
    <row r="6" customFormat="false" ht="68.95" hidden="false" customHeight="false" outlineLevel="0" collapsed="false">
      <c r="A6" s="30"/>
      <c r="B6" s="23" t="s">
        <v>82</v>
      </c>
      <c r="C6" s="25" t="s">
        <v>84</v>
      </c>
      <c r="D6" s="23" t="n">
        <f aca="false">0.25*0.2*2.5</f>
        <v>0.125</v>
      </c>
      <c r="E6" s="23" t="n">
        <v>2</v>
      </c>
      <c r="F6" s="23" t="n">
        <v>100</v>
      </c>
      <c r="G6" s="23"/>
      <c r="H6" s="23" t="s">
        <v>488</v>
      </c>
      <c r="I6" s="23" t="n">
        <f aca="false">F6*E6*D6</f>
        <v>25</v>
      </c>
      <c r="J6" s="23" t="s">
        <v>489</v>
      </c>
    </row>
    <row r="7" customFormat="false" ht="28.45" hidden="false" customHeight="false" outlineLevel="0" collapsed="false">
      <c r="A7" s="30"/>
      <c r="B7" s="23" t="s">
        <v>89</v>
      </c>
      <c r="C7" s="25" t="s">
        <v>91</v>
      </c>
      <c r="D7" s="23" t="n">
        <f aca="false">I9</f>
        <v>0.34375</v>
      </c>
      <c r="E7" s="25"/>
      <c r="F7" s="25"/>
      <c r="G7" s="25"/>
      <c r="H7" s="25"/>
      <c r="I7" s="24" t="n">
        <f aca="false">D7</f>
        <v>0.34375</v>
      </c>
      <c r="J7" s="23" t="s">
        <v>490</v>
      </c>
    </row>
    <row r="8" customFormat="false" ht="41.95" hidden="false" customHeight="false" outlineLevel="0" collapsed="false">
      <c r="A8" s="30"/>
      <c r="B8" s="23" t="s">
        <v>92</v>
      </c>
      <c r="C8" s="25" t="s">
        <v>94</v>
      </c>
      <c r="D8" s="23" t="n">
        <v>81.8</v>
      </c>
      <c r="E8" s="23" t="n">
        <f aca="false">0.3*0.3</f>
        <v>0.09</v>
      </c>
      <c r="F8" s="23"/>
      <c r="G8" s="23"/>
      <c r="H8" s="23"/>
      <c r="I8" s="24" t="n">
        <f aca="false">E8*D8</f>
        <v>7.362</v>
      </c>
      <c r="J8" s="23" t="s">
        <v>491</v>
      </c>
    </row>
    <row r="9" customFormat="false" ht="55.45" hidden="false" customHeight="false" outlineLevel="0" collapsed="false">
      <c r="A9" s="30"/>
      <c r="B9" s="23" t="s">
        <v>95</v>
      </c>
      <c r="C9" s="25" t="s">
        <v>97</v>
      </c>
      <c r="D9" s="24" t="n">
        <f aca="false">0.25*0.25</f>
        <v>0.0625</v>
      </c>
      <c r="E9" s="23" t="n">
        <v>2.75</v>
      </c>
      <c r="F9" s="23" t="n">
        <v>2</v>
      </c>
      <c r="G9" s="25"/>
      <c r="H9" s="25"/>
      <c r="I9" s="24" t="n">
        <f aca="false">D9*E9*F9</f>
        <v>0.34375</v>
      </c>
      <c r="J9" s="23" t="s">
        <v>492</v>
      </c>
    </row>
    <row r="10" customFormat="false" ht="55.45" hidden="false" customHeight="false" outlineLevel="0" collapsed="false">
      <c r="A10" s="30"/>
      <c r="B10" s="23" t="s">
        <v>105</v>
      </c>
      <c r="C10" s="31" t="s">
        <v>107</v>
      </c>
      <c r="D10" s="32" t="n">
        <f aca="false">((0.27+0.27+0.25+0.25))</f>
        <v>1.04</v>
      </c>
      <c r="E10" s="23" t="n">
        <v>2</v>
      </c>
      <c r="F10" s="23" t="n">
        <v>2</v>
      </c>
      <c r="G10" s="31"/>
      <c r="H10" s="31"/>
      <c r="I10" s="24" t="n">
        <f aca="false">D10*E10*F10</f>
        <v>4.16</v>
      </c>
      <c r="J10" s="23" t="s">
        <v>493</v>
      </c>
    </row>
    <row r="11" customFormat="false" ht="82.45" hidden="false" customHeight="false" outlineLevel="0" collapsed="false">
      <c r="A11" s="30"/>
      <c r="B11" s="23" t="s">
        <v>102</v>
      </c>
      <c r="C11" s="25" t="s">
        <v>104</v>
      </c>
      <c r="D11" s="23" t="n">
        <v>81.8</v>
      </c>
      <c r="E11" s="23" t="n">
        <f aca="false">0.3*0.3</f>
        <v>0.09</v>
      </c>
      <c r="F11" s="24" t="n">
        <f aca="false">(81.8/1.9)*0.3*0.3*0.3</f>
        <v>1.16242105263158</v>
      </c>
      <c r="G11" s="23"/>
      <c r="H11" s="23"/>
      <c r="I11" s="24" t="n">
        <f aca="false">(E11*D11)-F11</f>
        <v>6.19957894736842</v>
      </c>
      <c r="J11" s="23" t="s">
        <v>494</v>
      </c>
    </row>
    <row r="12" customFormat="false" ht="55.45" hidden="false" customHeight="false" outlineLevel="0" collapsed="false">
      <c r="A12" s="30"/>
      <c r="B12" s="23" t="s">
        <v>115</v>
      </c>
      <c r="C12" s="25" t="s">
        <v>117</v>
      </c>
      <c r="D12" s="23" t="n">
        <v>81.8</v>
      </c>
      <c r="E12" s="23" t="n">
        <v>1</v>
      </c>
      <c r="F12" s="23"/>
      <c r="G12" s="23"/>
      <c r="H12" s="23"/>
      <c r="I12" s="24" t="n">
        <f aca="false">E12*D12</f>
        <v>81.8</v>
      </c>
      <c r="J12" s="23" t="s">
        <v>495</v>
      </c>
    </row>
    <row r="13" customFormat="false" ht="109.45" hidden="false" customHeight="false" outlineLevel="0" collapsed="false">
      <c r="A13" s="30"/>
      <c r="B13" s="23" t="s">
        <v>122</v>
      </c>
      <c r="C13" s="25" t="s">
        <v>124</v>
      </c>
      <c r="D13" s="23" t="n">
        <v>81.8</v>
      </c>
      <c r="E13" s="23" t="n">
        <v>1</v>
      </c>
      <c r="F13" s="23" t="n">
        <v>2</v>
      </c>
      <c r="G13" s="23" t="n">
        <f aca="false">I20*1*2*0.3</f>
        <v>68.64</v>
      </c>
      <c r="H13" s="23"/>
      <c r="I13" s="24" t="n">
        <f aca="false">(E13*D13*F13)+G13</f>
        <v>232.24</v>
      </c>
      <c r="J13" s="23" t="s">
        <v>496</v>
      </c>
    </row>
    <row r="14" customFormat="false" ht="82.45" hidden="false" customHeight="false" outlineLevel="0" collapsed="false">
      <c r="A14" s="30"/>
      <c r="B14" s="23" t="s">
        <v>125</v>
      </c>
      <c r="C14" s="25" t="s">
        <v>127</v>
      </c>
      <c r="D14" s="23" t="n">
        <v>81.8</v>
      </c>
      <c r="E14" s="23" t="n">
        <v>1</v>
      </c>
      <c r="F14" s="23" t="n">
        <v>2</v>
      </c>
      <c r="G14" s="23" t="n">
        <f aca="false">G13</f>
        <v>68.64</v>
      </c>
      <c r="H14" s="23"/>
      <c r="I14" s="24" t="n">
        <f aca="false">(E14*D14*F14)+G14</f>
        <v>232.24</v>
      </c>
      <c r="J14" s="23" t="s">
        <v>497</v>
      </c>
    </row>
    <row r="15" customFormat="false" ht="68.95" hidden="false" customHeight="false" outlineLevel="0" collapsed="false">
      <c r="A15" s="30"/>
      <c r="B15" s="23" t="s">
        <v>138</v>
      </c>
      <c r="C15" s="25" t="s">
        <v>140</v>
      </c>
      <c r="D15" s="23" t="n">
        <v>494.35</v>
      </c>
      <c r="E15" s="23"/>
      <c r="F15" s="23"/>
      <c r="G15" s="23"/>
      <c r="H15" s="23"/>
      <c r="I15" s="23" t="n">
        <f aca="false">D15</f>
        <v>494.35</v>
      </c>
      <c r="J15" s="23" t="s">
        <v>498</v>
      </c>
    </row>
    <row r="16" customFormat="false" ht="55.45" hidden="false" customHeight="false" outlineLevel="0" collapsed="false">
      <c r="A16" s="30"/>
      <c r="B16" s="23" t="s">
        <v>153</v>
      </c>
      <c r="C16" s="25" t="s">
        <v>155</v>
      </c>
      <c r="D16" s="23" t="n">
        <v>93.8</v>
      </c>
      <c r="E16" s="23" t="n">
        <v>4</v>
      </c>
      <c r="F16" s="23"/>
      <c r="G16" s="23"/>
      <c r="H16" s="23"/>
      <c r="I16" s="23" t="n">
        <f aca="false">D16-E16</f>
        <v>89.8</v>
      </c>
      <c r="J16" s="23" t="s">
        <v>499</v>
      </c>
    </row>
    <row r="17" customFormat="false" ht="55.45" hidden="false" customHeight="false" outlineLevel="0" collapsed="false">
      <c r="A17" s="30"/>
      <c r="B17" s="23" t="s">
        <v>156</v>
      </c>
      <c r="C17" s="25" t="s">
        <v>158</v>
      </c>
      <c r="D17" s="23" t="n">
        <f aca="false">I15</f>
        <v>494.35</v>
      </c>
      <c r="E17" s="23" t="n">
        <v>0.2</v>
      </c>
      <c r="F17" s="23"/>
      <c r="G17" s="23"/>
      <c r="H17" s="23"/>
      <c r="I17" s="23" t="n">
        <f aca="false">D17*E17</f>
        <v>98.87</v>
      </c>
      <c r="J17" s="23" t="s">
        <v>500</v>
      </c>
    </row>
    <row r="18" customFormat="false" ht="82.45" hidden="false" customHeight="false" outlineLevel="0" collapsed="false">
      <c r="A18" s="30"/>
      <c r="B18" s="23" t="s">
        <v>159</v>
      </c>
      <c r="C18" s="25" t="s">
        <v>161</v>
      </c>
      <c r="D18" s="23" t="n">
        <f aca="false">I17</f>
        <v>98.87</v>
      </c>
      <c r="E18" s="23" t="n">
        <v>1.2</v>
      </c>
      <c r="F18" s="23"/>
      <c r="G18" s="23"/>
      <c r="H18" s="23"/>
      <c r="I18" s="23" t="n">
        <f aca="false">D18*E18</f>
        <v>118.644</v>
      </c>
      <c r="J18" s="23" t="s">
        <v>501</v>
      </c>
    </row>
    <row r="19" customFormat="false" ht="43.2" hidden="false" customHeight="false" outlineLevel="0" collapsed="false">
      <c r="A19" s="30"/>
      <c r="B19" s="23" t="s">
        <v>212</v>
      </c>
      <c r="C19" s="25" t="s">
        <v>214</v>
      </c>
      <c r="D19" s="23" t="n">
        <v>4</v>
      </c>
      <c r="E19" s="23" t="n">
        <v>2</v>
      </c>
      <c r="F19" s="23"/>
      <c r="G19" s="23"/>
      <c r="H19" s="23"/>
      <c r="I19" s="23" t="n">
        <f aca="false">D19*E19</f>
        <v>8</v>
      </c>
      <c r="J19" s="23" t="s">
        <v>502</v>
      </c>
    </row>
    <row r="20" customFormat="false" ht="72" hidden="false" customHeight="false" outlineLevel="0" collapsed="false">
      <c r="A20" s="30"/>
      <c r="B20" s="23" t="s">
        <v>428</v>
      </c>
      <c r="C20" s="25" t="s">
        <v>430</v>
      </c>
      <c r="D20" s="23" t="n">
        <v>114.4</v>
      </c>
      <c r="E20" s="23"/>
      <c r="F20" s="23"/>
      <c r="G20" s="23"/>
      <c r="H20" s="23"/>
      <c r="I20" s="23" t="n">
        <f aca="false">D20</f>
        <v>114.4</v>
      </c>
      <c r="J20" s="23" t="s">
        <v>503</v>
      </c>
    </row>
    <row r="21" customFormat="false" ht="86.4" hidden="false" customHeight="false" outlineLevel="0" collapsed="false">
      <c r="A21" s="30"/>
      <c r="B21" s="23" t="s">
        <v>431</v>
      </c>
      <c r="C21" s="25" t="s">
        <v>433</v>
      </c>
      <c r="D21" s="23" t="n">
        <v>81.75</v>
      </c>
      <c r="E21" s="23"/>
      <c r="F21" s="23"/>
      <c r="G21" s="23"/>
      <c r="H21" s="23"/>
      <c r="I21" s="23" t="n">
        <f aca="false">D21</f>
        <v>81.75</v>
      </c>
      <c r="J21" s="23" t="s">
        <v>504</v>
      </c>
    </row>
    <row r="22" customFormat="false" ht="95.95" hidden="false" customHeight="false" outlineLevel="0" collapsed="false">
      <c r="A22" s="30"/>
      <c r="B22" s="23" t="s">
        <v>434</v>
      </c>
      <c r="C22" s="25" t="s">
        <v>436</v>
      </c>
      <c r="D22" s="23" t="n">
        <f aca="false">2087.87+276.6</f>
        <v>2364.47</v>
      </c>
      <c r="E22" s="23" t="n">
        <v>347.23</v>
      </c>
      <c r="F22" s="23" t="n">
        <v>166.36</v>
      </c>
      <c r="G22" s="23" t="n">
        <v>494.35</v>
      </c>
      <c r="H22" s="23" t="n">
        <v>19.63</v>
      </c>
      <c r="I22" s="23" t="n">
        <f aca="false">D22-E22-F22-G22-H22</f>
        <v>1336.9</v>
      </c>
      <c r="J22" s="23" t="s">
        <v>505</v>
      </c>
    </row>
    <row r="23" customFormat="false" ht="63.75" hidden="false" customHeight="true" outlineLevel="0" collapsed="false">
      <c r="A23" s="30"/>
      <c r="B23" s="23" t="s">
        <v>437</v>
      </c>
      <c r="C23" s="25" t="s">
        <v>439</v>
      </c>
      <c r="D23" s="23" t="n">
        <f aca="false">I22</f>
        <v>1336.9</v>
      </c>
      <c r="E23" s="23"/>
      <c r="F23" s="23"/>
      <c r="G23" s="23"/>
      <c r="H23" s="23"/>
      <c r="I23" s="23" t="n">
        <f aca="false">D23-276.6</f>
        <v>1060.3</v>
      </c>
      <c r="J23" s="23" t="s">
        <v>506</v>
      </c>
    </row>
    <row r="24" customFormat="false" ht="68.65" hidden="false" customHeight="false" outlineLevel="0" collapsed="false">
      <c r="A24" s="33"/>
      <c r="B24" s="23" t="s">
        <v>440</v>
      </c>
      <c r="C24" s="25" t="s">
        <v>442</v>
      </c>
      <c r="D24" s="24" t="n">
        <f aca="false">I3+I5</f>
        <v>28.9254</v>
      </c>
      <c r="E24" s="23" t="n">
        <f aca="false">I17</f>
        <v>98.87</v>
      </c>
      <c r="F24" s="23" t="n">
        <v>1.2</v>
      </c>
      <c r="G24" s="23" t="n">
        <v>15</v>
      </c>
      <c r="H24" s="23"/>
      <c r="I24" s="24" t="n">
        <f aca="false">(D24+E24)*F24*G24</f>
        <v>2300.3172</v>
      </c>
      <c r="J24" s="23" t="s">
        <v>507</v>
      </c>
    </row>
    <row r="25" customFormat="false" ht="14.4" hidden="false" customHeight="false" outlineLevel="0" collapsed="false">
      <c r="I25" s="1" t="n">
        <f aca="false">SUM(I2:I24)</f>
        <v>6353.82567894737</v>
      </c>
    </row>
  </sheetData>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L23"/>
  <sheetViews>
    <sheetView windowProtection="false" showFormulas="false" showGridLines="true" showRowColHeaders="true" showZeros="true" rightToLeft="false" tabSelected="false" showOutlineSymbols="true" defaultGridColor="true" view="normal" topLeftCell="A19" colorId="64" zoomScale="90" zoomScaleNormal="90" zoomScalePageLayoutView="100" workbookViewId="0">
      <selection pane="topLeft" activeCell="I24" activeCellId="0" sqref="I24"/>
    </sheetView>
  </sheetViews>
  <sheetFormatPr defaultRowHeight="14.4"/>
  <cols>
    <col collapsed="false" hidden="false" max="2" min="1" style="0" width="10.530612244898"/>
    <col collapsed="false" hidden="false" max="3" min="3" style="0" width="27.1326530612245"/>
    <col collapsed="false" hidden="false" max="5" min="4" style="0" width="8.50510204081633"/>
    <col collapsed="false" hidden="false" max="8" min="6" style="0" width="6.0765306122449"/>
    <col collapsed="false" hidden="false" max="9" min="9" style="0" width="9.04591836734694"/>
    <col collapsed="false" hidden="false" max="10" min="10" style="0" width="26.3214285714286"/>
    <col collapsed="false" hidden="false" max="11" min="11" style="0" width="8.23469387755102"/>
    <col collapsed="false" hidden="false" max="12" min="12" style="0" width="18.3571428571429"/>
    <col collapsed="false" hidden="false" max="1025" min="13" style="0" width="8.23469387755102"/>
  </cols>
  <sheetData>
    <row r="1" customFormat="false" ht="15.6" hidden="false" customHeight="false" outlineLevel="0" collapsed="false">
      <c r="A1" s="22" t="s">
        <v>447</v>
      </c>
      <c r="B1" s="22" t="s">
        <v>3</v>
      </c>
      <c r="C1" s="22" t="s">
        <v>448</v>
      </c>
      <c r="D1" s="34" t="s">
        <v>449</v>
      </c>
      <c r="E1" s="34" t="s">
        <v>450</v>
      </c>
      <c r="F1" s="34" t="s">
        <v>451</v>
      </c>
      <c r="G1" s="34" t="s">
        <v>452</v>
      </c>
      <c r="H1" s="34" t="s">
        <v>453</v>
      </c>
      <c r="I1" s="22" t="s">
        <v>454</v>
      </c>
      <c r="J1" s="22" t="s">
        <v>455</v>
      </c>
    </row>
    <row r="2" customFormat="false" ht="144" hidden="false" customHeight="false" outlineLevel="0" collapsed="false">
      <c r="A2" s="23"/>
      <c r="B2" s="23" t="s">
        <v>34</v>
      </c>
      <c r="C2" s="25" t="s">
        <v>36</v>
      </c>
      <c r="D2" s="23" t="n">
        <f aca="false">24.49*2</f>
        <v>48.98</v>
      </c>
      <c r="E2" s="23" t="n">
        <v>21.25</v>
      </c>
      <c r="F2" s="23" t="n">
        <f aca="false">12.2+6.75</f>
        <v>18.95</v>
      </c>
      <c r="G2" s="23" t="n">
        <v>1.5</v>
      </c>
      <c r="H2" s="25" t="n">
        <f aca="false">(1*1.1)+(1.8*0.6)+(1*(1.1-0.6)*7)+(1.2*1.5)</f>
        <v>7.48</v>
      </c>
      <c r="I2" s="24" t="n">
        <f aca="false">D2+((E2+F2)*G2)-H2</f>
        <v>101.8</v>
      </c>
      <c r="J2" s="23" t="s">
        <v>508</v>
      </c>
    </row>
    <row r="3" customFormat="false" ht="72" hidden="false" customHeight="false" outlineLevel="0" collapsed="false">
      <c r="A3" s="23"/>
      <c r="B3" s="23" t="s">
        <v>55</v>
      </c>
      <c r="C3" s="25" t="s">
        <v>57</v>
      </c>
      <c r="D3" s="24" t="n">
        <f aca="false">((12.2+6.75)*1.35)</f>
        <v>25.5825</v>
      </c>
      <c r="E3" s="23" t="n">
        <f aca="false">(25.08*2)+(3.3*(13.2+6.5+4.15+2.25+2.25))</f>
        <v>143.715</v>
      </c>
      <c r="F3" s="23" t="n">
        <f aca="false">(1*(1.1-0.5)*7)+(2*1*6)+(1.2*0.6)+(0.8+2.1)</f>
        <v>19.82</v>
      </c>
      <c r="G3" s="25"/>
      <c r="H3" s="25"/>
      <c r="I3" s="24" t="n">
        <f aca="false">D3+E3-F3</f>
        <v>149.4775</v>
      </c>
      <c r="J3" s="23" t="s">
        <v>509</v>
      </c>
    </row>
    <row r="4" customFormat="false" ht="100.8" hidden="false" customHeight="false" outlineLevel="0" collapsed="false">
      <c r="A4" s="23"/>
      <c r="B4" s="23" t="s">
        <v>58</v>
      </c>
      <c r="C4" s="25" t="s">
        <v>60</v>
      </c>
      <c r="D4" s="23" t="n">
        <f aca="false">0.15*0.15</f>
        <v>0.0225</v>
      </c>
      <c r="E4" s="23" t="n">
        <v>2.24</v>
      </c>
      <c r="F4" s="23" t="n">
        <v>15</v>
      </c>
      <c r="G4" s="25"/>
      <c r="H4" s="25"/>
      <c r="I4" s="24" t="n">
        <f aca="false">D4*E4*F4</f>
        <v>0.756</v>
      </c>
      <c r="J4" s="23" t="s">
        <v>510</v>
      </c>
    </row>
    <row r="5" customFormat="false" ht="100.8" hidden="false" customHeight="false" outlineLevel="0" collapsed="false">
      <c r="A5" s="23"/>
      <c r="B5" s="23" t="s">
        <v>76</v>
      </c>
      <c r="C5" s="25" t="s">
        <v>78</v>
      </c>
      <c r="D5" s="23" t="n">
        <v>21.25</v>
      </c>
      <c r="E5" s="23" t="n">
        <v>2.6</v>
      </c>
      <c r="F5" s="23" t="n">
        <f aca="false">10.3+10.3+12.2+6.75</f>
        <v>39.55</v>
      </c>
      <c r="G5" s="23" t="n">
        <v>1</v>
      </c>
      <c r="H5" s="25" t="n">
        <v>0.06</v>
      </c>
      <c r="I5" s="24" t="n">
        <f aca="false">((D5*E5)+(F5*G5))*H5</f>
        <v>5.688</v>
      </c>
      <c r="J5" s="23" t="s">
        <v>511</v>
      </c>
    </row>
    <row r="6" customFormat="false" ht="72" hidden="false" customHeight="false" outlineLevel="0" collapsed="false">
      <c r="A6" s="23"/>
      <c r="B6" s="23" t="s">
        <v>82</v>
      </c>
      <c r="C6" s="25" t="s">
        <v>84</v>
      </c>
      <c r="D6" s="24" t="n">
        <f aca="false">I9</f>
        <v>0.888</v>
      </c>
      <c r="E6" s="23" t="n">
        <v>110</v>
      </c>
      <c r="F6" s="23"/>
      <c r="G6" s="25"/>
      <c r="H6" s="25"/>
      <c r="I6" s="24" t="n">
        <f aca="false">D6*E6</f>
        <v>97.68</v>
      </c>
      <c r="J6" s="23" t="s">
        <v>512</v>
      </c>
    </row>
    <row r="7" customFormat="false" ht="57.6" hidden="false" customHeight="false" outlineLevel="0" collapsed="false">
      <c r="A7" s="23"/>
      <c r="B7" s="23" t="s">
        <v>86</v>
      </c>
      <c r="C7" s="25" t="s">
        <v>88</v>
      </c>
      <c r="D7" s="23" t="n">
        <v>8</v>
      </c>
      <c r="E7" s="25"/>
      <c r="F7" s="25"/>
      <c r="G7" s="25"/>
      <c r="H7" s="25"/>
      <c r="I7" s="23" t="n">
        <v>8</v>
      </c>
      <c r="J7" s="23" t="s">
        <v>513</v>
      </c>
    </row>
    <row r="8" customFormat="false" ht="28.8" hidden="false" customHeight="false" outlineLevel="0" collapsed="false">
      <c r="A8" s="23"/>
      <c r="B8" s="23" t="s">
        <v>89</v>
      </c>
      <c r="C8" s="25" t="s">
        <v>91</v>
      </c>
      <c r="D8" s="25"/>
      <c r="E8" s="25"/>
      <c r="F8" s="25"/>
      <c r="G8" s="25"/>
      <c r="H8" s="25"/>
      <c r="I8" s="24" t="n">
        <f aca="false">I9</f>
        <v>0.888</v>
      </c>
      <c r="J8" s="23" t="s">
        <v>514</v>
      </c>
    </row>
    <row r="9" customFormat="false" ht="57.6" hidden="false" customHeight="false" outlineLevel="0" collapsed="false">
      <c r="A9" s="23"/>
      <c r="B9" s="23" t="s">
        <v>95</v>
      </c>
      <c r="C9" s="25" t="s">
        <v>97</v>
      </c>
      <c r="D9" s="23" t="n">
        <f aca="false">(0.3*0.4*0.4)*8</f>
        <v>0.384</v>
      </c>
      <c r="E9" s="23" t="n">
        <f aca="false">0.12*0.2*21</f>
        <v>0.504</v>
      </c>
      <c r="F9" s="23"/>
      <c r="G9" s="25"/>
      <c r="H9" s="25"/>
      <c r="I9" s="24" t="n">
        <f aca="false">E9+D9</f>
        <v>0.888</v>
      </c>
      <c r="J9" s="23" t="s">
        <v>515</v>
      </c>
    </row>
    <row r="10" customFormat="false" ht="57.6" hidden="false" customHeight="false" outlineLevel="0" collapsed="false">
      <c r="A10" s="23"/>
      <c r="B10" s="23" t="s">
        <v>98</v>
      </c>
      <c r="C10" s="31" t="s">
        <v>100</v>
      </c>
      <c r="D10" s="32" t="n">
        <v>0.12</v>
      </c>
      <c r="E10" s="23" t="n">
        <v>2</v>
      </c>
      <c r="F10" s="23" t="n">
        <v>21</v>
      </c>
      <c r="G10" s="31"/>
      <c r="H10" s="31"/>
      <c r="I10" s="24" t="n">
        <f aca="false">D10</f>
        <v>0.12</v>
      </c>
      <c r="J10" s="23" t="s">
        <v>516</v>
      </c>
    </row>
    <row r="11" customFormat="false" ht="43.2" hidden="false" customHeight="false" outlineLevel="0" collapsed="false">
      <c r="A11" s="23"/>
      <c r="B11" s="23" t="s">
        <v>108</v>
      </c>
      <c r="C11" s="31" t="s">
        <v>110</v>
      </c>
      <c r="D11" s="31"/>
      <c r="E11" s="31"/>
      <c r="F11" s="31"/>
      <c r="G11" s="31"/>
      <c r="H11" s="31"/>
      <c r="I11" s="23" t="n">
        <v>5</v>
      </c>
      <c r="J11" s="23"/>
    </row>
    <row r="12" customFormat="false" ht="72" hidden="false" customHeight="false" outlineLevel="0" collapsed="false">
      <c r="A12" s="23"/>
      <c r="B12" s="23" t="s">
        <v>119</v>
      </c>
      <c r="C12" s="25" t="s">
        <v>121</v>
      </c>
      <c r="D12" s="25" t="n">
        <v>0.8</v>
      </c>
      <c r="E12" s="25" t="n">
        <v>55.4</v>
      </c>
      <c r="F12" s="25" t="n">
        <v>1.2</v>
      </c>
      <c r="G12" s="25"/>
      <c r="H12" s="25"/>
      <c r="I12" s="24" t="n">
        <f aca="false">D12*(E12-F12)</f>
        <v>43.36</v>
      </c>
      <c r="J12" s="23" t="s">
        <v>517</v>
      </c>
    </row>
    <row r="13" customFormat="false" ht="122.95" hidden="false" customHeight="false" outlineLevel="0" collapsed="false">
      <c r="A13" s="23"/>
      <c r="B13" s="23" t="s">
        <v>122</v>
      </c>
      <c r="C13" s="25" t="s">
        <v>124</v>
      </c>
      <c r="D13" s="24" t="n">
        <f aca="false">I2</f>
        <v>101.8</v>
      </c>
      <c r="E13" s="24" t="n">
        <f aca="false">I12</f>
        <v>43.36</v>
      </c>
      <c r="F13" s="23"/>
      <c r="G13" s="23"/>
      <c r="H13" s="25"/>
      <c r="I13" s="24" t="n">
        <f aca="false">D13-E13</f>
        <v>58.44</v>
      </c>
      <c r="J13" s="23" t="s">
        <v>518</v>
      </c>
    </row>
    <row r="14" customFormat="false" ht="82.45" hidden="false" customHeight="false" outlineLevel="0" collapsed="false">
      <c r="A14" s="23"/>
      <c r="B14" s="23" t="s">
        <v>125</v>
      </c>
      <c r="C14" s="25" t="s">
        <v>127</v>
      </c>
      <c r="D14" s="23"/>
      <c r="E14" s="23"/>
      <c r="F14" s="23"/>
      <c r="G14" s="23"/>
      <c r="H14" s="25"/>
      <c r="I14" s="24" t="n">
        <f aca="false">I2</f>
        <v>101.8</v>
      </c>
      <c r="J14" s="23" t="s">
        <v>36</v>
      </c>
    </row>
    <row r="15" customFormat="false" ht="95.95" hidden="false" customHeight="false" outlineLevel="0" collapsed="false">
      <c r="A15" s="23"/>
      <c r="B15" s="23" t="s">
        <v>150</v>
      </c>
      <c r="C15" s="25" t="s">
        <v>152</v>
      </c>
      <c r="D15" s="23" t="n">
        <v>21.25</v>
      </c>
      <c r="E15" s="23" t="n">
        <v>2.6</v>
      </c>
      <c r="F15" s="23" t="n">
        <f aca="false">10.3+10.3+12.2+6.75</f>
        <v>39.55</v>
      </c>
      <c r="G15" s="23" t="n">
        <v>0.6</v>
      </c>
      <c r="H15" s="25" t="n">
        <v>0.06</v>
      </c>
      <c r="I15" s="24" t="n">
        <f aca="false">((D15*E15)+(F15*G15))*H15</f>
        <v>4.7388</v>
      </c>
      <c r="J15" s="23" t="s">
        <v>519</v>
      </c>
    </row>
    <row r="16" customFormat="false" ht="68.95" hidden="false" customHeight="false" outlineLevel="0" collapsed="false">
      <c r="A16" s="23"/>
      <c r="B16" s="23" t="s">
        <v>261</v>
      </c>
      <c r="C16" s="25" t="s">
        <v>263</v>
      </c>
      <c r="D16" s="23" t="n">
        <f aca="false">(D2+((E2+F2)*2.85))</f>
        <v>163.55</v>
      </c>
      <c r="E16" s="23" t="n">
        <f aca="false">E3</f>
        <v>143.715</v>
      </c>
      <c r="F16" s="23" t="n">
        <f aca="false">(1*1.1*8)+(1.8*0.6*2)+(0.6*0.6*3)+(1.2*2.1)+(1.6*1.1)+(2*1*6)+(1*2.1)</f>
        <v>30.42</v>
      </c>
      <c r="G16" s="23"/>
      <c r="H16" s="25"/>
      <c r="I16" s="24" t="n">
        <f aca="false">D16+E16-F16</f>
        <v>276.845</v>
      </c>
      <c r="J16" s="23" t="s">
        <v>509</v>
      </c>
      <c r="L16" s="35"/>
    </row>
    <row r="17" customFormat="false" ht="68.95" hidden="false" customHeight="false" outlineLevel="0" collapsed="false">
      <c r="A17" s="23"/>
      <c r="B17" s="23" t="s">
        <v>249</v>
      </c>
      <c r="C17" s="25" t="s">
        <v>251</v>
      </c>
      <c r="D17" s="23" t="n">
        <f aca="false">D16</f>
        <v>163.55</v>
      </c>
      <c r="E17" s="23" t="n">
        <f aca="false">E16</f>
        <v>143.715</v>
      </c>
      <c r="F17" s="23" t="n">
        <f aca="false">F16</f>
        <v>30.42</v>
      </c>
      <c r="G17" s="23"/>
      <c r="H17" s="25"/>
      <c r="I17" s="24" t="n">
        <f aca="false">D17+E17-F17</f>
        <v>276.845</v>
      </c>
      <c r="J17" s="23" t="s">
        <v>509</v>
      </c>
    </row>
    <row r="18" customFormat="false" ht="68.95" hidden="false" customHeight="false" outlineLevel="0" collapsed="false">
      <c r="A18" s="23"/>
      <c r="B18" s="23" t="s">
        <v>252</v>
      </c>
      <c r="C18" s="25" t="s">
        <v>254</v>
      </c>
      <c r="D18" s="23" t="n">
        <f aca="false">D16</f>
        <v>163.55</v>
      </c>
      <c r="E18" s="23" t="n">
        <f aca="false">E16</f>
        <v>143.715</v>
      </c>
      <c r="F18" s="23" t="n">
        <f aca="false">(1*1.1*8)+(1.8*0.6*2)+(0.6*0.6*3)+(1.2*2.1)+(1.6*1.1)+(2*1*6)+(1*2.1)</f>
        <v>30.42</v>
      </c>
      <c r="G18" s="23"/>
      <c r="H18" s="25"/>
      <c r="I18" s="24" t="n">
        <f aca="false">D18+E18-F18</f>
        <v>276.845</v>
      </c>
      <c r="J18" s="23" t="s">
        <v>509</v>
      </c>
    </row>
    <row r="19" customFormat="false" ht="55.45" hidden="false" customHeight="false" outlineLevel="0" collapsed="false">
      <c r="A19" s="23"/>
      <c r="B19" s="23" t="s">
        <v>280</v>
      </c>
      <c r="C19" s="25" t="s">
        <v>282</v>
      </c>
      <c r="D19" s="25"/>
      <c r="E19" s="25"/>
      <c r="F19" s="25"/>
      <c r="G19" s="25"/>
      <c r="H19" s="25"/>
      <c r="I19" s="23" t="n">
        <v>1</v>
      </c>
      <c r="J19" s="23" t="s">
        <v>520</v>
      </c>
    </row>
    <row r="20" customFormat="false" ht="55.45" hidden="false" customHeight="false" outlineLevel="0" collapsed="false">
      <c r="A20" s="23"/>
      <c r="B20" s="23" t="s">
        <v>286</v>
      </c>
      <c r="C20" s="25" t="s">
        <v>288</v>
      </c>
      <c r="D20" s="25"/>
      <c r="E20" s="25"/>
      <c r="F20" s="25"/>
      <c r="G20" s="25"/>
      <c r="H20" s="25"/>
      <c r="I20" s="23" t="n">
        <v>1</v>
      </c>
      <c r="J20" s="23" t="s">
        <v>520</v>
      </c>
    </row>
    <row r="21" customFormat="false" ht="41.95" hidden="false" customHeight="false" outlineLevel="0" collapsed="false">
      <c r="A21" s="23"/>
      <c r="B21" s="23" t="s">
        <v>425</v>
      </c>
      <c r="C21" s="25" t="s">
        <v>427</v>
      </c>
      <c r="D21" s="25"/>
      <c r="E21" s="25"/>
      <c r="F21" s="25"/>
      <c r="G21" s="25"/>
      <c r="H21" s="25"/>
      <c r="I21" s="23" t="n">
        <v>1</v>
      </c>
      <c r="J21" s="23" t="s">
        <v>521</v>
      </c>
    </row>
    <row r="22" customFormat="false" ht="122.95" hidden="false" customHeight="false" outlineLevel="0" collapsed="false">
      <c r="A22" s="23"/>
      <c r="B22" s="23" t="s">
        <v>440</v>
      </c>
      <c r="C22" s="25" t="s">
        <v>442</v>
      </c>
      <c r="D22" s="23" t="n">
        <f aca="false">I5*0.06</f>
        <v>0.34128</v>
      </c>
      <c r="E22" s="23" t="n">
        <f aca="false">I2*0.02</f>
        <v>2.036</v>
      </c>
      <c r="F22" s="24" t="n">
        <f aca="false">I4</f>
        <v>0.756</v>
      </c>
      <c r="G22" s="23" t="n">
        <v>1.3</v>
      </c>
      <c r="H22" s="23" t="n">
        <v>6</v>
      </c>
      <c r="I22" s="24" t="n">
        <f aca="false">(D22+E22)*F22*G22</f>
        <v>2.336390784</v>
      </c>
      <c r="J22" s="23" t="s">
        <v>522</v>
      </c>
    </row>
    <row r="23" customFormat="false" ht="14.4" hidden="false" customHeight="false" outlineLevel="0" collapsed="false">
      <c r="I23" s="0" t="n">
        <f aca="false">SUM(I2:I22)</f>
        <v>1414.507690784</v>
      </c>
    </row>
  </sheetData>
  <mergeCells count="1">
    <mergeCell ref="A2:A2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J15"/>
  <sheetViews>
    <sheetView windowProtection="false" showFormulas="false" showGridLines="true" showRowColHeaders="true" showZeros="true" rightToLeft="false" tabSelected="false" showOutlineSymbols="true" defaultGridColor="true" view="normal" topLeftCell="A13" colorId="64" zoomScale="90" zoomScaleNormal="90" zoomScalePageLayoutView="100" workbookViewId="0">
      <selection pane="topLeft" activeCell="I16" activeCellId="0" sqref="I16"/>
    </sheetView>
  </sheetViews>
  <sheetFormatPr defaultRowHeight="14.4"/>
  <cols>
    <col collapsed="false" hidden="false" max="2" min="1" style="21" width="15.7959183673469"/>
    <col collapsed="false" hidden="false" max="3" min="3" style="36" width="40.6326530612245"/>
    <col collapsed="false" hidden="false" max="8" min="4" style="36" width="7.96428571428571"/>
    <col collapsed="false" hidden="false" max="9" min="9" style="0" width="10.3928571428571"/>
    <col collapsed="false" hidden="false" max="10" min="10" style="36" width="35.234693877551"/>
    <col collapsed="false" hidden="false" max="1025" min="11" style="0" width="8.23469387755102"/>
  </cols>
  <sheetData>
    <row r="1" customFormat="false" ht="15.6" hidden="false" customHeight="false" outlineLevel="0" collapsed="false">
      <c r="A1" s="37" t="s">
        <v>447</v>
      </c>
      <c r="B1" s="37" t="s">
        <v>3</v>
      </c>
      <c r="C1" s="37" t="s">
        <v>448</v>
      </c>
      <c r="D1" s="37" t="s">
        <v>449</v>
      </c>
      <c r="E1" s="37" t="s">
        <v>450</v>
      </c>
      <c r="F1" s="37" t="s">
        <v>451</v>
      </c>
      <c r="G1" s="37" t="s">
        <v>452</v>
      </c>
      <c r="H1" s="37" t="s">
        <v>453</v>
      </c>
      <c r="I1" s="37" t="s">
        <v>454</v>
      </c>
      <c r="J1" s="37" t="s">
        <v>455</v>
      </c>
    </row>
    <row r="2" customFormat="false" ht="31.2" hidden="false" customHeight="true" outlineLevel="0" collapsed="false">
      <c r="A2" s="23" t="s">
        <v>13</v>
      </c>
      <c r="B2" s="23" t="s">
        <v>44</v>
      </c>
      <c r="C2" s="25" t="s">
        <v>46</v>
      </c>
      <c r="D2" s="25" t="n">
        <f aca="false">2.1*0.6*2</f>
        <v>2.52</v>
      </c>
      <c r="E2" s="38"/>
      <c r="F2" s="25"/>
      <c r="G2" s="25"/>
      <c r="H2" s="25"/>
      <c r="I2" s="23" t="n">
        <f aca="false">D2</f>
        <v>2.52</v>
      </c>
      <c r="J2" s="23" t="s">
        <v>468</v>
      </c>
    </row>
    <row r="3" customFormat="false" ht="43.2" hidden="false" customHeight="false" outlineLevel="0" collapsed="false">
      <c r="A3" s="23"/>
      <c r="B3" s="23" t="s">
        <v>55</v>
      </c>
      <c r="C3" s="25" t="s">
        <v>57</v>
      </c>
      <c r="D3" s="23" t="n">
        <v>3</v>
      </c>
      <c r="E3" s="23" t="n">
        <v>38.4</v>
      </c>
      <c r="F3" s="23" t="n">
        <f aca="false">((2*1.1)*6)+((2.1*0.6)*2)+(1*2.1) +(1*2.1*2)</f>
        <v>22.02</v>
      </c>
      <c r="G3" s="23"/>
      <c r="H3" s="23"/>
      <c r="I3" s="23" t="n">
        <f aca="false">(D3*E3)-F3</f>
        <v>93.18</v>
      </c>
      <c r="J3" s="23" t="s">
        <v>465</v>
      </c>
    </row>
    <row r="4" customFormat="false" ht="72" hidden="false" customHeight="false" outlineLevel="0" collapsed="false">
      <c r="A4" s="23"/>
      <c r="B4" s="23" t="s">
        <v>190</v>
      </c>
      <c r="C4" s="25" t="s">
        <v>192</v>
      </c>
      <c r="D4" s="25" t="n">
        <v>74.15</v>
      </c>
      <c r="E4" s="38" t="n">
        <v>0.6</v>
      </c>
      <c r="F4" s="25"/>
      <c r="G4" s="25"/>
      <c r="H4" s="25"/>
      <c r="I4" s="23" t="n">
        <f aca="false">E4*D4</f>
        <v>44.49</v>
      </c>
      <c r="J4" s="23" t="s">
        <v>523</v>
      </c>
    </row>
    <row r="5" customFormat="false" ht="28.8" hidden="false" customHeight="false" outlineLevel="0" collapsed="false">
      <c r="A5" s="23"/>
      <c r="B5" s="23" t="s">
        <v>184</v>
      </c>
      <c r="C5" s="25" t="s">
        <v>186</v>
      </c>
      <c r="D5" s="25" t="n">
        <v>74.15</v>
      </c>
      <c r="E5" s="25"/>
      <c r="F5" s="25"/>
      <c r="G5" s="25"/>
      <c r="H5" s="25"/>
      <c r="I5" s="23" t="n">
        <f aca="false">D5</f>
        <v>74.15</v>
      </c>
      <c r="J5" s="23" t="s">
        <v>524</v>
      </c>
    </row>
    <row r="6" customFormat="false" ht="28.8" hidden="false" customHeight="false" outlineLevel="0" collapsed="false">
      <c r="A6" s="23"/>
      <c r="B6" s="23" t="s">
        <v>187</v>
      </c>
      <c r="C6" s="25" t="s">
        <v>189</v>
      </c>
      <c r="D6" s="25" t="n">
        <v>74.15</v>
      </c>
      <c r="E6" s="39" t="n">
        <v>0.4</v>
      </c>
      <c r="F6" s="25"/>
      <c r="G6" s="25"/>
      <c r="H6" s="25"/>
      <c r="I6" s="23" t="n">
        <f aca="false">E6*D6</f>
        <v>29.66</v>
      </c>
      <c r="J6" s="23" t="s">
        <v>525</v>
      </c>
    </row>
    <row r="7" customFormat="false" ht="28.8" hidden="false" customHeight="false" outlineLevel="0" collapsed="false">
      <c r="A7" s="23"/>
      <c r="B7" s="23" t="s">
        <v>194</v>
      </c>
      <c r="C7" s="25" t="s">
        <v>196</v>
      </c>
      <c r="D7" s="25" t="n">
        <v>3</v>
      </c>
      <c r="E7" s="25" t="n">
        <f aca="false">2*1</f>
        <v>2</v>
      </c>
      <c r="F7" s="25"/>
      <c r="G7" s="25"/>
      <c r="H7" s="25"/>
      <c r="I7" s="23" t="n">
        <f aca="false">D7*E7</f>
        <v>6</v>
      </c>
      <c r="J7" s="23" t="s">
        <v>526</v>
      </c>
    </row>
    <row r="8" customFormat="false" ht="57.6" hidden="false" customHeight="false" outlineLevel="0" collapsed="false">
      <c r="A8" s="23"/>
      <c r="B8" s="24" t="s">
        <v>224</v>
      </c>
      <c r="C8" s="25" t="s">
        <v>226</v>
      </c>
      <c r="D8" s="24"/>
      <c r="E8" s="27"/>
      <c r="F8" s="23"/>
      <c r="G8" s="23"/>
      <c r="H8" s="23"/>
      <c r="I8" s="23" t="n">
        <v>2</v>
      </c>
      <c r="J8" s="23"/>
    </row>
    <row r="9" customFormat="false" ht="28.8" hidden="false" customHeight="false" outlineLevel="0" collapsed="false">
      <c r="A9" s="23"/>
      <c r="B9" s="23" t="s">
        <v>240</v>
      </c>
      <c r="C9" s="25" t="s">
        <v>242</v>
      </c>
      <c r="D9" s="24" t="n">
        <f aca="false">((2*1)*12)+((2.1*0.6)*4)+((1*2)*2)</f>
        <v>33.04</v>
      </c>
      <c r="E9" s="24" t="n">
        <f aca="false">((0.15*2.1)*4)+(0.15*1.2)+(0.15*1)+(0.15*1.1*12)</f>
        <v>3.57</v>
      </c>
      <c r="F9" s="23" t="n">
        <f aca="false">0.05*((((2.1*2)+1.2)*2)+(((1.1*2)+2)*2*6)+(((2.1*2)+1)*2))</f>
        <v>3.58</v>
      </c>
      <c r="G9" s="23"/>
      <c r="H9" s="23"/>
      <c r="I9" s="24" t="n">
        <f aca="false">D9+E9+F9</f>
        <v>40.19</v>
      </c>
      <c r="J9" s="23" t="s">
        <v>472</v>
      </c>
    </row>
    <row r="10" customFormat="false" ht="43.2" hidden="false" customHeight="false" outlineLevel="0" collapsed="false">
      <c r="A10" s="23"/>
      <c r="B10" s="23" t="s">
        <v>258</v>
      </c>
      <c r="C10" s="25" t="s">
        <v>260</v>
      </c>
      <c r="D10" s="23" t="n">
        <v>3</v>
      </c>
      <c r="E10" s="23" t="n">
        <v>38.4</v>
      </c>
      <c r="F10" s="23" t="n">
        <f aca="false">((2*1.1)*6)+((2.1*0.6)*2)+(1*2.1) +(1*2.1*2)</f>
        <v>22.02</v>
      </c>
      <c r="G10" s="23"/>
      <c r="H10" s="23"/>
      <c r="I10" s="23" t="n">
        <f aca="false">(D10*E10)-F10</f>
        <v>93.18</v>
      </c>
      <c r="J10" s="23" t="s">
        <v>465</v>
      </c>
    </row>
    <row r="11" customFormat="false" ht="28.8" hidden="false" customHeight="false" outlineLevel="0" collapsed="false">
      <c r="A11" s="23"/>
      <c r="B11" s="23" t="s">
        <v>274</v>
      </c>
      <c r="C11" s="31" t="s">
        <v>276</v>
      </c>
      <c r="D11" s="23"/>
      <c r="E11" s="23"/>
      <c r="F11" s="23"/>
      <c r="G11" s="23"/>
      <c r="H11" s="23"/>
      <c r="I11" s="23" t="n">
        <v>1</v>
      </c>
      <c r="J11" s="23" t="s">
        <v>527</v>
      </c>
    </row>
    <row r="12" customFormat="false" ht="28.8" hidden="false" customHeight="false" outlineLevel="0" collapsed="false">
      <c r="A12" s="23"/>
      <c r="B12" s="23" t="s">
        <v>309</v>
      </c>
      <c r="C12" s="25" t="s">
        <v>311</v>
      </c>
      <c r="D12" s="23"/>
      <c r="E12" s="23"/>
      <c r="F12" s="23"/>
      <c r="G12" s="23"/>
      <c r="H12" s="23"/>
      <c r="I12" s="23" t="n">
        <v>1</v>
      </c>
      <c r="J12" s="23"/>
    </row>
    <row r="13" customFormat="false" ht="28.8" hidden="false" customHeight="false" outlineLevel="0" collapsed="false">
      <c r="A13" s="23"/>
      <c r="B13" s="23" t="s">
        <v>315</v>
      </c>
      <c r="C13" s="25" t="s">
        <v>317</v>
      </c>
      <c r="D13" s="23"/>
      <c r="E13" s="23"/>
      <c r="F13" s="23"/>
      <c r="G13" s="23"/>
      <c r="H13" s="23"/>
      <c r="I13" s="23" t="n">
        <v>12</v>
      </c>
      <c r="J13" s="23"/>
    </row>
    <row r="14" customFormat="false" ht="14.4" hidden="false" customHeight="false" outlineLevel="0" collapsed="false">
      <c r="A14" s="23"/>
      <c r="B14" s="23" t="s">
        <v>327</v>
      </c>
      <c r="C14" s="25" t="s">
        <v>329</v>
      </c>
      <c r="D14" s="23"/>
      <c r="E14" s="23"/>
      <c r="F14" s="23"/>
      <c r="G14" s="23"/>
      <c r="H14" s="23"/>
      <c r="I14" s="23" t="n">
        <v>6</v>
      </c>
      <c r="J14" s="23"/>
    </row>
    <row r="15" customFormat="false" ht="14.4" hidden="false" customHeight="false" outlineLevel="0" collapsed="false">
      <c r="I15" s="0" t="n">
        <f aca="false">SUM(I2:I14)</f>
        <v>405.37</v>
      </c>
    </row>
  </sheetData>
  <mergeCells count="1">
    <mergeCell ref="A2:A1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J15"/>
  <sheetViews>
    <sheetView windowProtection="false" showFormulas="false" showGridLines="true" showRowColHeaders="true" showZeros="true" rightToLeft="false" tabSelected="false" showOutlineSymbols="true" defaultGridColor="true" view="normal" topLeftCell="A13" colorId="64" zoomScale="90" zoomScaleNormal="90" zoomScalePageLayoutView="100" workbookViewId="0">
      <selection pane="topLeft" activeCell="I16" activeCellId="0" sqref="I16"/>
    </sheetView>
  </sheetViews>
  <sheetFormatPr defaultRowHeight="14.4"/>
  <cols>
    <col collapsed="false" hidden="false" max="2" min="1" style="0" width="15.7959183673469"/>
    <col collapsed="false" hidden="false" max="3" min="3" style="36" width="29.6989795918367"/>
    <col collapsed="false" hidden="false" max="8" min="4" style="36" width="7.96428571428571"/>
    <col collapsed="false" hidden="false" max="9" min="9" style="0" width="12.5561224489796"/>
    <col collapsed="false" hidden="false" max="10" min="10" style="0" width="35.234693877551"/>
    <col collapsed="false" hidden="false" max="1025" min="11" style="0" width="8.23469387755102"/>
  </cols>
  <sheetData>
    <row r="1" customFormat="false" ht="15.6"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45" hidden="false" customHeight="true" outlineLevel="0" collapsed="false">
      <c r="A2" s="23" t="s">
        <v>14</v>
      </c>
      <c r="B2" s="23" t="s">
        <v>30</v>
      </c>
      <c r="C2" s="25" t="s">
        <v>32</v>
      </c>
      <c r="D2" s="25"/>
      <c r="E2" s="25"/>
      <c r="F2" s="25"/>
      <c r="G2" s="25"/>
      <c r="H2" s="25"/>
      <c r="I2" s="24" t="n">
        <v>3</v>
      </c>
      <c r="J2" s="23" t="s">
        <v>458</v>
      </c>
    </row>
    <row r="3" customFormat="false" ht="45" hidden="false" customHeight="true" outlineLevel="0" collapsed="false">
      <c r="A3" s="23"/>
      <c r="B3" s="23" t="s">
        <v>44</v>
      </c>
      <c r="C3" s="25" t="s">
        <v>46</v>
      </c>
      <c r="D3" s="25" t="n">
        <f aca="false">2.1*1</f>
        <v>2.1</v>
      </c>
      <c r="E3" s="38"/>
      <c r="F3" s="25"/>
      <c r="G3" s="25"/>
      <c r="H3" s="25"/>
      <c r="I3" s="23" t="n">
        <f aca="false">D3</f>
        <v>2.1</v>
      </c>
      <c r="J3" s="23" t="s">
        <v>468</v>
      </c>
    </row>
    <row r="4" customFormat="false" ht="14.4" hidden="false" customHeight="false" outlineLevel="0" collapsed="false">
      <c r="A4" s="23"/>
      <c r="B4" s="23" t="s">
        <v>61</v>
      </c>
      <c r="C4" s="25" t="s">
        <v>63</v>
      </c>
      <c r="D4" s="25"/>
      <c r="E4" s="25"/>
      <c r="F4" s="25"/>
      <c r="G4" s="25"/>
      <c r="H4" s="25"/>
      <c r="I4" s="23" t="n">
        <v>1</v>
      </c>
      <c r="J4" s="23" t="s">
        <v>520</v>
      </c>
    </row>
    <row r="5" customFormat="false" ht="57.6" hidden="false" customHeight="false" outlineLevel="0" collapsed="false">
      <c r="A5" s="23"/>
      <c r="B5" s="23" t="s">
        <v>67</v>
      </c>
      <c r="C5" s="25" t="s">
        <v>69</v>
      </c>
      <c r="D5" s="23" t="n">
        <v>1.5</v>
      </c>
      <c r="E5" s="23" t="n">
        <v>7</v>
      </c>
      <c r="F5" s="23" t="n">
        <f aca="false">(1*2.1)+(1*0.5)</f>
        <v>2.6</v>
      </c>
      <c r="G5" s="23"/>
      <c r="H5" s="23"/>
      <c r="I5" s="24" t="n">
        <f aca="false">D5*(E5-F5)</f>
        <v>6.6</v>
      </c>
      <c r="J5" s="23" t="s">
        <v>528</v>
      </c>
    </row>
    <row r="6" customFormat="false" ht="86.4" hidden="false" customHeight="false" outlineLevel="0" collapsed="false">
      <c r="A6" s="23"/>
      <c r="B6" s="23" t="s">
        <v>128</v>
      </c>
      <c r="C6" s="25" t="s">
        <v>130</v>
      </c>
      <c r="D6" s="23" t="n">
        <v>3</v>
      </c>
      <c r="E6" s="23" t="n">
        <v>7</v>
      </c>
      <c r="F6" s="23" t="n">
        <f aca="false">(1*2.1)+(1*0.5)</f>
        <v>2.6</v>
      </c>
      <c r="G6" s="23"/>
      <c r="H6" s="23"/>
      <c r="I6" s="24" t="n">
        <f aca="false">D6*(E6-F6)</f>
        <v>13.2</v>
      </c>
      <c r="J6" s="23" t="s">
        <v>529</v>
      </c>
    </row>
    <row r="7" customFormat="false" ht="43.2" hidden="false" customHeight="false" outlineLevel="0" collapsed="false">
      <c r="A7" s="23"/>
      <c r="B7" s="23" t="s">
        <v>141</v>
      </c>
      <c r="C7" s="25" t="s">
        <v>143</v>
      </c>
      <c r="D7" s="23" t="n">
        <v>3</v>
      </c>
      <c r="E7" s="23" t="n">
        <v>0.06</v>
      </c>
      <c r="F7" s="23"/>
      <c r="G7" s="23"/>
      <c r="H7" s="23"/>
      <c r="I7" s="24" t="n">
        <f aca="false">D7*E7</f>
        <v>0.18</v>
      </c>
      <c r="J7" s="23" t="s">
        <v>530</v>
      </c>
    </row>
    <row r="8" customFormat="false" ht="72" hidden="false" customHeight="false" outlineLevel="0" collapsed="false">
      <c r="A8" s="23"/>
      <c r="B8" s="23" t="s">
        <v>144</v>
      </c>
      <c r="C8" s="25" t="s">
        <v>146</v>
      </c>
      <c r="D8" s="25"/>
      <c r="E8" s="25"/>
      <c r="F8" s="25"/>
      <c r="G8" s="25"/>
      <c r="H8" s="25"/>
      <c r="I8" s="24" t="n">
        <v>3</v>
      </c>
      <c r="J8" s="23" t="s">
        <v>458</v>
      </c>
    </row>
    <row r="9" customFormat="false" ht="43.2" hidden="false" customHeight="false" outlineLevel="0" collapsed="false">
      <c r="A9" s="23"/>
      <c r="B9" s="23" t="s">
        <v>147</v>
      </c>
      <c r="C9" s="25" t="s">
        <v>149</v>
      </c>
      <c r="D9" s="25"/>
      <c r="E9" s="25"/>
      <c r="F9" s="25"/>
      <c r="G9" s="25"/>
      <c r="H9" s="25"/>
      <c r="I9" s="24" t="n">
        <v>3</v>
      </c>
      <c r="J9" s="23" t="s">
        <v>458</v>
      </c>
    </row>
    <row r="10" customFormat="false" ht="14.4" hidden="false" customHeight="false" outlineLevel="0" collapsed="false">
      <c r="A10" s="23"/>
      <c r="B10" s="23" t="s">
        <v>209</v>
      </c>
      <c r="C10" s="25" t="s">
        <v>211</v>
      </c>
      <c r="D10" s="25" t="n">
        <f aca="false">2.1*1</f>
        <v>2.1</v>
      </c>
      <c r="E10" s="38"/>
      <c r="F10" s="25"/>
      <c r="G10" s="25"/>
      <c r="H10" s="25"/>
      <c r="I10" s="23" t="n">
        <f aca="false">D10</f>
        <v>2.1</v>
      </c>
      <c r="J10" s="23" t="s">
        <v>468</v>
      </c>
    </row>
    <row r="11" customFormat="false" ht="86.4" hidden="false" customHeight="false" outlineLevel="0" collapsed="false">
      <c r="A11" s="23"/>
      <c r="B11" s="23" t="s">
        <v>298</v>
      </c>
      <c r="C11" s="25" t="s">
        <v>531</v>
      </c>
      <c r="D11" s="25"/>
      <c r="E11" s="25"/>
      <c r="F11" s="25"/>
      <c r="G11" s="25"/>
      <c r="H11" s="25"/>
      <c r="I11" s="23" t="n">
        <v>1</v>
      </c>
      <c r="J11" s="23"/>
    </row>
    <row r="12" customFormat="false" ht="28.8" hidden="false" customHeight="false" outlineLevel="0" collapsed="false">
      <c r="A12" s="23"/>
      <c r="B12" s="23" t="s">
        <v>277</v>
      </c>
      <c r="C12" s="25" t="s">
        <v>279</v>
      </c>
      <c r="D12" s="25"/>
      <c r="E12" s="25"/>
      <c r="F12" s="25"/>
      <c r="G12" s="25"/>
      <c r="H12" s="25"/>
      <c r="I12" s="23" t="n">
        <v>1</v>
      </c>
      <c r="J12" s="23" t="s">
        <v>520</v>
      </c>
    </row>
    <row r="13" customFormat="false" ht="57.6" hidden="false" customHeight="false" outlineLevel="0" collapsed="false">
      <c r="A13" s="23"/>
      <c r="B13" s="23" t="s">
        <v>440</v>
      </c>
      <c r="C13" s="25" t="s">
        <v>442</v>
      </c>
      <c r="D13" s="24" t="n">
        <f aca="false">I2</f>
        <v>3</v>
      </c>
      <c r="E13" s="23" t="n">
        <v>0.07</v>
      </c>
      <c r="F13" s="23" t="n">
        <v>1.3</v>
      </c>
      <c r="G13" s="23" t="n">
        <v>6</v>
      </c>
      <c r="H13" s="23"/>
      <c r="I13" s="24" t="n">
        <f aca="false">D13*E13*F13*G13</f>
        <v>1.638</v>
      </c>
      <c r="J13" s="23" t="s">
        <v>532</v>
      </c>
    </row>
    <row r="14" customFormat="false" ht="14.4" hidden="false" customHeight="false" outlineLevel="0" collapsed="false">
      <c r="A14" s="23"/>
      <c r="B14" s="24" t="s">
        <v>444</v>
      </c>
      <c r="C14" s="25" t="s">
        <v>446</v>
      </c>
      <c r="D14" s="24"/>
      <c r="E14" s="23"/>
      <c r="F14" s="23"/>
      <c r="G14" s="23"/>
      <c r="H14" s="23"/>
      <c r="I14" s="24" t="n">
        <f aca="false">I2</f>
        <v>3</v>
      </c>
      <c r="J14" s="23" t="s">
        <v>458</v>
      </c>
    </row>
    <row r="15" customFormat="false" ht="14.4" hidden="false" customHeight="false" outlineLevel="0" collapsed="false">
      <c r="I15" s="0" t="n">
        <f aca="false">SUM(I2:I14)</f>
        <v>40.818</v>
      </c>
    </row>
  </sheetData>
  <mergeCells count="1">
    <mergeCell ref="A2:A1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J15"/>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I16" activeCellId="0" sqref="I16"/>
    </sheetView>
  </sheetViews>
  <sheetFormatPr defaultRowHeight="14.4"/>
  <cols>
    <col collapsed="false" hidden="false" max="2" min="1" style="0" width="16.7397959183673"/>
    <col collapsed="false" hidden="false" max="3" min="3" style="36" width="29.6989795918367"/>
    <col collapsed="false" hidden="false" max="8" min="4" style="36" width="7.96428571428571"/>
    <col collapsed="false" hidden="false" max="9" min="9" style="0" width="8.23469387755102"/>
    <col collapsed="false" hidden="false" max="10" min="10" style="0" width="34.4234693877551"/>
    <col collapsed="false" hidden="false" max="1025" min="11" style="0" width="8.23469387755102"/>
  </cols>
  <sheetData>
    <row r="1" customFormat="false" ht="31.2" hidden="false" customHeight="false" outlineLevel="0" collapsed="false">
      <c r="A1" s="22" t="s">
        <v>447</v>
      </c>
      <c r="B1" s="22" t="s">
        <v>3</v>
      </c>
      <c r="C1" s="22" t="s">
        <v>448</v>
      </c>
      <c r="D1" s="22" t="s">
        <v>449</v>
      </c>
      <c r="E1" s="22" t="s">
        <v>450</v>
      </c>
      <c r="F1" s="22" t="s">
        <v>451</v>
      </c>
      <c r="G1" s="22" t="s">
        <v>452</v>
      </c>
      <c r="H1" s="22" t="s">
        <v>453</v>
      </c>
      <c r="I1" s="22" t="s">
        <v>454</v>
      </c>
      <c r="J1" s="22" t="s">
        <v>455</v>
      </c>
    </row>
    <row r="2" customFormat="false" ht="45" hidden="false" customHeight="true" outlineLevel="0" collapsed="false">
      <c r="A2" s="23" t="s">
        <v>533</v>
      </c>
      <c r="B2" s="23" t="s">
        <v>30</v>
      </c>
      <c r="C2" s="25" t="s">
        <v>32</v>
      </c>
      <c r="D2" s="25"/>
      <c r="E2" s="25"/>
      <c r="F2" s="25"/>
      <c r="G2" s="25"/>
      <c r="H2" s="25"/>
      <c r="I2" s="24" t="n">
        <v>3</v>
      </c>
      <c r="J2" s="23" t="s">
        <v>458</v>
      </c>
    </row>
    <row r="3" customFormat="false" ht="28.8" hidden="false" customHeight="false" outlineLevel="0" collapsed="false">
      <c r="A3" s="23"/>
      <c r="B3" s="23" t="s">
        <v>44</v>
      </c>
      <c r="C3" s="25" t="s">
        <v>46</v>
      </c>
      <c r="D3" s="25" t="n">
        <f aca="false">2.1*1</f>
        <v>2.1</v>
      </c>
      <c r="E3" s="38"/>
      <c r="F3" s="25"/>
      <c r="G3" s="25"/>
      <c r="H3" s="25"/>
      <c r="I3" s="23" t="n">
        <f aca="false">D3</f>
        <v>2.1</v>
      </c>
      <c r="J3" s="23" t="s">
        <v>468</v>
      </c>
    </row>
    <row r="4" customFormat="false" ht="14.4" hidden="false" customHeight="false" outlineLevel="0" collapsed="false">
      <c r="A4" s="23"/>
      <c r="B4" s="23" t="s">
        <v>61</v>
      </c>
      <c r="C4" s="25" t="s">
        <v>63</v>
      </c>
      <c r="D4" s="25"/>
      <c r="E4" s="25"/>
      <c r="F4" s="25"/>
      <c r="G4" s="25"/>
      <c r="H4" s="25"/>
      <c r="I4" s="23" t="n">
        <v>1</v>
      </c>
      <c r="J4" s="23" t="s">
        <v>520</v>
      </c>
    </row>
    <row r="5" customFormat="false" ht="57.6" hidden="false" customHeight="false" outlineLevel="0" collapsed="false">
      <c r="A5" s="23"/>
      <c r="B5" s="23" t="s">
        <v>67</v>
      </c>
      <c r="C5" s="25" t="s">
        <v>69</v>
      </c>
      <c r="D5" s="23" t="n">
        <v>1.5</v>
      </c>
      <c r="E5" s="23" t="n">
        <v>7</v>
      </c>
      <c r="F5" s="23" t="n">
        <f aca="false">(1*2.1)+(1*0.5)</f>
        <v>2.6</v>
      </c>
      <c r="G5" s="23"/>
      <c r="H5" s="23"/>
      <c r="I5" s="24" t="n">
        <f aca="false">D5*(E5-F5)</f>
        <v>6.6</v>
      </c>
      <c r="J5" s="23" t="s">
        <v>528</v>
      </c>
    </row>
    <row r="6" customFormat="false" ht="86.4" hidden="false" customHeight="false" outlineLevel="0" collapsed="false">
      <c r="A6" s="23"/>
      <c r="B6" s="23" t="s">
        <v>128</v>
      </c>
      <c r="C6" s="25" t="s">
        <v>130</v>
      </c>
      <c r="D6" s="23" t="n">
        <v>3</v>
      </c>
      <c r="E6" s="23" t="n">
        <v>7</v>
      </c>
      <c r="F6" s="23" t="n">
        <f aca="false">(1*2.1)+(1*0.5)</f>
        <v>2.6</v>
      </c>
      <c r="G6" s="23"/>
      <c r="H6" s="23"/>
      <c r="I6" s="24" t="n">
        <f aca="false">D6*(E6-F6)</f>
        <v>13.2</v>
      </c>
      <c r="J6" s="23" t="s">
        <v>528</v>
      </c>
    </row>
    <row r="7" customFormat="false" ht="43.2" hidden="false" customHeight="false" outlineLevel="0" collapsed="false">
      <c r="A7" s="23"/>
      <c r="B7" s="23" t="s">
        <v>141</v>
      </c>
      <c r="C7" s="25" t="s">
        <v>143</v>
      </c>
      <c r="D7" s="23" t="n">
        <v>3</v>
      </c>
      <c r="E7" s="23" t="n">
        <v>0.06</v>
      </c>
      <c r="F7" s="23"/>
      <c r="G7" s="23"/>
      <c r="H7" s="23"/>
      <c r="I7" s="24" t="n">
        <f aca="false">D7*E7</f>
        <v>0.18</v>
      </c>
      <c r="J7" s="23" t="s">
        <v>530</v>
      </c>
    </row>
    <row r="8" customFormat="false" ht="72" hidden="false" customHeight="false" outlineLevel="0" collapsed="false">
      <c r="A8" s="23"/>
      <c r="B8" s="23" t="s">
        <v>144</v>
      </c>
      <c r="C8" s="25" t="s">
        <v>146</v>
      </c>
      <c r="D8" s="25"/>
      <c r="E8" s="25"/>
      <c r="F8" s="25"/>
      <c r="G8" s="25"/>
      <c r="H8" s="25"/>
      <c r="I8" s="24" t="n">
        <v>3</v>
      </c>
      <c r="J8" s="23" t="s">
        <v>458</v>
      </c>
    </row>
    <row r="9" customFormat="false" ht="43.2" hidden="false" customHeight="false" outlineLevel="0" collapsed="false">
      <c r="A9" s="23"/>
      <c r="B9" s="23" t="s">
        <v>147</v>
      </c>
      <c r="C9" s="25" t="s">
        <v>149</v>
      </c>
      <c r="D9" s="25"/>
      <c r="E9" s="25"/>
      <c r="F9" s="25"/>
      <c r="G9" s="25"/>
      <c r="H9" s="25"/>
      <c r="I9" s="24" t="n">
        <v>3</v>
      </c>
      <c r="J9" s="23" t="s">
        <v>458</v>
      </c>
    </row>
    <row r="10" customFormat="false" ht="14.4" hidden="false" customHeight="false" outlineLevel="0" collapsed="false">
      <c r="A10" s="23"/>
      <c r="B10" s="23" t="s">
        <v>209</v>
      </c>
      <c r="C10" s="25" t="s">
        <v>211</v>
      </c>
      <c r="D10" s="25" t="n">
        <f aca="false">2.1*1</f>
        <v>2.1</v>
      </c>
      <c r="E10" s="38"/>
      <c r="F10" s="25"/>
      <c r="G10" s="25"/>
      <c r="H10" s="25"/>
      <c r="I10" s="23" t="n">
        <f aca="false">D10</f>
        <v>2.1</v>
      </c>
      <c r="J10" s="23" t="s">
        <v>468</v>
      </c>
    </row>
    <row r="11" customFormat="false" ht="86.4" hidden="false" customHeight="false" outlineLevel="0" collapsed="false">
      <c r="A11" s="23"/>
      <c r="B11" s="23" t="s">
        <v>298</v>
      </c>
      <c r="C11" s="25" t="s">
        <v>531</v>
      </c>
      <c r="D11" s="25"/>
      <c r="E11" s="25"/>
      <c r="F11" s="25"/>
      <c r="G11" s="25"/>
      <c r="H11" s="25"/>
      <c r="I11" s="23" t="n">
        <v>1</v>
      </c>
      <c r="J11" s="23"/>
    </row>
    <row r="12" customFormat="false" ht="28.8" hidden="false" customHeight="false" outlineLevel="0" collapsed="false">
      <c r="A12" s="23"/>
      <c r="B12" s="23" t="s">
        <v>277</v>
      </c>
      <c r="C12" s="25" t="s">
        <v>279</v>
      </c>
      <c r="D12" s="25"/>
      <c r="E12" s="25"/>
      <c r="F12" s="25"/>
      <c r="G12" s="25"/>
      <c r="H12" s="25"/>
      <c r="I12" s="23" t="n">
        <v>1</v>
      </c>
      <c r="J12" s="23" t="s">
        <v>520</v>
      </c>
    </row>
    <row r="13" customFormat="false" ht="57.6" hidden="false" customHeight="false" outlineLevel="0" collapsed="false">
      <c r="A13" s="23"/>
      <c r="B13" s="23" t="s">
        <v>440</v>
      </c>
      <c r="C13" s="25" t="s">
        <v>442</v>
      </c>
      <c r="D13" s="24" t="n">
        <f aca="false">I2</f>
        <v>3</v>
      </c>
      <c r="E13" s="23" t="n">
        <v>0.07</v>
      </c>
      <c r="F13" s="23" t="n">
        <v>1.3</v>
      </c>
      <c r="G13" s="23" t="n">
        <v>6</v>
      </c>
      <c r="H13" s="23"/>
      <c r="I13" s="24" t="n">
        <f aca="false">D13*E13*F13*G13</f>
        <v>1.638</v>
      </c>
      <c r="J13" s="23" t="s">
        <v>532</v>
      </c>
    </row>
    <row r="14" customFormat="false" ht="14.4" hidden="false" customHeight="false" outlineLevel="0" collapsed="false">
      <c r="A14" s="23"/>
      <c r="B14" s="24" t="s">
        <v>444</v>
      </c>
      <c r="C14" s="25" t="s">
        <v>446</v>
      </c>
      <c r="D14" s="24"/>
      <c r="E14" s="23"/>
      <c r="F14" s="23"/>
      <c r="G14" s="23"/>
      <c r="H14" s="23"/>
      <c r="I14" s="24" t="n">
        <f aca="false">I2</f>
        <v>3</v>
      </c>
      <c r="J14" s="23" t="s">
        <v>458</v>
      </c>
    </row>
    <row r="15" customFormat="false" ht="14.4" hidden="false" customHeight="false" outlineLevel="0" collapsed="false">
      <c r="I15" s="0" t="n">
        <f aca="false">SUM(I2:I14)</f>
        <v>40.818</v>
      </c>
    </row>
  </sheetData>
  <mergeCells count="1">
    <mergeCell ref="A2:A1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291</TotalTime>
  <Application>LibreOffice/5.2.3.3$Windows_x86 LibreOffice_project/d54a8868f08a7b39642414cf2c8ef2f228f780cf</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2017-07-31T19:22:24Z</dcterms:created>
  <dc:creator>José Dantas Mendes Neto</dc:creator>
  <dc:description/>
  <dc:language>pt-BR</dc:language>
  <cp:lastModifiedBy/>
  <cp:lastPrinted>2017-09-11T17:10:36Z</cp:lastPrinted>
  <dcterms:modified xsi:type="dcterms:W3CDTF">2017-09-25T16:58:55Z</dcterms:modified>
  <cp:revision>32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