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https://d.docs.live.net/ab8d0605e011ccc5/Canário/Termos de Referência/TR's 4ªSR/Licitação ATER 2020 Jacaré-Curituba/"/>
    </mc:Choice>
  </mc:AlternateContent>
  <xr:revisionPtr revIDLastSave="0" documentId="8_{0EAEB5B7-2E7D-47FA-B5DD-571A446624DF}" xr6:coauthVersionLast="45" xr6:coauthVersionMax="45" xr10:uidLastSave="{00000000-0000-0000-0000-000000000000}"/>
  <bookViews>
    <workbookView xWindow="-120" yWindow="-120" windowWidth="24240" windowHeight="13140" tabRatio="681" activeTab="3" xr2:uid="{00000000-000D-0000-FFFF-FFFF00000000}"/>
  </bookViews>
  <sheets>
    <sheet name="ASSISTENTE SOCIAL" sheetId="29" r:id="rId1"/>
    <sheet name="TÉCNICO AGRÍCOLA" sheetId="4" r:id="rId2"/>
    <sheet name="SERVIÇOS GERAIS" sheetId="36" r:id="rId3"/>
    <sheet name="LOC. VEÍCULOS" sheetId="34" r:id="rId4"/>
    <sheet name="LOC. MOTOCICLETA" sheetId="35" r:id="rId5"/>
    <sheet name="ESTIMATIVA DE CUSTO" sheetId="31" state="hidden" r:id="rId6"/>
    <sheet name="RESUMO CUSTO MÊS" sheetId="32" state="hidden" r:id="rId7"/>
  </sheets>
  <externalReferences>
    <externalReference r:id="rId8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" i="32" l="1"/>
  <c r="G8" i="32"/>
  <c r="F8" i="32"/>
  <c r="E8" i="32"/>
  <c r="C8" i="32"/>
  <c r="B9" i="32"/>
  <c r="D8" i="32"/>
  <c r="F41" i="35"/>
  <c r="F32" i="35"/>
  <c r="F41" i="34"/>
  <c r="F32" i="34"/>
  <c r="F30" i="36"/>
  <c r="F144" i="4"/>
  <c r="F144" i="29"/>
  <c r="F97" i="36"/>
  <c r="F105" i="36" s="1"/>
  <c r="F90" i="36"/>
  <c r="F104" i="36" s="1"/>
  <c r="F80" i="36"/>
  <c r="F103" i="36" s="1"/>
  <c r="F68" i="36"/>
  <c r="F102" i="36" s="1"/>
  <c r="F53" i="36"/>
  <c r="F124" i="36" s="1"/>
  <c r="F51" i="36"/>
  <c r="F49" i="36"/>
  <c r="F43" i="36"/>
  <c r="F45" i="36" s="1"/>
  <c r="F123" i="36" s="1"/>
  <c r="F34" i="36"/>
  <c r="F30" i="29"/>
  <c r="F31" i="29" s="1"/>
  <c r="F7" i="34"/>
  <c r="F31" i="4"/>
  <c r="I8" i="32" l="1"/>
  <c r="G105" i="36"/>
  <c r="F106" i="36"/>
  <c r="G103" i="36"/>
  <c r="G87" i="36"/>
  <c r="G76" i="36"/>
  <c r="G65" i="36"/>
  <c r="G61" i="36"/>
  <c r="G96" i="36"/>
  <c r="G63" i="36"/>
  <c r="G86" i="36"/>
  <c r="G79" i="36"/>
  <c r="G75" i="36"/>
  <c r="G64" i="36"/>
  <c r="G60" i="36"/>
  <c r="F122" i="36"/>
  <c r="G89" i="36"/>
  <c r="G78" i="36"/>
  <c r="G67" i="36"/>
  <c r="G95" i="36"/>
  <c r="G88" i="36"/>
  <c r="G77" i="36"/>
  <c r="G73" i="36"/>
  <c r="G66" i="36"/>
  <c r="G62" i="36"/>
  <c r="G102" i="36"/>
  <c r="G106" i="36" s="1"/>
  <c r="G85" i="36"/>
  <c r="G74" i="36"/>
  <c r="G104" i="36"/>
  <c r="F46" i="35"/>
  <c r="F34" i="35"/>
  <c r="F37" i="35" s="1"/>
  <c r="F28" i="35"/>
  <c r="F10" i="35"/>
  <c r="F21" i="35" s="1"/>
  <c r="F10" i="34"/>
  <c r="F16" i="34" s="1"/>
  <c r="F28" i="34"/>
  <c r="F34" i="34"/>
  <c r="F37" i="34"/>
  <c r="F46" i="34"/>
  <c r="F50" i="29"/>
  <c r="F49" i="4"/>
  <c r="F51" i="4"/>
  <c r="F53" i="4"/>
  <c r="F43" i="4"/>
  <c r="F45" i="4"/>
  <c r="F51" i="29"/>
  <c r="F53" i="29"/>
  <c r="F34" i="29"/>
  <c r="F43" i="29"/>
  <c r="F97" i="29"/>
  <c r="F105" i="29" s="1"/>
  <c r="F90" i="29"/>
  <c r="F104" i="29" s="1"/>
  <c r="F80" i="29"/>
  <c r="F103" i="29" s="1"/>
  <c r="F68" i="29"/>
  <c r="F102" i="29" s="1"/>
  <c r="F97" i="4"/>
  <c r="F105" i="4" s="1"/>
  <c r="F90" i="4"/>
  <c r="F104" i="4" s="1"/>
  <c r="F80" i="4"/>
  <c r="F103" i="4" s="1"/>
  <c r="F68" i="4"/>
  <c r="F102" i="4" s="1"/>
  <c r="F34" i="4"/>
  <c r="F45" i="29"/>
  <c r="F123" i="29" s="1"/>
  <c r="F7" i="32"/>
  <c r="F9" i="32" s="1"/>
  <c r="F19" i="32" s="1"/>
  <c r="F124" i="4"/>
  <c r="F123" i="4"/>
  <c r="E7" i="32"/>
  <c r="F6" i="32"/>
  <c r="F124" i="29"/>
  <c r="E6" i="32"/>
  <c r="F106" i="29"/>
  <c r="F106" i="4"/>
  <c r="F21" i="34"/>
  <c r="G97" i="36" l="1"/>
  <c r="G90" i="36"/>
  <c r="G80" i="36"/>
  <c r="G68" i="36"/>
  <c r="F125" i="36"/>
  <c r="F126" i="36" s="1"/>
  <c r="E9" i="32"/>
  <c r="E19" i="32" s="1"/>
  <c r="F20" i="32" s="1"/>
  <c r="F50" i="34"/>
  <c r="G95" i="29"/>
  <c r="G87" i="29"/>
  <c r="G86" i="29"/>
  <c r="G66" i="29"/>
  <c r="G103" i="29"/>
  <c r="F122" i="29"/>
  <c r="G77" i="29"/>
  <c r="G89" i="29"/>
  <c r="G62" i="29"/>
  <c r="G78" i="29"/>
  <c r="G105" i="29"/>
  <c r="G73" i="29"/>
  <c r="G85" i="29"/>
  <c r="G74" i="29"/>
  <c r="G88" i="29"/>
  <c r="C6" i="32"/>
  <c r="D6" i="32" s="1"/>
  <c r="G65" i="29"/>
  <c r="G79" i="29"/>
  <c r="G60" i="29"/>
  <c r="G61" i="29"/>
  <c r="G76" i="29"/>
  <c r="G64" i="29"/>
  <c r="G96" i="29"/>
  <c r="G104" i="29"/>
  <c r="G102" i="29"/>
  <c r="G67" i="29"/>
  <c r="G63" i="29"/>
  <c r="G75" i="29"/>
  <c r="F16" i="35"/>
  <c r="F50" i="35" s="1"/>
  <c r="G87" i="4"/>
  <c r="G96" i="4"/>
  <c r="F122" i="4"/>
  <c r="G76" i="4"/>
  <c r="G104" i="4"/>
  <c r="G89" i="4"/>
  <c r="G60" i="4"/>
  <c r="G105" i="4"/>
  <c r="G75" i="4"/>
  <c r="G95" i="4"/>
  <c r="G88" i="4"/>
  <c r="G73" i="4"/>
  <c r="G78" i="4"/>
  <c r="G74" i="4"/>
  <c r="G64" i="4"/>
  <c r="C7" i="32"/>
  <c r="D7" i="32" s="1"/>
  <c r="G79" i="4"/>
  <c r="G63" i="4"/>
  <c r="G65" i="4"/>
  <c r="G62" i="4"/>
  <c r="G66" i="4"/>
  <c r="G86" i="4"/>
  <c r="G103" i="4"/>
  <c r="G77" i="4"/>
  <c r="G61" i="4"/>
  <c r="G67" i="4"/>
  <c r="G102" i="4"/>
  <c r="G85" i="4"/>
  <c r="G111" i="36" l="1"/>
  <c r="G97" i="29"/>
  <c r="F54" i="34"/>
  <c r="G106" i="29"/>
  <c r="F125" i="29" s="1"/>
  <c r="F126" i="29" s="1"/>
  <c r="F54" i="35"/>
  <c r="G90" i="4"/>
  <c r="G68" i="4"/>
  <c r="G106" i="4"/>
  <c r="G97" i="4"/>
  <c r="G80" i="29"/>
  <c r="G68" i="29"/>
  <c r="G90" i="29"/>
  <c r="D9" i="32"/>
  <c r="D19" i="32" s="1"/>
  <c r="G80" i="4"/>
  <c r="G116" i="36" l="1"/>
  <c r="G113" i="36" s="1"/>
  <c r="G6" i="32"/>
  <c r="K6" i="32" s="1"/>
  <c r="F125" i="4"/>
  <c r="G7" i="32"/>
  <c r="K7" i="32" s="1"/>
  <c r="G111" i="29"/>
  <c r="F126" i="4"/>
  <c r="G115" i="36" l="1"/>
  <c r="G112" i="36" s="1"/>
  <c r="G117" i="36" s="1"/>
  <c r="F127" i="36" s="1"/>
  <c r="F128" i="36" s="1"/>
  <c r="C135" i="36" s="1"/>
  <c r="E135" i="36" s="1"/>
  <c r="K8" i="32"/>
  <c r="G9" i="32"/>
  <c r="G19" i="32" s="1"/>
  <c r="F26" i="32" s="1"/>
  <c r="G116" i="29"/>
  <c r="G111" i="4"/>
  <c r="G135" i="36" l="1"/>
  <c r="G136" i="36" s="1"/>
  <c r="F143" i="36" s="1"/>
  <c r="F144" i="36" s="1"/>
  <c r="F142" i="36"/>
  <c r="G20" i="32"/>
  <c r="G115" i="29"/>
  <c r="G113" i="29"/>
  <c r="G112" i="29" s="1"/>
  <c r="G117" i="29" s="1"/>
  <c r="G116" i="4"/>
  <c r="G113" i="4" s="1"/>
  <c r="G115" i="4" l="1"/>
  <c r="G112" i="4" s="1"/>
  <c r="G117" i="4" s="1"/>
  <c r="H7" i="32" s="1"/>
  <c r="I7" i="32" s="1"/>
  <c r="F127" i="29"/>
  <c r="F128" i="29" s="1"/>
  <c r="C135" i="29" s="1"/>
  <c r="H6" i="32"/>
  <c r="I6" i="32" s="1"/>
  <c r="F127" i="4" l="1"/>
  <c r="F128" i="4" s="1"/>
  <c r="C135" i="4" s="1"/>
  <c r="E135" i="4" s="1"/>
  <c r="C4" i="31"/>
  <c r="D4" i="31" s="1"/>
  <c r="F4" i="31" s="1"/>
  <c r="E135" i="29"/>
  <c r="C5" i="31" l="1"/>
  <c r="D5" i="31" s="1"/>
  <c r="F5" i="31" s="1"/>
  <c r="G135" i="29"/>
  <c r="G136" i="29" s="1"/>
  <c r="F143" i="29" s="1"/>
  <c r="F142" i="29"/>
  <c r="G135" i="4"/>
  <c r="G136" i="4" s="1"/>
  <c r="F143" i="4" s="1"/>
  <c r="F142" i="4"/>
  <c r="H9" i="32" l="1"/>
  <c r="H19" i="32" s="1"/>
  <c r="I9" i="32"/>
  <c r="I19" i="32" s="1"/>
  <c r="F7" i="31" l="1"/>
  <c r="D7" i="31"/>
</calcChain>
</file>

<file path=xl/sharedStrings.xml><?xml version="1.0" encoding="utf-8"?>
<sst xmlns="http://schemas.openxmlformats.org/spreadsheetml/2006/main" count="821" uniqueCount="239">
  <si>
    <t>PLANILHA DE CUSTOS E FORMAÇÃO DE PREÇOS</t>
  </si>
  <si>
    <t>Nº Processo</t>
  </si>
  <si>
    <t>Licitação Nº</t>
  </si>
  <si>
    <t>Dia ___/___/___ às ___:___ horas</t>
  </si>
  <si>
    <t>A</t>
  </si>
  <si>
    <t xml:space="preserve">Data de apresentação da proposta (dia/mês/ano) </t>
  </si>
  <si>
    <t>B</t>
  </si>
  <si>
    <t>Município/UF</t>
  </si>
  <si>
    <t>Aracaju-SE</t>
  </si>
  <si>
    <t>C</t>
  </si>
  <si>
    <t>Ano Acordo, Convenção ou Sentença Normativa em Dissídio Coletivo</t>
  </si>
  <si>
    <t>D</t>
  </si>
  <si>
    <t>Nº de meses de execução contratual</t>
  </si>
  <si>
    <t>Tipo de Seviço</t>
  </si>
  <si>
    <t>Unidade de medida</t>
  </si>
  <si>
    <t>Quantidade total a contratar</t>
  </si>
  <si>
    <t>I</t>
  </si>
  <si>
    <t>Anexo III - A - Mão-de Obra</t>
  </si>
  <si>
    <t>Mão-de-obra vincula à execução contratual</t>
  </si>
  <si>
    <t>Dados complementares para composição dos custos referente à mão-de-obra</t>
  </si>
  <si>
    <t>Tipo de serviço</t>
  </si>
  <si>
    <t>ATER</t>
  </si>
  <si>
    <t>Categoria profissional</t>
  </si>
  <si>
    <t>Data-base da categoria</t>
  </si>
  <si>
    <t>MÓDULO 1 : COMPOSIÇÃO DA REMUNERAÇÃO</t>
  </si>
  <si>
    <t>Composição da remuneração</t>
  </si>
  <si>
    <t>Valor (R$)</t>
  </si>
  <si>
    <t>Salário Base</t>
  </si>
  <si>
    <t>Risco Profissional (30%)</t>
  </si>
  <si>
    <t>Produtividade (6%)</t>
  </si>
  <si>
    <t>Adicional Noturno (25%)</t>
  </si>
  <si>
    <t>Total da Remuneração</t>
  </si>
  <si>
    <t>MÓDULO 2 : BENEFÍCIOS MENSAIS E DIÁRIOS</t>
  </si>
  <si>
    <t>Benefícios mensais e diários</t>
  </si>
  <si>
    <t>Auxílio alimentação (SINAPI 40862)</t>
  </si>
  <si>
    <t xml:space="preserve">Assistência médica e familiar </t>
  </si>
  <si>
    <t>Auxílio creche</t>
  </si>
  <si>
    <t>E</t>
  </si>
  <si>
    <t>Seguro de vida, invalidez e funeral (SINAPI 40864)</t>
  </si>
  <si>
    <t>F</t>
  </si>
  <si>
    <t xml:space="preserve">Exames (SINAPI 40863) </t>
  </si>
  <si>
    <t>G</t>
  </si>
  <si>
    <t>Intervalo Intrajornada (Alterado pelo Art. 71 da Lei 13.467)</t>
  </si>
  <si>
    <t>Total de benefícios mensais e diários</t>
  </si>
  <si>
    <t>MÓDULO 3 : INSUMOS DIVERSOS</t>
  </si>
  <si>
    <t>Insumos Diversos</t>
  </si>
  <si>
    <t>Bota (SINAPI 36145) (2 pares/ano)</t>
  </si>
  <si>
    <t>Fardamento (00941/ORSE) (3 kits x R$ 77,00/12)</t>
  </si>
  <si>
    <t>Creme de proteção solar FPS 30 (SINAPI 36146) 2L/ano</t>
  </si>
  <si>
    <t>Capa para chuva (SINAPI 12894)</t>
  </si>
  <si>
    <t>Total de insumos diversos</t>
  </si>
  <si>
    <t>MÓDULO 4: ENCARGOS SOCIAIS E TRABALHISTAS</t>
  </si>
  <si>
    <t>Submódulo 4.1 - Encargos previdenciários e FGTS</t>
  </si>
  <si>
    <t>4.1</t>
  </si>
  <si>
    <t>Encargos Previdenciários e FGTS (GRUPO A)</t>
  </si>
  <si>
    <t>%</t>
  </si>
  <si>
    <t>INSS</t>
  </si>
  <si>
    <t>SESI/SESC</t>
  </si>
  <si>
    <t>SENAI/SENAC</t>
  </si>
  <si>
    <t>INCRA</t>
  </si>
  <si>
    <t>Salário Educação</t>
  </si>
  <si>
    <t>FGTS</t>
  </si>
  <si>
    <t>Seguro acidente de trabalho</t>
  </si>
  <si>
    <t>H</t>
  </si>
  <si>
    <t>SEBRAE</t>
  </si>
  <si>
    <t>TOTAL</t>
  </si>
  <si>
    <t>Submódulo 4.2 - 13º Salário e Adicional de Férias</t>
  </si>
  <si>
    <t>4.2</t>
  </si>
  <si>
    <t>13º Salário e Adicional de Férias (GRUPO B)</t>
  </si>
  <si>
    <t xml:space="preserve">13º Salário </t>
  </si>
  <si>
    <t>Férias gozadas</t>
  </si>
  <si>
    <t>Auxílio enfermidade</t>
  </si>
  <si>
    <t>Licença paternidade</t>
  </si>
  <si>
    <t>Faltas justificadas</t>
  </si>
  <si>
    <t>Auxílio acidente de trabalho</t>
  </si>
  <si>
    <t>Salário maternidade</t>
  </si>
  <si>
    <t>Submódulo 4.3 - Provisão para Rescisão</t>
  </si>
  <si>
    <t>4.3</t>
  </si>
  <si>
    <t>Provisão para Rescisão (GRUPO C)</t>
  </si>
  <si>
    <t xml:space="preserve">Aviso prévio indenizado </t>
  </si>
  <si>
    <t xml:space="preserve">Aviso prévio trabalhado </t>
  </si>
  <si>
    <t>Férias indenizadas</t>
  </si>
  <si>
    <t>Depósito rescisão sem justa causa</t>
  </si>
  <si>
    <t>Indenização adicional</t>
  </si>
  <si>
    <t>Submódulo 4.4 - GRUPO D</t>
  </si>
  <si>
    <t>4.4</t>
  </si>
  <si>
    <t>GRUPO D</t>
  </si>
  <si>
    <t>Reincidência do Grupo A sobre o Grupo B</t>
  </si>
  <si>
    <t>Reincidência do Grupo A sobre Aviso Prévio Trabalhado e Reincidência do FGTS sobre o Aviso Prévio Indenizado</t>
  </si>
  <si>
    <t>Quadro - resumo - Módulo 4 - Encargos sociais e trabalhistas</t>
  </si>
  <si>
    <t>Módulo 4 - Encargos sociais e trabalhistas</t>
  </si>
  <si>
    <t>MÓDULO 5 - CUSTOS INDIRETOS, TRIBUTOS E LUCRO</t>
  </si>
  <si>
    <t>Custos Indiretos, Tributos e Lucro</t>
  </si>
  <si>
    <t>Custos Indiretos - Despesas Administrativas</t>
  </si>
  <si>
    <t xml:space="preserve"> </t>
  </si>
  <si>
    <t>B.1 Tributos Federais (PIS: 1,65%) (COFINS: 7,60%)</t>
  </si>
  <si>
    <t>B.2 Tributos Estaduais</t>
  </si>
  <si>
    <t>0,00%</t>
  </si>
  <si>
    <t>B.3 Tributos Municipais (ISS: 5,00%)</t>
  </si>
  <si>
    <t>Lucro</t>
  </si>
  <si>
    <t>21,67%</t>
  </si>
  <si>
    <t>Anexo III - B - Quadro-resumo do Custo por Empregado</t>
  </si>
  <si>
    <t>Mão-de-obra vinculada à execução contratual (valor por empregado)</t>
  </si>
  <si>
    <t>Módulo 1 – Composição da Remuneração</t>
  </si>
  <si>
    <t>Módulo 2 – Benefícios Mensais e Diários</t>
  </si>
  <si>
    <t>Módulo 3 – Insumos Diversos (uniformes, materiais, equip. e outros)</t>
  </si>
  <si>
    <t>Módulo 4 – Encargos Sociais e Trabalhistas</t>
  </si>
  <si>
    <t>Subtotal (A + B +C+ D)</t>
  </si>
  <si>
    <t>Módulo 5 – Custos indiretos, tributos e lucro</t>
  </si>
  <si>
    <t>Valor total por empregado</t>
  </si>
  <si>
    <t>Anexo III - C - Quadro-resumo - VALOR MENSAL DOS SERVIÇOS</t>
  </si>
  <si>
    <t>Tipo de</t>
  </si>
  <si>
    <t xml:space="preserve">Valor proposto </t>
  </si>
  <si>
    <t xml:space="preserve">Qtde de  </t>
  </si>
  <si>
    <t>Valor proposto</t>
  </si>
  <si>
    <t xml:space="preserve">Qtde total de </t>
  </si>
  <si>
    <t>Valor total</t>
  </si>
  <si>
    <t>Serviço</t>
  </si>
  <si>
    <t xml:space="preserve">por </t>
  </si>
  <si>
    <t>empregados</t>
  </si>
  <si>
    <t>por posto</t>
  </si>
  <si>
    <t>do serviço</t>
  </si>
  <si>
    <t>(A)</t>
  </si>
  <si>
    <t>empregado (B)</t>
  </si>
  <si>
    <t>(D) = (B x C)</t>
  </si>
  <si>
    <t>(E)</t>
  </si>
  <si>
    <t>(F) = (D x E)</t>
  </si>
  <si>
    <t>Valor Mensal dos serviços</t>
  </si>
  <si>
    <t>Anexo III - D - Quadro - demonstrativo - VALOR GLOBAL DA PROPOSTA</t>
  </si>
  <si>
    <t>Valor Global da Proposta</t>
  </si>
  <si>
    <t>Descrição</t>
  </si>
  <si>
    <t>Valor proposto por unidade de medida</t>
  </si>
  <si>
    <t>Valor mensal do serviço</t>
  </si>
  <si>
    <t>Auxiliar Administrativo</t>
  </si>
  <si>
    <t>Bota (SINAPI 36145)</t>
  </si>
  <si>
    <t>Tributos</t>
  </si>
  <si>
    <t>Téc. Agrícola</t>
  </si>
  <si>
    <t>COMPOSIÇÃO DO CUSTO DE LOCAÇÃO DE VEÍCULO</t>
  </si>
  <si>
    <t>Veículo automotor tipo pick up</t>
  </si>
  <si>
    <t>Depreciação mensal do equipamento</t>
  </si>
  <si>
    <t>A1</t>
  </si>
  <si>
    <t>A2</t>
  </si>
  <si>
    <t>Tempo previsto de vida útil</t>
  </si>
  <si>
    <t>A3</t>
  </si>
  <si>
    <t>Previsão de recuperação na venda do bem usado</t>
  </si>
  <si>
    <t>A4</t>
  </si>
  <si>
    <t>Custo mensal [A1-(A3xA1)}/A2</t>
  </si>
  <si>
    <t>Juros pelo capital empatado</t>
  </si>
  <si>
    <t>B1</t>
  </si>
  <si>
    <t>Taxa mensal de juros</t>
  </si>
  <si>
    <t>B2</t>
  </si>
  <si>
    <t>Juros s/ depreciação /aluguel (B1xA4)</t>
  </si>
  <si>
    <t>Conservação e manutenção</t>
  </si>
  <si>
    <t>C1</t>
  </si>
  <si>
    <t>Taxa de gastos s/ a depreciação inc. seguros</t>
  </si>
  <si>
    <t>C2</t>
  </si>
  <si>
    <t>Incidência mensal (C1xA4)</t>
  </si>
  <si>
    <t>Combustível</t>
  </si>
  <si>
    <t>D1</t>
  </si>
  <si>
    <t>Média mensal de quilômetro por veículo</t>
  </si>
  <si>
    <t>D2</t>
  </si>
  <si>
    <t>D3</t>
  </si>
  <si>
    <t>Quilômetros rodados com um litro de combustível</t>
  </si>
  <si>
    <t>D4</t>
  </si>
  <si>
    <t>Combustível (D1/D3)*D2</t>
  </si>
  <si>
    <t>Lubrificantes</t>
  </si>
  <si>
    <t>E1</t>
  </si>
  <si>
    <t>Quilometragem do contrato</t>
  </si>
  <si>
    <t>E2</t>
  </si>
  <si>
    <t>Franquia (km) por troca de óleo lubrificante 10W-30</t>
  </si>
  <si>
    <t>E3</t>
  </si>
  <si>
    <t>Preço do litro de óleo</t>
  </si>
  <si>
    <t>E4</t>
  </si>
  <si>
    <t>Quantidade de litros de óleo por troca</t>
  </si>
  <si>
    <t>E5</t>
  </si>
  <si>
    <t>Quantidade de dias do contrato</t>
  </si>
  <si>
    <t>E6</t>
  </si>
  <si>
    <t>Lubrificantes E = (E1*E3*E4*30)/E2*E5</t>
  </si>
  <si>
    <t>Pneus</t>
  </si>
  <si>
    <t>F1</t>
  </si>
  <si>
    <t>F2</t>
  </si>
  <si>
    <t>Vida do pneu em quilômetros</t>
  </si>
  <si>
    <t>F3</t>
  </si>
  <si>
    <t>Quantidade de pneus</t>
  </si>
  <si>
    <t>F4</t>
  </si>
  <si>
    <t>Preço do pneu</t>
  </si>
  <si>
    <t>F5</t>
  </si>
  <si>
    <t>F6</t>
  </si>
  <si>
    <t>Pneus F = (F1*F3*F4*30)/F2*F5</t>
  </si>
  <si>
    <t>Custo mensal</t>
  </si>
  <si>
    <t>G1</t>
  </si>
  <si>
    <t>Sem motorista</t>
  </si>
  <si>
    <t>Custo Direto por Km Rodado</t>
  </si>
  <si>
    <t>H1</t>
  </si>
  <si>
    <t>COMPOSIÇÃO DO CUSTO DE LOCAÇÃO DE MOTOCICLETA</t>
  </si>
  <si>
    <t>Franquia (km) por troca de óleo lubrificante</t>
  </si>
  <si>
    <t>ESTIMATIVA DE CUSTO PARA CONTRATAÇÃO DA EQUIPE DE ATER</t>
  </si>
  <si>
    <t>FUNÇÃO</t>
  </si>
  <si>
    <t>QT</t>
  </si>
  <si>
    <t>Valor Total por Empregado/ MÊS (R$)</t>
  </si>
  <si>
    <t>CUSTO/MÊS (R$)</t>
  </si>
  <si>
    <t>MESES</t>
  </si>
  <si>
    <t>CUSTO BIÊNIO  (R$)</t>
  </si>
  <si>
    <t>Técnico Agrícola</t>
  </si>
  <si>
    <t>RESUMO DA ESTIMATIVA DE CUSTO MENSAL DA EQUIPE DE ATER</t>
  </si>
  <si>
    <t>REMUNERAÇÃO/ MÊS</t>
  </si>
  <si>
    <t>ENCARGOS COMPLEMENTARES</t>
  </si>
  <si>
    <t>ENCARGOS SOCIAIS (R$)</t>
  </si>
  <si>
    <t>CUSTOS INDIRETOS TRIBUTOS &amp; LUCRO (R$)</t>
  </si>
  <si>
    <t>CUSTO MENSAL (R$)</t>
  </si>
  <si>
    <t>QTIDADES</t>
  </si>
  <si>
    <t>Individual (R$)</t>
  </si>
  <si>
    <t>Total                  (R$)</t>
  </si>
  <si>
    <t>Benefícios Mensais e Diários</t>
  </si>
  <si>
    <t>Módulo 1</t>
  </si>
  <si>
    <t>Módulo 2</t>
  </si>
  <si>
    <t>Módulo 3</t>
  </si>
  <si>
    <t>Módulo 4</t>
  </si>
  <si>
    <t>Módulo 5</t>
  </si>
  <si>
    <t>PFS I  - Equipe</t>
  </si>
  <si>
    <t xml:space="preserve">PFS II (3) </t>
  </si>
  <si>
    <t>PFS III (2)</t>
  </si>
  <si>
    <t>PFS VII - Encargos</t>
  </si>
  <si>
    <t>Transporte - será feito pela contratada com os veículos do contrato</t>
  </si>
  <si>
    <t>Salário sem encargos - conforme pesquisa na página www.salario.com.br</t>
  </si>
  <si>
    <t>Assistente Social</t>
  </si>
  <si>
    <t>59540.000700/2020-91</t>
  </si>
  <si>
    <t>Contratação de serviços assistência técnica e extensão rural para o Perímetro Público de Irrigação do Jacaré - Curituba, nos municípios de Canindé do São Francisco e Poço Redondo, em Sergipe.</t>
  </si>
  <si>
    <t>Salário Base - 30 horas/semana (Lei n° 12.317/2010) ou 150 h/mês</t>
  </si>
  <si>
    <t>Horas Extras (50%) - 10 horas por semana ou 50h/mês</t>
  </si>
  <si>
    <t>Preço do litro do combustível (Fonte: Sítio da ANP)</t>
  </si>
  <si>
    <t>Preço de aquisição do bem (Tabela FIPE)</t>
  </si>
  <si>
    <t>Preço de aquisição do bem (Média de 02 modelos Tabela FIPE)</t>
  </si>
  <si>
    <t>Salário sem encargos - conforme Tabela - Engenharia Consultiva Codevasf</t>
  </si>
  <si>
    <t>Serviços Gerais</t>
  </si>
  <si>
    <t>Valor global da proposta</t>
  </si>
  <si>
    <t>ANEXO V</t>
  </si>
  <si>
    <t>Motocicleta tipo off road ou trail</t>
  </si>
  <si>
    <t>Escritório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</si>
</sst>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&quot;R$ &quot;#,##0.00;[Red]&quot;R$ &quot;#,##0.00"/>
    <numFmt numFmtId="166" formatCode="#,##0.00;[Red]#,##0.00"/>
    <numFmt numFmtId="167" formatCode="0.0000000"/>
    <numFmt numFmtId="168" formatCode="#,##0.00\ "/>
    <numFmt numFmtId="169" formatCode="#,##0.00\ \ \ "/>
    <numFmt numFmtId="170" formatCode="\ \ \ \ \ \ @"/>
    <numFmt numFmtId="171" formatCode="_(* #,##0.00_);_(* \(#,##0.00\);_(* &quot;-&quot;??.00_);_(@_)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rgb="FF002060"/>
      <name val="Arial"/>
      <family val="2"/>
    </font>
    <font>
      <sz val="10"/>
      <color rgb="FF002060"/>
      <name val="Arial"/>
      <family val="2"/>
    </font>
    <font>
      <b/>
      <sz val="10"/>
      <color theme="8" tint="-0.499984740745262"/>
      <name val="Arial"/>
      <family val="2"/>
    </font>
    <font>
      <b/>
      <sz val="10"/>
      <color theme="9" tint="-0.499984740745262"/>
      <name val="Arial"/>
      <family val="2"/>
    </font>
    <font>
      <sz val="10"/>
      <color theme="9" tint="-0.499984740745262"/>
      <name val="Arial"/>
      <family val="2"/>
    </font>
    <font>
      <b/>
      <sz val="10"/>
      <color theme="2" tint="-0.899990844447157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35">
    <xf numFmtId="0" fontId="0" fillId="0" borderId="0" xfId="0"/>
    <xf numFmtId="0" fontId="2" fillId="0" borderId="2" xfId="0" applyFont="1" applyBorder="1" applyAlignment="1">
      <alignment horizontal="center"/>
    </xf>
    <xf numFmtId="0" fontId="0" fillId="0" borderId="1" xfId="0" applyBorder="1"/>
    <xf numFmtId="0" fontId="3" fillId="0" borderId="0" xfId="0" applyFont="1"/>
    <xf numFmtId="10" fontId="0" fillId="0" borderId="1" xfId="0" applyNumberFormat="1" applyBorder="1" applyAlignment="1">
      <alignment horizontal="center"/>
    </xf>
    <xf numFmtId="0" fontId="2" fillId="0" borderId="1" xfId="0" applyFont="1" applyBorder="1"/>
    <xf numFmtId="10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6" fontId="0" fillId="0" borderId="1" xfId="0" applyNumberFormat="1" applyBorder="1" applyAlignment="1"/>
    <xf numFmtId="166" fontId="2" fillId="0" borderId="1" xfId="0" applyNumberFormat="1" applyFont="1" applyBorder="1" applyAlignment="1"/>
    <xf numFmtId="4" fontId="0" fillId="0" borderId="1" xfId="0" applyNumberFormat="1" applyBorder="1"/>
    <xf numFmtId="4" fontId="2" fillId="0" borderId="1" xfId="0" applyNumberFormat="1" applyFont="1" applyBorder="1"/>
    <xf numFmtId="165" fontId="0" fillId="0" borderId="1" xfId="0" applyNumberFormat="1" applyBorder="1"/>
    <xf numFmtId="165" fontId="2" fillId="0" borderId="1" xfId="0" applyNumberFormat="1" applyFont="1" applyBorder="1"/>
    <xf numFmtId="0" fontId="2" fillId="0" borderId="0" xfId="0" applyFont="1" applyBorder="1" applyAlignment="1">
      <alignment horizontal="left"/>
    </xf>
    <xf numFmtId="166" fontId="2" fillId="0" borderId="0" xfId="0" applyNumberFormat="1" applyFont="1" applyBorder="1" applyAlignment="1">
      <alignment horizontal="right"/>
    </xf>
    <xf numFmtId="10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/>
    <xf numFmtId="166" fontId="0" fillId="0" borderId="0" xfId="0" applyNumberFormat="1"/>
    <xf numFmtId="10" fontId="0" fillId="2" borderId="1" xfId="0" applyNumberFormat="1" applyFill="1" applyBorder="1" applyAlignment="1">
      <alignment horizontal="center"/>
    </xf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166" fontId="0" fillId="2" borderId="0" xfId="0" applyNumberFormat="1" applyFill="1" applyBorder="1" applyAlignment="1"/>
    <xf numFmtId="166" fontId="2" fillId="2" borderId="0" xfId="0" applyNumberFormat="1" applyFont="1" applyFill="1" applyBorder="1" applyAlignment="1"/>
    <xf numFmtId="2" fontId="0" fillId="0" borderId="0" xfId="0" applyNumberFormat="1" applyBorder="1"/>
    <xf numFmtId="9" fontId="0" fillId="0" borderId="0" xfId="0" applyNumberFormat="1"/>
    <xf numFmtId="10" fontId="0" fillId="0" borderId="0" xfId="0" applyNumberFormat="1"/>
    <xf numFmtId="0" fontId="3" fillId="0" borderId="0" xfId="2" applyFont="1" applyBorder="1" applyAlignment="1">
      <alignment vertical="center"/>
    </xf>
    <xf numFmtId="167" fontId="0" fillId="0" borderId="0" xfId="0" applyNumberFormat="1"/>
    <xf numFmtId="4" fontId="0" fillId="0" borderId="1" xfId="0" applyNumberFormat="1" applyFill="1" applyBorder="1"/>
    <xf numFmtId="10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10" fontId="2" fillId="0" borderId="1" xfId="0" applyNumberFormat="1" applyFont="1" applyFill="1" applyBorder="1" applyAlignment="1">
      <alignment horizontal="center"/>
    </xf>
    <xf numFmtId="10" fontId="4" fillId="0" borderId="1" xfId="3" applyNumberFormat="1" applyFont="1" applyFill="1" applyBorder="1" applyAlignment="1">
      <alignment horizontal="center"/>
    </xf>
    <xf numFmtId="4" fontId="7" fillId="0" borderId="1" xfId="0" applyNumberFormat="1" applyFont="1" applyFill="1" applyBorder="1"/>
    <xf numFmtId="4" fontId="8" fillId="0" borderId="1" xfId="0" applyNumberFormat="1" applyFont="1" applyFill="1" applyBorder="1"/>
    <xf numFmtId="4" fontId="0" fillId="0" borderId="0" xfId="0" applyNumberFormat="1"/>
    <xf numFmtId="4" fontId="8" fillId="0" borderId="1" xfId="0" applyNumberFormat="1" applyFont="1" applyBorder="1"/>
    <xf numFmtId="3" fontId="0" fillId="0" borderId="1" xfId="0" applyNumberFormat="1" applyBorder="1" applyAlignment="1">
      <alignment horizontal="center"/>
    </xf>
    <xf numFmtId="4" fontId="7" fillId="0" borderId="1" xfId="0" applyNumberFormat="1" applyFont="1" applyBorder="1"/>
    <xf numFmtId="4" fontId="9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2" borderId="0" xfId="0" applyNumberFormat="1" applyFont="1" applyFill="1" applyBorder="1" applyAlignment="1">
      <alignment horizontal="center"/>
    </xf>
    <xf numFmtId="4" fontId="10" fillId="0" borderId="0" xfId="0" applyNumberFormat="1" applyFont="1" applyBorder="1" applyAlignment="1">
      <alignment horizontal="center"/>
    </xf>
    <xf numFmtId="0" fontId="11" fillId="0" borderId="0" xfId="0" applyFont="1"/>
    <xf numFmtId="4" fontId="2" fillId="0" borderId="0" xfId="0" applyNumberFormat="1" applyFont="1"/>
    <xf numFmtId="4" fontId="7" fillId="0" borderId="1" xfId="0" applyNumberFormat="1" applyFont="1" applyFill="1" applyBorder="1" applyAlignment="1">
      <alignment horizontal="right" indent="1"/>
    </xf>
    <xf numFmtId="4" fontId="2" fillId="0" borderId="1" xfId="0" applyNumberFormat="1" applyFont="1" applyFill="1" applyBorder="1" applyAlignment="1">
      <alignment horizontal="right" indent="1"/>
    </xf>
    <xf numFmtId="4" fontId="10" fillId="0" borderId="1" xfId="0" applyNumberFormat="1" applyFont="1" applyFill="1" applyBorder="1" applyAlignment="1">
      <alignment horizontal="right" indent="1"/>
    </xf>
    <xf numFmtId="0" fontId="4" fillId="0" borderId="1" xfId="0" applyFont="1" applyFill="1" applyBorder="1" applyAlignment="1"/>
    <xf numFmtId="4" fontId="8" fillId="0" borderId="1" xfId="0" applyNumberFormat="1" applyFont="1" applyFill="1" applyBorder="1" applyAlignment="1">
      <alignment horizontal="right" indent="1"/>
    </xf>
    <xf numFmtId="4" fontId="4" fillId="0" borderId="1" xfId="0" applyNumberFormat="1" applyFont="1" applyFill="1" applyBorder="1" applyAlignment="1">
      <alignment horizontal="right" indent="1"/>
    </xf>
    <xf numFmtId="4" fontId="11" fillId="0" borderId="1" xfId="0" applyNumberFormat="1" applyFont="1" applyFill="1" applyBorder="1" applyAlignment="1">
      <alignment horizontal="right" indent="1"/>
    </xf>
    <xf numFmtId="4" fontId="2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right" indent="1"/>
    </xf>
    <xf numFmtId="4" fontId="8" fillId="0" borderId="1" xfId="0" applyNumberFormat="1" applyFont="1" applyFill="1" applyBorder="1" applyAlignment="1">
      <alignment horizontal="center"/>
    </xf>
    <xf numFmtId="4" fontId="0" fillId="0" borderId="0" xfId="0" applyNumberFormat="1" applyFill="1"/>
    <xf numFmtId="4" fontId="9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right" indent="1"/>
    </xf>
    <xf numFmtId="1" fontId="4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/>
    <xf numFmtId="2" fontId="4" fillId="0" borderId="1" xfId="0" applyNumberFormat="1" applyFont="1" applyFill="1" applyBorder="1"/>
    <xf numFmtId="0" fontId="4" fillId="0" borderId="1" xfId="0" applyFont="1" applyFill="1" applyBorder="1" applyAlignment="1">
      <alignment horizontal="left"/>
    </xf>
    <xf numFmtId="9" fontId="10" fillId="0" borderId="0" xfId="3" applyFont="1" applyBorder="1" applyAlignment="1">
      <alignment horizontal="center"/>
    </xf>
    <xf numFmtId="10" fontId="2" fillId="3" borderId="0" xfId="3" applyNumberFormat="1" applyFont="1" applyFill="1"/>
    <xf numFmtId="4" fontId="4" fillId="0" borderId="0" xfId="0" applyNumberFormat="1" applyFont="1" applyFill="1" applyBorder="1" applyAlignment="1"/>
    <xf numFmtId="4" fontId="4" fillId="0" borderId="0" xfId="0" applyNumberFormat="1" applyFont="1" applyFill="1" applyBorder="1"/>
    <xf numFmtId="0" fontId="4" fillId="0" borderId="0" xfId="0" applyFont="1" applyFill="1" applyBorder="1"/>
    <xf numFmtId="0" fontId="4" fillId="0" borderId="0" xfId="1"/>
    <xf numFmtId="0" fontId="2" fillId="0" borderId="0" xfId="1" applyFont="1"/>
    <xf numFmtId="164" fontId="6" fillId="0" borderId="4" xfId="5" applyFont="1" applyFill="1" applyBorder="1" applyAlignment="1">
      <alignment horizontal="right" vertical="center"/>
    </xf>
    <xf numFmtId="0" fontId="4" fillId="0" borderId="14" xfId="1" applyBorder="1" applyAlignment="1">
      <alignment horizontal="left"/>
    </xf>
    <xf numFmtId="0" fontId="6" fillId="0" borderId="14" xfId="1" applyFont="1" applyBorder="1" applyAlignment="1">
      <alignment horizontal="left" vertical="center"/>
    </xf>
    <xf numFmtId="49" fontId="5" fillId="0" borderId="7" xfId="1" applyNumberFormat="1" applyFont="1" applyBorder="1" applyAlignment="1">
      <alignment horizontal="center" vertical="center"/>
    </xf>
    <xf numFmtId="164" fontId="2" fillId="0" borderId="3" xfId="5" applyFont="1" applyFill="1" applyBorder="1" applyAlignment="1">
      <alignment horizontal="right" vertical="center"/>
    </xf>
    <xf numFmtId="0" fontId="5" fillId="0" borderId="15" xfId="1" applyFont="1" applyBorder="1" applyAlignment="1">
      <alignment horizontal="left" vertical="center"/>
    </xf>
    <xf numFmtId="0" fontId="5" fillId="0" borderId="0" xfId="1" applyFont="1" applyAlignment="1">
      <alignment horizontal="left" vertical="center"/>
    </xf>
    <xf numFmtId="49" fontId="5" fillId="0" borderId="5" xfId="1" applyNumberFormat="1" applyFont="1" applyBorder="1" applyAlignment="1">
      <alignment horizontal="center" vertical="center"/>
    </xf>
    <xf numFmtId="168" fontId="4" fillId="0" borderId="1" xfId="1" applyNumberFormat="1" applyBorder="1" applyAlignment="1">
      <alignment horizontal="center" vertical="center"/>
    </xf>
    <xf numFmtId="0" fontId="6" fillId="0" borderId="15" xfId="1" applyFont="1" applyBorder="1" applyAlignment="1">
      <alignment vertical="center"/>
    </xf>
    <xf numFmtId="0" fontId="5" fillId="0" borderId="10" xfId="1" applyFont="1" applyBorder="1" applyAlignment="1">
      <alignment horizontal="left" vertical="center"/>
    </xf>
    <xf numFmtId="0" fontId="5" fillId="0" borderId="10" xfId="1" applyFont="1" applyBorder="1" applyAlignment="1">
      <alignment horizontal="center" vertical="center"/>
    </xf>
    <xf numFmtId="164" fontId="0" fillId="0" borderId="4" xfId="5" applyFont="1" applyFill="1" applyBorder="1" applyAlignment="1">
      <alignment horizontal="right" vertical="center"/>
    </xf>
    <xf numFmtId="0" fontId="6" fillId="0" borderId="8" xfId="1" applyFont="1" applyBorder="1" applyAlignment="1">
      <alignment horizontal="left" vertical="center"/>
    </xf>
    <xf numFmtId="49" fontId="5" fillId="0" borderId="7" xfId="1" applyNumberFormat="1" applyFont="1" applyBorder="1" applyAlignment="1">
      <alignment horizontal="left" vertical="center"/>
    </xf>
    <xf numFmtId="164" fontId="5" fillId="0" borderId="3" xfId="5" applyFont="1" applyFill="1" applyBorder="1" applyAlignment="1">
      <alignment horizontal="right" vertical="center"/>
    </xf>
    <xf numFmtId="0" fontId="5" fillId="0" borderId="6" xfId="1" applyFont="1" applyBorder="1" applyAlignment="1">
      <alignment horizontal="left" vertical="center"/>
    </xf>
    <xf numFmtId="164" fontId="6" fillId="0" borderId="3" xfId="5" applyFont="1" applyFill="1" applyBorder="1" applyAlignment="1">
      <alignment horizontal="right" vertical="center"/>
    </xf>
    <xf numFmtId="0" fontId="6" fillId="0" borderId="6" xfId="1" applyFont="1" applyBorder="1" applyAlignment="1">
      <alignment horizontal="left" vertical="center"/>
    </xf>
    <xf numFmtId="0" fontId="6" fillId="0" borderId="0" xfId="1" applyFont="1" applyAlignment="1">
      <alignment horizontal="left" vertical="center"/>
    </xf>
    <xf numFmtId="164" fontId="0" fillId="0" borderId="3" xfId="5" applyFont="1" applyFill="1" applyBorder="1" applyAlignment="1">
      <alignment horizontal="right" vertical="center"/>
    </xf>
    <xf numFmtId="0" fontId="6" fillId="0" borderId="13" xfId="1" applyFont="1" applyBorder="1" applyAlignment="1">
      <alignment horizontal="left" vertical="center"/>
    </xf>
    <xf numFmtId="0" fontId="6" fillId="0" borderId="15" xfId="1" applyFont="1" applyBorder="1" applyAlignment="1">
      <alignment horizontal="left" vertical="center"/>
    </xf>
    <xf numFmtId="0" fontId="6" fillId="0" borderId="11" xfId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5" fillId="0" borderId="9" xfId="1" applyFont="1" applyBorder="1" applyAlignment="1">
      <alignment horizontal="center" vertical="center"/>
    </xf>
    <xf numFmtId="168" fontId="4" fillId="0" borderId="4" xfId="1" applyNumberFormat="1" applyBorder="1" applyAlignment="1">
      <alignment horizontal="center" vertical="center"/>
    </xf>
    <xf numFmtId="0" fontId="6" fillId="0" borderId="8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5" fillId="0" borderId="14" xfId="1" applyFont="1" applyBorder="1" applyAlignment="1">
      <alignment horizontal="center" vertical="center"/>
    </xf>
    <xf numFmtId="169" fontId="4" fillId="0" borderId="10" xfId="1" applyNumberFormat="1" applyBorder="1" applyAlignment="1">
      <alignment horizontal="right" vertical="center"/>
    </xf>
    <xf numFmtId="4" fontId="4" fillId="0" borderId="10" xfId="1" applyNumberForma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170" fontId="6" fillId="0" borderId="10" xfId="1" applyNumberFormat="1" applyFont="1" applyBorder="1" applyAlignment="1">
      <alignment horizontal="left" vertical="center"/>
    </xf>
    <xf numFmtId="49" fontId="5" fillId="0" borderId="5" xfId="1" applyNumberFormat="1" applyFont="1" applyBorder="1" applyAlignment="1">
      <alignment horizontal="left" vertical="center"/>
    </xf>
    <xf numFmtId="0" fontId="6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9" fontId="0" fillId="0" borderId="3" xfId="4" applyFont="1" applyFill="1" applyBorder="1" applyAlignment="1">
      <alignment horizontal="right" vertical="center"/>
    </xf>
    <xf numFmtId="169" fontId="2" fillId="0" borderId="0" xfId="1" applyNumberFormat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5" fillId="0" borderId="15" xfId="1" applyFont="1" applyBorder="1" applyAlignment="1">
      <alignment vertical="center"/>
    </xf>
    <xf numFmtId="171" fontId="5" fillId="0" borderId="3" xfId="5" applyNumberFormat="1" applyFont="1" applyFill="1" applyBorder="1" applyAlignment="1">
      <alignment horizontal="right" vertical="center"/>
    </xf>
    <xf numFmtId="168" fontId="2" fillId="0" borderId="0" xfId="1" applyNumberFormat="1" applyFont="1" applyAlignment="1">
      <alignment horizontal="center" vertical="center"/>
    </xf>
    <xf numFmtId="168" fontId="4" fillId="0" borderId="0" xfId="1" applyNumberFormat="1" applyAlignment="1">
      <alignment horizontal="right" vertical="center"/>
    </xf>
    <xf numFmtId="9" fontId="6" fillId="0" borderId="3" xfId="4" applyFont="1" applyFill="1" applyBorder="1" applyAlignment="1">
      <alignment horizontal="right" vertical="center"/>
    </xf>
    <xf numFmtId="168" fontId="2" fillId="0" borderId="1" xfId="1" applyNumberFormat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166" fontId="2" fillId="0" borderId="1" xfId="0" applyNumberFormat="1" applyFont="1" applyBorder="1" applyAlignment="1">
      <alignment horizontal="right"/>
    </xf>
    <xf numFmtId="166" fontId="0" fillId="0" borderId="1" xfId="0" applyNumberFormat="1" applyBorder="1" applyAlignment="1">
      <alignment horizontal="right"/>
    </xf>
    <xf numFmtId="0" fontId="10" fillId="0" borderId="0" xfId="0" applyFont="1" applyAlignment="1">
      <alignment horizontal="center"/>
    </xf>
    <xf numFmtId="4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166" fontId="2" fillId="0" borderId="1" xfId="0" applyNumberFormat="1" applyFont="1" applyBorder="1" applyAlignment="1">
      <alignment horizontal="right"/>
    </xf>
    <xf numFmtId="166" fontId="0" fillId="0" borderId="1" xfId="0" applyNumberFormat="1" applyBorder="1" applyAlignment="1">
      <alignment horizontal="right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Fill="1" applyBorder="1"/>
    <xf numFmtId="0" fontId="4" fillId="0" borderId="1" xfId="0" applyFont="1" applyFill="1" applyBorder="1"/>
    <xf numFmtId="0" fontId="0" fillId="0" borderId="0" xfId="0" applyFill="1"/>
    <xf numFmtId="0" fontId="2" fillId="0" borderId="1" xfId="0" applyFont="1" applyFill="1" applyBorder="1" applyAlignment="1">
      <alignment horizontal="left"/>
    </xf>
    <xf numFmtId="4" fontId="2" fillId="0" borderId="1" xfId="0" applyNumberFormat="1" applyFont="1" applyFill="1" applyBorder="1"/>
    <xf numFmtId="4" fontId="1" fillId="0" borderId="1" xfId="0" applyNumberFormat="1" applyFont="1" applyFill="1" applyBorder="1"/>
    <xf numFmtId="0" fontId="2" fillId="0" borderId="1" xfId="0" applyFont="1" applyBorder="1" applyAlignment="1">
      <alignment horizontal="left"/>
    </xf>
    <xf numFmtId="165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0" fillId="0" borderId="1" xfId="0" applyBorder="1" applyAlignment="1">
      <alignment horizontal="left"/>
    </xf>
    <xf numFmtId="165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166" fontId="0" fillId="0" borderId="1" xfId="0" applyNumberFormat="1" applyBorder="1" applyAlignment="1">
      <alignment horizontal="right"/>
    </xf>
    <xf numFmtId="4" fontId="0" fillId="0" borderId="1" xfId="0" applyNumberFormat="1" applyBorder="1" applyAlignment="1">
      <alignment horizontal="right"/>
    </xf>
    <xf numFmtId="166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4" fillId="0" borderId="9" xfId="0" applyFont="1" applyBorder="1" applyAlignment="1">
      <alignment horizontal="left" vertical="justify" wrapText="1"/>
    </xf>
    <xf numFmtId="0" fontId="4" fillId="0" borderId="10" xfId="0" applyFont="1" applyBorder="1" applyAlignment="1">
      <alignment horizontal="left" vertical="justify" wrapText="1"/>
    </xf>
    <xf numFmtId="0" fontId="4" fillId="0" borderId="11" xfId="0" applyFont="1" applyBorder="1" applyAlignment="1">
      <alignment horizontal="left" vertical="justify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166" fontId="0" fillId="0" borderId="1" xfId="0" applyNumberFormat="1" applyFill="1" applyBorder="1" applyAlignment="1">
      <alignment horizontal="right"/>
    </xf>
    <xf numFmtId="166" fontId="4" fillId="0" borderId="1" xfId="0" applyNumberFormat="1" applyFont="1" applyFill="1" applyBorder="1" applyAlignment="1">
      <alignment horizontal="right"/>
    </xf>
    <xf numFmtId="0" fontId="4" fillId="0" borderId="9" xfId="0" applyFont="1" applyFill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left"/>
    </xf>
    <xf numFmtId="166" fontId="2" fillId="0" borderId="1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9" xfId="0" applyFont="1" applyBorder="1" applyAlignment="1">
      <alignment horizontal="left"/>
    </xf>
    <xf numFmtId="166" fontId="0" fillId="2" borderId="1" xfId="0" applyNumberFormat="1" applyFill="1" applyBorder="1" applyAlignment="1">
      <alignment horizontal="right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4" fillId="2" borderId="9" xfId="0" applyFont="1" applyFill="1" applyBorder="1" applyAlignment="1">
      <alignment horizontal="left"/>
    </xf>
    <xf numFmtId="0" fontId="4" fillId="2" borderId="10" xfId="0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6" fontId="2" fillId="2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14" fontId="0" fillId="0" borderId="1" xfId="0" applyNumberFormat="1" applyBorder="1" applyAlignment="1">
      <alignment horizontal="right"/>
    </xf>
    <xf numFmtId="0" fontId="1" fillId="0" borderId="1" xfId="0" applyFont="1" applyBorder="1" applyAlignment="1">
      <alignment horizontal="left"/>
    </xf>
    <xf numFmtId="165" fontId="0" fillId="2" borderId="1" xfId="0" applyNumberFormat="1" applyFill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4" xfId="0" applyFont="1" applyBorder="1" applyAlignment="1">
      <alignment horizontal="left"/>
    </xf>
    <xf numFmtId="165" fontId="0" fillId="0" borderId="1" xfId="0" applyNumberForma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0" fillId="0" borderId="9" xfId="0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12" xfId="0" applyFont="1" applyBorder="1" applyAlignment="1">
      <alignment horizontal="justify" vertical="top" wrapText="1"/>
    </xf>
    <xf numFmtId="0" fontId="2" fillId="0" borderId="15" xfId="0" applyFont="1" applyBorder="1" applyAlignment="1">
      <alignment horizontal="justify" vertical="top" wrapText="1"/>
    </xf>
    <xf numFmtId="0" fontId="2" fillId="0" borderId="1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14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right"/>
    </xf>
    <xf numFmtId="0" fontId="2" fillId="0" borderId="0" xfId="1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4" fontId="7" fillId="0" borderId="9" xfId="0" applyNumberFormat="1" applyFont="1" applyFill="1" applyBorder="1" applyAlignment="1">
      <alignment horizontal="center"/>
    </xf>
    <xf numFmtId="4" fontId="7" fillId="0" borderId="11" xfId="0" applyNumberFormat="1" applyFont="1" applyFill="1" applyBorder="1" applyAlignment="1">
      <alignment horizontal="center"/>
    </xf>
    <xf numFmtId="4" fontId="2" fillId="0" borderId="9" xfId="0" applyNumberFormat="1" applyFont="1" applyFill="1" applyBorder="1" applyAlignment="1">
      <alignment horizontal="center"/>
    </xf>
    <xf numFmtId="4" fontId="2" fillId="0" borderId="11" xfId="0" applyNumberFormat="1" applyFont="1" applyFill="1" applyBorder="1" applyAlignment="1">
      <alignment horizontal="center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</cellXfs>
  <cellStyles count="6">
    <cellStyle name="Normal" xfId="0" builtinId="0"/>
    <cellStyle name="Normal 2" xfId="1" xr:uid="{00000000-0005-0000-0000-000001000000}"/>
    <cellStyle name="Normal_PP-VI" xfId="2" xr:uid="{00000000-0005-0000-0000-000002000000}"/>
    <cellStyle name="Porcentagem" xfId="3" builtinId="5"/>
    <cellStyle name="Porcentagem 2" xfId="4" xr:uid="{00000000-0005-0000-0000-000004000000}"/>
    <cellStyle name="Vírgula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tonio.canario/OneDrive/Can&#225;rio/Termos%20de%20Refer&#234;ncia/TR's%204&#170;SR/O&amp;M%20Jacar&#233;-Curituba%202019/Forma&#231;&#227;o%20de%20Pre&#231;o%20M.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ERADOR DE ESCAVADEIRA"/>
      <sheetName val="VIGIA 12X36 NOTURNO"/>
      <sheetName val="OPERADOR EB-12X36-NOTURNO"/>
      <sheetName val="OPERADOR EB-12X36-DIURNO"/>
      <sheetName val="CANALEIROS (12X36) DIURNO"/>
      <sheetName val="MECÂNICO EQUIP PESADOS"/>
      <sheetName val="AUX. DE MECÂNICO"/>
      <sheetName val="AJUDANTE DE ELETRICISTA"/>
      <sheetName val="ENCANADOR HIDRA."/>
      <sheetName val="ELETRICISTA."/>
      <sheetName val="LEITURISTA"/>
      <sheetName val="MOT VEÍCULO LEVE"/>
      <sheetName val="MOT VEÍCUL PESADO"/>
      <sheetName val="ANEXO VI"/>
      <sheetName val="Tubos e Conexões"/>
      <sheetName val="ORÇ BASICO E ESPECIFICAÇÃO"/>
      <sheetName val="LOC. VEÍCULOS SEM COMBS. "/>
      <sheetName val="LOCAÇÃO VEÍCULOS"/>
      <sheetName val="ESTIMATIVA DE CUSTO"/>
      <sheetName val="RESUMO CUSTOS"/>
      <sheetName val="RESUMO CUSTOS Mê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48">
          <cell r="M48">
            <v>30.033333333333331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47"/>
  <sheetViews>
    <sheetView showGridLines="0" topLeftCell="A10" zoomScaleNormal="100" workbookViewId="0">
      <selection activeCell="F24" sqref="F24:G24"/>
    </sheetView>
  </sheetViews>
  <sheetFormatPr defaultRowHeight="12.75" x14ac:dyDescent="0.2"/>
  <cols>
    <col min="1" max="1" width="3.5703125" customWidth="1"/>
    <col min="2" max="2" width="18" customWidth="1"/>
    <col min="3" max="3" width="15" customWidth="1"/>
    <col min="4" max="4" width="14.85546875" customWidth="1"/>
    <col min="5" max="5" width="14" customWidth="1"/>
    <col min="6" max="6" width="13" customWidth="1"/>
    <col min="7" max="7" width="12.85546875" customWidth="1"/>
    <col min="8" max="8" width="53.5703125" bestFit="1" customWidth="1"/>
    <col min="9" max="9" width="19.42578125" customWidth="1"/>
    <col min="14" max="14" width="13.140625" customWidth="1"/>
  </cols>
  <sheetData>
    <row r="1" spans="1:7" x14ac:dyDescent="0.2">
      <c r="A1" s="209" t="s">
        <v>236</v>
      </c>
      <c r="B1" s="209"/>
      <c r="C1" s="209"/>
      <c r="D1" s="209"/>
      <c r="E1" s="209"/>
      <c r="F1" s="209"/>
      <c r="G1" s="209"/>
    </row>
    <row r="2" spans="1:7" x14ac:dyDescent="0.2">
      <c r="A2" s="209" t="s">
        <v>0</v>
      </c>
      <c r="B2" s="209"/>
      <c r="C2" s="209"/>
      <c r="D2" s="209"/>
      <c r="E2" s="209"/>
      <c r="F2" s="209"/>
      <c r="G2" s="209"/>
    </row>
    <row r="4" spans="1:7" x14ac:dyDescent="0.2">
      <c r="A4" s="210" t="s">
        <v>1</v>
      </c>
      <c r="B4" s="175"/>
      <c r="C4" s="175"/>
      <c r="D4" s="176"/>
      <c r="E4" s="211" t="s">
        <v>226</v>
      </c>
      <c r="F4" s="206"/>
      <c r="G4" s="206"/>
    </row>
    <row r="5" spans="1:7" x14ac:dyDescent="0.2">
      <c r="A5" s="210" t="s">
        <v>2</v>
      </c>
      <c r="B5" s="175"/>
      <c r="C5" s="175"/>
      <c r="D5" s="176"/>
      <c r="E5" s="206"/>
      <c r="F5" s="206"/>
      <c r="G5" s="206"/>
    </row>
    <row r="6" spans="1:7" x14ac:dyDescent="0.2">
      <c r="A6" s="212" t="s">
        <v>3</v>
      </c>
      <c r="B6" s="212"/>
      <c r="C6" s="212"/>
      <c r="D6" s="212"/>
      <c r="E6" s="212"/>
      <c r="F6" s="212"/>
      <c r="G6" s="212"/>
    </row>
    <row r="8" spans="1:7" x14ac:dyDescent="0.2">
      <c r="A8" s="213" t="s">
        <v>227</v>
      </c>
      <c r="B8" s="214"/>
      <c r="C8" s="214"/>
      <c r="D8" s="214"/>
      <c r="E8" s="214"/>
      <c r="F8" s="214"/>
      <c r="G8" s="215"/>
    </row>
    <row r="9" spans="1:7" x14ac:dyDescent="0.2">
      <c r="A9" s="216"/>
      <c r="B9" s="217"/>
      <c r="C9" s="217"/>
      <c r="D9" s="217"/>
      <c r="E9" s="217"/>
      <c r="F9" s="217"/>
      <c r="G9" s="218"/>
    </row>
    <row r="10" spans="1:7" ht="7.5" customHeight="1" x14ac:dyDescent="0.2">
      <c r="A10" s="219"/>
      <c r="B10" s="220"/>
      <c r="C10" s="220"/>
      <c r="D10" s="220"/>
      <c r="E10" s="220"/>
      <c r="F10" s="220"/>
      <c r="G10" s="221"/>
    </row>
    <row r="12" spans="1:7" x14ac:dyDescent="0.2">
      <c r="A12" s="2" t="s">
        <v>4</v>
      </c>
      <c r="B12" s="160" t="s">
        <v>5</v>
      </c>
      <c r="C12" s="160"/>
      <c r="D12" s="160"/>
      <c r="E12" s="160"/>
      <c r="F12" s="206"/>
      <c r="G12" s="206"/>
    </row>
    <row r="13" spans="1:7" x14ac:dyDescent="0.2">
      <c r="A13" s="2" t="s">
        <v>6</v>
      </c>
      <c r="B13" s="160" t="s">
        <v>7</v>
      </c>
      <c r="C13" s="160"/>
      <c r="D13" s="160"/>
      <c r="E13" s="160"/>
      <c r="F13" s="206" t="s">
        <v>8</v>
      </c>
      <c r="G13" s="206"/>
    </row>
    <row r="14" spans="1:7" x14ac:dyDescent="0.2">
      <c r="A14" s="2" t="s">
        <v>9</v>
      </c>
      <c r="B14" s="160" t="s">
        <v>10</v>
      </c>
      <c r="C14" s="160"/>
      <c r="D14" s="160"/>
      <c r="E14" s="160"/>
      <c r="F14" s="206"/>
      <c r="G14" s="206"/>
    </row>
    <row r="15" spans="1:7" x14ac:dyDescent="0.2">
      <c r="A15" s="2" t="s">
        <v>11</v>
      </c>
      <c r="B15" s="160" t="s">
        <v>12</v>
      </c>
      <c r="C15" s="160"/>
      <c r="D15" s="160"/>
      <c r="E15" s="160"/>
      <c r="F15" s="206">
        <v>12</v>
      </c>
      <c r="G15" s="206"/>
    </row>
    <row r="17" spans="1:9" x14ac:dyDescent="0.2">
      <c r="A17" s="206" t="s">
        <v>13</v>
      </c>
      <c r="B17" s="206"/>
      <c r="C17" s="206"/>
      <c r="D17" s="206" t="s">
        <v>14</v>
      </c>
      <c r="E17" s="206"/>
      <c r="F17" s="206" t="s">
        <v>15</v>
      </c>
      <c r="G17" s="206"/>
    </row>
    <row r="18" spans="1:9" x14ac:dyDescent="0.2">
      <c r="A18" s="2" t="s">
        <v>16</v>
      </c>
      <c r="B18" s="205" t="s">
        <v>225</v>
      </c>
      <c r="C18" s="205"/>
      <c r="D18" s="206">
        <v>1</v>
      </c>
      <c r="E18" s="206"/>
      <c r="F18" s="206">
        <v>1</v>
      </c>
      <c r="G18" s="206"/>
    </row>
    <row r="20" spans="1:9" x14ac:dyDescent="0.2">
      <c r="A20" s="166" t="s">
        <v>17</v>
      </c>
      <c r="B20" s="166"/>
      <c r="C20" s="166"/>
      <c r="D20" s="166"/>
      <c r="E20" s="166"/>
      <c r="F20" s="166"/>
      <c r="G20" s="166"/>
    </row>
    <row r="21" spans="1:9" x14ac:dyDescent="0.2">
      <c r="A21" s="207" t="s">
        <v>18</v>
      </c>
      <c r="B21" s="207"/>
      <c r="C21" s="207"/>
      <c r="D21" s="207"/>
      <c r="E21" s="207"/>
      <c r="F21" s="207"/>
      <c r="G21" s="207"/>
    </row>
    <row r="22" spans="1:9" x14ac:dyDescent="0.2">
      <c r="A22" s="154" t="s">
        <v>19</v>
      </c>
      <c r="B22" s="154"/>
      <c r="C22" s="154"/>
      <c r="D22" s="154"/>
      <c r="E22" s="154"/>
      <c r="F22" s="154"/>
      <c r="G22" s="154"/>
    </row>
    <row r="23" spans="1:9" x14ac:dyDescent="0.2">
      <c r="A23" s="128">
        <v>1</v>
      </c>
      <c r="B23" s="160" t="s">
        <v>20</v>
      </c>
      <c r="C23" s="160"/>
      <c r="D23" s="160"/>
      <c r="E23" s="160"/>
      <c r="F23" s="201" t="s">
        <v>21</v>
      </c>
      <c r="G23" s="162"/>
    </row>
    <row r="24" spans="1:9" x14ac:dyDescent="0.2">
      <c r="A24" s="128">
        <v>2</v>
      </c>
      <c r="B24" s="203" t="s">
        <v>224</v>
      </c>
      <c r="C24" s="160"/>
      <c r="D24" s="160"/>
      <c r="E24" s="160"/>
      <c r="F24" s="208">
        <v>2739.02</v>
      </c>
      <c r="G24" s="208"/>
    </row>
    <row r="25" spans="1:9" x14ac:dyDescent="0.2">
      <c r="A25" s="128">
        <v>3</v>
      </c>
      <c r="B25" s="183" t="s">
        <v>22</v>
      </c>
      <c r="C25" s="183"/>
      <c r="D25" s="183"/>
      <c r="E25" s="183"/>
      <c r="F25" s="201" t="s">
        <v>225</v>
      </c>
      <c r="G25" s="162"/>
    </row>
    <row r="26" spans="1:9" x14ac:dyDescent="0.2">
      <c r="A26" s="128">
        <v>4</v>
      </c>
      <c r="B26" s="160" t="s">
        <v>23</v>
      </c>
      <c r="C26" s="160"/>
      <c r="D26" s="160"/>
      <c r="E26" s="160"/>
      <c r="F26" s="202"/>
      <c r="G26" s="202"/>
    </row>
    <row r="28" spans="1:9" x14ac:dyDescent="0.2">
      <c r="A28" s="154" t="s">
        <v>24</v>
      </c>
      <c r="B28" s="154"/>
      <c r="C28" s="154"/>
      <c r="D28" s="154"/>
      <c r="E28" s="154"/>
      <c r="F28" s="154"/>
      <c r="G28" s="154"/>
    </row>
    <row r="29" spans="1:9" x14ac:dyDescent="0.2">
      <c r="A29" s="130">
        <v>1</v>
      </c>
      <c r="B29" s="154" t="s">
        <v>25</v>
      </c>
      <c r="C29" s="154"/>
      <c r="D29" s="154"/>
      <c r="E29" s="154"/>
      <c r="F29" s="156" t="s">
        <v>26</v>
      </c>
      <c r="G29" s="156"/>
    </row>
    <row r="30" spans="1:9" x14ac:dyDescent="0.2">
      <c r="A30" s="2" t="s">
        <v>4</v>
      </c>
      <c r="B30" s="203" t="s">
        <v>228</v>
      </c>
      <c r="C30" s="160"/>
      <c r="D30" s="160"/>
      <c r="E30" s="160"/>
      <c r="F30" s="204">
        <f>F24</f>
        <v>2739.02</v>
      </c>
      <c r="G30" s="204"/>
    </row>
    <row r="31" spans="1:9" x14ac:dyDescent="0.2">
      <c r="A31" s="2" t="s">
        <v>6</v>
      </c>
      <c r="B31" s="192" t="s">
        <v>229</v>
      </c>
      <c r="C31" s="175"/>
      <c r="D31" s="175"/>
      <c r="E31" s="176"/>
      <c r="F31" s="193">
        <f>ROUND(((F30/150)*1.5*50),2)</f>
        <v>1369.51</v>
      </c>
      <c r="G31" s="193"/>
      <c r="I31" s="146"/>
    </row>
    <row r="32" spans="1:9" x14ac:dyDescent="0.2">
      <c r="A32" s="2" t="s">
        <v>9</v>
      </c>
      <c r="B32" s="194" t="s">
        <v>29</v>
      </c>
      <c r="C32" s="195"/>
      <c r="D32" s="195"/>
      <c r="E32" s="196"/>
      <c r="F32" s="193">
        <v>0</v>
      </c>
      <c r="G32" s="193"/>
    </row>
    <row r="33" spans="1:12" x14ac:dyDescent="0.2">
      <c r="A33" s="2" t="s">
        <v>11</v>
      </c>
      <c r="B33" s="197" t="s">
        <v>30</v>
      </c>
      <c r="C33" s="198"/>
      <c r="D33" s="198"/>
      <c r="E33" s="199"/>
      <c r="F33" s="193">
        <v>0</v>
      </c>
      <c r="G33" s="193"/>
      <c r="J33" s="24"/>
    </row>
    <row r="34" spans="1:12" x14ac:dyDescent="0.2">
      <c r="A34" s="154" t="s">
        <v>31</v>
      </c>
      <c r="B34" s="154"/>
      <c r="C34" s="154"/>
      <c r="D34" s="154"/>
      <c r="E34" s="154"/>
      <c r="F34" s="200">
        <f>SUM(F30:G33)</f>
        <v>4108.53</v>
      </c>
      <c r="G34" s="200"/>
      <c r="J34" s="25"/>
    </row>
    <row r="36" spans="1:12" x14ac:dyDescent="0.2">
      <c r="A36" s="166" t="s">
        <v>32</v>
      </c>
      <c r="B36" s="166"/>
      <c r="C36" s="166"/>
      <c r="D36" s="166"/>
      <c r="E36" s="166"/>
      <c r="F36" s="166"/>
      <c r="G36" s="166"/>
    </row>
    <row r="37" spans="1:12" x14ac:dyDescent="0.2">
      <c r="A37" s="130">
        <v>2</v>
      </c>
      <c r="B37" s="154" t="s">
        <v>33</v>
      </c>
      <c r="C37" s="154"/>
      <c r="D37" s="154"/>
      <c r="E37" s="154"/>
      <c r="F37" s="156" t="s">
        <v>26</v>
      </c>
      <c r="G37" s="156"/>
    </row>
    <row r="38" spans="1:12" x14ac:dyDescent="0.2">
      <c r="A38" s="148" t="s">
        <v>4</v>
      </c>
      <c r="B38" s="191" t="s">
        <v>223</v>
      </c>
      <c r="C38" s="183"/>
      <c r="D38" s="183"/>
      <c r="E38" s="183"/>
      <c r="F38" s="184">
        <v>0</v>
      </c>
      <c r="G38" s="184"/>
      <c r="I38" s="26"/>
    </row>
    <row r="39" spans="1:12" x14ac:dyDescent="0.2">
      <c r="A39" s="148" t="s">
        <v>6</v>
      </c>
      <c r="B39" s="183" t="s">
        <v>34</v>
      </c>
      <c r="C39" s="183"/>
      <c r="D39" s="183"/>
      <c r="E39" s="183"/>
      <c r="F39" s="184">
        <v>420.7</v>
      </c>
      <c r="G39" s="184"/>
      <c r="I39" s="26"/>
    </row>
    <row r="40" spans="1:12" x14ac:dyDescent="0.2">
      <c r="A40" s="148" t="s">
        <v>9</v>
      </c>
      <c r="B40" s="183" t="s">
        <v>35</v>
      </c>
      <c r="C40" s="183"/>
      <c r="D40" s="183"/>
      <c r="E40" s="183"/>
      <c r="F40" s="184">
        <v>0</v>
      </c>
      <c r="G40" s="184"/>
      <c r="I40" s="26"/>
    </row>
    <row r="41" spans="1:12" x14ac:dyDescent="0.2">
      <c r="A41" s="149" t="s">
        <v>11</v>
      </c>
      <c r="B41" s="182" t="s">
        <v>36</v>
      </c>
      <c r="C41" s="182"/>
      <c r="D41" s="182"/>
      <c r="E41" s="182"/>
      <c r="F41" s="185">
        <v>0</v>
      </c>
      <c r="G41" s="185"/>
      <c r="I41" s="24"/>
      <c r="L41" s="146"/>
    </row>
    <row r="42" spans="1:12" x14ac:dyDescent="0.2">
      <c r="A42" s="148" t="s">
        <v>37</v>
      </c>
      <c r="B42" s="182" t="s">
        <v>38</v>
      </c>
      <c r="C42" s="182"/>
      <c r="D42" s="182"/>
      <c r="E42" s="182"/>
      <c r="F42" s="184">
        <v>13.07</v>
      </c>
      <c r="G42" s="184"/>
      <c r="I42" s="24"/>
      <c r="L42" s="146"/>
    </row>
    <row r="43" spans="1:12" x14ac:dyDescent="0.2">
      <c r="A43" s="148" t="s">
        <v>39</v>
      </c>
      <c r="B43" s="182" t="s">
        <v>40</v>
      </c>
      <c r="C43" s="183"/>
      <c r="D43" s="183"/>
      <c r="E43" s="183"/>
      <c r="F43" s="184">
        <f>65.94</f>
        <v>65.94</v>
      </c>
      <c r="G43" s="184"/>
      <c r="I43" s="24"/>
      <c r="L43" s="146"/>
    </row>
    <row r="44" spans="1:12" x14ac:dyDescent="0.2">
      <c r="A44" s="149" t="s">
        <v>41</v>
      </c>
      <c r="B44" s="186" t="s">
        <v>42</v>
      </c>
      <c r="C44" s="187"/>
      <c r="D44" s="187"/>
      <c r="E44" s="188"/>
      <c r="F44" s="184">
        <v>0</v>
      </c>
      <c r="G44" s="184"/>
      <c r="I44" s="25"/>
    </row>
    <row r="45" spans="1:12" x14ac:dyDescent="0.2">
      <c r="A45" s="180" t="s">
        <v>43</v>
      </c>
      <c r="B45" s="180"/>
      <c r="C45" s="180"/>
      <c r="D45" s="180"/>
      <c r="E45" s="180"/>
      <c r="F45" s="189">
        <f>SUM(F38:G44)</f>
        <v>499.71</v>
      </c>
      <c r="G45" s="189"/>
    </row>
    <row r="46" spans="1:12" x14ac:dyDescent="0.2">
      <c r="A46" s="150"/>
      <c r="B46" s="150"/>
      <c r="C46" s="150"/>
      <c r="D46" s="150"/>
      <c r="E46" s="150"/>
      <c r="F46" s="150"/>
      <c r="G46" s="150"/>
    </row>
    <row r="47" spans="1:12" x14ac:dyDescent="0.2">
      <c r="A47" s="190" t="s">
        <v>44</v>
      </c>
      <c r="B47" s="190"/>
      <c r="C47" s="190"/>
      <c r="D47" s="190"/>
      <c r="E47" s="190"/>
      <c r="F47" s="190"/>
      <c r="G47" s="190"/>
    </row>
    <row r="48" spans="1:12" x14ac:dyDescent="0.2">
      <c r="A48" s="151">
        <v>3</v>
      </c>
      <c r="B48" s="180" t="s">
        <v>45</v>
      </c>
      <c r="C48" s="180"/>
      <c r="D48" s="180"/>
      <c r="E48" s="180"/>
      <c r="F48" s="181" t="s">
        <v>26</v>
      </c>
      <c r="G48" s="181"/>
    </row>
    <row r="49" spans="1:7" x14ac:dyDescent="0.2">
      <c r="A49" s="148" t="s">
        <v>4</v>
      </c>
      <c r="B49" s="182" t="s">
        <v>134</v>
      </c>
      <c r="C49" s="183"/>
      <c r="D49" s="183"/>
      <c r="E49" s="183"/>
      <c r="F49" s="184">
        <v>0</v>
      </c>
      <c r="G49" s="184"/>
    </row>
    <row r="50" spans="1:7" x14ac:dyDescent="0.2">
      <c r="A50" s="148" t="s">
        <v>6</v>
      </c>
      <c r="B50" s="182" t="s">
        <v>47</v>
      </c>
      <c r="C50" s="183"/>
      <c r="D50" s="183"/>
      <c r="E50" s="183"/>
      <c r="F50" s="185">
        <f>(3*77)/12</f>
        <v>19.25</v>
      </c>
      <c r="G50" s="184"/>
    </row>
    <row r="51" spans="1:7" x14ac:dyDescent="0.2">
      <c r="A51" s="148" t="s">
        <v>9</v>
      </c>
      <c r="B51" s="182" t="s">
        <v>48</v>
      </c>
      <c r="C51" s="183"/>
      <c r="D51" s="183"/>
      <c r="E51" s="183"/>
      <c r="F51" s="184">
        <f>153/12</f>
        <v>12.75</v>
      </c>
      <c r="G51" s="184"/>
    </row>
    <row r="52" spans="1:7" x14ac:dyDescent="0.2">
      <c r="A52" s="148" t="s">
        <v>11</v>
      </c>
      <c r="B52" s="182" t="s">
        <v>49</v>
      </c>
      <c r="C52" s="183"/>
      <c r="D52" s="183"/>
      <c r="E52" s="183"/>
      <c r="F52" s="184">
        <v>11.7</v>
      </c>
      <c r="G52" s="184"/>
    </row>
    <row r="53" spans="1:7" x14ac:dyDescent="0.2">
      <c r="A53" s="154" t="s">
        <v>50</v>
      </c>
      <c r="B53" s="154"/>
      <c r="C53" s="154"/>
      <c r="D53" s="154"/>
      <c r="E53" s="154"/>
      <c r="F53" s="165">
        <f>SUM(F49:G52)</f>
        <v>43.7</v>
      </c>
      <c r="G53" s="165"/>
    </row>
    <row r="54" spans="1:7" x14ac:dyDescent="0.2">
      <c r="A54" s="16"/>
      <c r="B54" s="16"/>
      <c r="C54" s="16"/>
      <c r="D54" s="16"/>
      <c r="E54" s="16"/>
      <c r="F54" s="17"/>
      <c r="G54" s="17"/>
    </row>
    <row r="55" spans="1:7" x14ac:dyDescent="0.2">
      <c r="A55" s="166" t="s">
        <v>51</v>
      </c>
      <c r="B55" s="166"/>
      <c r="C55" s="166"/>
      <c r="D55" s="166"/>
      <c r="E55" s="166"/>
      <c r="F55" s="166"/>
      <c r="G55" s="166"/>
    </row>
    <row r="57" spans="1:7" x14ac:dyDescent="0.2">
      <c r="A57" s="166" t="s">
        <v>52</v>
      </c>
      <c r="B57" s="166"/>
      <c r="C57" s="166"/>
      <c r="D57" s="166"/>
      <c r="E57" s="166"/>
      <c r="F57" s="166"/>
      <c r="G57" s="166"/>
    </row>
    <row r="59" spans="1:7" x14ac:dyDescent="0.2">
      <c r="A59" s="5" t="s">
        <v>53</v>
      </c>
      <c r="B59" s="154" t="s">
        <v>54</v>
      </c>
      <c r="C59" s="154"/>
      <c r="D59" s="154"/>
      <c r="E59" s="154"/>
      <c r="F59" s="129" t="s">
        <v>55</v>
      </c>
      <c r="G59" s="132" t="s">
        <v>26</v>
      </c>
    </row>
    <row r="60" spans="1:7" x14ac:dyDescent="0.2">
      <c r="A60" s="2" t="s">
        <v>4</v>
      </c>
      <c r="B60" s="160" t="s">
        <v>56</v>
      </c>
      <c r="C60" s="160"/>
      <c r="D60" s="160"/>
      <c r="E60" s="160"/>
      <c r="F60" s="4">
        <v>0.2</v>
      </c>
      <c r="G60" s="134">
        <f>ROUND((F34*F60),2)</f>
        <v>821.71</v>
      </c>
    </row>
    <row r="61" spans="1:7" x14ac:dyDescent="0.2">
      <c r="A61" s="2" t="s">
        <v>6</v>
      </c>
      <c r="B61" s="160" t="s">
        <v>57</v>
      </c>
      <c r="C61" s="160"/>
      <c r="D61" s="160"/>
      <c r="E61" s="160"/>
      <c r="F61" s="4">
        <v>1.4999999999999999E-2</v>
      </c>
      <c r="G61" s="134">
        <f>F34*0.015</f>
        <v>61.627949999999991</v>
      </c>
    </row>
    <row r="62" spans="1:7" x14ac:dyDescent="0.2">
      <c r="A62" s="2" t="s">
        <v>9</v>
      </c>
      <c r="B62" s="160" t="s">
        <v>58</v>
      </c>
      <c r="C62" s="160"/>
      <c r="D62" s="160"/>
      <c r="E62" s="160"/>
      <c r="F62" s="4">
        <v>0.01</v>
      </c>
      <c r="G62" s="134">
        <f>F34*0.01</f>
        <v>41.085299999999997</v>
      </c>
    </row>
    <row r="63" spans="1:7" x14ac:dyDescent="0.2">
      <c r="A63" s="2" t="s">
        <v>11</v>
      </c>
      <c r="B63" s="160" t="s">
        <v>59</v>
      </c>
      <c r="C63" s="160"/>
      <c r="D63" s="160"/>
      <c r="E63" s="160"/>
      <c r="F63" s="4">
        <v>2E-3</v>
      </c>
      <c r="G63" s="134">
        <f>F34*0.002</f>
        <v>8.21706</v>
      </c>
    </row>
    <row r="64" spans="1:7" x14ac:dyDescent="0.2">
      <c r="A64" s="2" t="s">
        <v>37</v>
      </c>
      <c r="B64" s="160" t="s">
        <v>60</v>
      </c>
      <c r="C64" s="160"/>
      <c r="D64" s="160"/>
      <c r="E64" s="160"/>
      <c r="F64" s="4">
        <v>2.5000000000000001E-2</v>
      </c>
      <c r="G64" s="134">
        <f>F34*0.025</f>
        <v>102.71325</v>
      </c>
    </row>
    <row r="65" spans="1:7" x14ac:dyDescent="0.2">
      <c r="A65" s="2" t="s">
        <v>39</v>
      </c>
      <c r="B65" s="160" t="s">
        <v>61</v>
      </c>
      <c r="C65" s="160"/>
      <c r="D65" s="160"/>
      <c r="E65" s="160"/>
      <c r="F65" s="4">
        <v>0.08</v>
      </c>
      <c r="G65" s="134">
        <f>F34*0.08</f>
        <v>328.68239999999997</v>
      </c>
    </row>
    <row r="66" spans="1:7" x14ac:dyDescent="0.2">
      <c r="A66" s="2" t="s">
        <v>41</v>
      </c>
      <c r="B66" s="160" t="s">
        <v>62</v>
      </c>
      <c r="C66" s="160"/>
      <c r="D66" s="160"/>
      <c r="E66" s="160"/>
      <c r="F66" s="4">
        <v>0.03</v>
      </c>
      <c r="G66" s="134">
        <f>F34*0.03</f>
        <v>123.25589999999998</v>
      </c>
    </row>
    <row r="67" spans="1:7" x14ac:dyDescent="0.2">
      <c r="A67" s="2" t="s">
        <v>63</v>
      </c>
      <c r="B67" s="160" t="s">
        <v>64</v>
      </c>
      <c r="C67" s="160"/>
      <c r="D67" s="160"/>
      <c r="E67" s="160"/>
      <c r="F67" s="4">
        <v>6.0000000000000001E-3</v>
      </c>
      <c r="G67" s="134">
        <f>F34*0.006</f>
        <v>24.65118</v>
      </c>
    </row>
    <row r="68" spans="1:7" x14ac:dyDescent="0.2">
      <c r="A68" s="154" t="s">
        <v>65</v>
      </c>
      <c r="B68" s="154"/>
      <c r="C68" s="154"/>
      <c r="D68" s="154"/>
      <c r="E68" s="154"/>
      <c r="F68" s="6">
        <f>SUM(F60:F67)</f>
        <v>0.3680000000000001</v>
      </c>
      <c r="G68" s="133">
        <f>SUM(G60:G67)</f>
        <v>1511.9430399999997</v>
      </c>
    </row>
    <row r="70" spans="1:7" x14ac:dyDescent="0.2">
      <c r="A70" s="166" t="s">
        <v>66</v>
      </c>
      <c r="B70" s="166"/>
      <c r="C70" s="166"/>
      <c r="D70" s="166"/>
      <c r="E70" s="166"/>
      <c r="F70" s="166"/>
      <c r="G70" s="166"/>
    </row>
    <row r="72" spans="1:7" x14ac:dyDescent="0.2">
      <c r="A72" s="130" t="s">
        <v>67</v>
      </c>
      <c r="B72" s="154" t="s">
        <v>68</v>
      </c>
      <c r="C72" s="154"/>
      <c r="D72" s="154"/>
      <c r="E72" s="154"/>
      <c r="F72" s="129" t="s">
        <v>55</v>
      </c>
      <c r="G72" s="132" t="s">
        <v>26</v>
      </c>
    </row>
    <row r="73" spans="1:7" x14ac:dyDescent="0.2">
      <c r="A73" s="128" t="s">
        <v>4</v>
      </c>
      <c r="B73" s="160" t="s">
        <v>69</v>
      </c>
      <c r="C73" s="160"/>
      <c r="D73" s="160"/>
      <c r="E73" s="160"/>
      <c r="F73" s="21">
        <v>8.3299999999999999E-2</v>
      </c>
      <c r="G73" s="10">
        <f>$F$34*F73</f>
        <v>342.24054899999999</v>
      </c>
    </row>
    <row r="74" spans="1:7" x14ac:dyDescent="0.2">
      <c r="A74" s="128" t="s">
        <v>6</v>
      </c>
      <c r="B74" s="173" t="s">
        <v>70</v>
      </c>
      <c r="C74" s="160"/>
      <c r="D74" s="160"/>
      <c r="E74" s="160"/>
      <c r="F74" s="21">
        <v>9.8199999999999996E-2</v>
      </c>
      <c r="G74" s="10">
        <f>($F$34*F74)</f>
        <v>403.45764599999995</v>
      </c>
    </row>
    <row r="75" spans="1:7" x14ac:dyDescent="0.2">
      <c r="A75" s="131" t="s">
        <v>9</v>
      </c>
      <c r="B75" s="174" t="s">
        <v>71</v>
      </c>
      <c r="C75" s="175"/>
      <c r="D75" s="175"/>
      <c r="E75" s="176"/>
      <c r="F75" s="21">
        <v>6.8999999999999999E-3</v>
      </c>
      <c r="G75" s="10">
        <f>$F$34*F75</f>
        <v>28.348856999999999</v>
      </c>
    </row>
    <row r="76" spans="1:7" x14ac:dyDescent="0.2">
      <c r="A76" s="131" t="s">
        <v>11</v>
      </c>
      <c r="B76" s="174" t="s">
        <v>72</v>
      </c>
      <c r="C76" s="175"/>
      <c r="D76" s="175"/>
      <c r="E76" s="176"/>
      <c r="F76" s="21">
        <v>5.9999999999999995E-4</v>
      </c>
      <c r="G76" s="10">
        <f>$F$34*F76</f>
        <v>2.4651179999999995</v>
      </c>
    </row>
    <row r="77" spans="1:7" x14ac:dyDescent="0.2">
      <c r="A77" s="131" t="s">
        <v>37</v>
      </c>
      <c r="B77" s="174" t="s">
        <v>73</v>
      </c>
      <c r="C77" s="175"/>
      <c r="D77" s="175"/>
      <c r="E77" s="176"/>
      <c r="F77" s="21">
        <v>5.5999999999999999E-3</v>
      </c>
      <c r="G77" s="10">
        <f>$F$34*F77</f>
        <v>23.007767999999999</v>
      </c>
    </row>
    <row r="78" spans="1:7" x14ac:dyDescent="0.2">
      <c r="A78" s="131" t="s">
        <v>39</v>
      </c>
      <c r="B78" s="174" t="s">
        <v>74</v>
      </c>
      <c r="C78" s="175"/>
      <c r="D78" s="175"/>
      <c r="E78" s="176"/>
      <c r="F78" s="21">
        <v>8.9999999999999998E-4</v>
      </c>
      <c r="G78" s="10">
        <f>$F$34*F78</f>
        <v>3.6976769999999997</v>
      </c>
    </row>
    <row r="79" spans="1:7" x14ac:dyDescent="0.2">
      <c r="A79" s="131" t="s">
        <v>41</v>
      </c>
      <c r="B79" s="174" t="s">
        <v>75</v>
      </c>
      <c r="C79" s="175"/>
      <c r="D79" s="175"/>
      <c r="E79" s="176"/>
      <c r="F79" s="21">
        <v>2.9999999999999997E-4</v>
      </c>
      <c r="G79" s="10">
        <f>$F$34*F79</f>
        <v>1.2325589999999997</v>
      </c>
    </row>
    <row r="80" spans="1:7" x14ac:dyDescent="0.2">
      <c r="A80" s="154" t="s">
        <v>65</v>
      </c>
      <c r="B80" s="154"/>
      <c r="C80" s="154"/>
      <c r="D80" s="154"/>
      <c r="E80" s="154"/>
      <c r="F80" s="6">
        <f>SUM(F73:F79)</f>
        <v>0.19579999999999997</v>
      </c>
      <c r="G80" s="11">
        <f>SUM(G73:G79)</f>
        <v>804.45017399999995</v>
      </c>
    </row>
    <row r="82" spans="1:7" x14ac:dyDescent="0.2">
      <c r="A82" s="166" t="s">
        <v>76</v>
      </c>
      <c r="B82" s="166"/>
      <c r="C82" s="166"/>
      <c r="D82" s="166"/>
      <c r="E82" s="166"/>
      <c r="F82" s="166"/>
      <c r="G82" s="166"/>
    </row>
    <row r="83" spans="1:7" x14ac:dyDescent="0.2">
      <c r="A83" s="127"/>
      <c r="B83" s="127"/>
      <c r="C83" s="127"/>
      <c r="D83" s="127"/>
      <c r="E83" s="127"/>
      <c r="F83" s="127"/>
      <c r="G83" s="127"/>
    </row>
    <row r="84" spans="1:7" x14ac:dyDescent="0.2">
      <c r="A84" s="130" t="s">
        <v>77</v>
      </c>
      <c r="B84" s="154" t="s">
        <v>78</v>
      </c>
      <c r="C84" s="154"/>
      <c r="D84" s="154"/>
      <c r="E84" s="154"/>
      <c r="F84" s="129" t="s">
        <v>55</v>
      </c>
      <c r="G84" s="5" t="s">
        <v>26</v>
      </c>
    </row>
    <row r="85" spans="1:7" x14ac:dyDescent="0.2">
      <c r="A85" s="128" t="s">
        <v>4</v>
      </c>
      <c r="B85" s="160" t="s">
        <v>79</v>
      </c>
      <c r="C85" s="160"/>
      <c r="D85" s="160"/>
      <c r="E85" s="160"/>
      <c r="F85" s="21">
        <v>2.9899999999999999E-2</v>
      </c>
      <c r="G85" s="12">
        <f>$F$34*F85</f>
        <v>122.84504699999999</v>
      </c>
    </row>
    <row r="86" spans="1:7" x14ac:dyDescent="0.2">
      <c r="A86" s="128" t="s">
        <v>6</v>
      </c>
      <c r="B86" s="160" t="s">
        <v>80</v>
      </c>
      <c r="C86" s="160"/>
      <c r="D86" s="160"/>
      <c r="E86" s="160"/>
      <c r="F86" s="21">
        <v>6.9999999999999999E-4</v>
      </c>
      <c r="G86" s="12">
        <f>$F$34*F86</f>
        <v>2.8759709999999998</v>
      </c>
    </row>
    <row r="87" spans="1:7" x14ac:dyDescent="0.2">
      <c r="A87" s="128" t="s">
        <v>9</v>
      </c>
      <c r="B87" s="173" t="s">
        <v>81</v>
      </c>
      <c r="C87" s="160"/>
      <c r="D87" s="160"/>
      <c r="E87" s="160"/>
      <c r="F87" s="21">
        <v>1.01E-2</v>
      </c>
      <c r="G87" s="12">
        <f>$F$34*F87</f>
        <v>41.496152999999993</v>
      </c>
    </row>
    <row r="88" spans="1:7" x14ac:dyDescent="0.2">
      <c r="A88" s="128" t="s">
        <v>11</v>
      </c>
      <c r="B88" s="173" t="s">
        <v>82</v>
      </c>
      <c r="C88" s="160"/>
      <c r="D88" s="160"/>
      <c r="E88" s="160"/>
      <c r="F88" s="21">
        <v>3.6999999999999998E-2</v>
      </c>
      <c r="G88" s="12">
        <f>$F$34*F88</f>
        <v>152.01560999999998</v>
      </c>
    </row>
    <row r="89" spans="1:7" x14ac:dyDescent="0.2">
      <c r="A89" s="128" t="s">
        <v>37</v>
      </c>
      <c r="B89" s="173" t="s">
        <v>83</v>
      </c>
      <c r="C89" s="160"/>
      <c r="D89" s="160"/>
      <c r="E89" s="160"/>
      <c r="F89" s="4">
        <v>2.5000000000000001E-3</v>
      </c>
      <c r="G89" s="12">
        <f>$F$34*F89</f>
        <v>10.271324999999999</v>
      </c>
    </row>
    <row r="90" spans="1:7" x14ac:dyDescent="0.2">
      <c r="A90" s="157" t="s">
        <v>65</v>
      </c>
      <c r="B90" s="158"/>
      <c r="C90" s="158"/>
      <c r="D90" s="158"/>
      <c r="E90" s="159"/>
      <c r="F90" s="6">
        <f>SUM(F85:F89)</f>
        <v>8.0199999999999994E-2</v>
      </c>
      <c r="G90" s="13">
        <f>SUM(G85:G89)</f>
        <v>329.50410599999992</v>
      </c>
    </row>
    <row r="92" spans="1:7" x14ac:dyDescent="0.2">
      <c r="A92" s="166" t="s">
        <v>84</v>
      </c>
      <c r="B92" s="166"/>
      <c r="C92" s="166"/>
      <c r="D92" s="166"/>
      <c r="E92" s="166"/>
      <c r="F92" s="166"/>
      <c r="G92" s="166"/>
    </row>
    <row r="94" spans="1:7" x14ac:dyDescent="0.2">
      <c r="A94" s="130" t="s">
        <v>85</v>
      </c>
      <c r="B94" s="154" t="s">
        <v>86</v>
      </c>
      <c r="C94" s="154"/>
      <c r="D94" s="154"/>
      <c r="E94" s="154"/>
      <c r="F94" s="129" t="s">
        <v>55</v>
      </c>
      <c r="G94" s="132" t="s">
        <v>26</v>
      </c>
    </row>
    <row r="95" spans="1:7" x14ac:dyDescent="0.2">
      <c r="A95" s="128" t="s">
        <v>4</v>
      </c>
      <c r="B95" s="174" t="s">
        <v>87</v>
      </c>
      <c r="C95" s="175"/>
      <c r="D95" s="175"/>
      <c r="E95" s="176"/>
      <c r="F95" s="21">
        <v>7.2099999999999997E-2</v>
      </c>
      <c r="G95" s="12">
        <f>F34*F95</f>
        <v>296.22501299999999</v>
      </c>
    </row>
    <row r="96" spans="1:7" ht="25.5" customHeight="1" x14ac:dyDescent="0.2">
      <c r="A96" s="128" t="s">
        <v>6</v>
      </c>
      <c r="B96" s="177" t="s">
        <v>88</v>
      </c>
      <c r="C96" s="178"/>
      <c r="D96" s="178"/>
      <c r="E96" s="179"/>
      <c r="F96" s="21">
        <v>2.5999999999999999E-3</v>
      </c>
      <c r="G96" s="12">
        <f>F34*F96</f>
        <v>10.682177999999999</v>
      </c>
    </row>
    <row r="97" spans="1:14" x14ac:dyDescent="0.2">
      <c r="A97" s="154" t="s">
        <v>65</v>
      </c>
      <c r="B97" s="154"/>
      <c r="C97" s="154"/>
      <c r="D97" s="154"/>
      <c r="E97" s="154"/>
      <c r="F97" s="6">
        <f>SUM(F95:F96)</f>
        <v>7.4700000000000003E-2</v>
      </c>
      <c r="G97" s="13">
        <f>SUM(G95:G96)</f>
        <v>306.90719100000001</v>
      </c>
    </row>
    <row r="98" spans="1:14" x14ac:dyDescent="0.2">
      <c r="A98" s="16"/>
      <c r="B98" s="16"/>
      <c r="C98" s="16"/>
      <c r="D98" s="16"/>
      <c r="E98" s="16"/>
      <c r="F98" s="18"/>
      <c r="G98" s="19"/>
    </row>
    <row r="99" spans="1:14" x14ac:dyDescent="0.2">
      <c r="A99" s="166" t="s">
        <v>89</v>
      </c>
      <c r="B99" s="166"/>
      <c r="C99" s="166"/>
      <c r="D99" s="166"/>
      <c r="E99" s="166"/>
      <c r="F99" s="166"/>
      <c r="G99" s="166"/>
    </row>
    <row r="101" spans="1:14" x14ac:dyDescent="0.2">
      <c r="A101" s="130">
        <v>4</v>
      </c>
      <c r="B101" s="154" t="s">
        <v>90</v>
      </c>
      <c r="C101" s="154"/>
      <c r="D101" s="154"/>
      <c r="E101" s="154"/>
      <c r="F101" s="129" t="s">
        <v>55</v>
      </c>
      <c r="G101" s="132" t="s">
        <v>26</v>
      </c>
    </row>
    <row r="102" spans="1:14" x14ac:dyDescent="0.2">
      <c r="A102" s="128" t="s">
        <v>53</v>
      </c>
      <c r="B102" s="173" t="s">
        <v>54</v>
      </c>
      <c r="C102" s="173"/>
      <c r="D102" s="173"/>
      <c r="E102" s="173"/>
      <c r="F102" s="4">
        <f>F68</f>
        <v>0.3680000000000001</v>
      </c>
      <c r="G102" s="12">
        <f>F34*F102</f>
        <v>1511.9390400000004</v>
      </c>
    </row>
    <row r="103" spans="1:14" x14ac:dyDescent="0.2">
      <c r="A103" s="128" t="s">
        <v>67</v>
      </c>
      <c r="B103" s="173" t="s">
        <v>68</v>
      </c>
      <c r="C103" s="173"/>
      <c r="D103" s="173"/>
      <c r="E103" s="173"/>
      <c r="F103" s="4">
        <f>F80</f>
        <v>0.19579999999999997</v>
      </c>
      <c r="G103" s="12">
        <f>F34*F103</f>
        <v>804.45017399999983</v>
      </c>
    </row>
    <row r="104" spans="1:14" x14ac:dyDescent="0.2">
      <c r="A104" s="128" t="s">
        <v>77</v>
      </c>
      <c r="B104" s="173" t="s">
        <v>78</v>
      </c>
      <c r="C104" s="173"/>
      <c r="D104" s="173"/>
      <c r="E104" s="173"/>
      <c r="F104" s="4">
        <f>F90</f>
        <v>8.0199999999999994E-2</v>
      </c>
      <c r="G104" s="12">
        <f>F104*F34</f>
        <v>329.50410599999998</v>
      </c>
    </row>
    <row r="105" spans="1:14" x14ac:dyDescent="0.2">
      <c r="A105" s="128" t="s">
        <v>85</v>
      </c>
      <c r="B105" s="173" t="s">
        <v>86</v>
      </c>
      <c r="C105" s="173"/>
      <c r="D105" s="173"/>
      <c r="E105" s="173"/>
      <c r="F105" s="4">
        <f>F97</f>
        <v>7.4700000000000003E-2</v>
      </c>
      <c r="G105" s="12">
        <f>F105*F34</f>
        <v>306.90719100000001</v>
      </c>
    </row>
    <row r="106" spans="1:14" x14ac:dyDescent="0.2">
      <c r="A106" s="154" t="s">
        <v>65</v>
      </c>
      <c r="B106" s="154"/>
      <c r="C106" s="154"/>
      <c r="D106" s="154"/>
      <c r="E106" s="154"/>
      <c r="F106" s="6">
        <f>SUM(F102:F105)</f>
        <v>0.71870000000000012</v>
      </c>
      <c r="G106" s="13">
        <f>SUM(G102:G105)</f>
        <v>2952.8005110000004</v>
      </c>
    </row>
    <row r="108" spans="1:14" x14ac:dyDescent="0.2">
      <c r="A108" s="166" t="s">
        <v>91</v>
      </c>
      <c r="B108" s="166"/>
      <c r="C108" s="166"/>
      <c r="D108" s="166"/>
      <c r="E108" s="166"/>
      <c r="F108" s="166"/>
      <c r="G108" s="166"/>
    </row>
    <row r="110" spans="1:14" x14ac:dyDescent="0.2">
      <c r="A110" s="130">
        <v>5</v>
      </c>
      <c r="B110" s="154" t="s">
        <v>92</v>
      </c>
      <c r="C110" s="154"/>
      <c r="D110" s="154"/>
      <c r="E110" s="154"/>
      <c r="F110" s="129" t="s">
        <v>55</v>
      </c>
      <c r="G110" s="132" t="s">
        <v>26</v>
      </c>
      <c r="J110" s="22"/>
      <c r="K110" s="27"/>
      <c r="L110" s="28"/>
      <c r="M110" s="28"/>
      <c r="N110" s="29"/>
    </row>
    <row r="111" spans="1:14" x14ac:dyDescent="0.2">
      <c r="A111" s="128" t="s">
        <v>4</v>
      </c>
      <c r="B111" s="160" t="s">
        <v>93</v>
      </c>
      <c r="C111" s="160"/>
      <c r="D111" s="160"/>
      <c r="E111" s="160"/>
      <c r="F111" s="32">
        <v>0.2</v>
      </c>
      <c r="G111" s="31">
        <f>ROUND((F126*0.2),)</f>
        <v>1521</v>
      </c>
      <c r="J111" s="22"/>
      <c r="K111" s="28"/>
      <c r="L111" s="28"/>
      <c r="M111" s="28"/>
      <c r="N111" s="29"/>
    </row>
    <row r="112" spans="1:14" x14ac:dyDescent="0.2">
      <c r="A112" s="131" t="s">
        <v>94</v>
      </c>
      <c r="B112" s="160" t="s">
        <v>135</v>
      </c>
      <c r="C112" s="160"/>
      <c r="D112" s="160"/>
      <c r="E112" s="160"/>
      <c r="F112" s="34">
        <v>0.16619999999999999</v>
      </c>
      <c r="G112" s="152">
        <f>ROUND(SUM(G113:G115),2)</f>
        <v>1668.36</v>
      </c>
      <c r="J112" s="22"/>
      <c r="K112" s="28"/>
      <c r="L112" s="28"/>
      <c r="M112" s="28"/>
      <c r="N112" s="29"/>
    </row>
    <row r="113" spans="1:14" x14ac:dyDescent="0.2">
      <c r="A113" s="128"/>
      <c r="B113" s="173" t="s">
        <v>95</v>
      </c>
      <c r="C113" s="160"/>
      <c r="D113" s="160"/>
      <c r="E113" s="160"/>
      <c r="F113" s="32">
        <v>0.1079</v>
      </c>
      <c r="G113" s="153">
        <f>ROUND((F113*(F126+G111+G116)),2)</f>
        <v>1083.1300000000001</v>
      </c>
      <c r="K113" s="28"/>
      <c r="L113" s="28"/>
      <c r="N113" s="30"/>
    </row>
    <row r="114" spans="1:14" x14ac:dyDescent="0.2">
      <c r="A114" s="128"/>
      <c r="B114" s="160" t="s">
        <v>96</v>
      </c>
      <c r="C114" s="160"/>
      <c r="D114" s="160"/>
      <c r="E114" s="160"/>
      <c r="F114" s="33" t="s">
        <v>97</v>
      </c>
      <c r="G114" s="153">
        <v>0</v>
      </c>
    </row>
    <row r="115" spans="1:14" x14ac:dyDescent="0.2">
      <c r="A115" s="128"/>
      <c r="B115" s="160" t="s">
        <v>98</v>
      </c>
      <c r="C115" s="160"/>
      <c r="D115" s="160"/>
      <c r="E115" s="160"/>
      <c r="F115" s="35">
        <v>5.8299999999999998E-2</v>
      </c>
      <c r="G115" s="153">
        <f>ROUND((F115*(F126+G111+G116)),2)</f>
        <v>585.23</v>
      </c>
      <c r="L115" s="28"/>
    </row>
    <row r="116" spans="1:14" x14ac:dyDescent="0.2">
      <c r="A116" s="128" t="s">
        <v>9</v>
      </c>
      <c r="B116" s="160" t="s">
        <v>99</v>
      </c>
      <c r="C116" s="160"/>
      <c r="D116" s="160"/>
      <c r="E116" s="160"/>
      <c r="F116" s="32">
        <v>0.1</v>
      </c>
      <c r="G116" s="153">
        <f>(G111+F126)*0.1</f>
        <v>912.57405110000002</v>
      </c>
    </row>
    <row r="117" spans="1:14" x14ac:dyDescent="0.2">
      <c r="A117" s="154" t="s">
        <v>65</v>
      </c>
      <c r="B117" s="154"/>
      <c r="C117" s="154"/>
      <c r="D117" s="154"/>
      <c r="E117" s="154"/>
      <c r="F117" s="7" t="s">
        <v>100</v>
      </c>
      <c r="G117" s="13">
        <f>G111+G112+G116</f>
        <v>4101.9340511</v>
      </c>
    </row>
    <row r="119" spans="1:14" x14ac:dyDescent="0.2">
      <c r="A119" s="166" t="s">
        <v>101</v>
      </c>
      <c r="B119" s="166"/>
      <c r="C119" s="166"/>
      <c r="D119" s="166"/>
      <c r="E119" s="166"/>
      <c r="F119" s="166"/>
      <c r="G119" s="166"/>
    </row>
    <row r="121" spans="1:14" x14ac:dyDescent="0.2">
      <c r="A121" s="157" t="s">
        <v>102</v>
      </c>
      <c r="B121" s="158"/>
      <c r="C121" s="158"/>
      <c r="D121" s="158"/>
      <c r="E121" s="159"/>
      <c r="F121" s="156" t="s">
        <v>26</v>
      </c>
      <c r="G121" s="156"/>
    </row>
    <row r="122" spans="1:14" x14ac:dyDescent="0.2">
      <c r="A122" s="128" t="s">
        <v>4</v>
      </c>
      <c r="B122" s="160" t="s">
        <v>103</v>
      </c>
      <c r="C122" s="160"/>
      <c r="D122" s="160"/>
      <c r="E122" s="160"/>
      <c r="F122" s="163">
        <f>F34</f>
        <v>4108.53</v>
      </c>
      <c r="G122" s="162"/>
    </row>
    <row r="123" spans="1:14" x14ac:dyDescent="0.2">
      <c r="A123" s="128" t="s">
        <v>6</v>
      </c>
      <c r="B123" s="160" t="s">
        <v>104</v>
      </c>
      <c r="C123" s="160"/>
      <c r="D123" s="160"/>
      <c r="E123" s="160"/>
      <c r="F123" s="163">
        <f>F45</f>
        <v>499.71</v>
      </c>
      <c r="G123" s="162"/>
    </row>
    <row r="124" spans="1:14" x14ac:dyDescent="0.2">
      <c r="A124" s="128" t="s">
        <v>9</v>
      </c>
      <c r="B124" s="160" t="s">
        <v>105</v>
      </c>
      <c r="C124" s="160"/>
      <c r="D124" s="160"/>
      <c r="E124" s="160"/>
      <c r="F124" s="163">
        <f>F53</f>
        <v>43.7</v>
      </c>
      <c r="G124" s="162"/>
      <c r="I124" s="20"/>
    </row>
    <row r="125" spans="1:14" x14ac:dyDescent="0.2">
      <c r="A125" s="128" t="s">
        <v>11</v>
      </c>
      <c r="B125" s="160" t="s">
        <v>106</v>
      </c>
      <c r="C125" s="160"/>
      <c r="D125" s="160"/>
      <c r="E125" s="160"/>
      <c r="F125" s="164">
        <f>G106</f>
        <v>2952.8005110000004</v>
      </c>
      <c r="G125" s="162"/>
    </row>
    <row r="126" spans="1:14" x14ac:dyDescent="0.2">
      <c r="A126" s="128"/>
      <c r="B126" s="160" t="s">
        <v>107</v>
      </c>
      <c r="C126" s="160"/>
      <c r="D126" s="160"/>
      <c r="E126" s="160"/>
      <c r="F126" s="163">
        <f>SUM(F122:G125)</f>
        <v>7604.740511</v>
      </c>
      <c r="G126" s="162"/>
    </row>
    <row r="127" spans="1:14" x14ac:dyDescent="0.2">
      <c r="A127" s="128" t="s">
        <v>37</v>
      </c>
      <c r="B127" s="160" t="s">
        <v>108</v>
      </c>
      <c r="C127" s="160"/>
      <c r="D127" s="160"/>
      <c r="E127" s="160"/>
      <c r="F127" s="164">
        <f>G117</f>
        <v>4101.9340511</v>
      </c>
      <c r="G127" s="162"/>
    </row>
    <row r="128" spans="1:14" x14ac:dyDescent="0.2">
      <c r="A128" s="154" t="s">
        <v>109</v>
      </c>
      <c r="B128" s="154"/>
      <c r="C128" s="154"/>
      <c r="D128" s="154"/>
      <c r="E128" s="154"/>
      <c r="F128" s="165">
        <f>F126+F127</f>
        <v>11706.674562100001</v>
      </c>
      <c r="G128" s="156"/>
    </row>
    <row r="130" spans="1:7" x14ac:dyDescent="0.2">
      <c r="A130" s="166" t="s">
        <v>110</v>
      </c>
      <c r="B130" s="166"/>
      <c r="C130" s="166"/>
      <c r="D130" s="166"/>
      <c r="E130" s="166"/>
      <c r="F130" s="166"/>
      <c r="G130" s="166"/>
    </row>
    <row r="132" spans="1:7" x14ac:dyDescent="0.2">
      <c r="A132" s="167" t="s">
        <v>111</v>
      </c>
      <c r="B132" s="168"/>
      <c r="C132" s="1" t="s">
        <v>112</v>
      </c>
      <c r="D132" s="1" t="s">
        <v>113</v>
      </c>
      <c r="E132" s="1" t="s">
        <v>114</v>
      </c>
      <c r="F132" s="1" t="s">
        <v>115</v>
      </c>
      <c r="G132" s="1" t="s">
        <v>116</v>
      </c>
    </row>
    <row r="133" spans="1:7" x14ac:dyDescent="0.2">
      <c r="A133" s="169" t="s">
        <v>117</v>
      </c>
      <c r="B133" s="170"/>
      <c r="C133" s="8" t="s">
        <v>118</v>
      </c>
      <c r="D133" s="8" t="s">
        <v>119</v>
      </c>
      <c r="E133" s="8" t="s">
        <v>120</v>
      </c>
      <c r="F133" s="8" t="s">
        <v>119</v>
      </c>
      <c r="G133" s="8" t="s">
        <v>121</v>
      </c>
    </row>
    <row r="134" spans="1:7" x14ac:dyDescent="0.2">
      <c r="A134" s="171" t="s">
        <v>122</v>
      </c>
      <c r="B134" s="172"/>
      <c r="C134" s="9" t="s">
        <v>123</v>
      </c>
      <c r="D134" s="9"/>
      <c r="E134" s="9" t="s">
        <v>124</v>
      </c>
      <c r="F134" s="9" t="s">
        <v>125</v>
      </c>
      <c r="G134" s="9" t="s">
        <v>126</v>
      </c>
    </row>
    <row r="135" spans="1:7" x14ac:dyDescent="0.2">
      <c r="A135" s="2" t="s">
        <v>16</v>
      </c>
      <c r="B135" s="147" t="s">
        <v>225</v>
      </c>
      <c r="C135" s="14">
        <f>F128</f>
        <v>11706.674562100001</v>
      </c>
      <c r="D135" s="126">
        <v>1</v>
      </c>
      <c r="E135" s="14">
        <f>C135</f>
        <v>11706.674562100001</v>
      </c>
      <c r="F135" s="126">
        <v>1</v>
      </c>
      <c r="G135" s="14">
        <f>E135*F135</f>
        <v>11706.674562100001</v>
      </c>
    </row>
    <row r="136" spans="1:7" x14ac:dyDescent="0.2">
      <c r="A136" s="154" t="s">
        <v>127</v>
      </c>
      <c r="B136" s="154"/>
      <c r="C136" s="154"/>
      <c r="D136" s="154"/>
      <c r="E136" s="154"/>
      <c r="F136" s="154"/>
      <c r="G136" s="15">
        <f>G135</f>
        <v>11706.674562100001</v>
      </c>
    </row>
    <row r="138" spans="1:7" x14ac:dyDescent="0.2">
      <c r="A138" s="166" t="s">
        <v>128</v>
      </c>
      <c r="B138" s="166"/>
      <c r="C138" s="166"/>
      <c r="D138" s="166"/>
      <c r="E138" s="166"/>
      <c r="F138" s="166"/>
      <c r="G138" s="166"/>
    </row>
    <row r="140" spans="1:7" x14ac:dyDescent="0.2">
      <c r="A140" s="157" t="s">
        <v>129</v>
      </c>
      <c r="B140" s="158"/>
      <c r="C140" s="158"/>
      <c r="D140" s="158"/>
      <c r="E140" s="158"/>
      <c r="F140" s="158"/>
      <c r="G140" s="159"/>
    </row>
    <row r="141" spans="1:7" x14ac:dyDescent="0.2">
      <c r="A141" s="2"/>
      <c r="B141" s="154" t="s">
        <v>130</v>
      </c>
      <c r="C141" s="154"/>
      <c r="D141" s="154"/>
      <c r="E141" s="154"/>
      <c r="F141" s="156" t="s">
        <v>26</v>
      </c>
      <c r="G141" s="156"/>
    </row>
    <row r="142" spans="1:7" x14ac:dyDescent="0.2">
      <c r="A142" s="2" t="s">
        <v>4</v>
      </c>
      <c r="B142" s="160" t="s">
        <v>131</v>
      </c>
      <c r="C142" s="160"/>
      <c r="D142" s="160"/>
      <c r="E142" s="160"/>
      <c r="F142" s="161">
        <f>E135</f>
        <v>11706.674562100001</v>
      </c>
      <c r="G142" s="162"/>
    </row>
    <row r="143" spans="1:7" x14ac:dyDescent="0.2">
      <c r="A143" s="2" t="s">
        <v>6</v>
      </c>
      <c r="B143" s="160" t="s">
        <v>132</v>
      </c>
      <c r="C143" s="160"/>
      <c r="D143" s="160"/>
      <c r="E143" s="160"/>
      <c r="F143" s="161">
        <f>G136</f>
        <v>11706.674562100001</v>
      </c>
      <c r="G143" s="162"/>
    </row>
    <row r="144" spans="1:7" x14ac:dyDescent="0.2">
      <c r="A144" s="5" t="s">
        <v>9</v>
      </c>
      <c r="B144" s="154" t="s">
        <v>235</v>
      </c>
      <c r="C144" s="154"/>
      <c r="D144" s="154"/>
      <c r="E144" s="154"/>
      <c r="F144" s="155">
        <f>F143*12</f>
        <v>140480.09474520001</v>
      </c>
      <c r="G144" s="156"/>
    </row>
    <row r="147" spans="1:1" x14ac:dyDescent="0.2">
      <c r="A147" s="3"/>
    </row>
  </sheetData>
  <mergeCells count="161">
    <mergeCell ref="A1:G1"/>
    <mergeCell ref="A2:G2"/>
    <mergeCell ref="A4:D4"/>
    <mergeCell ref="E4:G4"/>
    <mergeCell ref="A5:D5"/>
    <mergeCell ref="E5:G5"/>
    <mergeCell ref="A6:G6"/>
    <mergeCell ref="A8:G10"/>
    <mergeCell ref="B12:E12"/>
    <mergeCell ref="F12:G12"/>
    <mergeCell ref="B13:E13"/>
    <mergeCell ref="F13:G13"/>
    <mergeCell ref="B14:E14"/>
    <mergeCell ref="F14:G14"/>
    <mergeCell ref="B15:E15"/>
    <mergeCell ref="F15:G15"/>
    <mergeCell ref="A17:C17"/>
    <mergeCell ref="D17:E17"/>
    <mergeCell ref="F17:G17"/>
    <mergeCell ref="B18:C18"/>
    <mergeCell ref="D18:E18"/>
    <mergeCell ref="F18:G18"/>
    <mergeCell ref="A20:G20"/>
    <mergeCell ref="A21:G21"/>
    <mergeCell ref="A22:G22"/>
    <mergeCell ref="B23:E23"/>
    <mergeCell ref="F23:G23"/>
    <mergeCell ref="B24:E24"/>
    <mergeCell ref="F24:G24"/>
    <mergeCell ref="B25:E25"/>
    <mergeCell ref="F25:G25"/>
    <mergeCell ref="B26:E26"/>
    <mergeCell ref="F26:G26"/>
    <mergeCell ref="A28:G28"/>
    <mergeCell ref="B29:E29"/>
    <mergeCell ref="F29:G29"/>
    <mergeCell ref="B30:E30"/>
    <mergeCell ref="F30:G30"/>
    <mergeCell ref="B31:E31"/>
    <mergeCell ref="F31:G31"/>
    <mergeCell ref="B32:E32"/>
    <mergeCell ref="F32:G32"/>
    <mergeCell ref="B33:E33"/>
    <mergeCell ref="F33:G33"/>
    <mergeCell ref="A34:E34"/>
    <mergeCell ref="F34:G34"/>
    <mergeCell ref="A36:G36"/>
    <mergeCell ref="B37:E37"/>
    <mergeCell ref="F37:G37"/>
    <mergeCell ref="B38:E38"/>
    <mergeCell ref="F38:G38"/>
    <mergeCell ref="B39:E39"/>
    <mergeCell ref="F39:G39"/>
    <mergeCell ref="B40:E40"/>
    <mergeCell ref="F40:G40"/>
    <mergeCell ref="B41:E41"/>
    <mergeCell ref="F41:G41"/>
    <mergeCell ref="B42:E42"/>
    <mergeCell ref="F42:G42"/>
    <mergeCell ref="B43:E43"/>
    <mergeCell ref="F43:G43"/>
    <mergeCell ref="B44:E44"/>
    <mergeCell ref="F44:G44"/>
    <mergeCell ref="A45:E45"/>
    <mergeCell ref="F45:G45"/>
    <mergeCell ref="A47:G47"/>
    <mergeCell ref="B48:E48"/>
    <mergeCell ref="F48:G48"/>
    <mergeCell ref="B49:E49"/>
    <mergeCell ref="F49:G49"/>
    <mergeCell ref="B50:E50"/>
    <mergeCell ref="F50:G50"/>
    <mergeCell ref="B51:E51"/>
    <mergeCell ref="F51:G51"/>
    <mergeCell ref="B52:E52"/>
    <mergeCell ref="F52:G52"/>
    <mergeCell ref="A53:E53"/>
    <mergeCell ref="F53:G53"/>
    <mergeCell ref="A55:G55"/>
    <mergeCell ref="A57:G57"/>
    <mergeCell ref="B59:E59"/>
    <mergeCell ref="B60:E60"/>
    <mergeCell ref="B61:E61"/>
    <mergeCell ref="B62:E62"/>
    <mergeCell ref="B63:E63"/>
    <mergeCell ref="B64:E64"/>
    <mergeCell ref="B65:E65"/>
    <mergeCell ref="B66:E66"/>
    <mergeCell ref="B67:E67"/>
    <mergeCell ref="A68:E68"/>
    <mergeCell ref="A70:G70"/>
    <mergeCell ref="B72:E72"/>
    <mergeCell ref="B73:E73"/>
    <mergeCell ref="B74:E74"/>
    <mergeCell ref="B75:E75"/>
    <mergeCell ref="B76:E76"/>
    <mergeCell ref="B77:E77"/>
    <mergeCell ref="B78:E78"/>
    <mergeCell ref="B79:E79"/>
    <mergeCell ref="A80:E80"/>
    <mergeCell ref="A82:G82"/>
    <mergeCell ref="B84:E84"/>
    <mergeCell ref="B85:E85"/>
    <mergeCell ref="B86:E86"/>
    <mergeCell ref="B87:E87"/>
    <mergeCell ref="B88:E88"/>
    <mergeCell ref="B89:E89"/>
    <mergeCell ref="A90:E90"/>
    <mergeCell ref="A92:G92"/>
    <mergeCell ref="B94:E94"/>
    <mergeCell ref="B95:E95"/>
    <mergeCell ref="B96:E96"/>
    <mergeCell ref="A97:E97"/>
    <mergeCell ref="A99:G99"/>
    <mergeCell ref="B101:E101"/>
    <mergeCell ref="B102:E102"/>
    <mergeCell ref="B103:E103"/>
    <mergeCell ref="B104:E104"/>
    <mergeCell ref="B105:E105"/>
    <mergeCell ref="A106:E106"/>
    <mergeCell ref="A108:G108"/>
    <mergeCell ref="B110:E110"/>
    <mergeCell ref="B111:E111"/>
    <mergeCell ref="B112:E112"/>
    <mergeCell ref="B113:E113"/>
    <mergeCell ref="B114:E114"/>
    <mergeCell ref="B115:E115"/>
    <mergeCell ref="B116:E116"/>
    <mergeCell ref="A117:E117"/>
    <mergeCell ref="A119:G119"/>
    <mergeCell ref="A121:E121"/>
    <mergeCell ref="F121:G121"/>
    <mergeCell ref="B122:E122"/>
    <mergeCell ref="F122:G122"/>
    <mergeCell ref="B123:E123"/>
    <mergeCell ref="F123:G123"/>
    <mergeCell ref="B124:E124"/>
    <mergeCell ref="F124:G124"/>
    <mergeCell ref="B125:E125"/>
    <mergeCell ref="F125:G125"/>
    <mergeCell ref="B126:E126"/>
    <mergeCell ref="F126:G126"/>
    <mergeCell ref="F127:G127"/>
    <mergeCell ref="A128:E128"/>
    <mergeCell ref="F128:G128"/>
    <mergeCell ref="A130:G130"/>
    <mergeCell ref="A132:B132"/>
    <mergeCell ref="A138:G138"/>
    <mergeCell ref="A133:B133"/>
    <mergeCell ref="A134:B134"/>
    <mergeCell ref="A136:F136"/>
    <mergeCell ref="B127:E127"/>
    <mergeCell ref="B144:E144"/>
    <mergeCell ref="F144:G144"/>
    <mergeCell ref="A140:G140"/>
    <mergeCell ref="B141:E141"/>
    <mergeCell ref="F141:G141"/>
    <mergeCell ref="B142:E142"/>
    <mergeCell ref="F142:G142"/>
    <mergeCell ref="B143:E143"/>
    <mergeCell ref="F143:G143"/>
  </mergeCells>
  <pageMargins left="0.57999999999999996" right="0.39370078740157483" top="0.89" bottom="0.98425196850393704" header="0.51181102362204722" footer="0.51181102362204722"/>
  <pageSetup paperSize="9" orientation="portrait" r:id="rId1"/>
  <headerFooter alignWithMargins="0"/>
  <rowBreaks count="2" manualBreakCount="2">
    <brk id="53" max="16383" man="1"/>
    <brk id="10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47"/>
  <sheetViews>
    <sheetView workbookViewId="0">
      <selection activeCell="A147" sqref="A147"/>
    </sheetView>
  </sheetViews>
  <sheetFormatPr defaultRowHeight="12.75" x14ac:dyDescent="0.2"/>
  <cols>
    <col min="1" max="1" width="3.5703125" customWidth="1"/>
    <col min="2" max="2" width="18" customWidth="1"/>
    <col min="3" max="3" width="15" customWidth="1"/>
    <col min="4" max="4" width="14.85546875" customWidth="1"/>
    <col min="5" max="5" width="14" customWidth="1"/>
    <col min="6" max="6" width="13" customWidth="1"/>
    <col min="7" max="7" width="12.85546875" customWidth="1"/>
    <col min="8" max="8" width="11.5703125" customWidth="1"/>
    <col min="9" max="9" width="10.140625" customWidth="1"/>
    <col min="14" max="14" width="10.5703125" customWidth="1"/>
  </cols>
  <sheetData>
    <row r="1" spans="1:7" x14ac:dyDescent="0.2">
      <c r="A1" s="209" t="s">
        <v>236</v>
      </c>
      <c r="B1" s="209"/>
      <c r="C1" s="209"/>
      <c r="D1" s="209"/>
      <c r="E1" s="209"/>
      <c r="F1" s="209"/>
      <c r="G1" s="209"/>
    </row>
    <row r="2" spans="1:7" x14ac:dyDescent="0.2">
      <c r="A2" s="209" t="s">
        <v>0</v>
      </c>
      <c r="B2" s="209"/>
      <c r="C2" s="209"/>
      <c r="D2" s="209"/>
      <c r="E2" s="209"/>
      <c r="F2" s="209"/>
      <c r="G2" s="209"/>
    </row>
    <row r="4" spans="1:7" x14ac:dyDescent="0.2">
      <c r="A4" s="210" t="s">
        <v>1</v>
      </c>
      <c r="B4" s="175"/>
      <c r="C4" s="175"/>
      <c r="D4" s="176"/>
      <c r="E4" s="211" t="s">
        <v>226</v>
      </c>
      <c r="F4" s="206"/>
      <c r="G4" s="206"/>
    </row>
    <row r="5" spans="1:7" x14ac:dyDescent="0.2">
      <c r="A5" s="210" t="s">
        <v>2</v>
      </c>
      <c r="B5" s="175"/>
      <c r="C5" s="175"/>
      <c r="D5" s="176"/>
      <c r="E5" s="206"/>
      <c r="F5" s="206"/>
      <c r="G5" s="206"/>
    </row>
    <row r="6" spans="1:7" x14ac:dyDescent="0.2">
      <c r="A6" s="212" t="s">
        <v>3</v>
      </c>
      <c r="B6" s="212"/>
      <c r="C6" s="212"/>
      <c r="D6" s="212"/>
      <c r="E6" s="212"/>
      <c r="F6" s="212"/>
      <c r="G6" s="212"/>
    </row>
    <row r="8" spans="1:7" ht="12.75" customHeight="1" x14ac:dyDescent="0.2">
      <c r="A8" s="213" t="s">
        <v>227</v>
      </c>
      <c r="B8" s="214"/>
      <c r="C8" s="214"/>
      <c r="D8" s="214"/>
      <c r="E8" s="214"/>
      <c r="F8" s="214"/>
      <c r="G8" s="215"/>
    </row>
    <row r="9" spans="1:7" x14ac:dyDescent="0.2">
      <c r="A9" s="216"/>
      <c r="B9" s="217"/>
      <c r="C9" s="217"/>
      <c r="D9" s="217"/>
      <c r="E9" s="217"/>
      <c r="F9" s="217"/>
      <c r="G9" s="218"/>
    </row>
    <row r="10" spans="1:7" ht="7.5" customHeight="1" x14ac:dyDescent="0.2">
      <c r="A10" s="219"/>
      <c r="B10" s="220"/>
      <c r="C10" s="220"/>
      <c r="D10" s="220"/>
      <c r="E10" s="220"/>
      <c r="F10" s="220"/>
      <c r="G10" s="221"/>
    </row>
    <row r="12" spans="1:7" x14ac:dyDescent="0.2">
      <c r="A12" s="2" t="s">
        <v>4</v>
      </c>
      <c r="B12" s="160" t="s">
        <v>5</v>
      </c>
      <c r="C12" s="160"/>
      <c r="D12" s="160"/>
      <c r="E12" s="160"/>
      <c r="F12" s="206"/>
      <c r="G12" s="206"/>
    </row>
    <row r="13" spans="1:7" x14ac:dyDescent="0.2">
      <c r="A13" s="2" t="s">
        <v>6</v>
      </c>
      <c r="B13" s="160" t="s">
        <v>7</v>
      </c>
      <c r="C13" s="160"/>
      <c r="D13" s="160"/>
      <c r="E13" s="160"/>
      <c r="F13" s="206" t="s">
        <v>8</v>
      </c>
      <c r="G13" s="206"/>
    </row>
    <row r="14" spans="1:7" x14ac:dyDescent="0.2">
      <c r="A14" s="2" t="s">
        <v>9</v>
      </c>
      <c r="B14" s="160" t="s">
        <v>10</v>
      </c>
      <c r="C14" s="160"/>
      <c r="D14" s="160"/>
      <c r="E14" s="160"/>
      <c r="F14" s="206"/>
      <c r="G14" s="206"/>
    </row>
    <row r="15" spans="1:7" x14ac:dyDescent="0.2">
      <c r="A15" s="2" t="s">
        <v>11</v>
      </c>
      <c r="B15" s="160" t="s">
        <v>12</v>
      </c>
      <c r="C15" s="160"/>
      <c r="D15" s="160"/>
      <c r="E15" s="160"/>
      <c r="F15" s="206">
        <v>12</v>
      </c>
      <c r="G15" s="206"/>
    </row>
    <row r="17" spans="1:7" x14ac:dyDescent="0.2">
      <c r="A17" s="206" t="s">
        <v>13</v>
      </c>
      <c r="B17" s="206"/>
      <c r="C17" s="206"/>
      <c r="D17" s="206" t="s">
        <v>14</v>
      </c>
      <c r="E17" s="206"/>
      <c r="F17" s="206" t="s">
        <v>15</v>
      </c>
      <c r="G17" s="206"/>
    </row>
    <row r="18" spans="1:7" x14ac:dyDescent="0.2">
      <c r="A18" s="2" t="s">
        <v>16</v>
      </c>
      <c r="B18" s="205" t="s">
        <v>203</v>
      </c>
      <c r="C18" s="205"/>
      <c r="D18" s="206">
        <v>1</v>
      </c>
      <c r="E18" s="206"/>
      <c r="F18" s="206">
        <v>4</v>
      </c>
      <c r="G18" s="206"/>
    </row>
    <row r="20" spans="1:7" x14ac:dyDescent="0.2">
      <c r="A20" s="166" t="s">
        <v>17</v>
      </c>
      <c r="B20" s="166"/>
      <c r="C20" s="166"/>
      <c r="D20" s="166"/>
      <c r="E20" s="166"/>
      <c r="F20" s="166"/>
      <c r="G20" s="166"/>
    </row>
    <row r="21" spans="1:7" x14ac:dyDescent="0.2">
      <c r="A21" s="207" t="s">
        <v>18</v>
      </c>
      <c r="B21" s="207"/>
      <c r="C21" s="207"/>
      <c r="D21" s="207"/>
      <c r="E21" s="207"/>
      <c r="F21" s="207"/>
      <c r="G21" s="207"/>
    </row>
    <row r="22" spans="1:7" x14ac:dyDescent="0.2">
      <c r="A22" s="154" t="s">
        <v>19</v>
      </c>
      <c r="B22" s="154"/>
      <c r="C22" s="154"/>
      <c r="D22" s="154"/>
      <c r="E22" s="154"/>
      <c r="F22" s="154"/>
      <c r="G22" s="154"/>
    </row>
    <row r="23" spans="1:7" x14ac:dyDescent="0.2">
      <c r="A23" s="128">
        <v>1</v>
      </c>
      <c r="B23" s="160" t="s">
        <v>20</v>
      </c>
      <c r="C23" s="160"/>
      <c r="D23" s="160"/>
      <c r="E23" s="160"/>
      <c r="F23" s="222" t="s">
        <v>21</v>
      </c>
      <c r="G23" s="162"/>
    </row>
    <row r="24" spans="1:7" x14ac:dyDescent="0.2">
      <c r="A24" s="128">
        <v>2</v>
      </c>
      <c r="B24" s="203" t="s">
        <v>224</v>
      </c>
      <c r="C24" s="160"/>
      <c r="D24" s="160"/>
      <c r="E24" s="160"/>
      <c r="F24" s="208">
        <v>2505.96</v>
      </c>
      <c r="G24" s="208"/>
    </row>
    <row r="25" spans="1:7" x14ac:dyDescent="0.2">
      <c r="A25" s="128">
        <v>3</v>
      </c>
      <c r="B25" s="183" t="s">
        <v>22</v>
      </c>
      <c r="C25" s="183"/>
      <c r="D25" s="183"/>
      <c r="E25" s="183"/>
      <c r="F25" s="201" t="s">
        <v>203</v>
      </c>
      <c r="G25" s="162"/>
    </row>
    <row r="26" spans="1:7" x14ac:dyDescent="0.2">
      <c r="A26" s="128">
        <v>4</v>
      </c>
      <c r="B26" s="160" t="s">
        <v>23</v>
      </c>
      <c r="C26" s="160"/>
      <c r="D26" s="160"/>
      <c r="E26" s="160"/>
      <c r="F26" s="202"/>
      <c r="G26" s="202"/>
    </row>
    <row r="28" spans="1:7" x14ac:dyDescent="0.2">
      <c r="A28" s="154" t="s">
        <v>24</v>
      </c>
      <c r="B28" s="154"/>
      <c r="C28" s="154"/>
      <c r="D28" s="154"/>
      <c r="E28" s="154"/>
      <c r="F28" s="154"/>
      <c r="G28" s="154"/>
    </row>
    <row r="29" spans="1:7" x14ac:dyDescent="0.2">
      <c r="A29" s="130">
        <v>1</v>
      </c>
      <c r="B29" s="154" t="s">
        <v>25</v>
      </c>
      <c r="C29" s="154"/>
      <c r="D29" s="154"/>
      <c r="E29" s="154"/>
      <c r="F29" s="156" t="s">
        <v>26</v>
      </c>
      <c r="G29" s="156"/>
    </row>
    <row r="30" spans="1:7" x14ac:dyDescent="0.2">
      <c r="A30" s="2" t="s">
        <v>4</v>
      </c>
      <c r="B30" s="160" t="s">
        <v>27</v>
      </c>
      <c r="C30" s="160"/>
      <c r="D30" s="160"/>
      <c r="E30" s="160"/>
      <c r="F30" s="204">
        <v>2505.96</v>
      </c>
      <c r="G30" s="204"/>
    </row>
    <row r="31" spans="1:7" x14ac:dyDescent="0.2">
      <c r="A31" s="2" t="s">
        <v>6</v>
      </c>
      <c r="B31" s="210" t="s">
        <v>28</v>
      </c>
      <c r="C31" s="175"/>
      <c r="D31" s="175"/>
      <c r="E31" s="176"/>
      <c r="F31" s="193">
        <f>ROUND((F30*30%),2)</f>
        <v>751.79</v>
      </c>
      <c r="G31" s="193"/>
    </row>
    <row r="32" spans="1:7" x14ac:dyDescent="0.2">
      <c r="A32" s="2" t="s">
        <v>9</v>
      </c>
      <c r="B32" s="194" t="s">
        <v>29</v>
      </c>
      <c r="C32" s="195"/>
      <c r="D32" s="195"/>
      <c r="E32" s="196"/>
      <c r="F32" s="193">
        <v>0</v>
      </c>
      <c r="G32" s="193"/>
    </row>
    <row r="33" spans="1:10" x14ac:dyDescent="0.2">
      <c r="A33" s="2" t="s">
        <v>11</v>
      </c>
      <c r="B33" s="197" t="s">
        <v>30</v>
      </c>
      <c r="C33" s="198"/>
      <c r="D33" s="198"/>
      <c r="E33" s="199"/>
      <c r="F33" s="193">
        <v>0</v>
      </c>
      <c r="G33" s="193"/>
      <c r="J33" s="24"/>
    </row>
    <row r="34" spans="1:10" x14ac:dyDescent="0.2">
      <c r="A34" s="154" t="s">
        <v>31</v>
      </c>
      <c r="B34" s="154"/>
      <c r="C34" s="154"/>
      <c r="D34" s="154"/>
      <c r="E34" s="154"/>
      <c r="F34" s="200">
        <f>SUM(F30:G33)</f>
        <v>3257.75</v>
      </c>
      <c r="G34" s="200"/>
      <c r="J34" s="25"/>
    </row>
    <row r="36" spans="1:10" x14ac:dyDescent="0.2">
      <c r="A36" s="166" t="s">
        <v>32</v>
      </c>
      <c r="B36" s="166"/>
      <c r="C36" s="166"/>
      <c r="D36" s="166"/>
      <c r="E36" s="166"/>
      <c r="F36" s="166"/>
      <c r="G36" s="166"/>
    </row>
    <row r="37" spans="1:10" x14ac:dyDescent="0.2">
      <c r="A37" s="130">
        <v>2</v>
      </c>
      <c r="B37" s="154" t="s">
        <v>33</v>
      </c>
      <c r="C37" s="154"/>
      <c r="D37" s="154"/>
      <c r="E37" s="154"/>
      <c r="F37" s="156" t="s">
        <v>26</v>
      </c>
      <c r="G37" s="156"/>
    </row>
    <row r="38" spans="1:10" x14ac:dyDescent="0.2">
      <c r="A38" s="148" t="s">
        <v>4</v>
      </c>
      <c r="B38" s="191" t="s">
        <v>223</v>
      </c>
      <c r="C38" s="183"/>
      <c r="D38" s="183"/>
      <c r="E38" s="183"/>
      <c r="F38" s="184">
        <v>135.03</v>
      </c>
      <c r="G38" s="184"/>
      <c r="I38" s="26"/>
    </row>
    <row r="39" spans="1:10" x14ac:dyDescent="0.2">
      <c r="A39" s="148" t="s">
        <v>6</v>
      </c>
      <c r="B39" s="183" t="s">
        <v>34</v>
      </c>
      <c r="C39" s="183"/>
      <c r="D39" s="183"/>
      <c r="E39" s="183"/>
      <c r="F39" s="184">
        <v>420.7</v>
      </c>
      <c r="G39" s="184"/>
      <c r="I39" s="26"/>
    </row>
    <row r="40" spans="1:10" x14ac:dyDescent="0.2">
      <c r="A40" s="148" t="s">
        <v>9</v>
      </c>
      <c r="B40" s="183" t="s">
        <v>35</v>
      </c>
      <c r="C40" s="183"/>
      <c r="D40" s="183"/>
      <c r="E40" s="183"/>
      <c r="F40" s="184">
        <v>0</v>
      </c>
      <c r="G40" s="184"/>
      <c r="I40" s="26"/>
    </row>
    <row r="41" spans="1:10" x14ac:dyDescent="0.2">
      <c r="A41" s="149" t="s">
        <v>11</v>
      </c>
      <c r="B41" s="182" t="s">
        <v>36</v>
      </c>
      <c r="C41" s="182"/>
      <c r="D41" s="182"/>
      <c r="E41" s="182"/>
      <c r="F41" s="185">
        <v>0</v>
      </c>
      <c r="G41" s="185"/>
      <c r="I41" s="24"/>
    </row>
    <row r="42" spans="1:10" x14ac:dyDescent="0.2">
      <c r="A42" s="148" t="s">
        <v>37</v>
      </c>
      <c r="B42" s="182" t="s">
        <v>38</v>
      </c>
      <c r="C42" s="182"/>
      <c r="D42" s="182"/>
      <c r="E42" s="182"/>
      <c r="F42" s="184">
        <v>13.07</v>
      </c>
      <c r="G42" s="184"/>
      <c r="I42" s="24"/>
    </row>
    <row r="43" spans="1:10" x14ac:dyDescent="0.2">
      <c r="A43" s="148" t="s">
        <v>39</v>
      </c>
      <c r="B43" s="182" t="s">
        <v>40</v>
      </c>
      <c r="C43" s="183"/>
      <c r="D43" s="183"/>
      <c r="E43" s="183"/>
      <c r="F43" s="184">
        <f>65.94</f>
        <v>65.94</v>
      </c>
      <c r="G43" s="184"/>
      <c r="I43" s="24"/>
    </row>
    <row r="44" spans="1:10" x14ac:dyDescent="0.2">
      <c r="A44" s="149" t="s">
        <v>41</v>
      </c>
      <c r="B44" s="186" t="s">
        <v>42</v>
      </c>
      <c r="C44" s="187"/>
      <c r="D44" s="187"/>
      <c r="E44" s="188"/>
      <c r="F44" s="184">
        <v>0</v>
      </c>
      <c r="G44" s="184"/>
      <c r="I44" s="25"/>
    </row>
    <row r="45" spans="1:10" x14ac:dyDescent="0.2">
      <c r="A45" s="180" t="s">
        <v>43</v>
      </c>
      <c r="B45" s="180"/>
      <c r="C45" s="180"/>
      <c r="D45" s="180"/>
      <c r="E45" s="180"/>
      <c r="F45" s="189">
        <f>SUM(F38:G44)</f>
        <v>634.74</v>
      </c>
      <c r="G45" s="189"/>
    </row>
    <row r="46" spans="1:10" x14ac:dyDescent="0.2">
      <c r="A46" s="150"/>
      <c r="B46" s="150"/>
      <c r="C46" s="150"/>
      <c r="D46" s="150"/>
      <c r="E46" s="150"/>
      <c r="F46" s="150"/>
      <c r="G46" s="150"/>
    </row>
    <row r="47" spans="1:10" x14ac:dyDescent="0.2">
      <c r="A47" s="190" t="s">
        <v>44</v>
      </c>
      <c r="B47" s="190"/>
      <c r="C47" s="190"/>
      <c r="D47" s="190"/>
      <c r="E47" s="190"/>
      <c r="F47" s="190"/>
      <c r="G47" s="190"/>
    </row>
    <row r="48" spans="1:10" x14ac:dyDescent="0.2">
      <c r="A48" s="151">
        <v>3</v>
      </c>
      <c r="B48" s="180" t="s">
        <v>45</v>
      </c>
      <c r="C48" s="180"/>
      <c r="D48" s="180"/>
      <c r="E48" s="180"/>
      <c r="F48" s="181" t="s">
        <v>26</v>
      </c>
      <c r="G48" s="181"/>
    </row>
    <row r="49" spans="1:7" x14ac:dyDescent="0.2">
      <c r="A49" s="148" t="s">
        <v>4</v>
      </c>
      <c r="B49" s="182" t="s">
        <v>46</v>
      </c>
      <c r="C49" s="183"/>
      <c r="D49" s="183"/>
      <c r="E49" s="183"/>
      <c r="F49" s="184">
        <f>(25.92*2)/12</f>
        <v>4.32</v>
      </c>
      <c r="G49" s="184"/>
    </row>
    <row r="50" spans="1:7" x14ac:dyDescent="0.2">
      <c r="A50" s="148" t="s">
        <v>6</v>
      </c>
      <c r="B50" s="182" t="s">
        <v>47</v>
      </c>
      <c r="C50" s="183"/>
      <c r="D50" s="183"/>
      <c r="E50" s="183"/>
      <c r="F50" s="185">
        <v>19.53</v>
      </c>
      <c r="G50" s="184"/>
    </row>
    <row r="51" spans="1:7" x14ac:dyDescent="0.2">
      <c r="A51" s="148" t="s">
        <v>9</v>
      </c>
      <c r="B51" s="182" t="s">
        <v>48</v>
      </c>
      <c r="C51" s="183"/>
      <c r="D51" s="183"/>
      <c r="E51" s="183"/>
      <c r="F51" s="184">
        <f>153/12</f>
        <v>12.75</v>
      </c>
      <c r="G51" s="184"/>
    </row>
    <row r="52" spans="1:7" x14ac:dyDescent="0.2">
      <c r="A52" s="148" t="s">
        <v>11</v>
      </c>
      <c r="B52" s="182" t="s">
        <v>49</v>
      </c>
      <c r="C52" s="183"/>
      <c r="D52" s="183"/>
      <c r="E52" s="183"/>
      <c r="F52" s="184">
        <v>11.7</v>
      </c>
      <c r="G52" s="184"/>
    </row>
    <row r="53" spans="1:7" x14ac:dyDescent="0.2">
      <c r="A53" s="180" t="s">
        <v>50</v>
      </c>
      <c r="B53" s="180"/>
      <c r="C53" s="180"/>
      <c r="D53" s="180"/>
      <c r="E53" s="180"/>
      <c r="F53" s="189">
        <f>SUM(F49:G52)</f>
        <v>48.3</v>
      </c>
      <c r="G53" s="189"/>
    </row>
    <row r="54" spans="1:7" x14ac:dyDescent="0.2">
      <c r="A54" s="16"/>
      <c r="B54" s="16"/>
      <c r="C54" s="16"/>
      <c r="D54" s="16"/>
      <c r="E54" s="16"/>
      <c r="F54" s="17"/>
      <c r="G54" s="17"/>
    </row>
    <row r="55" spans="1:7" x14ac:dyDescent="0.2">
      <c r="A55" s="166" t="s">
        <v>51</v>
      </c>
      <c r="B55" s="166"/>
      <c r="C55" s="166"/>
      <c r="D55" s="166"/>
      <c r="E55" s="166"/>
      <c r="F55" s="166"/>
      <c r="G55" s="166"/>
    </row>
    <row r="57" spans="1:7" x14ac:dyDescent="0.2">
      <c r="A57" s="166" t="s">
        <v>52</v>
      </c>
      <c r="B57" s="166"/>
      <c r="C57" s="166"/>
      <c r="D57" s="166"/>
      <c r="E57" s="166"/>
      <c r="F57" s="166"/>
      <c r="G57" s="166"/>
    </row>
    <row r="59" spans="1:7" x14ac:dyDescent="0.2">
      <c r="A59" s="5" t="s">
        <v>53</v>
      </c>
      <c r="B59" s="154" t="s">
        <v>54</v>
      </c>
      <c r="C59" s="154"/>
      <c r="D59" s="154"/>
      <c r="E59" s="154"/>
      <c r="F59" s="129" t="s">
        <v>55</v>
      </c>
      <c r="G59" s="132" t="s">
        <v>26</v>
      </c>
    </row>
    <row r="60" spans="1:7" x14ac:dyDescent="0.2">
      <c r="A60" s="2" t="s">
        <v>4</v>
      </c>
      <c r="B60" s="160" t="s">
        <v>56</v>
      </c>
      <c r="C60" s="160"/>
      <c r="D60" s="160"/>
      <c r="E60" s="160"/>
      <c r="F60" s="4">
        <v>0.2</v>
      </c>
      <c r="G60" s="134">
        <f>ROUND((F34*F60),2)</f>
        <v>651.54999999999995</v>
      </c>
    </row>
    <row r="61" spans="1:7" x14ac:dyDescent="0.2">
      <c r="A61" s="2" t="s">
        <v>6</v>
      </c>
      <c r="B61" s="160" t="s">
        <v>57</v>
      </c>
      <c r="C61" s="160"/>
      <c r="D61" s="160"/>
      <c r="E61" s="160"/>
      <c r="F61" s="4">
        <v>1.4999999999999999E-2</v>
      </c>
      <c r="G61" s="134">
        <f>F34*0.015</f>
        <v>48.866250000000001</v>
      </c>
    </row>
    <row r="62" spans="1:7" x14ac:dyDescent="0.2">
      <c r="A62" s="2" t="s">
        <v>9</v>
      </c>
      <c r="B62" s="160" t="s">
        <v>58</v>
      </c>
      <c r="C62" s="160"/>
      <c r="D62" s="160"/>
      <c r="E62" s="160"/>
      <c r="F62" s="4">
        <v>0.01</v>
      </c>
      <c r="G62" s="134">
        <f>F34*0.01</f>
        <v>32.577500000000001</v>
      </c>
    </row>
    <row r="63" spans="1:7" x14ac:dyDescent="0.2">
      <c r="A63" s="2" t="s">
        <v>11</v>
      </c>
      <c r="B63" s="160" t="s">
        <v>59</v>
      </c>
      <c r="C63" s="160"/>
      <c r="D63" s="160"/>
      <c r="E63" s="160"/>
      <c r="F63" s="4">
        <v>2E-3</v>
      </c>
      <c r="G63" s="134">
        <f>F34*0.002</f>
        <v>6.5155000000000003</v>
      </c>
    </row>
    <row r="64" spans="1:7" x14ac:dyDescent="0.2">
      <c r="A64" s="2" t="s">
        <v>37</v>
      </c>
      <c r="B64" s="160" t="s">
        <v>60</v>
      </c>
      <c r="C64" s="160"/>
      <c r="D64" s="160"/>
      <c r="E64" s="160"/>
      <c r="F64" s="4">
        <v>2.5000000000000001E-2</v>
      </c>
      <c r="G64" s="134">
        <f>F34*0.025</f>
        <v>81.443750000000009</v>
      </c>
    </row>
    <row r="65" spans="1:7" x14ac:dyDescent="0.2">
      <c r="A65" s="2" t="s">
        <v>39</v>
      </c>
      <c r="B65" s="160" t="s">
        <v>61</v>
      </c>
      <c r="C65" s="160"/>
      <c r="D65" s="160"/>
      <c r="E65" s="160"/>
      <c r="F65" s="4">
        <v>0.08</v>
      </c>
      <c r="G65" s="134">
        <f>F34*0.08</f>
        <v>260.62</v>
      </c>
    </row>
    <row r="66" spans="1:7" x14ac:dyDescent="0.2">
      <c r="A66" s="2" t="s">
        <v>41</v>
      </c>
      <c r="B66" s="160" t="s">
        <v>62</v>
      </c>
      <c r="C66" s="160"/>
      <c r="D66" s="160"/>
      <c r="E66" s="160"/>
      <c r="F66" s="4">
        <v>0.03</v>
      </c>
      <c r="G66" s="134">
        <f>F34*0.03</f>
        <v>97.732500000000002</v>
      </c>
    </row>
    <row r="67" spans="1:7" x14ac:dyDescent="0.2">
      <c r="A67" s="2" t="s">
        <v>63</v>
      </c>
      <c r="B67" s="160" t="s">
        <v>64</v>
      </c>
      <c r="C67" s="160"/>
      <c r="D67" s="160"/>
      <c r="E67" s="160"/>
      <c r="F67" s="4">
        <v>6.0000000000000001E-3</v>
      </c>
      <c r="G67" s="134">
        <f>F34*0.006</f>
        <v>19.546500000000002</v>
      </c>
    </row>
    <row r="68" spans="1:7" x14ac:dyDescent="0.2">
      <c r="A68" s="154" t="s">
        <v>65</v>
      </c>
      <c r="B68" s="154"/>
      <c r="C68" s="154"/>
      <c r="D68" s="154"/>
      <c r="E68" s="154"/>
      <c r="F68" s="6">
        <f>SUM(F60:F67)</f>
        <v>0.3680000000000001</v>
      </c>
      <c r="G68" s="133">
        <f>SUM(G60:G67)</f>
        <v>1198.8519999999999</v>
      </c>
    </row>
    <row r="70" spans="1:7" x14ac:dyDescent="0.2">
      <c r="A70" s="166" t="s">
        <v>66</v>
      </c>
      <c r="B70" s="166"/>
      <c r="C70" s="166"/>
      <c r="D70" s="166"/>
      <c r="E70" s="166"/>
      <c r="F70" s="166"/>
      <c r="G70" s="166"/>
    </row>
    <row r="72" spans="1:7" x14ac:dyDescent="0.2">
      <c r="A72" s="130" t="s">
        <v>67</v>
      </c>
      <c r="B72" s="154" t="s">
        <v>68</v>
      </c>
      <c r="C72" s="154"/>
      <c r="D72" s="154"/>
      <c r="E72" s="154"/>
      <c r="F72" s="129" t="s">
        <v>55</v>
      </c>
      <c r="G72" s="132" t="s">
        <v>26</v>
      </c>
    </row>
    <row r="73" spans="1:7" x14ac:dyDescent="0.2">
      <c r="A73" s="128" t="s">
        <v>4</v>
      </c>
      <c r="B73" s="160" t="s">
        <v>69</v>
      </c>
      <c r="C73" s="160"/>
      <c r="D73" s="160"/>
      <c r="E73" s="160"/>
      <c r="F73" s="21">
        <v>8.3299999999999999E-2</v>
      </c>
      <c r="G73" s="10">
        <f>$F$34*F73</f>
        <v>271.37057499999997</v>
      </c>
    </row>
    <row r="74" spans="1:7" x14ac:dyDescent="0.2">
      <c r="A74" s="128" t="s">
        <v>6</v>
      </c>
      <c r="B74" s="173" t="s">
        <v>70</v>
      </c>
      <c r="C74" s="160"/>
      <c r="D74" s="160"/>
      <c r="E74" s="160"/>
      <c r="F74" s="21">
        <v>9.8199999999999996E-2</v>
      </c>
      <c r="G74" s="10">
        <f>($F$34*F74)</f>
        <v>319.91104999999999</v>
      </c>
    </row>
    <row r="75" spans="1:7" x14ac:dyDescent="0.2">
      <c r="A75" s="131" t="s">
        <v>9</v>
      </c>
      <c r="B75" s="174" t="s">
        <v>71</v>
      </c>
      <c r="C75" s="175"/>
      <c r="D75" s="175"/>
      <c r="E75" s="176"/>
      <c r="F75" s="21">
        <v>6.8999999999999999E-3</v>
      </c>
      <c r="G75" s="10">
        <f>$F$34*F75</f>
        <v>22.478475</v>
      </c>
    </row>
    <row r="76" spans="1:7" x14ac:dyDescent="0.2">
      <c r="A76" s="131" t="s">
        <v>11</v>
      </c>
      <c r="B76" s="174" t="s">
        <v>72</v>
      </c>
      <c r="C76" s="175"/>
      <c r="D76" s="175"/>
      <c r="E76" s="176"/>
      <c r="F76" s="21">
        <v>5.9999999999999995E-4</v>
      </c>
      <c r="G76" s="10">
        <f>$F$34*F76</f>
        <v>1.9546499999999998</v>
      </c>
    </row>
    <row r="77" spans="1:7" x14ac:dyDescent="0.2">
      <c r="A77" s="131" t="s">
        <v>37</v>
      </c>
      <c r="B77" s="174" t="s">
        <v>73</v>
      </c>
      <c r="C77" s="175"/>
      <c r="D77" s="175"/>
      <c r="E77" s="176"/>
      <c r="F77" s="21">
        <v>5.5999999999999999E-3</v>
      </c>
      <c r="G77" s="10">
        <f>$F$34*F77</f>
        <v>18.243400000000001</v>
      </c>
    </row>
    <row r="78" spans="1:7" x14ac:dyDescent="0.2">
      <c r="A78" s="131" t="s">
        <v>39</v>
      </c>
      <c r="B78" s="174" t="s">
        <v>74</v>
      </c>
      <c r="C78" s="175"/>
      <c r="D78" s="175"/>
      <c r="E78" s="176"/>
      <c r="F78" s="21">
        <v>8.9999999999999998E-4</v>
      </c>
      <c r="G78" s="10">
        <f>$F$34*F78</f>
        <v>2.931975</v>
      </c>
    </row>
    <row r="79" spans="1:7" x14ac:dyDescent="0.2">
      <c r="A79" s="131" t="s">
        <v>41</v>
      </c>
      <c r="B79" s="174" t="s">
        <v>75</v>
      </c>
      <c r="C79" s="175"/>
      <c r="D79" s="175"/>
      <c r="E79" s="176"/>
      <c r="F79" s="21">
        <v>2.9999999999999997E-4</v>
      </c>
      <c r="G79" s="10">
        <f>$F$34*F79</f>
        <v>0.97732499999999989</v>
      </c>
    </row>
    <row r="80" spans="1:7" x14ac:dyDescent="0.2">
      <c r="A80" s="154" t="s">
        <v>65</v>
      </c>
      <c r="B80" s="154"/>
      <c r="C80" s="154"/>
      <c r="D80" s="154"/>
      <c r="E80" s="154"/>
      <c r="F80" s="6">
        <f>SUM(F73:F79)</f>
        <v>0.19579999999999997</v>
      </c>
      <c r="G80" s="11">
        <f>SUM(G73:G79)</f>
        <v>637.86744999999985</v>
      </c>
    </row>
    <row r="82" spans="1:7" x14ac:dyDescent="0.2">
      <c r="A82" s="166" t="s">
        <v>76</v>
      </c>
      <c r="B82" s="166"/>
      <c r="C82" s="166"/>
      <c r="D82" s="166"/>
      <c r="E82" s="166"/>
      <c r="F82" s="166"/>
      <c r="G82" s="166"/>
    </row>
    <row r="83" spans="1:7" x14ac:dyDescent="0.2">
      <c r="A83" s="127"/>
      <c r="B83" s="127"/>
      <c r="C83" s="127"/>
      <c r="D83" s="127"/>
      <c r="E83" s="127"/>
      <c r="F83" s="127"/>
      <c r="G83" s="127"/>
    </row>
    <row r="84" spans="1:7" x14ac:dyDescent="0.2">
      <c r="A84" s="130" t="s">
        <v>77</v>
      </c>
      <c r="B84" s="154" t="s">
        <v>78</v>
      </c>
      <c r="C84" s="154"/>
      <c r="D84" s="154"/>
      <c r="E84" s="154"/>
      <c r="F84" s="129" t="s">
        <v>55</v>
      </c>
      <c r="G84" s="5" t="s">
        <v>26</v>
      </c>
    </row>
    <row r="85" spans="1:7" x14ac:dyDescent="0.2">
      <c r="A85" s="128" t="s">
        <v>4</v>
      </c>
      <c r="B85" s="160" t="s">
        <v>79</v>
      </c>
      <c r="C85" s="160"/>
      <c r="D85" s="160"/>
      <c r="E85" s="160"/>
      <c r="F85" s="21">
        <v>2.9899999999999999E-2</v>
      </c>
      <c r="G85" s="12">
        <f>$F$34*F85</f>
        <v>97.406724999999994</v>
      </c>
    </row>
    <row r="86" spans="1:7" x14ac:dyDescent="0.2">
      <c r="A86" s="128" t="s">
        <v>6</v>
      </c>
      <c r="B86" s="160" t="s">
        <v>80</v>
      </c>
      <c r="C86" s="160"/>
      <c r="D86" s="160"/>
      <c r="E86" s="160"/>
      <c r="F86" s="21">
        <v>6.9999999999999999E-4</v>
      </c>
      <c r="G86" s="12">
        <f>$F$34*F86</f>
        <v>2.2804250000000001</v>
      </c>
    </row>
    <row r="87" spans="1:7" x14ac:dyDescent="0.2">
      <c r="A87" s="128" t="s">
        <v>9</v>
      </c>
      <c r="B87" s="173" t="s">
        <v>81</v>
      </c>
      <c r="C87" s="160"/>
      <c r="D87" s="160"/>
      <c r="E87" s="160"/>
      <c r="F87" s="21">
        <v>1.01E-2</v>
      </c>
      <c r="G87" s="12">
        <f>$F$34*F87</f>
        <v>32.903275000000001</v>
      </c>
    </row>
    <row r="88" spans="1:7" x14ac:dyDescent="0.2">
      <c r="A88" s="128" t="s">
        <v>11</v>
      </c>
      <c r="B88" s="173" t="s">
        <v>82</v>
      </c>
      <c r="C88" s="160"/>
      <c r="D88" s="160"/>
      <c r="E88" s="160"/>
      <c r="F88" s="21">
        <v>3.6999999999999998E-2</v>
      </c>
      <c r="G88" s="12">
        <f>$F$34*F88</f>
        <v>120.53675</v>
      </c>
    </row>
    <row r="89" spans="1:7" x14ac:dyDescent="0.2">
      <c r="A89" s="128" t="s">
        <v>37</v>
      </c>
      <c r="B89" s="173" t="s">
        <v>83</v>
      </c>
      <c r="C89" s="160"/>
      <c r="D89" s="160"/>
      <c r="E89" s="160"/>
      <c r="F89" s="4">
        <v>2.5000000000000001E-3</v>
      </c>
      <c r="G89" s="12">
        <f>$F$34*F89</f>
        <v>8.1443750000000001</v>
      </c>
    </row>
    <row r="90" spans="1:7" x14ac:dyDescent="0.2">
      <c r="A90" s="157" t="s">
        <v>65</v>
      </c>
      <c r="B90" s="158"/>
      <c r="C90" s="158"/>
      <c r="D90" s="158"/>
      <c r="E90" s="159"/>
      <c r="F90" s="6">
        <f>SUM(F85:F89)</f>
        <v>8.0199999999999994E-2</v>
      </c>
      <c r="G90" s="13">
        <f>SUM(G85:G89)</f>
        <v>261.27154999999999</v>
      </c>
    </row>
    <row r="92" spans="1:7" x14ac:dyDescent="0.2">
      <c r="A92" s="166" t="s">
        <v>84</v>
      </c>
      <c r="B92" s="166"/>
      <c r="C92" s="166"/>
      <c r="D92" s="166"/>
      <c r="E92" s="166"/>
      <c r="F92" s="166"/>
      <c r="G92" s="166"/>
    </row>
    <row r="94" spans="1:7" x14ac:dyDescent="0.2">
      <c r="A94" s="130" t="s">
        <v>85</v>
      </c>
      <c r="B94" s="154" t="s">
        <v>86</v>
      </c>
      <c r="C94" s="154"/>
      <c r="D94" s="154"/>
      <c r="E94" s="154"/>
      <c r="F94" s="129" t="s">
        <v>55</v>
      </c>
      <c r="G94" s="132" t="s">
        <v>26</v>
      </c>
    </row>
    <row r="95" spans="1:7" x14ac:dyDescent="0.2">
      <c r="A95" s="128" t="s">
        <v>4</v>
      </c>
      <c r="B95" s="174" t="s">
        <v>87</v>
      </c>
      <c r="C95" s="175"/>
      <c r="D95" s="175"/>
      <c r="E95" s="176"/>
      <c r="F95" s="21">
        <v>7.2099999999999997E-2</v>
      </c>
      <c r="G95" s="12">
        <f>F34*F95</f>
        <v>234.88377499999999</v>
      </c>
    </row>
    <row r="96" spans="1:7" ht="25.5" customHeight="1" x14ac:dyDescent="0.2">
      <c r="A96" s="128" t="s">
        <v>6</v>
      </c>
      <c r="B96" s="177" t="s">
        <v>88</v>
      </c>
      <c r="C96" s="178"/>
      <c r="D96" s="178"/>
      <c r="E96" s="179"/>
      <c r="F96" s="21">
        <v>2.5999999999999999E-3</v>
      </c>
      <c r="G96" s="12">
        <f>F34*F96</f>
        <v>8.4701500000000003</v>
      </c>
    </row>
    <row r="97" spans="1:14" x14ac:dyDescent="0.2">
      <c r="A97" s="154" t="s">
        <v>65</v>
      </c>
      <c r="B97" s="154"/>
      <c r="C97" s="154"/>
      <c r="D97" s="154"/>
      <c r="E97" s="154"/>
      <c r="F97" s="6">
        <f>SUM(F95:F96)</f>
        <v>7.4700000000000003E-2</v>
      </c>
      <c r="G97" s="13">
        <f>SUM(G95:G96)</f>
        <v>243.35392499999998</v>
      </c>
    </row>
    <row r="98" spans="1:14" x14ac:dyDescent="0.2">
      <c r="A98" s="16"/>
      <c r="B98" s="16"/>
      <c r="C98" s="16"/>
      <c r="D98" s="16"/>
      <c r="E98" s="16"/>
      <c r="F98" s="18"/>
      <c r="G98" s="19"/>
    </row>
    <row r="99" spans="1:14" x14ac:dyDescent="0.2">
      <c r="A99" s="166" t="s">
        <v>89</v>
      </c>
      <c r="B99" s="166"/>
      <c r="C99" s="166"/>
      <c r="D99" s="166"/>
      <c r="E99" s="166"/>
      <c r="F99" s="166"/>
      <c r="G99" s="166"/>
    </row>
    <row r="101" spans="1:14" x14ac:dyDescent="0.2">
      <c r="A101" s="130">
        <v>4</v>
      </c>
      <c r="B101" s="154" t="s">
        <v>90</v>
      </c>
      <c r="C101" s="154"/>
      <c r="D101" s="154"/>
      <c r="E101" s="154"/>
      <c r="F101" s="129" t="s">
        <v>55</v>
      </c>
      <c r="G101" s="132" t="s">
        <v>26</v>
      </c>
    </row>
    <row r="102" spans="1:14" x14ac:dyDescent="0.2">
      <c r="A102" s="128" t="s">
        <v>53</v>
      </c>
      <c r="B102" s="173" t="s">
        <v>54</v>
      </c>
      <c r="C102" s="173"/>
      <c r="D102" s="173"/>
      <c r="E102" s="173"/>
      <c r="F102" s="4">
        <f>F68</f>
        <v>0.3680000000000001</v>
      </c>
      <c r="G102" s="12">
        <f>F34*F102</f>
        <v>1198.8520000000003</v>
      </c>
    </row>
    <row r="103" spans="1:14" x14ac:dyDescent="0.2">
      <c r="A103" s="128" t="s">
        <v>67</v>
      </c>
      <c r="B103" s="173" t="s">
        <v>68</v>
      </c>
      <c r="C103" s="173"/>
      <c r="D103" s="173"/>
      <c r="E103" s="173"/>
      <c r="F103" s="4">
        <f>F80</f>
        <v>0.19579999999999997</v>
      </c>
      <c r="G103" s="12">
        <f>F34*F103</f>
        <v>637.86744999999996</v>
      </c>
    </row>
    <row r="104" spans="1:14" x14ac:dyDescent="0.2">
      <c r="A104" s="128" t="s">
        <v>77</v>
      </c>
      <c r="B104" s="173" t="s">
        <v>78</v>
      </c>
      <c r="C104" s="173"/>
      <c r="D104" s="173"/>
      <c r="E104" s="173"/>
      <c r="F104" s="4">
        <f>F90</f>
        <v>8.0199999999999994E-2</v>
      </c>
      <c r="G104" s="12">
        <f>F104*F34</f>
        <v>261.27154999999999</v>
      </c>
    </row>
    <row r="105" spans="1:14" x14ac:dyDescent="0.2">
      <c r="A105" s="128" t="s">
        <v>85</v>
      </c>
      <c r="B105" s="173" t="s">
        <v>86</v>
      </c>
      <c r="C105" s="173"/>
      <c r="D105" s="173"/>
      <c r="E105" s="173"/>
      <c r="F105" s="4">
        <f>F97</f>
        <v>7.4700000000000003E-2</v>
      </c>
      <c r="G105" s="12">
        <f>F105*F34</f>
        <v>243.353925</v>
      </c>
    </row>
    <row r="106" spans="1:14" x14ac:dyDescent="0.2">
      <c r="A106" s="154" t="s">
        <v>65</v>
      </c>
      <c r="B106" s="154"/>
      <c r="C106" s="154"/>
      <c r="D106" s="154"/>
      <c r="E106" s="154"/>
      <c r="F106" s="6">
        <f>SUM(F102:F105)</f>
        <v>0.71870000000000012</v>
      </c>
      <c r="G106" s="13">
        <f>SUM(G102:G105)</f>
        <v>2341.3449250000003</v>
      </c>
    </row>
    <row r="108" spans="1:14" x14ac:dyDescent="0.2">
      <c r="A108" s="166" t="s">
        <v>91</v>
      </c>
      <c r="B108" s="166"/>
      <c r="C108" s="166"/>
      <c r="D108" s="166"/>
      <c r="E108" s="166"/>
      <c r="F108" s="166"/>
      <c r="G108" s="166"/>
    </row>
    <row r="110" spans="1:14" x14ac:dyDescent="0.2">
      <c r="A110" s="130">
        <v>5</v>
      </c>
      <c r="B110" s="154" t="s">
        <v>92</v>
      </c>
      <c r="C110" s="154"/>
      <c r="D110" s="154"/>
      <c r="E110" s="154"/>
      <c r="F110" s="129" t="s">
        <v>55</v>
      </c>
      <c r="G110" s="132" t="s">
        <v>26</v>
      </c>
      <c r="J110" s="22"/>
      <c r="K110" s="27"/>
      <c r="L110" s="28"/>
      <c r="M110" s="28"/>
      <c r="N110" s="29"/>
    </row>
    <row r="111" spans="1:14" x14ac:dyDescent="0.2">
      <c r="A111" s="128" t="s">
        <v>4</v>
      </c>
      <c r="B111" s="160" t="s">
        <v>93</v>
      </c>
      <c r="C111" s="160"/>
      <c r="D111" s="160"/>
      <c r="E111" s="160"/>
      <c r="F111" s="32">
        <v>0.2</v>
      </c>
      <c r="G111" s="31">
        <f>ROUND((F126*0.2),)</f>
        <v>1256</v>
      </c>
      <c r="J111" s="22"/>
      <c r="K111" s="28"/>
      <c r="L111" s="28"/>
      <c r="M111" s="28"/>
      <c r="N111" s="29"/>
    </row>
    <row r="112" spans="1:14" x14ac:dyDescent="0.2">
      <c r="A112" s="131" t="s">
        <v>94</v>
      </c>
      <c r="B112" s="160" t="s">
        <v>135</v>
      </c>
      <c r="C112" s="160"/>
      <c r="D112" s="160"/>
      <c r="E112" s="160"/>
      <c r="F112" s="34">
        <v>0.16619999999999999</v>
      </c>
      <c r="G112" s="36">
        <f>ROUND(SUM(G113:G115),2)</f>
        <v>1378.12</v>
      </c>
      <c r="J112" s="22"/>
      <c r="K112" s="28"/>
      <c r="L112" s="28"/>
      <c r="M112" s="28"/>
      <c r="N112" s="29"/>
    </row>
    <row r="113" spans="1:14" x14ac:dyDescent="0.2">
      <c r="A113" s="128"/>
      <c r="B113" s="173" t="s">
        <v>95</v>
      </c>
      <c r="C113" s="160"/>
      <c r="D113" s="160"/>
      <c r="E113" s="160"/>
      <c r="F113" s="32">
        <v>0.1079</v>
      </c>
      <c r="G113" s="37">
        <f>ROUND((F113*(F126+G111+G116)),2)</f>
        <v>894.7</v>
      </c>
      <c r="K113" s="28"/>
      <c r="L113" s="28"/>
      <c r="N113" s="30"/>
    </row>
    <row r="114" spans="1:14" x14ac:dyDescent="0.2">
      <c r="A114" s="128"/>
      <c r="B114" s="160" t="s">
        <v>96</v>
      </c>
      <c r="C114" s="160"/>
      <c r="D114" s="160"/>
      <c r="E114" s="160"/>
      <c r="F114" s="33" t="s">
        <v>97</v>
      </c>
      <c r="G114" s="37">
        <v>0</v>
      </c>
    </row>
    <row r="115" spans="1:14" x14ac:dyDescent="0.2">
      <c r="A115" s="128"/>
      <c r="B115" s="160" t="s">
        <v>98</v>
      </c>
      <c r="C115" s="160"/>
      <c r="D115" s="160"/>
      <c r="E115" s="160"/>
      <c r="F115" s="35">
        <v>5.8299999999999998E-2</v>
      </c>
      <c r="G115" s="37">
        <f>ROUND((F115*(F126+G111+G116)),2)</f>
        <v>483.42</v>
      </c>
      <c r="L115" s="28"/>
    </row>
    <row r="116" spans="1:14" x14ac:dyDescent="0.2">
      <c r="A116" s="128" t="s">
        <v>9</v>
      </c>
      <c r="B116" s="160" t="s">
        <v>99</v>
      </c>
      <c r="C116" s="160"/>
      <c r="D116" s="160"/>
      <c r="E116" s="160"/>
      <c r="F116" s="32">
        <v>0.1</v>
      </c>
      <c r="G116" s="31">
        <f>(G111+F126)*0.1</f>
        <v>753.81349250000005</v>
      </c>
    </row>
    <row r="117" spans="1:14" x14ac:dyDescent="0.2">
      <c r="A117" s="154" t="s">
        <v>65</v>
      </c>
      <c r="B117" s="154"/>
      <c r="C117" s="154"/>
      <c r="D117" s="154"/>
      <c r="E117" s="154"/>
      <c r="F117" s="7" t="s">
        <v>100</v>
      </c>
      <c r="G117" s="13">
        <f>G111+G112+G116</f>
        <v>3387.9334924999998</v>
      </c>
    </row>
    <row r="119" spans="1:14" x14ac:dyDescent="0.2">
      <c r="A119" s="166" t="s">
        <v>101</v>
      </c>
      <c r="B119" s="166"/>
      <c r="C119" s="166"/>
      <c r="D119" s="166"/>
      <c r="E119" s="166"/>
      <c r="F119" s="166"/>
      <c r="G119" s="166"/>
    </row>
    <row r="121" spans="1:14" x14ac:dyDescent="0.2">
      <c r="A121" s="157" t="s">
        <v>102</v>
      </c>
      <c r="B121" s="158"/>
      <c r="C121" s="158"/>
      <c r="D121" s="158"/>
      <c r="E121" s="159"/>
      <c r="F121" s="156" t="s">
        <v>26</v>
      </c>
      <c r="G121" s="156"/>
    </row>
    <row r="122" spans="1:14" x14ac:dyDescent="0.2">
      <c r="A122" s="128" t="s">
        <v>4</v>
      </c>
      <c r="B122" s="160" t="s">
        <v>103</v>
      </c>
      <c r="C122" s="160"/>
      <c r="D122" s="160"/>
      <c r="E122" s="160"/>
      <c r="F122" s="163">
        <f>F34</f>
        <v>3257.75</v>
      </c>
      <c r="G122" s="162"/>
    </row>
    <row r="123" spans="1:14" x14ac:dyDescent="0.2">
      <c r="A123" s="128" t="s">
        <v>6</v>
      </c>
      <c r="B123" s="160" t="s">
        <v>104</v>
      </c>
      <c r="C123" s="160"/>
      <c r="D123" s="160"/>
      <c r="E123" s="160"/>
      <c r="F123" s="163">
        <f>F45</f>
        <v>634.74</v>
      </c>
      <c r="G123" s="162"/>
    </row>
    <row r="124" spans="1:14" x14ac:dyDescent="0.2">
      <c r="A124" s="128" t="s">
        <v>9</v>
      </c>
      <c r="B124" s="160" t="s">
        <v>105</v>
      </c>
      <c r="C124" s="160"/>
      <c r="D124" s="160"/>
      <c r="E124" s="160"/>
      <c r="F124" s="163">
        <f>F53</f>
        <v>48.3</v>
      </c>
      <c r="G124" s="162"/>
      <c r="I124" s="20"/>
    </row>
    <row r="125" spans="1:14" x14ac:dyDescent="0.2">
      <c r="A125" s="128" t="s">
        <v>11</v>
      </c>
      <c r="B125" s="160" t="s">
        <v>106</v>
      </c>
      <c r="C125" s="160"/>
      <c r="D125" s="160"/>
      <c r="E125" s="160"/>
      <c r="F125" s="164">
        <f>G106</f>
        <v>2341.3449250000003</v>
      </c>
      <c r="G125" s="162"/>
    </row>
    <row r="126" spans="1:14" x14ac:dyDescent="0.2">
      <c r="A126" s="128"/>
      <c r="B126" s="160" t="s">
        <v>107</v>
      </c>
      <c r="C126" s="160"/>
      <c r="D126" s="160"/>
      <c r="E126" s="160"/>
      <c r="F126" s="163">
        <f>SUM(F122:G125)</f>
        <v>6282.1349250000003</v>
      </c>
      <c r="G126" s="162"/>
    </row>
    <row r="127" spans="1:14" x14ac:dyDescent="0.2">
      <c r="A127" s="128" t="s">
        <v>37</v>
      </c>
      <c r="B127" s="160" t="s">
        <v>108</v>
      </c>
      <c r="C127" s="160"/>
      <c r="D127" s="160"/>
      <c r="E127" s="160"/>
      <c r="F127" s="164">
        <f>G117</f>
        <v>3387.9334924999998</v>
      </c>
      <c r="G127" s="162"/>
    </row>
    <row r="128" spans="1:14" x14ac:dyDescent="0.2">
      <c r="A128" s="154" t="s">
        <v>109</v>
      </c>
      <c r="B128" s="154"/>
      <c r="C128" s="154"/>
      <c r="D128" s="154"/>
      <c r="E128" s="154"/>
      <c r="F128" s="165">
        <f>F126+F127</f>
        <v>9670.0684175000006</v>
      </c>
      <c r="G128" s="156"/>
    </row>
    <row r="130" spans="1:7" x14ac:dyDescent="0.2">
      <c r="A130" s="166" t="s">
        <v>110</v>
      </c>
      <c r="B130" s="166"/>
      <c r="C130" s="166"/>
      <c r="D130" s="166"/>
      <c r="E130" s="166"/>
      <c r="F130" s="166"/>
      <c r="G130" s="166"/>
    </row>
    <row r="132" spans="1:7" x14ac:dyDescent="0.2">
      <c r="A132" s="167" t="s">
        <v>111</v>
      </c>
      <c r="B132" s="168"/>
      <c r="C132" s="1" t="s">
        <v>112</v>
      </c>
      <c r="D132" s="1" t="s">
        <v>113</v>
      </c>
      <c r="E132" s="1" t="s">
        <v>114</v>
      </c>
      <c r="F132" s="1" t="s">
        <v>115</v>
      </c>
      <c r="G132" s="1" t="s">
        <v>116</v>
      </c>
    </row>
    <row r="133" spans="1:7" x14ac:dyDescent="0.2">
      <c r="A133" s="169" t="s">
        <v>117</v>
      </c>
      <c r="B133" s="170"/>
      <c r="C133" s="8" t="s">
        <v>118</v>
      </c>
      <c r="D133" s="8" t="s">
        <v>119</v>
      </c>
      <c r="E133" s="8" t="s">
        <v>120</v>
      </c>
      <c r="F133" s="8" t="s">
        <v>119</v>
      </c>
      <c r="G133" s="8" t="s">
        <v>121</v>
      </c>
    </row>
    <row r="134" spans="1:7" x14ac:dyDescent="0.2">
      <c r="A134" s="171" t="s">
        <v>122</v>
      </c>
      <c r="B134" s="172"/>
      <c r="C134" s="9" t="s">
        <v>123</v>
      </c>
      <c r="D134" s="9"/>
      <c r="E134" s="9" t="s">
        <v>124</v>
      </c>
      <c r="F134" s="9" t="s">
        <v>125</v>
      </c>
      <c r="G134" s="9" t="s">
        <v>126</v>
      </c>
    </row>
    <row r="135" spans="1:7" x14ac:dyDescent="0.2">
      <c r="A135" s="2" t="s">
        <v>16</v>
      </c>
      <c r="B135" s="126" t="s">
        <v>136</v>
      </c>
      <c r="C135" s="14">
        <f>F128</f>
        <v>9670.0684175000006</v>
      </c>
      <c r="D135" s="126">
        <v>4</v>
      </c>
      <c r="E135" s="14">
        <f>C135</f>
        <v>9670.0684175000006</v>
      </c>
      <c r="F135" s="126">
        <v>4</v>
      </c>
      <c r="G135" s="14">
        <f>E135*F135</f>
        <v>38680.273670000002</v>
      </c>
    </row>
    <row r="136" spans="1:7" x14ac:dyDescent="0.2">
      <c r="A136" s="154" t="s">
        <v>127</v>
      </c>
      <c r="B136" s="154"/>
      <c r="C136" s="154"/>
      <c r="D136" s="154"/>
      <c r="E136" s="154"/>
      <c r="F136" s="154"/>
      <c r="G136" s="15">
        <f>G135</f>
        <v>38680.273670000002</v>
      </c>
    </row>
    <row r="138" spans="1:7" x14ac:dyDescent="0.2">
      <c r="A138" s="166" t="s">
        <v>128</v>
      </c>
      <c r="B138" s="166"/>
      <c r="C138" s="166"/>
      <c r="D138" s="166"/>
      <c r="E138" s="166"/>
      <c r="F138" s="166"/>
      <c r="G138" s="166"/>
    </row>
    <row r="140" spans="1:7" x14ac:dyDescent="0.2">
      <c r="A140" s="157" t="s">
        <v>129</v>
      </c>
      <c r="B140" s="158"/>
      <c r="C140" s="158"/>
      <c r="D140" s="158"/>
      <c r="E140" s="158"/>
      <c r="F140" s="158"/>
      <c r="G140" s="159"/>
    </row>
    <row r="141" spans="1:7" x14ac:dyDescent="0.2">
      <c r="A141" s="2"/>
      <c r="B141" s="154" t="s">
        <v>130</v>
      </c>
      <c r="C141" s="154"/>
      <c r="D141" s="154"/>
      <c r="E141" s="154"/>
      <c r="F141" s="156" t="s">
        <v>26</v>
      </c>
      <c r="G141" s="156"/>
    </row>
    <row r="142" spans="1:7" x14ac:dyDescent="0.2">
      <c r="A142" s="2" t="s">
        <v>4</v>
      </c>
      <c r="B142" s="160" t="s">
        <v>131</v>
      </c>
      <c r="C142" s="160"/>
      <c r="D142" s="160"/>
      <c r="E142" s="160"/>
      <c r="F142" s="161">
        <f>E135</f>
        <v>9670.0684175000006</v>
      </c>
      <c r="G142" s="162"/>
    </row>
    <row r="143" spans="1:7" x14ac:dyDescent="0.2">
      <c r="A143" s="2" t="s">
        <v>6</v>
      </c>
      <c r="B143" s="160" t="s">
        <v>132</v>
      </c>
      <c r="C143" s="160"/>
      <c r="D143" s="160"/>
      <c r="E143" s="160"/>
      <c r="F143" s="161">
        <f>G136</f>
        <v>38680.273670000002</v>
      </c>
      <c r="G143" s="162"/>
    </row>
    <row r="144" spans="1:7" x14ac:dyDescent="0.2">
      <c r="A144" s="5" t="s">
        <v>9</v>
      </c>
      <c r="B144" s="154" t="s">
        <v>235</v>
      </c>
      <c r="C144" s="154"/>
      <c r="D144" s="154"/>
      <c r="E144" s="154"/>
      <c r="F144" s="155">
        <f>F143*12</f>
        <v>464163.28404000006</v>
      </c>
      <c r="G144" s="156"/>
    </row>
    <row r="147" spans="1:1" x14ac:dyDescent="0.2">
      <c r="A147" s="3"/>
    </row>
  </sheetData>
  <mergeCells count="161">
    <mergeCell ref="A1:G1"/>
    <mergeCell ref="A2:G2"/>
    <mergeCell ref="A4:D4"/>
    <mergeCell ref="E4:G4"/>
    <mergeCell ref="A5:D5"/>
    <mergeCell ref="E5:G5"/>
    <mergeCell ref="A6:G6"/>
    <mergeCell ref="B12:E12"/>
    <mergeCell ref="F12:G12"/>
    <mergeCell ref="B13:E13"/>
    <mergeCell ref="F13:G13"/>
    <mergeCell ref="A8:G10"/>
    <mergeCell ref="B14:E14"/>
    <mergeCell ref="F14:G14"/>
    <mergeCell ref="B15:E15"/>
    <mergeCell ref="F15:G15"/>
    <mergeCell ref="A17:C17"/>
    <mergeCell ref="D17:E17"/>
    <mergeCell ref="F17:G17"/>
    <mergeCell ref="B18:C18"/>
    <mergeCell ref="D18:E18"/>
    <mergeCell ref="F18:G18"/>
    <mergeCell ref="A20:G20"/>
    <mergeCell ref="A21:G21"/>
    <mergeCell ref="A22:G22"/>
    <mergeCell ref="B23:E23"/>
    <mergeCell ref="F23:G23"/>
    <mergeCell ref="B24:E24"/>
    <mergeCell ref="F24:G24"/>
    <mergeCell ref="B25:E25"/>
    <mergeCell ref="F25:G25"/>
    <mergeCell ref="B26:E26"/>
    <mergeCell ref="F26:G26"/>
    <mergeCell ref="A28:G28"/>
    <mergeCell ref="B29:E29"/>
    <mergeCell ref="F29:G29"/>
    <mergeCell ref="B30:E30"/>
    <mergeCell ref="F30:G30"/>
    <mergeCell ref="B31:E31"/>
    <mergeCell ref="F31:G31"/>
    <mergeCell ref="B32:E32"/>
    <mergeCell ref="F32:G32"/>
    <mergeCell ref="B33:E33"/>
    <mergeCell ref="F33:G33"/>
    <mergeCell ref="A34:E34"/>
    <mergeCell ref="F34:G34"/>
    <mergeCell ref="A36:G36"/>
    <mergeCell ref="B37:E37"/>
    <mergeCell ref="F37:G37"/>
    <mergeCell ref="B38:E38"/>
    <mergeCell ref="F38:G38"/>
    <mergeCell ref="B39:E39"/>
    <mergeCell ref="F39:G39"/>
    <mergeCell ref="B40:E40"/>
    <mergeCell ref="F40:G40"/>
    <mergeCell ref="B41:E41"/>
    <mergeCell ref="F41:G41"/>
    <mergeCell ref="B42:E42"/>
    <mergeCell ref="F42:G42"/>
    <mergeCell ref="B44:E44"/>
    <mergeCell ref="F44:G44"/>
    <mergeCell ref="A45:E45"/>
    <mergeCell ref="F45:G45"/>
    <mergeCell ref="B43:E43"/>
    <mergeCell ref="F43:G43"/>
    <mergeCell ref="A47:G47"/>
    <mergeCell ref="B48:E48"/>
    <mergeCell ref="F48:G48"/>
    <mergeCell ref="B49:E49"/>
    <mergeCell ref="F49:G49"/>
    <mergeCell ref="B50:E50"/>
    <mergeCell ref="F50:G50"/>
    <mergeCell ref="B51:E51"/>
    <mergeCell ref="F51:G51"/>
    <mergeCell ref="B52:E52"/>
    <mergeCell ref="F52:G52"/>
    <mergeCell ref="A53:E53"/>
    <mergeCell ref="F53:G53"/>
    <mergeCell ref="A55:G55"/>
    <mergeCell ref="A57:G57"/>
    <mergeCell ref="B59:E59"/>
    <mergeCell ref="B60:E60"/>
    <mergeCell ref="B61:E61"/>
    <mergeCell ref="B62:E62"/>
    <mergeCell ref="B63:E63"/>
    <mergeCell ref="B64:E64"/>
    <mergeCell ref="B65:E65"/>
    <mergeCell ref="B66:E66"/>
    <mergeCell ref="B67:E67"/>
    <mergeCell ref="A68:E68"/>
    <mergeCell ref="B77:E77"/>
    <mergeCell ref="B78:E78"/>
    <mergeCell ref="B79:E79"/>
    <mergeCell ref="A80:E80"/>
    <mergeCell ref="A70:G70"/>
    <mergeCell ref="B72:E72"/>
    <mergeCell ref="B73:E73"/>
    <mergeCell ref="B74:E74"/>
    <mergeCell ref="B76:E76"/>
    <mergeCell ref="B75:E75"/>
    <mergeCell ref="B123:E123"/>
    <mergeCell ref="F123:G123"/>
    <mergeCell ref="B114:E114"/>
    <mergeCell ref="B115:E115"/>
    <mergeCell ref="B116:E116"/>
    <mergeCell ref="A108:G108"/>
    <mergeCell ref="B110:E110"/>
    <mergeCell ref="B111:E111"/>
    <mergeCell ref="B112:E112"/>
    <mergeCell ref="B113:E113"/>
    <mergeCell ref="B122:E122"/>
    <mergeCell ref="F122:G122"/>
    <mergeCell ref="A130:G130"/>
    <mergeCell ref="A132:B132"/>
    <mergeCell ref="A133:B133"/>
    <mergeCell ref="A134:B134"/>
    <mergeCell ref="A136:F136"/>
    <mergeCell ref="A138:G138"/>
    <mergeCell ref="B144:E144"/>
    <mergeCell ref="F144:G144"/>
    <mergeCell ref="A140:G140"/>
    <mergeCell ref="B141:E141"/>
    <mergeCell ref="F141:G141"/>
    <mergeCell ref="B142:E142"/>
    <mergeCell ref="F142:G142"/>
    <mergeCell ref="B143:E143"/>
    <mergeCell ref="F143:G143"/>
    <mergeCell ref="A82:G82"/>
    <mergeCell ref="B84:E84"/>
    <mergeCell ref="B85:E85"/>
    <mergeCell ref="B86:E86"/>
    <mergeCell ref="B87:E87"/>
    <mergeCell ref="A90:E90"/>
    <mergeCell ref="A117:E117"/>
    <mergeCell ref="A119:G119"/>
    <mergeCell ref="F121:G121"/>
    <mergeCell ref="A121:E121"/>
    <mergeCell ref="B102:E102"/>
    <mergeCell ref="B103:E103"/>
    <mergeCell ref="B104:E104"/>
    <mergeCell ref="B105:E105"/>
    <mergeCell ref="A106:E106"/>
    <mergeCell ref="B94:E94"/>
    <mergeCell ref="B95:E95"/>
    <mergeCell ref="B96:E96"/>
    <mergeCell ref="A97:E97"/>
    <mergeCell ref="A99:G99"/>
    <mergeCell ref="B88:E88"/>
    <mergeCell ref="B89:E89"/>
    <mergeCell ref="A92:G92"/>
    <mergeCell ref="B101:E101"/>
    <mergeCell ref="B124:E124"/>
    <mergeCell ref="F124:G124"/>
    <mergeCell ref="F125:G125"/>
    <mergeCell ref="F126:G126"/>
    <mergeCell ref="F127:G127"/>
    <mergeCell ref="A128:E128"/>
    <mergeCell ref="F128:G128"/>
    <mergeCell ref="B125:E125"/>
    <mergeCell ref="B126:E126"/>
    <mergeCell ref="B127:E127"/>
  </mergeCells>
  <pageMargins left="0.57999999999999996" right="0.39370078740157483" top="0.89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E6BC2-8D10-4D7D-A85F-16D8A69CE50B}">
  <dimension ref="A1:N147"/>
  <sheetViews>
    <sheetView showGridLines="0" zoomScaleNormal="100" workbookViewId="0">
      <selection activeCell="A147" sqref="A147"/>
    </sheetView>
  </sheetViews>
  <sheetFormatPr defaultRowHeight="12.75" x14ac:dyDescent="0.2"/>
  <cols>
    <col min="1" max="1" width="3.5703125" customWidth="1"/>
    <col min="2" max="2" width="18" customWidth="1"/>
    <col min="3" max="3" width="15" customWidth="1"/>
    <col min="4" max="4" width="14.85546875" customWidth="1"/>
    <col min="5" max="5" width="14" customWidth="1"/>
    <col min="6" max="6" width="13" customWidth="1"/>
    <col min="7" max="7" width="12.85546875" customWidth="1"/>
    <col min="8" max="8" width="11.5703125" customWidth="1"/>
    <col min="9" max="9" width="10.140625" customWidth="1"/>
    <col min="14" max="14" width="10.5703125" customWidth="1"/>
  </cols>
  <sheetData>
    <row r="1" spans="1:7" x14ac:dyDescent="0.2">
      <c r="A1" s="209" t="s">
        <v>236</v>
      </c>
      <c r="B1" s="209"/>
      <c r="C1" s="209"/>
      <c r="D1" s="209"/>
      <c r="E1" s="209"/>
      <c r="F1" s="209"/>
      <c r="G1" s="209"/>
    </row>
    <row r="2" spans="1:7" x14ac:dyDescent="0.2">
      <c r="A2" s="209" t="s">
        <v>0</v>
      </c>
      <c r="B2" s="209"/>
      <c r="C2" s="209"/>
      <c r="D2" s="209"/>
      <c r="E2" s="209"/>
      <c r="F2" s="209"/>
      <c r="G2" s="209"/>
    </row>
    <row r="4" spans="1:7" x14ac:dyDescent="0.2">
      <c r="A4" s="210" t="s">
        <v>1</v>
      </c>
      <c r="B4" s="175"/>
      <c r="C4" s="175"/>
      <c r="D4" s="176"/>
      <c r="E4" s="211" t="s">
        <v>226</v>
      </c>
      <c r="F4" s="206"/>
      <c r="G4" s="206"/>
    </row>
    <row r="5" spans="1:7" x14ac:dyDescent="0.2">
      <c r="A5" s="210" t="s">
        <v>2</v>
      </c>
      <c r="B5" s="175"/>
      <c r="C5" s="175"/>
      <c r="D5" s="176"/>
      <c r="E5" s="206"/>
      <c r="F5" s="206"/>
      <c r="G5" s="206"/>
    </row>
    <row r="6" spans="1:7" x14ac:dyDescent="0.2">
      <c r="A6" s="212" t="s">
        <v>3</v>
      </c>
      <c r="B6" s="212"/>
      <c r="C6" s="212"/>
      <c r="D6" s="212"/>
      <c r="E6" s="212"/>
      <c r="F6" s="212"/>
      <c r="G6" s="212"/>
    </row>
    <row r="8" spans="1:7" ht="12.75" customHeight="1" x14ac:dyDescent="0.2">
      <c r="A8" s="213" t="s">
        <v>227</v>
      </c>
      <c r="B8" s="214"/>
      <c r="C8" s="214"/>
      <c r="D8" s="214"/>
      <c r="E8" s="214"/>
      <c r="F8" s="214"/>
      <c r="G8" s="215"/>
    </row>
    <row r="9" spans="1:7" x14ac:dyDescent="0.2">
      <c r="A9" s="216"/>
      <c r="B9" s="217"/>
      <c r="C9" s="217"/>
      <c r="D9" s="217"/>
      <c r="E9" s="217"/>
      <c r="F9" s="217"/>
      <c r="G9" s="218"/>
    </row>
    <row r="10" spans="1:7" ht="7.5" customHeight="1" x14ac:dyDescent="0.2">
      <c r="A10" s="219"/>
      <c r="B10" s="220"/>
      <c r="C10" s="220"/>
      <c r="D10" s="220"/>
      <c r="E10" s="220"/>
      <c r="F10" s="220"/>
      <c r="G10" s="221"/>
    </row>
    <row r="12" spans="1:7" x14ac:dyDescent="0.2">
      <c r="A12" s="2" t="s">
        <v>4</v>
      </c>
      <c r="B12" s="160" t="s">
        <v>5</v>
      </c>
      <c r="C12" s="160"/>
      <c r="D12" s="160"/>
      <c r="E12" s="160"/>
      <c r="F12" s="206"/>
      <c r="G12" s="206"/>
    </row>
    <row r="13" spans="1:7" x14ac:dyDescent="0.2">
      <c r="A13" s="2" t="s">
        <v>6</v>
      </c>
      <c r="B13" s="160" t="s">
        <v>7</v>
      </c>
      <c r="C13" s="160"/>
      <c r="D13" s="160"/>
      <c r="E13" s="160"/>
      <c r="F13" s="206" t="s">
        <v>8</v>
      </c>
      <c r="G13" s="206"/>
    </row>
    <row r="14" spans="1:7" x14ac:dyDescent="0.2">
      <c r="A14" s="2" t="s">
        <v>9</v>
      </c>
      <c r="B14" s="160" t="s">
        <v>10</v>
      </c>
      <c r="C14" s="160"/>
      <c r="D14" s="160"/>
      <c r="E14" s="160"/>
      <c r="F14" s="206"/>
      <c r="G14" s="206"/>
    </row>
    <row r="15" spans="1:7" x14ac:dyDescent="0.2">
      <c r="A15" s="2" t="s">
        <v>11</v>
      </c>
      <c r="B15" s="160" t="s">
        <v>12</v>
      </c>
      <c r="C15" s="160"/>
      <c r="D15" s="160"/>
      <c r="E15" s="160"/>
      <c r="F15" s="206">
        <v>12</v>
      </c>
      <c r="G15" s="206"/>
    </row>
    <row r="17" spans="1:7" x14ac:dyDescent="0.2">
      <c r="A17" s="206" t="s">
        <v>13</v>
      </c>
      <c r="B17" s="206"/>
      <c r="C17" s="206"/>
      <c r="D17" s="206" t="s">
        <v>14</v>
      </c>
      <c r="E17" s="206"/>
      <c r="F17" s="206" t="s">
        <v>15</v>
      </c>
      <c r="G17" s="206"/>
    </row>
    <row r="18" spans="1:7" x14ac:dyDescent="0.2">
      <c r="A18" s="2" t="s">
        <v>16</v>
      </c>
      <c r="B18" s="205" t="s">
        <v>234</v>
      </c>
      <c r="C18" s="205"/>
      <c r="D18" s="206">
        <v>1</v>
      </c>
      <c r="E18" s="206"/>
      <c r="F18" s="206">
        <v>1</v>
      </c>
      <c r="G18" s="206"/>
    </row>
    <row r="20" spans="1:7" x14ac:dyDescent="0.2">
      <c r="A20" s="166" t="s">
        <v>17</v>
      </c>
      <c r="B20" s="166"/>
      <c r="C20" s="166"/>
      <c r="D20" s="166"/>
      <c r="E20" s="166"/>
      <c r="F20" s="166"/>
      <c r="G20" s="166"/>
    </row>
    <row r="21" spans="1:7" x14ac:dyDescent="0.2">
      <c r="A21" s="207" t="s">
        <v>18</v>
      </c>
      <c r="B21" s="207"/>
      <c r="C21" s="207"/>
      <c r="D21" s="207"/>
      <c r="E21" s="207"/>
      <c r="F21" s="207"/>
      <c r="G21" s="207"/>
    </row>
    <row r="22" spans="1:7" x14ac:dyDescent="0.2">
      <c r="A22" s="154" t="s">
        <v>19</v>
      </c>
      <c r="B22" s="154"/>
      <c r="C22" s="154"/>
      <c r="D22" s="154"/>
      <c r="E22" s="154"/>
      <c r="F22" s="154"/>
      <c r="G22" s="154"/>
    </row>
    <row r="23" spans="1:7" x14ac:dyDescent="0.2">
      <c r="A23" s="138">
        <v>1</v>
      </c>
      <c r="B23" s="160" t="s">
        <v>20</v>
      </c>
      <c r="C23" s="160"/>
      <c r="D23" s="160"/>
      <c r="E23" s="160"/>
      <c r="F23" s="201" t="s">
        <v>238</v>
      </c>
      <c r="G23" s="162"/>
    </row>
    <row r="24" spans="1:7" x14ac:dyDescent="0.2">
      <c r="A24" s="138">
        <v>2</v>
      </c>
      <c r="B24" s="203" t="s">
        <v>233</v>
      </c>
      <c r="C24" s="160"/>
      <c r="D24" s="160"/>
      <c r="E24" s="160"/>
      <c r="F24" s="208">
        <v>1476.64</v>
      </c>
      <c r="G24" s="208"/>
    </row>
    <row r="25" spans="1:7" x14ac:dyDescent="0.2">
      <c r="A25" s="138">
        <v>3</v>
      </c>
      <c r="B25" s="183" t="s">
        <v>22</v>
      </c>
      <c r="C25" s="183"/>
      <c r="D25" s="183"/>
      <c r="E25" s="183"/>
      <c r="F25" s="201" t="s">
        <v>234</v>
      </c>
      <c r="G25" s="162"/>
    </row>
    <row r="26" spans="1:7" x14ac:dyDescent="0.2">
      <c r="A26" s="138">
        <v>4</v>
      </c>
      <c r="B26" s="160" t="s">
        <v>23</v>
      </c>
      <c r="C26" s="160"/>
      <c r="D26" s="160"/>
      <c r="E26" s="160"/>
      <c r="F26" s="202"/>
      <c r="G26" s="202"/>
    </row>
    <row r="28" spans="1:7" x14ac:dyDescent="0.2">
      <c r="A28" s="154" t="s">
        <v>24</v>
      </c>
      <c r="B28" s="154"/>
      <c r="C28" s="154"/>
      <c r="D28" s="154"/>
      <c r="E28" s="154"/>
      <c r="F28" s="154"/>
      <c r="G28" s="154"/>
    </row>
    <row r="29" spans="1:7" x14ac:dyDescent="0.2">
      <c r="A29" s="141">
        <v>1</v>
      </c>
      <c r="B29" s="154" t="s">
        <v>25</v>
      </c>
      <c r="C29" s="154"/>
      <c r="D29" s="154"/>
      <c r="E29" s="154"/>
      <c r="F29" s="156" t="s">
        <v>26</v>
      </c>
      <c r="G29" s="156"/>
    </row>
    <row r="30" spans="1:7" x14ac:dyDescent="0.2">
      <c r="A30" s="2" t="s">
        <v>4</v>
      </c>
      <c r="B30" s="160" t="s">
        <v>27</v>
      </c>
      <c r="C30" s="160"/>
      <c r="D30" s="160"/>
      <c r="E30" s="160"/>
      <c r="F30" s="204">
        <f>F24</f>
        <v>1476.64</v>
      </c>
      <c r="G30" s="204"/>
    </row>
    <row r="31" spans="1:7" x14ac:dyDescent="0.2">
      <c r="A31" s="2" t="s">
        <v>6</v>
      </c>
      <c r="B31" s="210" t="s">
        <v>28</v>
      </c>
      <c r="C31" s="175"/>
      <c r="D31" s="175"/>
      <c r="E31" s="176"/>
      <c r="F31" s="193">
        <v>0</v>
      </c>
      <c r="G31" s="193"/>
    </row>
    <row r="32" spans="1:7" x14ac:dyDescent="0.2">
      <c r="A32" s="2" t="s">
        <v>9</v>
      </c>
      <c r="B32" s="194" t="s">
        <v>29</v>
      </c>
      <c r="C32" s="195"/>
      <c r="D32" s="195"/>
      <c r="E32" s="196"/>
      <c r="F32" s="193">
        <v>0</v>
      </c>
      <c r="G32" s="193"/>
    </row>
    <row r="33" spans="1:10" x14ac:dyDescent="0.2">
      <c r="A33" s="2" t="s">
        <v>11</v>
      </c>
      <c r="B33" s="197" t="s">
        <v>30</v>
      </c>
      <c r="C33" s="198"/>
      <c r="D33" s="198"/>
      <c r="E33" s="199"/>
      <c r="F33" s="193">
        <v>0</v>
      </c>
      <c r="G33" s="193"/>
      <c r="J33" s="24"/>
    </row>
    <row r="34" spans="1:10" x14ac:dyDescent="0.2">
      <c r="A34" s="154" t="s">
        <v>31</v>
      </c>
      <c r="B34" s="154"/>
      <c r="C34" s="154"/>
      <c r="D34" s="154"/>
      <c r="E34" s="154"/>
      <c r="F34" s="200">
        <f>SUM(F30:G33)</f>
        <v>1476.64</v>
      </c>
      <c r="G34" s="200"/>
      <c r="J34" s="25"/>
    </row>
    <row r="36" spans="1:10" x14ac:dyDescent="0.2">
      <c r="A36" s="166" t="s">
        <v>32</v>
      </c>
      <c r="B36" s="166"/>
      <c r="C36" s="166"/>
      <c r="D36" s="166"/>
      <c r="E36" s="166"/>
      <c r="F36" s="166"/>
      <c r="G36" s="166"/>
    </row>
    <row r="37" spans="1:10" x14ac:dyDescent="0.2">
      <c r="A37" s="141">
        <v>2</v>
      </c>
      <c r="B37" s="154" t="s">
        <v>33</v>
      </c>
      <c r="C37" s="154"/>
      <c r="D37" s="154"/>
      <c r="E37" s="154"/>
      <c r="F37" s="156" t="s">
        <v>26</v>
      </c>
      <c r="G37" s="156"/>
    </row>
    <row r="38" spans="1:10" x14ac:dyDescent="0.2">
      <c r="A38" s="148" t="s">
        <v>4</v>
      </c>
      <c r="B38" s="191" t="s">
        <v>223</v>
      </c>
      <c r="C38" s="183"/>
      <c r="D38" s="183"/>
      <c r="E38" s="183"/>
      <c r="F38" s="184">
        <v>135.03</v>
      </c>
      <c r="G38" s="184"/>
      <c r="I38" s="26"/>
    </row>
    <row r="39" spans="1:10" x14ac:dyDescent="0.2">
      <c r="A39" s="148" t="s">
        <v>6</v>
      </c>
      <c r="B39" s="183" t="s">
        <v>34</v>
      </c>
      <c r="C39" s="183"/>
      <c r="D39" s="183"/>
      <c r="E39" s="183"/>
      <c r="F39" s="184">
        <v>420.7</v>
      </c>
      <c r="G39" s="184"/>
      <c r="I39" s="26"/>
    </row>
    <row r="40" spans="1:10" x14ac:dyDescent="0.2">
      <c r="A40" s="148" t="s">
        <v>9</v>
      </c>
      <c r="B40" s="183" t="s">
        <v>35</v>
      </c>
      <c r="C40" s="183"/>
      <c r="D40" s="183"/>
      <c r="E40" s="183"/>
      <c r="F40" s="184">
        <v>0</v>
      </c>
      <c r="G40" s="184"/>
      <c r="I40" s="26"/>
    </row>
    <row r="41" spans="1:10" x14ac:dyDescent="0.2">
      <c r="A41" s="149" t="s">
        <v>11</v>
      </c>
      <c r="B41" s="182" t="s">
        <v>36</v>
      </c>
      <c r="C41" s="182"/>
      <c r="D41" s="182"/>
      <c r="E41" s="182"/>
      <c r="F41" s="185">
        <v>0</v>
      </c>
      <c r="G41" s="185"/>
      <c r="I41" s="24"/>
    </row>
    <row r="42" spans="1:10" x14ac:dyDescent="0.2">
      <c r="A42" s="148" t="s">
        <v>37</v>
      </c>
      <c r="B42" s="182" t="s">
        <v>38</v>
      </c>
      <c r="C42" s="182"/>
      <c r="D42" s="182"/>
      <c r="E42" s="182"/>
      <c r="F42" s="184">
        <v>13.07</v>
      </c>
      <c r="G42" s="184"/>
      <c r="I42" s="24"/>
    </row>
    <row r="43" spans="1:10" x14ac:dyDescent="0.2">
      <c r="A43" s="148" t="s">
        <v>39</v>
      </c>
      <c r="B43" s="182" t="s">
        <v>40</v>
      </c>
      <c r="C43" s="183"/>
      <c r="D43" s="183"/>
      <c r="E43" s="183"/>
      <c r="F43" s="184">
        <f>65.94</f>
        <v>65.94</v>
      </c>
      <c r="G43" s="184"/>
      <c r="I43" s="24"/>
    </row>
    <row r="44" spans="1:10" x14ac:dyDescent="0.2">
      <c r="A44" s="149" t="s">
        <v>41</v>
      </c>
      <c r="B44" s="186" t="s">
        <v>42</v>
      </c>
      <c r="C44" s="187"/>
      <c r="D44" s="187"/>
      <c r="E44" s="188"/>
      <c r="F44" s="184">
        <v>0</v>
      </c>
      <c r="G44" s="184"/>
      <c r="I44" s="25"/>
    </row>
    <row r="45" spans="1:10" x14ac:dyDescent="0.2">
      <c r="A45" s="180" t="s">
        <v>43</v>
      </c>
      <c r="B45" s="180"/>
      <c r="C45" s="180"/>
      <c r="D45" s="180"/>
      <c r="E45" s="180"/>
      <c r="F45" s="189">
        <f>SUM(F38:G44)</f>
        <v>634.74</v>
      </c>
      <c r="G45" s="189"/>
    </row>
    <row r="46" spans="1:10" x14ac:dyDescent="0.2">
      <c r="A46" s="150"/>
      <c r="B46" s="150"/>
      <c r="C46" s="150"/>
      <c r="D46" s="150"/>
      <c r="E46" s="150"/>
      <c r="F46" s="150"/>
      <c r="G46" s="150"/>
    </row>
    <row r="47" spans="1:10" x14ac:dyDescent="0.2">
      <c r="A47" s="190" t="s">
        <v>44</v>
      </c>
      <c r="B47" s="190"/>
      <c r="C47" s="190"/>
      <c r="D47" s="190"/>
      <c r="E47" s="190"/>
      <c r="F47" s="190"/>
      <c r="G47" s="190"/>
    </row>
    <row r="48" spans="1:10" x14ac:dyDescent="0.2">
      <c r="A48" s="151">
        <v>3</v>
      </c>
      <c r="B48" s="180" t="s">
        <v>45</v>
      </c>
      <c r="C48" s="180"/>
      <c r="D48" s="180"/>
      <c r="E48" s="180"/>
      <c r="F48" s="181" t="s">
        <v>26</v>
      </c>
      <c r="G48" s="181"/>
    </row>
    <row r="49" spans="1:7" x14ac:dyDescent="0.2">
      <c r="A49" s="148" t="s">
        <v>4</v>
      </c>
      <c r="B49" s="182" t="s">
        <v>46</v>
      </c>
      <c r="C49" s="183"/>
      <c r="D49" s="183"/>
      <c r="E49" s="183"/>
      <c r="F49" s="184">
        <f>(25.92*2)/12</f>
        <v>4.32</v>
      </c>
      <c r="G49" s="184"/>
    </row>
    <row r="50" spans="1:7" x14ac:dyDescent="0.2">
      <c r="A50" s="148" t="s">
        <v>6</v>
      </c>
      <c r="B50" s="182" t="s">
        <v>47</v>
      </c>
      <c r="C50" s="183"/>
      <c r="D50" s="183"/>
      <c r="E50" s="183"/>
      <c r="F50" s="185">
        <v>19.53</v>
      </c>
      <c r="G50" s="184"/>
    </row>
    <row r="51" spans="1:7" x14ac:dyDescent="0.2">
      <c r="A51" s="148" t="s">
        <v>9</v>
      </c>
      <c r="B51" s="182" t="s">
        <v>48</v>
      </c>
      <c r="C51" s="183"/>
      <c r="D51" s="183"/>
      <c r="E51" s="183"/>
      <c r="F51" s="184">
        <f>153/12</f>
        <v>12.75</v>
      </c>
      <c r="G51" s="184"/>
    </row>
    <row r="52" spans="1:7" x14ac:dyDescent="0.2">
      <c r="A52" s="148" t="s">
        <v>11</v>
      </c>
      <c r="B52" s="182" t="s">
        <v>49</v>
      </c>
      <c r="C52" s="183"/>
      <c r="D52" s="183"/>
      <c r="E52" s="183"/>
      <c r="F52" s="184">
        <v>11.7</v>
      </c>
      <c r="G52" s="184"/>
    </row>
    <row r="53" spans="1:7" x14ac:dyDescent="0.2">
      <c r="A53" s="180" t="s">
        <v>50</v>
      </c>
      <c r="B53" s="180"/>
      <c r="C53" s="180"/>
      <c r="D53" s="180"/>
      <c r="E53" s="180"/>
      <c r="F53" s="189">
        <f>SUM(F49:G52)</f>
        <v>48.3</v>
      </c>
      <c r="G53" s="189"/>
    </row>
    <row r="54" spans="1:7" x14ac:dyDescent="0.2">
      <c r="A54" s="16"/>
      <c r="B54" s="16"/>
      <c r="C54" s="16"/>
      <c r="D54" s="16"/>
      <c r="E54" s="16"/>
      <c r="F54" s="17"/>
      <c r="G54" s="17"/>
    </row>
    <row r="55" spans="1:7" x14ac:dyDescent="0.2">
      <c r="A55" s="166" t="s">
        <v>51</v>
      </c>
      <c r="B55" s="166"/>
      <c r="C55" s="166"/>
      <c r="D55" s="166"/>
      <c r="E55" s="166"/>
      <c r="F55" s="166"/>
      <c r="G55" s="166"/>
    </row>
    <row r="57" spans="1:7" x14ac:dyDescent="0.2">
      <c r="A57" s="166" t="s">
        <v>52</v>
      </c>
      <c r="B57" s="166"/>
      <c r="C57" s="166"/>
      <c r="D57" s="166"/>
      <c r="E57" s="166"/>
      <c r="F57" s="166"/>
      <c r="G57" s="166"/>
    </row>
    <row r="59" spans="1:7" x14ac:dyDescent="0.2">
      <c r="A59" s="5" t="s">
        <v>53</v>
      </c>
      <c r="B59" s="154" t="s">
        <v>54</v>
      </c>
      <c r="C59" s="154"/>
      <c r="D59" s="154"/>
      <c r="E59" s="154"/>
      <c r="F59" s="140" t="s">
        <v>55</v>
      </c>
      <c r="G59" s="142" t="s">
        <v>26</v>
      </c>
    </row>
    <row r="60" spans="1:7" x14ac:dyDescent="0.2">
      <c r="A60" s="2" t="s">
        <v>4</v>
      </c>
      <c r="B60" s="160" t="s">
        <v>56</v>
      </c>
      <c r="C60" s="160"/>
      <c r="D60" s="160"/>
      <c r="E60" s="160"/>
      <c r="F60" s="4">
        <v>0.2</v>
      </c>
      <c r="G60" s="145">
        <f>ROUND((F34*F60),2)</f>
        <v>295.33</v>
      </c>
    </row>
    <row r="61" spans="1:7" x14ac:dyDescent="0.2">
      <c r="A61" s="2" t="s">
        <v>6</v>
      </c>
      <c r="B61" s="160" t="s">
        <v>57</v>
      </c>
      <c r="C61" s="160"/>
      <c r="D61" s="160"/>
      <c r="E61" s="160"/>
      <c r="F61" s="4">
        <v>1.4999999999999999E-2</v>
      </c>
      <c r="G61" s="145">
        <f>F34*0.015</f>
        <v>22.1496</v>
      </c>
    </row>
    <row r="62" spans="1:7" x14ac:dyDescent="0.2">
      <c r="A62" s="2" t="s">
        <v>9</v>
      </c>
      <c r="B62" s="160" t="s">
        <v>58</v>
      </c>
      <c r="C62" s="160"/>
      <c r="D62" s="160"/>
      <c r="E62" s="160"/>
      <c r="F62" s="4">
        <v>0.01</v>
      </c>
      <c r="G62" s="145">
        <f>F34*0.01</f>
        <v>14.766400000000001</v>
      </c>
    </row>
    <row r="63" spans="1:7" x14ac:dyDescent="0.2">
      <c r="A63" s="2" t="s">
        <v>11</v>
      </c>
      <c r="B63" s="160" t="s">
        <v>59</v>
      </c>
      <c r="C63" s="160"/>
      <c r="D63" s="160"/>
      <c r="E63" s="160"/>
      <c r="F63" s="4">
        <v>2E-3</v>
      </c>
      <c r="G63" s="145">
        <f>F34*0.002</f>
        <v>2.9532800000000003</v>
      </c>
    </row>
    <row r="64" spans="1:7" x14ac:dyDescent="0.2">
      <c r="A64" s="2" t="s">
        <v>37</v>
      </c>
      <c r="B64" s="160" t="s">
        <v>60</v>
      </c>
      <c r="C64" s="160"/>
      <c r="D64" s="160"/>
      <c r="E64" s="160"/>
      <c r="F64" s="4">
        <v>2.5000000000000001E-2</v>
      </c>
      <c r="G64" s="145">
        <f>F34*0.025</f>
        <v>36.916000000000004</v>
      </c>
    </row>
    <row r="65" spans="1:7" x14ac:dyDescent="0.2">
      <c r="A65" s="2" t="s">
        <v>39</v>
      </c>
      <c r="B65" s="160" t="s">
        <v>61</v>
      </c>
      <c r="C65" s="160"/>
      <c r="D65" s="160"/>
      <c r="E65" s="160"/>
      <c r="F65" s="4">
        <v>0.08</v>
      </c>
      <c r="G65" s="145">
        <f>F34*0.08</f>
        <v>118.13120000000001</v>
      </c>
    </row>
    <row r="66" spans="1:7" x14ac:dyDescent="0.2">
      <c r="A66" s="2" t="s">
        <v>41</v>
      </c>
      <c r="B66" s="160" t="s">
        <v>62</v>
      </c>
      <c r="C66" s="160"/>
      <c r="D66" s="160"/>
      <c r="E66" s="160"/>
      <c r="F66" s="4">
        <v>0.03</v>
      </c>
      <c r="G66" s="145">
        <f>F34*0.03</f>
        <v>44.299199999999999</v>
      </c>
    </row>
    <row r="67" spans="1:7" x14ac:dyDescent="0.2">
      <c r="A67" s="2" t="s">
        <v>63</v>
      </c>
      <c r="B67" s="160" t="s">
        <v>64</v>
      </c>
      <c r="C67" s="160"/>
      <c r="D67" s="160"/>
      <c r="E67" s="160"/>
      <c r="F67" s="4">
        <v>6.0000000000000001E-3</v>
      </c>
      <c r="G67" s="145">
        <f>F34*0.006</f>
        <v>8.8598400000000002</v>
      </c>
    </row>
    <row r="68" spans="1:7" x14ac:dyDescent="0.2">
      <c r="A68" s="154" t="s">
        <v>65</v>
      </c>
      <c r="B68" s="154"/>
      <c r="C68" s="154"/>
      <c r="D68" s="154"/>
      <c r="E68" s="154"/>
      <c r="F68" s="6">
        <f>SUM(F60:F67)</f>
        <v>0.3680000000000001</v>
      </c>
      <c r="G68" s="144">
        <f>SUM(G60:G67)</f>
        <v>543.40552000000002</v>
      </c>
    </row>
    <row r="70" spans="1:7" x14ac:dyDescent="0.2">
      <c r="A70" s="166" t="s">
        <v>66</v>
      </c>
      <c r="B70" s="166"/>
      <c r="C70" s="166"/>
      <c r="D70" s="166"/>
      <c r="E70" s="166"/>
      <c r="F70" s="166"/>
      <c r="G70" s="166"/>
    </row>
    <row r="72" spans="1:7" x14ac:dyDescent="0.2">
      <c r="A72" s="141" t="s">
        <v>67</v>
      </c>
      <c r="B72" s="154" t="s">
        <v>68</v>
      </c>
      <c r="C72" s="154"/>
      <c r="D72" s="154"/>
      <c r="E72" s="154"/>
      <c r="F72" s="140" t="s">
        <v>55</v>
      </c>
      <c r="G72" s="142" t="s">
        <v>26</v>
      </c>
    </row>
    <row r="73" spans="1:7" x14ac:dyDescent="0.2">
      <c r="A73" s="138" t="s">
        <v>4</v>
      </c>
      <c r="B73" s="160" t="s">
        <v>69</v>
      </c>
      <c r="C73" s="160"/>
      <c r="D73" s="160"/>
      <c r="E73" s="160"/>
      <c r="F73" s="21">
        <v>8.3299999999999999E-2</v>
      </c>
      <c r="G73" s="10">
        <f>$F$34*F73</f>
        <v>123.00411200000001</v>
      </c>
    </row>
    <row r="74" spans="1:7" x14ac:dyDescent="0.2">
      <c r="A74" s="138" t="s">
        <v>6</v>
      </c>
      <c r="B74" s="173" t="s">
        <v>70</v>
      </c>
      <c r="C74" s="160"/>
      <c r="D74" s="160"/>
      <c r="E74" s="160"/>
      <c r="F74" s="21">
        <v>9.8199999999999996E-2</v>
      </c>
      <c r="G74" s="10">
        <f>($F$34*F74)</f>
        <v>145.00604799999999</v>
      </c>
    </row>
    <row r="75" spans="1:7" x14ac:dyDescent="0.2">
      <c r="A75" s="143" t="s">
        <v>9</v>
      </c>
      <c r="B75" s="174" t="s">
        <v>71</v>
      </c>
      <c r="C75" s="175"/>
      <c r="D75" s="175"/>
      <c r="E75" s="176"/>
      <c r="F75" s="21">
        <v>6.8999999999999999E-3</v>
      </c>
      <c r="G75" s="10">
        <f>$F$34*F75</f>
        <v>10.188816000000001</v>
      </c>
    </row>
    <row r="76" spans="1:7" x14ac:dyDescent="0.2">
      <c r="A76" s="143" t="s">
        <v>11</v>
      </c>
      <c r="B76" s="174" t="s">
        <v>72</v>
      </c>
      <c r="C76" s="175"/>
      <c r="D76" s="175"/>
      <c r="E76" s="176"/>
      <c r="F76" s="21">
        <v>5.9999999999999995E-4</v>
      </c>
      <c r="G76" s="10">
        <f>$F$34*F76</f>
        <v>0.88598399999999999</v>
      </c>
    </row>
    <row r="77" spans="1:7" x14ac:dyDescent="0.2">
      <c r="A77" s="143" t="s">
        <v>37</v>
      </c>
      <c r="B77" s="174" t="s">
        <v>73</v>
      </c>
      <c r="C77" s="175"/>
      <c r="D77" s="175"/>
      <c r="E77" s="176"/>
      <c r="F77" s="21">
        <v>5.5999999999999999E-3</v>
      </c>
      <c r="G77" s="10">
        <f>$F$34*F77</f>
        <v>8.269184000000001</v>
      </c>
    </row>
    <row r="78" spans="1:7" x14ac:dyDescent="0.2">
      <c r="A78" s="143" t="s">
        <v>39</v>
      </c>
      <c r="B78" s="174" t="s">
        <v>74</v>
      </c>
      <c r="C78" s="175"/>
      <c r="D78" s="175"/>
      <c r="E78" s="176"/>
      <c r="F78" s="21">
        <v>8.9999999999999998E-4</v>
      </c>
      <c r="G78" s="10">
        <f>$F$34*F78</f>
        <v>1.3289760000000002</v>
      </c>
    </row>
    <row r="79" spans="1:7" x14ac:dyDescent="0.2">
      <c r="A79" s="143" t="s">
        <v>41</v>
      </c>
      <c r="B79" s="174" t="s">
        <v>75</v>
      </c>
      <c r="C79" s="175"/>
      <c r="D79" s="175"/>
      <c r="E79" s="176"/>
      <c r="F79" s="21">
        <v>2.9999999999999997E-4</v>
      </c>
      <c r="G79" s="10">
        <f>$F$34*F79</f>
        <v>0.442992</v>
      </c>
    </row>
    <row r="80" spans="1:7" x14ac:dyDescent="0.2">
      <c r="A80" s="154" t="s">
        <v>65</v>
      </c>
      <c r="B80" s="154"/>
      <c r="C80" s="154"/>
      <c r="D80" s="154"/>
      <c r="E80" s="154"/>
      <c r="F80" s="6">
        <f>SUM(F73:F79)</f>
        <v>0.19579999999999997</v>
      </c>
      <c r="G80" s="11">
        <f>SUM(G73:G79)</f>
        <v>289.12611199999998</v>
      </c>
    </row>
    <row r="82" spans="1:7" x14ac:dyDescent="0.2">
      <c r="A82" s="166" t="s">
        <v>76</v>
      </c>
      <c r="B82" s="166"/>
      <c r="C82" s="166"/>
      <c r="D82" s="166"/>
      <c r="E82" s="166"/>
      <c r="F82" s="166"/>
      <c r="G82" s="166"/>
    </row>
    <row r="83" spans="1:7" x14ac:dyDescent="0.2">
      <c r="A83" s="137"/>
      <c r="B83" s="137"/>
      <c r="C83" s="137"/>
      <c r="D83" s="137"/>
      <c r="E83" s="137"/>
      <c r="F83" s="137"/>
      <c r="G83" s="137"/>
    </row>
    <row r="84" spans="1:7" x14ac:dyDescent="0.2">
      <c r="A84" s="141" t="s">
        <v>77</v>
      </c>
      <c r="B84" s="154" t="s">
        <v>78</v>
      </c>
      <c r="C84" s="154"/>
      <c r="D84" s="154"/>
      <c r="E84" s="154"/>
      <c r="F84" s="140" t="s">
        <v>55</v>
      </c>
      <c r="G84" s="5" t="s">
        <v>26</v>
      </c>
    </row>
    <row r="85" spans="1:7" x14ac:dyDescent="0.2">
      <c r="A85" s="138" t="s">
        <v>4</v>
      </c>
      <c r="B85" s="160" t="s">
        <v>79</v>
      </c>
      <c r="C85" s="160"/>
      <c r="D85" s="160"/>
      <c r="E85" s="160"/>
      <c r="F85" s="21">
        <v>2.9899999999999999E-2</v>
      </c>
      <c r="G85" s="12">
        <f>$F$34*F85</f>
        <v>44.151536</v>
      </c>
    </row>
    <row r="86" spans="1:7" x14ac:dyDescent="0.2">
      <c r="A86" s="138" t="s">
        <v>6</v>
      </c>
      <c r="B86" s="160" t="s">
        <v>80</v>
      </c>
      <c r="C86" s="160"/>
      <c r="D86" s="160"/>
      <c r="E86" s="160"/>
      <c r="F86" s="21">
        <v>6.9999999999999999E-4</v>
      </c>
      <c r="G86" s="12">
        <f>$F$34*F86</f>
        <v>1.0336480000000001</v>
      </c>
    </row>
    <row r="87" spans="1:7" x14ac:dyDescent="0.2">
      <c r="A87" s="138" t="s">
        <v>9</v>
      </c>
      <c r="B87" s="173" t="s">
        <v>81</v>
      </c>
      <c r="C87" s="160"/>
      <c r="D87" s="160"/>
      <c r="E87" s="160"/>
      <c r="F87" s="21">
        <v>1.01E-2</v>
      </c>
      <c r="G87" s="12">
        <f>$F$34*F87</f>
        <v>14.914064</v>
      </c>
    </row>
    <row r="88" spans="1:7" x14ac:dyDescent="0.2">
      <c r="A88" s="138" t="s">
        <v>11</v>
      </c>
      <c r="B88" s="173" t="s">
        <v>82</v>
      </c>
      <c r="C88" s="160"/>
      <c r="D88" s="160"/>
      <c r="E88" s="160"/>
      <c r="F88" s="21">
        <v>3.6999999999999998E-2</v>
      </c>
      <c r="G88" s="12">
        <f>$F$34*F88</f>
        <v>54.635680000000001</v>
      </c>
    </row>
    <row r="89" spans="1:7" x14ac:dyDescent="0.2">
      <c r="A89" s="138" t="s">
        <v>37</v>
      </c>
      <c r="B89" s="173" t="s">
        <v>83</v>
      </c>
      <c r="C89" s="160"/>
      <c r="D89" s="160"/>
      <c r="E89" s="160"/>
      <c r="F89" s="4">
        <v>2.5000000000000001E-3</v>
      </c>
      <c r="G89" s="12">
        <f>$F$34*F89</f>
        <v>3.6916000000000002</v>
      </c>
    </row>
    <row r="90" spans="1:7" x14ac:dyDescent="0.2">
      <c r="A90" s="157" t="s">
        <v>65</v>
      </c>
      <c r="B90" s="158"/>
      <c r="C90" s="158"/>
      <c r="D90" s="158"/>
      <c r="E90" s="159"/>
      <c r="F90" s="6">
        <f>SUM(F85:F89)</f>
        <v>8.0199999999999994E-2</v>
      </c>
      <c r="G90" s="13">
        <f>SUM(G85:G89)</f>
        <v>118.42652799999999</v>
      </c>
    </row>
    <row r="92" spans="1:7" x14ac:dyDescent="0.2">
      <c r="A92" s="166" t="s">
        <v>84</v>
      </c>
      <c r="B92" s="166"/>
      <c r="C92" s="166"/>
      <c r="D92" s="166"/>
      <c r="E92" s="166"/>
      <c r="F92" s="166"/>
      <c r="G92" s="166"/>
    </row>
    <row r="94" spans="1:7" x14ac:dyDescent="0.2">
      <c r="A94" s="141" t="s">
        <v>85</v>
      </c>
      <c r="B94" s="154" t="s">
        <v>86</v>
      </c>
      <c r="C94" s="154"/>
      <c r="D94" s="154"/>
      <c r="E94" s="154"/>
      <c r="F94" s="140" t="s">
        <v>55</v>
      </c>
      <c r="G94" s="142" t="s">
        <v>26</v>
      </c>
    </row>
    <row r="95" spans="1:7" x14ac:dyDescent="0.2">
      <c r="A95" s="138" t="s">
        <v>4</v>
      </c>
      <c r="B95" s="174" t="s">
        <v>87</v>
      </c>
      <c r="C95" s="175"/>
      <c r="D95" s="175"/>
      <c r="E95" s="176"/>
      <c r="F95" s="21">
        <v>7.2099999999999997E-2</v>
      </c>
      <c r="G95" s="12">
        <f>F34*F95</f>
        <v>106.465744</v>
      </c>
    </row>
    <row r="96" spans="1:7" ht="25.5" customHeight="1" x14ac:dyDescent="0.2">
      <c r="A96" s="138" t="s">
        <v>6</v>
      </c>
      <c r="B96" s="177" t="s">
        <v>88</v>
      </c>
      <c r="C96" s="178"/>
      <c r="D96" s="178"/>
      <c r="E96" s="179"/>
      <c r="F96" s="21">
        <v>2.5999999999999999E-3</v>
      </c>
      <c r="G96" s="12">
        <f>F34*F96</f>
        <v>3.839264</v>
      </c>
    </row>
    <row r="97" spans="1:14" x14ac:dyDescent="0.2">
      <c r="A97" s="154" t="s">
        <v>65</v>
      </c>
      <c r="B97" s="154"/>
      <c r="C97" s="154"/>
      <c r="D97" s="154"/>
      <c r="E97" s="154"/>
      <c r="F97" s="6">
        <f>SUM(F95:F96)</f>
        <v>7.4700000000000003E-2</v>
      </c>
      <c r="G97" s="13">
        <f>SUM(G95:G96)</f>
        <v>110.305008</v>
      </c>
    </row>
    <row r="98" spans="1:14" x14ac:dyDescent="0.2">
      <c r="A98" s="16"/>
      <c r="B98" s="16"/>
      <c r="C98" s="16"/>
      <c r="D98" s="16"/>
      <c r="E98" s="16"/>
      <c r="F98" s="18"/>
      <c r="G98" s="19"/>
    </row>
    <row r="99" spans="1:14" x14ac:dyDescent="0.2">
      <c r="A99" s="166" t="s">
        <v>89</v>
      </c>
      <c r="B99" s="166"/>
      <c r="C99" s="166"/>
      <c r="D99" s="166"/>
      <c r="E99" s="166"/>
      <c r="F99" s="166"/>
      <c r="G99" s="166"/>
    </row>
    <row r="101" spans="1:14" x14ac:dyDescent="0.2">
      <c r="A101" s="141">
        <v>4</v>
      </c>
      <c r="B101" s="154" t="s">
        <v>90</v>
      </c>
      <c r="C101" s="154"/>
      <c r="D101" s="154"/>
      <c r="E101" s="154"/>
      <c r="F101" s="140" t="s">
        <v>55</v>
      </c>
      <c r="G101" s="142" t="s">
        <v>26</v>
      </c>
    </row>
    <row r="102" spans="1:14" x14ac:dyDescent="0.2">
      <c r="A102" s="138" t="s">
        <v>53</v>
      </c>
      <c r="B102" s="173" t="s">
        <v>54</v>
      </c>
      <c r="C102" s="173"/>
      <c r="D102" s="173"/>
      <c r="E102" s="173"/>
      <c r="F102" s="4">
        <f>F68</f>
        <v>0.3680000000000001</v>
      </c>
      <c r="G102" s="12">
        <f>F34*F102</f>
        <v>543.40352000000019</v>
      </c>
    </row>
    <row r="103" spans="1:14" x14ac:dyDescent="0.2">
      <c r="A103" s="138" t="s">
        <v>67</v>
      </c>
      <c r="B103" s="173" t="s">
        <v>68</v>
      </c>
      <c r="C103" s="173"/>
      <c r="D103" s="173"/>
      <c r="E103" s="173"/>
      <c r="F103" s="4">
        <f>F80</f>
        <v>0.19579999999999997</v>
      </c>
      <c r="G103" s="12">
        <f>F34*F103</f>
        <v>289.12611199999998</v>
      </c>
    </row>
    <row r="104" spans="1:14" x14ac:dyDescent="0.2">
      <c r="A104" s="138" t="s">
        <v>77</v>
      </c>
      <c r="B104" s="173" t="s">
        <v>78</v>
      </c>
      <c r="C104" s="173"/>
      <c r="D104" s="173"/>
      <c r="E104" s="173"/>
      <c r="F104" s="4">
        <f>F90</f>
        <v>8.0199999999999994E-2</v>
      </c>
      <c r="G104" s="12">
        <f>F104*F34</f>
        <v>118.426528</v>
      </c>
    </row>
    <row r="105" spans="1:14" x14ac:dyDescent="0.2">
      <c r="A105" s="138" t="s">
        <v>85</v>
      </c>
      <c r="B105" s="173" t="s">
        <v>86</v>
      </c>
      <c r="C105" s="173"/>
      <c r="D105" s="173"/>
      <c r="E105" s="173"/>
      <c r="F105" s="4">
        <f>F97</f>
        <v>7.4700000000000003E-2</v>
      </c>
      <c r="G105" s="12">
        <f>F105*F34</f>
        <v>110.30500800000002</v>
      </c>
    </row>
    <row r="106" spans="1:14" x14ac:dyDescent="0.2">
      <c r="A106" s="154" t="s">
        <v>65</v>
      </c>
      <c r="B106" s="154"/>
      <c r="C106" s="154"/>
      <c r="D106" s="154"/>
      <c r="E106" s="154"/>
      <c r="F106" s="6">
        <f>SUM(F102:F105)</f>
        <v>0.71870000000000012</v>
      </c>
      <c r="G106" s="13">
        <f>SUM(G102:G105)</f>
        <v>1061.2611680000002</v>
      </c>
    </row>
    <row r="108" spans="1:14" x14ac:dyDescent="0.2">
      <c r="A108" s="166" t="s">
        <v>91</v>
      </c>
      <c r="B108" s="166"/>
      <c r="C108" s="166"/>
      <c r="D108" s="166"/>
      <c r="E108" s="166"/>
      <c r="F108" s="166"/>
      <c r="G108" s="166"/>
    </row>
    <row r="110" spans="1:14" x14ac:dyDescent="0.2">
      <c r="A110" s="141">
        <v>5</v>
      </c>
      <c r="B110" s="154" t="s">
        <v>92</v>
      </c>
      <c r="C110" s="154"/>
      <c r="D110" s="154"/>
      <c r="E110" s="154"/>
      <c r="F110" s="140" t="s">
        <v>55</v>
      </c>
      <c r="G110" s="142" t="s">
        <v>26</v>
      </c>
      <c r="J110" s="22"/>
      <c r="K110" s="27"/>
      <c r="L110" s="28"/>
      <c r="M110" s="28"/>
      <c r="N110" s="29"/>
    </row>
    <row r="111" spans="1:14" x14ac:dyDescent="0.2">
      <c r="A111" s="138" t="s">
        <v>4</v>
      </c>
      <c r="B111" s="160" t="s">
        <v>93</v>
      </c>
      <c r="C111" s="160"/>
      <c r="D111" s="160"/>
      <c r="E111" s="160"/>
      <c r="F111" s="32">
        <v>0.2</v>
      </c>
      <c r="G111" s="31">
        <f>ROUND((F126*0.2),)</f>
        <v>644</v>
      </c>
      <c r="J111" s="22"/>
      <c r="K111" s="28"/>
      <c r="L111" s="28"/>
      <c r="M111" s="28"/>
      <c r="N111" s="29"/>
    </row>
    <row r="112" spans="1:14" x14ac:dyDescent="0.2">
      <c r="A112" s="143" t="s">
        <v>94</v>
      </c>
      <c r="B112" s="160" t="s">
        <v>135</v>
      </c>
      <c r="C112" s="160"/>
      <c r="D112" s="160"/>
      <c r="E112" s="160"/>
      <c r="F112" s="34">
        <v>0.16619999999999999</v>
      </c>
      <c r="G112" s="36">
        <f>ROUND(SUM(G113:G115),2)</f>
        <v>706.59</v>
      </c>
      <c r="J112" s="22"/>
      <c r="K112" s="28"/>
      <c r="L112" s="28"/>
      <c r="M112" s="28"/>
      <c r="N112" s="29"/>
    </row>
    <row r="113" spans="1:14" x14ac:dyDescent="0.2">
      <c r="A113" s="138"/>
      <c r="B113" s="173" t="s">
        <v>95</v>
      </c>
      <c r="C113" s="160"/>
      <c r="D113" s="160"/>
      <c r="E113" s="160"/>
      <c r="F113" s="32">
        <v>0.1079</v>
      </c>
      <c r="G113" s="37">
        <f>ROUND((F113*(F126+G111+G116)),2)</f>
        <v>458.73</v>
      </c>
      <c r="K113" s="28"/>
      <c r="L113" s="28"/>
      <c r="N113" s="30"/>
    </row>
    <row r="114" spans="1:14" x14ac:dyDescent="0.2">
      <c r="A114" s="138"/>
      <c r="B114" s="160" t="s">
        <v>96</v>
      </c>
      <c r="C114" s="160"/>
      <c r="D114" s="160"/>
      <c r="E114" s="160"/>
      <c r="F114" s="33" t="s">
        <v>97</v>
      </c>
      <c r="G114" s="37">
        <v>0</v>
      </c>
    </row>
    <row r="115" spans="1:14" x14ac:dyDescent="0.2">
      <c r="A115" s="138"/>
      <c r="B115" s="160" t="s">
        <v>98</v>
      </c>
      <c r="C115" s="160"/>
      <c r="D115" s="160"/>
      <c r="E115" s="160"/>
      <c r="F115" s="35">
        <v>5.8299999999999998E-2</v>
      </c>
      <c r="G115" s="37">
        <f>ROUND((F115*(F126+G111+G116)),2)</f>
        <v>247.86</v>
      </c>
      <c r="L115" s="28"/>
    </row>
    <row r="116" spans="1:14" x14ac:dyDescent="0.2">
      <c r="A116" s="138" t="s">
        <v>9</v>
      </c>
      <c r="B116" s="160" t="s">
        <v>99</v>
      </c>
      <c r="C116" s="160"/>
      <c r="D116" s="160"/>
      <c r="E116" s="160"/>
      <c r="F116" s="32">
        <v>0.1</v>
      </c>
      <c r="G116" s="31">
        <f>(G111+F126)*0.1</f>
        <v>386.49411680000003</v>
      </c>
    </row>
    <row r="117" spans="1:14" x14ac:dyDescent="0.2">
      <c r="A117" s="154" t="s">
        <v>65</v>
      </c>
      <c r="B117" s="154"/>
      <c r="C117" s="154"/>
      <c r="D117" s="154"/>
      <c r="E117" s="154"/>
      <c r="F117" s="7" t="s">
        <v>100</v>
      </c>
      <c r="G117" s="13">
        <f>G111+G112+G116</f>
        <v>1737.0841168000002</v>
      </c>
    </row>
    <row r="119" spans="1:14" x14ac:dyDescent="0.2">
      <c r="A119" s="166" t="s">
        <v>101</v>
      </c>
      <c r="B119" s="166"/>
      <c r="C119" s="166"/>
      <c r="D119" s="166"/>
      <c r="E119" s="166"/>
      <c r="F119" s="166"/>
      <c r="G119" s="166"/>
    </row>
    <row r="121" spans="1:14" x14ac:dyDescent="0.2">
      <c r="A121" s="157" t="s">
        <v>102</v>
      </c>
      <c r="B121" s="158"/>
      <c r="C121" s="158"/>
      <c r="D121" s="158"/>
      <c r="E121" s="159"/>
      <c r="F121" s="156" t="s">
        <v>26</v>
      </c>
      <c r="G121" s="156"/>
    </row>
    <row r="122" spans="1:14" x14ac:dyDescent="0.2">
      <c r="A122" s="138" t="s">
        <v>4</v>
      </c>
      <c r="B122" s="160" t="s">
        <v>103</v>
      </c>
      <c r="C122" s="160"/>
      <c r="D122" s="160"/>
      <c r="E122" s="160"/>
      <c r="F122" s="163">
        <f>F34</f>
        <v>1476.64</v>
      </c>
      <c r="G122" s="162"/>
    </row>
    <row r="123" spans="1:14" x14ac:dyDescent="0.2">
      <c r="A123" s="138" t="s">
        <v>6</v>
      </c>
      <c r="B123" s="160" t="s">
        <v>104</v>
      </c>
      <c r="C123" s="160"/>
      <c r="D123" s="160"/>
      <c r="E123" s="160"/>
      <c r="F123" s="163">
        <f>F45</f>
        <v>634.74</v>
      </c>
      <c r="G123" s="162"/>
    </row>
    <row r="124" spans="1:14" x14ac:dyDescent="0.2">
      <c r="A124" s="138" t="s">
        <v>9</v>
      </c>
      <c r="B124" s="160" t="s">
        <v>105</v>
      </c>
      <c r="C124" s="160"/>
      <c r="D124" s="160"/>
      <c r="E124" s="160"/>
      <c r="F124" s="163">
        <f>F53</f>
        <v>48.3</v>
      </c>
      <c r="G124" s="162"/>
      <c r="I124" s="20"/>
    </row>
    <row r="125" spans="1:14" x14ac:dyDescent="0.2">
      <c r="A125" s="138" t="s">
        <v>11</v>
      </c>
      <c r="B125" s="160" t="s">
        <v>106</v>
      </c>
      <c r="C125" s="160"/>
      <c r="D125" s="160"/>
      <c r="E125" s="160"/>
      <c r="F125" s="164">
        <f>G106</f>
        <v>1061.2611680000002</v>
      </c>
      <c r="G125" s="162"/>
    </row>
    <row r="126" spans="1:14" x14ac:dyDescent="0.2">
      <c r="A126" s="138"/>
      <c r="B126" s="160" t="s">
        <v>107</v>
      </c>
      <c r="C126" s="160"/>
      <c r="D126" s="160"/>
      <c r="E126" s="160"/>
      <c r="F126" s="163">
        <f>SUM(F122:G125)</f>
        <v>3220.9411680000003</v>
      </c>
      <c r="G126" s="162"/>
    </row>
    <row r="127" spans="1:14" x14ac:dyDescent="0.2">
      <c r="A127" s="138" t="s">
        <v>37</v>
      </c>
      <c r="B127" s="160" t="s">
        <v>108</v>
      </c>
      <c r="C127" s="160"/>
      <c r="D127" s="160"/>
      <c r="E127" s="160"/>
      <c r="F127" s="164">
        <f>G117</f>
        <v>1737.0841168000002</v>
      </c>
      <c r="G127" s="162"/>
    </row>
    <row r="128" spans="1:14" x14ac:dyDescent="0.2">
      <c r="A128" s="154" t="s">
        <v>109</v>
      </c>
      <c r="B128" s="154"/>
      <c r="C128" s="154"/>
      <c r="D128" s="154"/>
      <c r="E128" s="154"/>
      <c r="F128" s="165">
        <f>F126+F127</f>
        <v>4958.0252848</v>
      </c>
      <c r="G128" s="156"/>
    </row>
    <row r="130" spans="1:7" x14ac:dyDescent="0.2">
      <c r="A130" s="166" t="s">
        <v>110</v>
      </c>
      <c r="B130" s="166"/>
      <c r="C130" s="166"/>
      <c r="D130" s="166"/>
      <c r="E130" s="166"/>
      <c r="F130" s="166"/>
      <c r="G130" s="166"/>
    </row>
    <row r="132" spans="1:7" x14ac:dyDescent="0.2">
      <c r="A132" s="167" t="s">
        <v>111</v>
      </c>
      <c r="B132" s="168"/>
      <c r="C132" s="1" t="s">
        <v>112</v>
      </c>
      <c r="D132" s="1" t="s">
        <v>113</v>
      </c>
      <c r="E132" s="1" t="s">
        <v>114</v>
      </c>
      <c r="F132" s="1" t="s">
        <v>115</v>
      </c>
      <c r="G132" s="1" t="s">
        <v>116</v>
      </c>
    </row>
    <row r="133" spans="1:7" x14ac:dyDescent="0.2">
      <c r="A133" s="169" t="s">
        <v>117</v>
      </c>
      <c r="B133" s="170"/>
      <c r="C133" s="8" t="s">
        <v>118</v>
      </c>
      <c r="D133" s="8" t="s">
        <v>119</v>
      </c>
      <c r="E133" s="8" t="s">
        <v>120</v>
      </c>
      <c r="F133" s="8" t="s">
        <v>119</v>
      </c>
      <c r="G133" s="8" t="s">
        <v>121</v>
      </c>
    </row>
    <row r="134" spans="1:7" x14ac:dyDescent="0.2">
      <c r="A134" s="171" t="s">
        <v>122</v>
      </c>
      <c r="B134" s="172"/>
      <c r="C134" s="9" t="s">
        <v>123</v>
      </c>
      <c r="D134" s="9"/>
      <c r="E134" s="9" t="s">
        <v>124</v>
      </c>
      <c r="F134" s="9" t="s">
        <v>125</v>
      </c>
      <c r="G134" s="9" t="s">
        <v>126</v>
      </c>
    </row>
    <row r="135" spans="1:7" x14ac:dyDescent="0.2">
      <c r="A135" s="2" t="s">
        <v>16</v>
      </c>
      <c r="B135" s="147" t="s">
        <v>234</v>
      </c>
      <c r="C135" s="14">
        <f>F128</f>
        <v>4958.0252848</v>
      </c>
      <c r="D135" s="139">
        <v>1</v>
      </c>
      <c r="E135" s="14">
        <f>C135</f>
        <v>4958.0252848</v>
      </c>
      <c r="F135" s="139">
        <v>1</v>
      </c>
      <c r="G135" s="14">
        <f>E135*F135</f>
        <v>4958.0252848</v>
      </c>
    </row>
    <row r="136" spans="1:7" x14ac:dyDescent="0.2">
      <c r="A136" s="154" t="s">
        <v>127</v>
      </c>
      <c r="B136" s="154"/>
      <c r="C136" s="154"/>
      <c r="D136" s="154"/>
      <c r="E136" s="154"/>
      <c r="F136" s="154"/>
      <c r="G136" s="15">
        <f>G135</f>
        <v>4958.0252848</v>
      </c>
    </row>
    <row r="138" spans="1:7" x14ac:dyDescent="0.2">
      <c r="A138" s="166" t="s">
        <v>128</v>
      </c>
      <c r="B138" s="166"/>
      <c r="C138" s="166"/>
      <c r="D138" s="166"/>
      <c r="E138" s="166"/>
      <c r="F138" s="166"/>
      <c r="G138" s="166"/>
    </row>
    <row r="140" spans="1:7" x14ac:dyDescent="0.2">
      <c r="A140" s="157" t="s">
        <v>129</v>
      </c>
      <c r="B140" s="158"/>
      <c r="C140" s="158"/>
      <c r="D140" s="158"/>
      <c r="E140" s="158"/>
      <c r="F140" s="158"/>
      <c r="G140" s="159"/>
    </row>
    <row r="141" spans="1:7" x14ac:dyDescent="0.2">
      <c r="A141" s="2"/>
      <c r="B141" s="154" t="s">
        <v>130</v>
      </c>
      <c r="C141" s="154"/>
      <c r="D141" s="154"/>
      <c r="E141" s="154"/>
      <c r="F141" s="156" t="s">
        <v>26</v>
      </c>
      <c r="G141" s="156"/>
    </row>
    <row r="142" spans="1:7" x14ac:dyDescent="0.2">
      <c r="A142" s="2" t="s">
        <v>4</v>
      </c>
      <c r="B142" s="160" t="s">
        <v>131</v>
      </c>
      <c r="C142" s="160"/>
      <c r="D142" s="160"/>
      <c r="E142" s="160"/>
      <c r="F142" s="161">
        <f>E135</f>
        <v>4958.0252848</v>
      </c>
      <c r="G142" s="162"/>
    </row>
    <row r="143" spans="1:7" x14ac:dyDescent="0.2">
      <c r="A143" s="2" t="s">
        <v>6</v>
      </c>
      <c r="B143" s="160" t="s">
        <v>132</v>
      </c>
      <c r="C143" s="160"/>
      <c r="D143" s="160"/>
      <c r="E143" s="160"/>
      <c r="F143" s="161">
        <f>G136</f>
        <v>4958.0252848</v>
      </c>
      <c r="G143" s="162"/>
    </row>
    <row r="144" spans="1:7" x14ac:dyDescent="0.2">
      <c r="A144" s="5" t="s">
        <v>9</v>
      </c>
      <c r="B144" s="154" t="s">
        <v>235</v>
      </c>
      <c r="C144" s="154"/>
      <c r="D144" s="154"/>
      <c r="E144" s="154"/>
      <c r="F144" s="155">
        <f>F143*12</f>
        <v>59496.3034176</v>
      </c>
      <c r="G144" s="156"/>
    </row>
    <row r="147" spans="1:1" x14ac:dyDescent="0.2">
      <c r="A147" s="3"/>
    </row>
  </sheetData>
  <mergeCells count="161">
    <mergeCell ref="A6:G6"/>
    <mergeCell ref="A8:G10"/>
    <mergeCell ref="B12:E12"/>
    <mergeCell ref="F12:G12"/>
    <mergeCell ref="B13:E13"/>
    <mergeCell ref="F13:G13"/>
    <mergeCell ref="A1:G1"/>
    <mergeCell ref="A2:G2"/>
    <mergeCell ref="A4:D4"/>
    <mergeCell ref="E4:G4"/>
    <mergeCell ref="A5:D5"/>
    <mergeCell ref="E5:G5"/>
    <mergeCell ref="B18:C18"/>
    <mergeCell ref="D18:E18"/>
    <mergeCell ref="F18:G18"/>
    <mergeCell ref="A20:G20"/>
    <mergeCell ref="A21:G21"/>
    <mergeCell ref="A22:G22"/>
    <mergeCell ref="B14:E14"/>
    <mergeCell ref="F14:G14"/>
    <mergeCell ref="B15:E15"/>
    <mergeCell ref="F15:G15"/>
    <mergeCell ref="A17:C17"/>
    <mergeCell ref="D17:E17"/>
    <mergeCell ref="F17:G17"/>
    <mergeCell ref="B26:E26"/>
    <mergeCell ref="F26:G26"/>
    <mergeCell ref="A28:G28"/>
    <mergeCell ref="B29:E29"/>
    <mergeCell ref="F29:G29"/>
    <mergeCell ref="B30:E30"/>
    <mergeCell ref="F30:G30"/>
    <mergeCell ref="B23:E23"/>
    <mergeCell ref="F23:G23"/>
    <mergeCell ref="B24:E24"/>
    <mergeCell ref="F24:G24"/>
    <mergeCell ref="B25:E25"/>
    <mergeCell ref="F25:G25"/>
    <mergeCell ref="A34:E34"/>
    <mergeCell ref="F34:G34"/>
    <mergeCell ref="A36:G36"/>
    <mergeCell ref="B37:E37"/>
    <mergeCell ref="F37:G37"/>
    <mergeCell ref="B38:E38"/>
    <mergeCell ref="F38:G38"/>
    <mergeCell ref="B31:E31"/>
    <mergeCell ref="F31:G31"/>
    <mergeCell ref="B32:E32"/>
    <mergeCell ref="F32:G32"/>
    <mergeCell ref="B33:E33"/>
    <mergeCell ref="F33:G33"/>
    <mergeCell ref="B42:E42"/>
    <mergeCell ref="F42:G42"/>
    <mergeCell ref="B43:E43"/>
    <mergeCell ref="F43:G43"/>
    <mergeCell ref="B44:E44"/>
    <mergeCell ref="F44:G44"/>
    <mergeCell ref="B39:E39"/>
    <mergeCell ref="F39:G39"/>
    <mergeCell ref="B40:E40"/>
    <mergeCell ref="F40:G40"/>
    <mergeCell ref="B41:E41"/>
    <mergeCell ref="F41:G41"/>
    <mergeCell ref="B50:E50"/>
    <mergeCell ref="F50:G50"/>
    <mergeCell ref="B51:E51"/>
    <mergeCell ref="F51:G51"/>
    <mergeCell ref="B52:E52"/>
    <mergeCell ref="F52:G52"/>
    <mergeCell ref="A45:E45"/>
    <mergeCell ref="F45:G45"/>
    <mergeCell ref="A47:G47"/>
    <mergeCell ref="B48:E48"/>
    <mergeCell ref="F48:G48"/>
    <mergeCell ref="B49:E49"/>
    <mergeCell ref="F49:G49"/>
    <mergeCell ref="B61:E61"/>
    <mergeCell ref="B62:E62"/>
    <mergeCell ref="B63:E63"/>
    <mergeCell ref="B64:E64"/>
    <mergeCell ref="B65:E65"/>
    <mergeCell ref="B66:E66"/>
    <mergeCell ref="A53:E53"/>
    <mergeCell ref="F53:G53"/>
    <mergeCell ref="A55:G55"/>
    <mergeCell ref="A57:G57"/>
    <mergeCell ref="B59:E59"/>
    <mergeCell ref="B60:E60"/>
    <mergeCell ref="B75:E75"/>
    <mergeCell ref="B76:E76"/>
    <mergeCell ref="B77:E77"/>
    <mergeCell ref="B78:E78"/>
    <mergeCell ref="B79:E79"/>
    <mergeCell ref="A80:E80"/>
    <mergeCell ref="B67:E67"/>
    <mergeCell ref="A68:E68"/>
    <mergeCell ref="A70:G70"/>
    <mergeCell ref="B72:E72"/>
    <mergeCell ref="B73:E73"/>
    <mergeCell ref="B74:E74"/>
    <mergeCell ref="B89:E89"/>
    <mergeCell ref="A90:E90"/>
    <mergeCell ref="A92:G92"/>
    <mergeCell ref="B94:E94"/>
    <mergeCell ref="B95:E95"/>
    <mergeCell ref="B96:E96"/>
    <mergeCell ref="A82:G82"/>
    <mergeCell ref="B84:E84"/>
    <mergeCell ref="B85:E85"/>
    <mergeCell ref="B86:E86"/>
    <mergeCell ref="B87:E87"/>
    <mergeCell ref="B88:E88"/>
    <mergeCell ref="B105:E105"/>
    <mergeCell ref="A106:E106"/>
    <mergeCell ref="A108:G108"/>
    <mergeCell ref="B110:E110"/>
    <mergeCell ref="B111:E111"/>
    <mergeCell ref="B112:E112"/>
    <mergeCell ref="A97:E97"/>
    <mergeCell ref="A99:G99"/>
    <mergeCell ref="B101:E101"/>
    <mergeCell ref="B102:E102"/>
    <mergeCell ref="B103:E103"/>
    <mergeCell ref="B104:E104"/>
    <mergeCell ref="A121:E121"/>
    <mergeCell ref="F121:G121"/>
    <mergeCell ref="B122:E122"/>
    <mergeCell ref="F122:G122"/>
    <mergeCell ref="B123:E123"/>
    <mergeCell ref="F123:G123"/>
    <mergeCell ref="B113:E113"/>
    <mergeCell ref="B114:E114"/>
    <mergeCell ref="B115:E115"/>
    <mergeCell ref="B116:E116"/>
    <mergeCell ref="A117:E117"/>
    <mergeCell ref="A119:G119"/>
    <mergeCell ref="B127:E127"/>
    <mergeCell ref="F127:G127"/>
    <mergeCell ref="A128:E128"/>
    <mergeCell ref="F128:G128"/>
    <mergeCell ref="A130:G130"/>
    <mergeCell ref="A132:B132"/>
    <mergeCell ref="B124:E124"/>
    <mergeCell ref="F124:G124"/>
    <mergeCell ref="B125:E125"/>
    <mergeCell ref="F125:G125"/>
    <mergeCell ref="B126:E126"/>
    <mergeCell ref="F126:G126"/>
    <mergeCell ref="B142:E142"/>
    <mergeCell ref="F142:G142"/>
    <mergeCell ref="B143:E143"/>
    <mergeCell ref="F143:G143"/>
    <mergeCell ref="B144:E144"/>
    <mergeCell ref="F144:G144"/>
    <mergeCell ref="A133:B133"/>
    <mergeCell ref="A134:B134"/>
    <mergeCell ref="A136:F136"/>
    <mergeCell ref="A138:G138"/>
    <mergeCell ref="A140:G140"/>
    <mergeCell ref="B141:E141"/>
    <mergeCell ref="F141:G141"/>
  </mergeCells>
  <pageMargins left="0.57999999999999996" right="0.39370078740157483" top="0.89" bottom="0.98425196850393704" header="0.51181102362204722" footer="0.51181102362204722"/>
  <pageSetup paperSize="9" orientation="portrait" r:id="rId1"/>
  <headerFooter alignWithMargins="0"/>
  <rowBreaks count="2" manualBreakCount="2">
    <brk id="53" max="16383" man="1"/>
    <brk id="10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55"/>
  <sheetViews>
    <sheetView tabSelected="1" view="pageBreakPreview" zoomScaleNormal="120" workbookViewId="0">
      <selection activeCell="F26" sqref="F26"/>
    </sheetView>
  </sheetViews>
  <sheetFormatPr defaultRowHeight="12.75" x14ac:dyDescent="0.2"/>
  <cols>
    <col min="1" max="1" width="6" style="78" customWidth="1"/>
    <col min="2" max="2" width="43.28515625" style="77" customWidth="1"/>
    <col min="3" max="3" width="9.140625" style="77"/>
    <col min="4" max="4" width="8.5703125" style="77" customWidth="1"/>
    <col min="5" max="5" width="7.85546875" style="77" customWidth="1"/>
    <col min="6" max="6" width="12.140625" style="77" customWidth="1"/>
    <col min="7" max="16384" width="9.140625" style="77"/>
  </cols>
  <sheetData>
    <row r="1" spans="1:6" x14ac:dyDescent="0.2">
      <c r="A1" s="223" t="s">
        <v>137</v>
      </c>
      <c r="B1" s="223"/>
      <c r="C1" s="223"/>
      <c r="D1" s="223"/>
      <c r="E1" s="223"/>
      <c r="F1" s="223"/>
    </row>
    <row r="3" spans="1:6" x14ac:dyDescent="0.2">
      <c r="A3" s="115"/>
      <c r="B3" s="114"/>
      <c r="C3" s="114"/>
      <c r="D3" s="125"/>
      <c r="E3" s="114"/>
      <c r="F3" s="114"/>
    </row>
    <row r="4" spans="1:6" s="78" customFormat="1" x14ac:dyDescent="0.2">
      <c r="A4" s="115"/>
      <c r="B4" s="85" t="s">
        <v>138</v>
      </c>
      <c r="C4" s="85"/>
      <c r="D4" s="85"/>
      <c r="E4" s="85"/>
      <c r="F4" s="115"/>
    </row>
    <row r="5" spans="1:6" x14ac:dyDescent="0.2">
      <c r="A5" s="115"/>
      <c r="B5" s="114"/>
      <c r="C5" s="114"/>
      <c r="D5" s="114"/>
      <c r="E5" s="114"/>
      <c r="F5" s="114"/>
    </row>
    <row r="6" spans="1:6" x14ac:dyDescent="0.2">
      <c r="A6" s="90" t="s">
        <v>4</v>
      </c>
      <c r="B6" s="84" t="s">
        <v>139</v>
      </c>
      <c r="C6" s="84"/>
      <c r="D6" s="103"/>
      <c r="E6" s="102"/>
      <c r="F6" s="124"/>
    </row>
    <row r="7" spans="1:6" x14ac:dyDescent="0.2">
      <c r="A7" s="86" t="s">
        <v>140</v>
      </c>
      <c r="B7" s="101" t="s">
        <v>232</v>
      </c>
      <c r="C7" s="101"/>
      <c r="D7" s="101"/>
      <c r="E7" s="100"/>
      <c r="F7" s="99">
        <f>(56679+66885)/2</f>
        <v>61782</v>
      </c>
    </row>
    <row r="8" spans="1:6" x14ac:dyDescent="0.2">
      <c r="A8" s="86" t="s">
        <v>141</v>
      </c>
      <c r="B8" s="98" t="s">
        <v>142</v>
      </c>
      <c r="C8" s="98"/>
      <c r="D8" s="98"/>
      <c r="E8" s="97"/>
      <c r="F8" s="96">
        <v>36</v>
      </c>
    </row>
    <row r="9" spans="1:6" x14ac:dyDescent="0.2">
      <c r="A9" s="86" t="s">
        <v>143</v>
      </c>
      <c r="B9" s="98" t="s">
        <v>144</v>
      </c>
      <c r="C9" s="98"/>
      <c r="D9" s="98"/>
      <c r="E9" s="97"/>
      <c r="F9" s="123">
        <v>0.3</v>
      </c>
    </row>
    <row r="10" spans="1:6" x14ac:dyDescent="0.2">
      <c r="A10" s="86" t="s">
        <v>145</v>
      </c>
      <c r="B10" s="85" t="s">
        <v>146</v>
      </c>
      <c r="C10" s="85"/>
      <c r="D10" s="85"/>
      <c r="E10" s="95"/>
      <c r="F10" s="94">
        <f>(F7-(F9*F7))/F8</f>
        <v>1201.3166666666666</v>
      </c>
    </row>
    <row r="11" spans="1:6" x14ac:dyDescent="0.2">
      <c r="A11" s="93"/>
      <c r="B11" s="81"/>
      <c r="C11" s="81"/>
      <c r="D11" s="81"/>
      <c r="E11" s="92"/>
      <c r="F11" s="91"/>
    </row>
    <row r="12" spans="1:6" x14ac:dyDescent="0.2">
      <c r="A12" s="115"/>
      <c r="B12" s="114"/>
      <c r="C12" s="114"/>
      <c r="D12" s="114"/>
      <c r="E12" s="114"/>
      <c r="F12" s="122"/>
    </row>
    <row r="13" spans="1:6" s="78" customFormat="1" x14ac:dyDescent="0.2">
      <c r="D13" s="115"/>
      <c r="E13" s="115"/>
      <c r="F13" s="121"/>
    </row>
    <row r="14" spans="1:6" x14ac:dyDescent="0.2">
      <c r="A14" s="90" t="s">
        <v>6</v>
      </c>
      <c r="B14" s="89" t="s">
        <v>147</v>
      </c>
      <c r="C14" s="89"/>
      <c r="D14" s="88"/>
      <c r="E14" s="88"/>
      <c r="F14" s="87"/>
    </row>
    <row r="15" spans="1:6" x14ac:dyDescent="0.2">
      <c r="A15" s="86" t="s">
        <v>148</v>
      </c>
      <c r="B15" s="98" t="s">
        <v>149</v>
      </c>
      <c r="C15" s="98"/>
      <c r="D15" s="101"/>
      <c r="E15" s="101"/>
      <c r="F15" s="116">
        <v>0.05</v>
      </c>
    </row>
    <row r="16" spans="1:6" x14ac:dyDescent="0.2">
      <c r="A16" s="86" t="s">
        <v>150</v>
      </c>
      <c r="B16" s="85" t="s">
        <v>151</v>
      </c>
      <c r="C16" s="85"/>
      <c r="D16" s="85"/>
      <c r="E16" s="85"/>
      <c r="F16" s="120">
        <f>F15*F10</f>
        <v>60.06583333333333</v>
      </c>
    </row>
    <row r="17" spans="1:6" x14ac:dyDescent="0.2">
      <c r="A17" s="82"/>
      <c r="B17" s="81"/>
      <c r="C17" s="80"/>
      <c r="D17" s="80"/>
      <c r="E17" s="80"/>
      <c r="F17" s="79"/>
    </row>
    <row r="18" spans="1:6" x14ac:dyDescent="0.2">
      <c r="A18" s="119"/>
      <c r="B18" s="118"/>
      <c r="C18" s="118"/>
      <c r="D18" s="114"/>
      <c r="E18" s="114"/>
      <c r="F18" s="117"/>
    </row>
    <row r="19" spans="1:6" s="78" customFormat="1" x14ac:dyDescent="0.2">
      <c r="A19" s="90" t="s">
        <v>9</v>
      </c>
      <c r="B19" s="89" t="s">
        <v>152</v>
      </c>
      <c r="C19" s="89"/>
      <c r="D19" s="88"/>
      <c r="E19" s="88"/>
      <c r="F19" s="87"/>
    </row>
    <row r="20" spans="1:6" x14ac:dyDescent="0.2">
      <c r="A20" s="86" t="s">
        <v>153</v>
      </c>
      <c r="B20" s="98" t="s">
        <v>154</v>
      </c>
      <c r="C20" s="98"/>
      <c r="D20" s="101"/>
      <c r="E20" s="101"/>
      <c r="F20" s="116">
        <v>1</v>
      </c>
    </row>
    <row r="21" spans="1:6" x14ac:dyDescent="0.2">
      <c r="A21" s="86" t="s">
        <v>155</v>
      </c>
      <c r="B21" s="85" t="s">
        <v>156</v>
      </c>
      <c r="C21" s="85"/>
      <c r="D21" s="85"/>
      <c r="E21" s="85"/>
      <c r="F21" s="94">
        <f>(F20*F10)</f>
        <v>1201.3166666666666</v>
      </c>
    </row>
    <row r="22" spans="1:6" x14ac:dyDescent="0.2">
      <c r="A22" s="82"/>
      <c r="B22" s="81"/>
      <c r="C22" s="80"/>
      <c r="D22" s="80"/>
      <c r="E22" s="80"/>
      <c r="F22" s="79"/>
    </row>
    <row r="23" spans="1:6" x14ac:dyDescent="0.2">
      <c r="A23" s="115"/>
      <c r="B23" s="114"/>
      <c r="C23" s="114"/>
      <c r="D23" s="114"/>
      <c r="E23" s="114"/>
      <c r="F23" s="114"/>
    </row>
    <row r="24" spans="1:6" x14ac:dyDescent="0.2">
      <c r="A24" s="90" t="s">
        <v>11</v>
      </c>
      <c r="B24" s="84" t="s">
        <v>157</v>
      </c>
      <c r="C24" s="84"/>
      <c r="D24" s="103"/>
      <c r="E24" s="102"/>
      <c r="F24" s="87"/>
    </row>
    <row r="25" spans="1:6" x14ac:dyDescent="0.2">
      <c r="A25" s="86" t="s">
        <v>158</v>
      </c>
      <c r="B25" s="101" t="s">
        <v>159</v>
      </c>
      <c r="C25" s="101"/>
      <c r="D25" s="101"/>
      <c r="E25" s="100"/>
      <c r="F25" s="99">
        <v>2600</v>
      </c>
    </row>
    <row r="26" spans="1:6" x14ac:dyDescent="0.2">
      <c r="A26" s="86" t="s">
        <v>160</v>
      </c>
      <c r="B26" s="98" t="s">
        <v>230</v>
      </c>
      <c r="C26" s="98"/>
      <c r="D26" s="98"/>
      <c r="E26" s="97"/>
      <c r="F26" s="96">
        <v>4.2</v>
      </c>
    </row>
    <row r="27" spans="1:6" x14ac:dyDescent="0.2">
      <c r="A27" s="86" t="s">
        <v>161</v>
      </c>
      <c r="B27" s="98" t="s">
        <v>162</v>
      </c>
      <c r="C27" s="98"/>
      <c r="D27" s="98"/>
      <c r="E27" s="97"/>
      <c r="F27" s="96">
        <v>10</v>
      </c>
    </row>
    <row r="28" spans="1:6" x14ac:dyDescent="0.2">
      <c r="A28" s="86" t="s">
        <v>163</v>
      </c>
      <c r="B28" s="85" t="s">
        <v>164</v>
      </c>
      <c r="C28" s="85"/>
      <c r="D28" s="85"/>
      <c r="E28" s="95"/>
      <c r="F28" s="94">
        <f>(F25/F27)*F26</f>
        <v>1092</v>
      </c>
    </row>
    <row r="29" spans="1:6" x14ac:dyDescent="0.2">
      <c r="A29" s="113"/>
      <c r="B29" s="98"/>
      <c r="C29" s="98"/>
      <c r="D29" s="98"/>
      <c r="E29" s="97"/>
      <c r="F29" s="99"/>
    </row>
    <row r="30" spans="1:6" x14ac:dyDescent="0.2">
      <c r="A30" s="90"/>
      <c r="B30" s="112"/>
      <c r="C30" s="112"/>
      <c r="D30" s="111"/>
      <c r="E30" s="110"/>
      <c r="F30" s="109"/>
    </row>
    <row r="31" spans="1:6" x14ac:dyDescent="0.2">
      <c r="A31" s="108" t="s">
        <v>37</v>
      </c>
      <c r="B31" s="85" t="s">
        <v>165</v>
      </c>
      <c r="C31" s="85"/>
      <c r="D31" s="107"/>
      <c r="E31" s="106"/>
      <c r="F31" s="105"/>
    </row>
    <row r="32" spans="1:6" x14ac:dyDescent="0.2">
      <c r="A32" s="86" t="s">
        <v>166</v>
      </c>
      <c r="B32" s="101" t="s">
        <v>167</v>
      </c>
      <c r="C32" s="101"/>
      <c r="D32" s="101"/>
      <c r="E32" s="100"/>
      <c r="F32" s="99">
        <f>F25*12</f>
        <v>31200</v>
      </c>
    </row>
    <row r="33" spans="1:6" x14ac:dyDescent="0.2">
      <c r="A33" s="86" t="s">
        <v>168</v>
      </c>
      <c r="B33" s="98" t="s">
        <v>169</v>
      </c>
      <c r="C33" s="98"/>
      <c r="D33" s="98"/>
      <c r="E33" s="97"/>
      <c r="F33" s="96">
        <v>10000</v>
      </c>
    </row>
    <row r="34" spans="1:6" s="78" customFormat="1" x14ac:dyDescent="0.2">
      <c r="A34" s="86" t="s">
        <v>170</v>
      </c>
      <c r="B34" s="98" t="s">
        <v>171</v>
      </c>
      <c r="C34" s="98"/>
      <c r="D34" s="98"/>
      <c r="E34" s="97"/>
      <c r="F34" s="96">
        <f>'[1]Tubos e Conexões'!M48</f>
        <v>30.033333333333331</v>
      </c>
    </row>
    <row r="35" spans="1:6" s="78" customFormat="1" x14ac:dyDescent="0.2">
      <c r="A35" s="86" t="s">
        <v>172</v>
      </c>
      <c r="B35" s="98" t="s">
        <v>173</v>
      </c>
      <c r="C35" s="98"/>
      <c r="D35" s="98"/>
      <c r="E35" s="97"/>
      <c r="F35" s="96">
        <v>4</v>
      </c>
    </row>
    <row r="36" spans="1:6" s="78" customFormat="1" x14ac:dyDescent="0.2">
      <c r="A36" s="86" t="s">
        <v>174</v>
      </c>
      <c r="B36" s="98" t="s">
        <v>175</v>
      </c>
      <c r="C36" s="98"/>
      <c r="D36" s="98"/>
      <c r="E36" s="97"/>
      <c r="F36" s="96">
        <v>730</v>
      </c>
    </row>
    <row r="37" spans="1:6" s="78" customFormat="1" x14ac:dyDescent="0.2">
      <c r="A37" s="86" t="s">
        <v>176</v>
      </c>
      <c r="B37" s="85" t="s">
        <v>177</v>
      </c>
      <c r="C37" s="85"/>
      <c r="D37" s="85"/>
      <c r="E37" s="95"/>
      <c r="F37" s="94">
        <f>(F32*F34*F35*30)/(F33*F36)</f>
        <v>15.403397260273971</v>
      </c>
    </row>
    <row r="38" spans="1:6" s="78" customFormat="1" x14ac:dyDescent="0.2">
      <c r="A38" s="93"/>
      <c r="B38" s="81"/>
      <c r="C38" s="81"/>
      <c r="D38" s="81"/>
      <c r="E38" s="92"/>
      <c r="F38" s="91"/>
    </row>
    <row r="40" spans="1:6" x14ac:dyDescent="0.2">
      <c r="A40" s="104" t="s">
        <v>39</v>
      </c>
      <c r="B40" s="89" t="s">
        <v>178</v>
      </c>
      <c r="C40" s="89"/>
      <c r="D40" s="103"/>
      <c r="E40" s="102"/>
      <c r="F40" s="87"/>
    </row>
    <row r="41" spans="1:6" x14ac:dyDescent="0.2">
      <c r="A41" s="86" t="s">
        <v>179</v>
      </c>
      <c r="B41" s="101" t="s">
        <v>167</v>
      </c>
      <c r="C41" s="101"/>
      <c r="D41" s="101"/>
      <c r="E41" s="100"/>
      <c r="F41" s="99">
        <f>F25*12</f>
        <v>31200</v>
      </c>
    </row>
    <row r="42" spans="1:6" x14ac:dyDescent="0.2">
      <c r="A42" s="86" t="s">
        <v>180</v>
      </c>
      <c r="B42" s="98" t="s">
        <v>181</v>
      </c>
      <c r="C42" s="98"/>
      <c r="D42" s="98"/>
      <c r="E42" s="97"/>
      <c r="F42" s="96">
        <v>30000</v>
      </c>
    </row>
    <row r="43" spans="1:6" x14ac:dyDescent="0.2">
      <c r="A43" s="86" t="s">
        <v>182</v>
      </c>
      <c r="B43" s="98" t="s">
        <v>183</v>
      </c>
      <c r="C43" s="98"/>
      <c r="D43" s="98"/>
      <c r="E43" s="97"/>
      <c r="F43" s="96">
        <v>4</v>
      </c>
    </row>
    <row r="44" spans="1:6" x14ac:dyDescent="0.2">
      <c r="A44" s="86" t="s">
        <v>184</v>
      </c>
      <c r="B44" s="98" t="s">
        <v>185</v>
      </c>
      <c r="C44" s="98"/>
      <c r="D44" s="98"/>
      <c r="E44" s="97"/>
      <c r="F44" s="96">
        <v>467.4</v>
      </c>
    </row>
    <row r="45" spans="1:6" x14ac:dyDescent="0.2">
      <c r="A45" s="86" t="s">
        <v>186</v>
      </c>
      <c r="B45" s="98" t="s">
        <v>175</v>
      </c>
      <c r="C45" s="98"/>
      <c r="D45" s="98"/>
      <c r="E45" s="97"/>
      <c r="F45" s="96">
        <v>730</v>
      </c>
    </row>
    <row r="46" spans="1:6" x14ac:dyDescent="0.2">
      <c r="A46" s="86" t="s">
        <v>187</v>
      </c>
      <c r="B46" s="85" t="s">
        <v>188</v>
      </c>
      <c r="C46" s="85"/>
      <c r="D46" s="85"/>
      <c r="E46" s="95"/>
      <c r="F46" s="94">
        <f>(F41*F43*F44*30)/(F42*F45)</f>
        <v>79.906191780821914</v>
      </c>
    </row>
    <row r="47" spans="1:6" x14ac:dyDescent="0.2">
      <c r="A47" s="93"/>
      <c r="B47" s="81"/>
      <c r="C47" s="81"/>
      <c r="D47" s="81"/>
      <c r="E47" s="92"/>
      <c r="F47" s="91"/>
    </row>
    <row r="49" spans="1:6" x14ac:dyDescent="0.2">
      <c r="A49" s="90" t="s">
        <v>41</v>
      </c>
      <c r="B49" s="89" t="s">
        <v>189</v>
      </c>
      <c r="C49" s="89"/>
      <c r="D49" s="88"/>
      <c r="E49" s="88"/>
      <c r="F49" s="87"/>
    </row>
    <row r="50" spans="1:6" x14ac:dyDescent="0.2">
      <c r="A50" s="86" t="s">
        <v>190</v>
      </c>
      <c r="B50" s="85" t="s">
        <v>191</v>
      </c>
      <c r="C50" s="85"/>
      <c r="D50" s="84"/>
      <c r="E50" s="84"/>
      <c r="F50" s="83">
        <f>F46+F37+F28+F21+F16+F10</f>
        <v>3650.0087557077622</v>
      </c>
    </row>
    <row r="51" spans="1:6" x14ac:dyDescent="0.2">
      <c r="A51" s="82"/>
      <c r="B51" s="81"/>
      <c r="C51" s="80"/>
      <c r="D51" s="80"/>
      <c r="E51" s="80"/>
      <c r="F51" s="79"/>
    </row>
    <row r="53" spans="1:6" x14ac:dyDescent="0.2">
      <c r="A53" s="90" t="s">
        <v>63</v>
      </c>
      <c r="B53" s="89" t="s">
        <v>192</v>
      </c>
      <c r="C53" s="89"/>
      <c r="D53" s="88"/>
      <c r="E53" s="88"/>
      <c r="F53" s="87"/>
    </row>
    <row r="54" spans="1:6" x14ac:dyDescent="0.2">
      <c r="A54" s="86" t="s">
        <v>193</v>
      </c>
      <c r="B54" s="85" t="s">
        <v>191</v>
      </c>
      <c r="C54" s="85"/>
      <c r="D54" s="84"/>
      <c r="E54" s="84"/>
      <c r="F54" s="83">
        <f>F50/F25</f>
        <v>1.4038495214260625</v>
      </c>
    </row>
    <row r="55" spans="1:6" x14ac:dyDescent="0.2">
      <c r="A55" s="82"/>
      <c r="B55" s="81"/>
      <c r="C55" s="80"/>
      <c r="D55" s="80"/>
      <c r="E55" s="80"/>
      <c r="F55" s="79"/>
    </row>
  </sheetData>
  <mergeCells count="1">
    <mergeCell ref="A1:F1"/>
  </mergeCells>
  <pageMargins left="0.75" right="0.75" top="1" bottom="1" header="0.5" footer="0.5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55"/>
  <sheetViews>
    <sheetView view="pageBreakPreview" topLeftCell="A25" zoomScaleNormal="120" workbookViewId="0">
      <selection activeCell="B4" sqref="B4"/>
    </sheetView>
  </sheetViews>
  <sheetFormatPr defaultRowHeight="12.75" x14ac:dyDescent="0.2"/>
  <cols>
    <col min="1" max="1" width="6" style="78" customWidth="1"/>
    <col min="2" max="2" width="43.28515625" style="77" customWidth="1"/>
    <col min="3" max="3" width="9.140625" style="77"/>
    <col min="4" max="4" width="8.5703125" style="77" customWidth="1"/>
    <col min="5" max="5" width="7.85546875" style="77" customWidth="1"/>
    <col min="6" max="6" width="12.140625" style="77" customWidth="1"/>
    <col min="7" max="16384" width="9.140625" style="77"/>
  </cols>
  <sheetData>
    <row r="1" spans="1:6" x14ac:dyDescent="0.2">
      <c r="A1" s="223" t="s">
        <v>194</v>
      </c>
      <c r="B1" s="223"/>
      <c r="C1" s="223"/>
      <c r="D1" s="223"/>
      <c r="E1" s="223"/>
      <c r="F1" s="223"/>
    </row>
    <row r="3" spans="1:6" x14ac:dyDescent="0.2">
      <c r="A3" s="115"/>
      <c r="B3" s="114"/>
      <c r="C3" s="114"/>
      <c r="D3" s="125"/>
      <c r="E3" s="114"/>
      <c r="F3" s="114"/>
    </row>
    <row r="4" spans="1:6" s="78" customFormat="1" x14ac:dyDescent="0.2">
      <c r="A4" s="115"/>
      <c r="B4" s="85" t="s">
        <v>237</v>
      </c>
      <c r="C4" s="85"/>
      <c r="D4" s="85"/>
      <c r="E4" s="85"/>
      <c r="F4" s="115"/>
    </row>
    <row r="5" spans="1:6" x14ac:dyDescent="0.2">
      <c r="A5" s="115"/>
      <c r="B5" s="114"/>
      <c r="C5" s="114"/>
      <c r="D5" s="114"/>
      <c r="E5" s="114"/>
      <c r="F5" s="114"/>
    </row>
    <row r="6" spans="1:6" x14ac:dyDescent="0.2">
      <c r="A6" s="90" t="s">
        <v>4</v>
      </c>
      <c r="B6" s="84" t="s">
        <v>139</v>
      </c>
      <c r="C6" s="84"/>
      <c r="D6" s="103"/>
      <c r="E6" s="102"/>
      <c r="F6" s="124"/>
    </row>
    <row r="7" spans="1:6" x14ac:dyDescent="0.2">
      <c r="A7" s="86" t="s">
        <v>140</v>
      </c>
      <c r="B7" s="101" t="s">
        <v>231</v>
      </c>
      <c r="C7" s="101"/>
      <c r="D7" s="101"/>
      <c r="E7" s="100"/>
      <c r="F7" s="99">
        <v>14000</v>
      </c>
    </row>
    <row r="8" spans="1:6" x14ac:dyDescent="0.2">
      <c r="A8" s="86" t="s">
        <v>141</v>
      </c>
      <c r="B8" s="98" t="s">
        <v>142</v>
      </c>
      <c r="C8" s="98"/>
      <c r="D8" s="98"/>
      <c r="E8" s="97"/>
      <c r="F8" s="96">
        <v>36</v>
      </c>
    </row>
    <row r="9" spans="1:6" x14ac:dyDescent="0.2">
      <c r="A9" s="86" t="s">
        <v>143</v>
      </c>
      <c r="B9" s="98" t="s">
        <v>144</v>
      </c>
      <c r="C9" s="98"/>
      <c r="D9" s="98"/>
      <c r="E9" s="97"/>
      <c r="F9" s="123">
        <v>0.3</v>
      </c>
    </row>
    <row r="10" spans="1:6" x14ac:dyDescent="0.2">
      <c r="A10" s="86" t="s">
        <v>145</v>
      </c>
      <c r="B10" s="85" t="s">
        <v>146</v>
      </c>
      <c r="C10" s="85"/>
      <c r="D10" s="85"/>
      <c r="E10" s="95"/>
      <c r="F10" s="94">
        <f>(F7-(F9*F7))/F8</f>
        <v>272.22222222222223</v>
      </c>
    </row>
    <row r="11" spans="1:6" x14ac:dyDescent="0.2">
      <c r="A11" s="93"/>
      <c r="B11" s="81"/>
      <c r="C11" s="81"/>
      <c r="D11" s="81"/>
      <c r="E11" s="92"/>
      <c r="F11" s="91"/>
    </row>
    <row r="12" spans="1:6" x14ac:dyDescent="0.2">
      <c r="A12" s="115"/>
      <c r="B12" s="114"/>
      <c r="C12" s="114"/>
      <c r="D12" s="114"/>
      <c r="E12" s="114"/>
      <c r="F12" s="122"/>
    </row>
    <row r="13" spans="1:6" s="78" customFormat="1" x14ac:dyDescent="0.2">
      <c r="D13" s="115"/>
      <c r="E13" s="115"/>
      <c r="F13" s="121"/>
    </row>
    <row r="14" spans="1:6" x14ac:dyDescent="0.2">
      <c r="A14" s="90" t="s">
        <v>6</v>
      </c>
      <c r="B14" s="89" t="s">
        <v>147</v>
      </c>
      <c r="C14" s="89"/>
      <c r="D14" s="88"/>
      <c r="E14" s="88"/>
      <c r="F14" s="87"/>
    </row>
    <row r="15" spans="1:6" x14ac:dyDescent="0.2">
      <c r="A15" s="86" t="s">
        <v>148</v>
      </c>
      <c r="B15" s="98" t="s">
        <v>149</v>
      </c>
      <c r="C15" s="98"/>
      <c r="D15" s="101"/>
      <c r="E15" s="101"/>
      <c r="F15" s="116">
        <v>0.05</v>
      </c>
    </row>
    <row r="16" spans="1:6" x14ac:dyDescent="0.2">
      <c r="A16" s="86" t="s">
        <v>150</v>
      </c>
      <c r="B16" s="85" t="s">
        <v>151</v>
      </c>
      <c r="C16" s="85"/>
      <c r="D16" s="85"/>
      <c r="E16" s="85"/>
      <c r="F16" s="120">
        <f>F15*F10</f>
        <v>13.611111111111112</v>
      </c>
    </row>
    <row r="17" spans="1:6" x14ac:dyDescent="0.2">
      <c r="A17" s="82"/>
      <c r="B17" s="81"/>
      <c r="C17" s="80"/>
      <c r="D17" s="80"/>
      <c r="E17" s="80"/>
      <c r="F17" s="79"/>
    </row>
    <row r="18" spans="1:6" x14ac:dyDescent="0.2">
      <c r="A18" s="119"/>
      <c r="B18" s="118"/>
      <c r="C18" s="118"/>
      <c r="D18" s="114"/>
      <c r="E18" s="114"/>
      <c r="F18" s="117"/>
    </row>
    <row r="19" spans="1:6" s="78" customFormat="1" x14ac:dyDescent="0.2">
      <c r="A19" s="90" t="s">
        <v>9</v>
      </c>
      <c r="B19" s="89" t="s">
        <v>152</v>
      </c>
      <c r="C19" s="89"/>
      <c r="D19" s="88"/>
      <c r="E19" s="88"/>
      <c r="F19" s="87"/>
    </row>
    <row r="20" spans="1:6" x14ac:dyDescent="0.2">
      <c r="A20" s="86" t="s">
        <v>153</v>
      </c>
      <c r="B20" s="98" t="s">
        <v>154</v>
      </c>
      <c r="C20" s="98"/>
      <c r="D20" s="101"/>
      <c r="E20" s="101"/>
      <c r="F20" s="116">
        <v>1</v>
      </c>
    </row>
    <row r="21" spans="1:6" x14ac:dyDescent="0.2">
      <c r="A21" s="86" t="s">
        <v>155</v>
      </c>
      <c r="B21" s="85" t="s">
        <v>156</v>
      </c>
      <c r="C21" s="85"/>
      <c r="D21" s="85"/>
      <c r="E21" s="85"/>
      <c r="F21" s="94">
        <f>(F20*F10)</f>
        <v>272.22222222222223</v>
      </c>
    </row>
    <row r="22" spans="1:6" x14ac:dyDescent="0.2">
      <c r="A22" s="82"/>
      <c r="B22" s="81"/>
      <c r="C22" s="80"/>
      <c r="D22" s="80"/>
      <c r="E22" s="80"/>
      <c r="F22" s="79"/>
    </row>
    <row r="23" spans="1:6" x14ac:dyDescent="0.2">
      <c r="A23" s="115"/>
      <c r="B23" s="114"/>
      <c r="C23" s="114"/>
      <c r="D23" s="114"/>
      <c r="E23" s="114"/>
      <c r="F23" s="114"/>
    </row>
    <row r="24" spans="1:6" x14ac:dyDescent="0.2">
      <c r="A24" s="90" t="s">
        <v>11</v>
      </c>
      <c r="B24" s="84" t="s">
        <v>157</v>
      </c>
      <c r="C24" s="84"/>
      <c r="D24" s="103"/>
      <c r="E24" s="102"/>
      <c r="F24" s="87"/>
    </row>
    <row r="25" spans="1:6" x14ac:dyDescent="0.2">
      <c r="A25" s="86" t="s">
        <v>158</v>
      </c>
      <c r="B25" s="101" t="s">
        <v>159</v>
      </c>
      <c r="C25" s="101"/>
      <c r="D25" s="101"/>
      <c r="E25" s="100"/>
      <c r="F25" s="99">
        <v>2500</v>
      </c>
    </row>
    <row r="26" spans="1:6" x14ac:dyDescent="0.2">
      <c r="A26" s="86" t="s">
        <v>160</v>
      </c>
      <c r="B26" s="98" t="s">
        <v>230</v>
      </c>
      <c r="C26" s="98"/>
      <c r="D26" s="98"/>
      <c r="E26" s="97"/>
      <c r="F26" s="96">
        <v>4.2</v>
      </c>
    </row>
    <row r="27" spans="1:6" x14ac:dyDescent="0.2">
      <c r="A27" s="86" t="s">
        <v>161</v>
      </c>
      <c r="B27" s="98" t="s">
        <v>162</v>
      </c>
      <c r="C27" s="98"/>
      <c r="D27" s="98"/>
      <c r="E27" s="97"/>
      <c r="F27" s="96">
        <v>30</v>
      </c>
    </row>
    <row r="28" spans="1:6" x14ac:dyDescent="0.2">
      <c r="A28" s="86" t="s">
        <v>163</v>
      </c>
      <c r="B28" s="85" t="s">
        <v>164</v>
      </c>
      <c r="C28" s="85"/>
      <c r="D28" s="85"/>
      <c r="E28" s="95"/>
      <c r="F28" s="94">
        <f>(F25/F27)*F26</f>
        <v>350</v>
      </c>
    </row>
    <row r="29" spans="1:6" x14ac:dyDescent="0.2">
      <c r="A29" s="113"/>
      <c r="B29" s="98"/>
      <c r="C29" s="98"/>
      <c r="D29" s="98"/>
      <c r="E29" s="97"/>
      <c r="F29" s="99"/>
    </row>
    <row r="30" spans="1:6" x14ac:dyDescent="0.2">
      <c r="A30" s="90"/>
      <c r="B30" s="112"/>
      <c r="C30" s="112"/>
      <c r="D30" s="111"/>
      <c r="E30" s="110"/>
      <c r="F30" s="109"/>
    </row>
    <row r="31" spans="1:6" x14ac:dyDescent="0.2">
      <c r="A31" s="108" t="s">
        <v>37</v>
      </c>
      <c r="B31" s="85" t="s">
        <v>165</v>
      </c>
      <c r="C31" s="85"/>
      <c r="D31" s="107"/>
      <c r="E31" s="106"/>
      <c r="F31" s="105"/>
    </row>
    <row r="32" spans="1:6" x14ac:dyDescent="0.2">
      <c r="A32" s="86" t="s">
        <v>166</v>
      </c>
      <c r="B32" s="101" t="s">
        <v>167</v>
      </c>
      <c r="C32" s="101"/>
      <c r="D32" s="101"/>
      <c r="E32" s="100"/>
      <c r="F32" s="99">
        <f>F25*12</f>
        <v>30000</v>
      </c>
    </row>
    <row r="33" spans="1:6" x14ac:dyDescent="0.2">
      <c r="A33" s="86" t="s">
        <v>168</v>
      </c>
      <c r="B33" s="98" t="s">
        <v>195</v>
      </c>
      <c r="C33" s="98"/>
      <c r="D33" s="98"/>
      <c r="E33" s="97"/>
      <c r="F33" s="96">
        <v>4000</v>
      </c>
    </row>
    <row r="34" spans="1:6" s="78" customFormat="1" x14ac:dyDescent="0.2">
      <c r="A34" s="86" t="s">
        <v>170</v>
      </c>
      <c r="B34" s="98" t="s">
        <v>171</v>
      </c>
      <c r="C34" s="98"/>
      <c r="D34" s="98"/>
      <c r="E34" s="97"/>
      <c r="F34" s="96">
        <f>'[1]Tubos e Conexões'!M48</f>
        <v>30.033333333333331</v>
      </c>
    </row>
    <row r="35" spans="1:6" s="78" customFormat="1" x14ac:dyDescent="0.2">
      <c r="A35" s="86" t="s">
        <v>172</v>
      </c>
      <c r="B35" s="98" t="s">
        <v>173</v>
      </c>
      <c r="C35" s="98"/>
      <c r="D35" s="98"/>
      <c r="E35" s="97"/>
      <c r="F35" s="96">
        <v>1.2</v>
      </c>
    </row>
    <row r="36" spans="1:6" s="78" customFormat="1" x14ac:dyDescent="0.2">
      <c r="A36" s="86" t="s">
        <v>174</v>
      </c>
      <c r="B36" s="98" t="s">
        <v>175</v>
      </c>
      <c r="C36" s="98"/>
      <c r="D36" s="98"/>
      <c r="E36" s="97"/>
      <c r="F36" s="96">
        <v>730</v>
      </c>
    </row>
    <row r="37" spans="1:6" s="78" customFormat="1" x14ac:dyDescent="0.2">
      <c r="A37" s="86" t="s">
        <v>176</v>
      </c>
      <c r="B37" s="85" t="s">
        <v>177</v>
      </c>
      <c r="C37" s="85"/>
      <c r="D37" s="85"/>
      <c r="E37" s="95"/>
      <c r="F37" s="94">
        <f>(F32*F34*F35*30)/(F33*F36)</f>
        <v>11.108219178082193</v>
      </c>
    </row>
    <row r="38" spans="1:6" s="78" customFormat="1" x14ac:dyDescent="0.2">
      <c r="A38" s="93"/>
      <c r="B38" s="81"/>
      <c r="C38" s="81"/>
      <c r="D38" s="81"/>
      <c r="E38" s="92"/>
      <c r="F38" s="91"/>
    </row>
    <row r="40" spans="1:6" x14ac:dyDescent="0.2">
      <c r="A40" s="104" t="s">
        <v>39</v>
      </c>
      <c r="B40" s="89" t="s">
        <v>178</v>
      </c>
      <c r="C40" s="89"/>
      <c r="D40" s="103"/>
      <c r="E40" s="102"/>
      <c r="F40" s="87"/>
    </row>
    <row r="41" spans="1:6" x14ac:dyDescent="0.2">
      <c r="A41" s="86" t="s">
        <v>179</v>
      </c>
      <c r="B41" s="101" t="s">
        <v>167</v>
      </c>
      <c r="C41" s="101"/>
      <c r="D41" s="101"/>
      <c r="E41" s="100"/>
      <c r="F41" s="99">
        <f>F25*12</f>
        <v>30000</v>
      </c>
    </row>
    <row r="42" spans="1:6" x14ac:dyDescent="0.2">
      <c r="A42" s="86" t="s">
        <v>180</v>
      </c>
      <c r="B42" s="98" t="s">
        <v>181</v>
      </c>
      <c r="C42" s="98"/>
      <c r="D42" s="98"/>
      <c r="E42" s="97"/>
      <c r="F42" s="96">
        <v>10000</v>
      </c>
    </row>
    <row r="43" spans="1:6" x14ac:dyDescent="0.2">
      <c r="A43" s="86" t="s">
        <v>182</v>
      </c>
      <c r="B43" s="98" t="s">
        <v>183</v>
      </c>
      <c r="C43" s="98"/>
      <c r="D43" s="98"/>
      <c r="E43" s="97"/>
      <c r="F43" s="96">
        <v>2</v>
      </c>
    </row>
    <row r="44" spans="1:6" x14ac:dyDescent="0.2">
      <c r="A44" s="86" t="s">
        <v>184</v>
      </c>
      <c r="B44" s="98" t="s">
        <v>185</v>
      </c>
      <c r="C44" s="98"/>
      <c r="D44" s="98"/>
      <c r="E44" s="97"/>
      <c r="F44" s="96">
        <v>234.56</v>
      </c>
    </row>
    <row r="45" spans="1:6" x14ac:dyDescent="0.2">
      <c r="A45" s="86" t="s">
        <v>186</v>
      </c>
      <c r="B45" s="98" t="s">
        <v>175</v>
      </c>
      <c r="C45" s="98"/>
      <c r="D45" s="98"/>
      <c r="E45" s="97"/>
      <c r="F45" s="96">
        <v>730</v>
      </c>
    </row>
    <row r="46" spans="1:6" x14ac:dyDescent="0.2">
      <c r="A46" s="86" t="s">
        <v>187</v>
      </c>
      <c r="B46" s="85" t="s">
        <v>188</v>
      </c>
      <c r="C46" s="85"/>
      <c r="D46" s="85"/>
      <c r="E46" s="95"/>
      <c r="F46" s="94">
        <f>(F41*F43*F44*30)/(F42*F45)</f>
        <v>57.836712328767121</v>
      </c>
    </row>
    <row r="47" spans="1:6" x14ac:dyDescent="0.2">
      <c r="A47" s="93"/>
      <c r="B47" s="81"/>
      <c r="C47" s="81"/>
      <c r="D47" s="81"/>
      <c r="E47" s="92"/>
      <c r="F47" s="91"/>
    </row>
    <row r="49" spans="1:6" x14ac:dyDescent="0.2">
      <c r="A49" s="90" t="s">
        <v>41</v>
      </c>
      <c r="B49" s="89" t="s">
        <v>189</v>
      </c>
      <c r="C49" s="89"/>
      <c r="D49" s="88"/>
      <c r="E49" s="88"/>
      <c r="F49" s="87"/>
    </row>
    <row r="50" spans="1:6" x14ac:dyDescent="0.2">
      <c r="A50" s="86" t="s">
        <v>190</v>
      </c>
      <c r="B50" s="85" t="s">
        <v>191</v>
      </c>
      <c r="C50" s="85"/>
      <c r="D50" s="84"/>
      <c r="E50" s="84"/>
      <c r="F50" s="83">
        <f>F46+F37+F28+F21+F16+F10</f>
        <v>977.00048706240477</v>
      </c>
    </row>
    <row r="51" spans="1:6" x14ac:dyDescent="0.2">
      <c r="A51" s="82"/>
      <c r="B51" s="81"/>
      <c r="C51" s="80"/>
      <c r="D51" s="80"/>
      <c r="E51" s="80"/>
      <c r="F51" s="79"/>
    </row>
    <row r="53" spans="1:6" x14ac:dyDescent="0.2">
      <c r="A53" s="90" t="s">
        <v>63</v>
      </c>
      <c r="B53" s="89" t="s">
        <v>192</v>
      </c>
      <c r="C53" s="89"/>
      <c r="D53" s="88"/>
      <c r="E53" s="88"/>
      <c r="F53" s="87"/>
    </row>
    <row r="54" spans="1:6" x14ac:dyDescent="0.2">
      <c r="A54" s="86" t="s">
        <v>193</v>
      </c>
      <c r="B54" s="85" t="s">
        <v>191</v>
      </c>
      <c r="C54" s="85"/>
      <c r="D54" s="84"/>
      <c r="E54" s="84"/>
      <c r="F54" s="83">
        <f>F50/F25</f>
        <v>0.39080019482496192</v>
      </c>
    </row>
    <row r="55" spans="1:6" x14ac:dyDescent="0.2">
      <c r="A55" s="82"/>
      <c r="B55" s="81"/>
      <c r="C55" s="80"/>
      <c r="D55" s="80"/>
      <c r="E55" s="80"/>
      <c r="F55" s="79"/>
    </row>
  </sheetData>
  <mergeCells count="1">
    <mergeCell ref="A1:F1"/>
  </mergeCells>
  <pageMargins left="0.75" right="0.75" top="1" bottom="1" header="0.5" footer="0.5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0"/>
  <sheetViews>
    <sheetView workbookViewId="0">
      <selection activeCell="A13" sqref="A13"/>
    </sheetView>
  </sheetViews>
  <sheetFormatPr defaultRowHeight="12.75" x14ac:dyDescent="0.2"/>
  <cols>
    <col min="1" max="1" width="30.28515625" customWidth="1"/>
    <col min="3" max="3" width="15.140625" customWidth="1"/>
    <col min="4" max="4" width="16.5703125" customWidth="1"/>
    <col min="6" max="6" width="16.42578125" customWidth="1"/>
  </cols>
  <sheetData>
    <row r="1" spans="1:9" x14ac:dyDescent="0.2">
      <c r="A1" s="224" t="s">
        <v>196</v>
      </c>
      <c r="B1" s="224"/>
      <c r="C1" s="224"/>
      <c r="D1" s="224"/>
      <c r="E1" s="224"/>
      <c r="F1" s="224"/>
      <c r="H1" s="38"/>
    </row>
    <row r="2" spans="1:9" x14ac:dyDescent="0.2">
      <c r="A2" s="224"/>
      <c r="B2" s="224"/>
      <c r="C2" s="224"/>
      <c r="D2" s="224"/>
      <c r="E2" s="224"/>
      <c r="F2" s="224"/>
      <c r="H2" s="38"/>
    </row>
    <row r="3" spans="1:9" ht="38.25" x14ac:dyDescent="0.2">
      <c r="A3" s="64" t="s">
        <v>197</v>
      </c>
      <c r="B3" s="64" t="s">
        <v>198</v>
      </c>
      <c r="C3" s="64" t="s">
        <v>199</v>
      </c>
      <c r="D3" s="64" t="s">
        <v>200</v>
      </c>
      <c r="E3" s="64" t="s">
        <v>201</v>
      </c>
      <c r="F3" s="64" t="s">
        <v>202</v>
      </c>
      <c r="G3" s="62"/>
      <c r="H3" s="225"/>
      <c r="I3" s="225"/>
    </row>
    <row r="4" spans="1:9" x14ac:dyDescent="0.2">
      <c r="A4" s="51" t="s">
        <v>133</v>
      </c>
      <c r="B4" s="65">
        <v>1</v>
      </c>
      <c r="C4" s="68">
        <f>'ASSISTENTE SOCIAL'!C135</f>
        <v>11706.674562100001</v>
      </c>
      <c r="D4" s="66">
        <f>ROUND((B4*C4),2)</f>
        <v>11706.67</v>
      </c>
      <c r="E4" s="67">
        <v>24</v>
      </c>
      <c r="F4" s="66">
        <f>ROUND((D4*E4),2)</f>
        <v>280960.08</v>
      </c>
      <c r="G4" s="62"/>
      <c r="H4" s="74"/>
      <c r="I4" s="75"/>
    </row>
    <row r="5" spans="1:9" x14ac:dyDescent="0.2">
      <c r="A5" s="51" t="s">
        <v>203</v>
      </c>
      <c r="B5" s="65">
        <v>10</v>
      </c>
      <c r="C5" s="68">
        <f>'TÉCNICO AGRÍCOLA'!C135</f>
        <v>9670.0684175000006</v>
      </c>
      <c r="D5" s="66">
        <f>ROUND((B5*C5),2)</f>
        <v>96700.68</v>
      </c>
      <c r="E5" s="67">
        <v>24</v>
      </c>
      <c r="F5" s="66">
        <f>ROUND((D5*E5),2)</f>
        <v>2320816.3199999998</v>
      </c>
      <c r="G5" s="62"/>
      <c r="H5" s="74"/>
      <c r="I5" s="75"/>
    </row>
    <row r="6" spans="1:9" x14ac:dyDescent="0.2">
      <c r="A6" s="51"/>
      <c r="B6" s="65"/>
      <c r="C6" s="68"/>
      <c r="D6" s="69"/>
      <c r="E6" s="70"/>
      <c r="F6" s="66"/>
      <c r="G6" s="62"/>
      <c r="H6" s="75"/>
      <c r="I6" s="75"/>
    </row>
    <row r="7" spans="1:9" x14ac:dyDescent="0.2">
      <c r="A7" s="71"/>
      <c r="B7" s="65">
        <v>14</v>
      </c>
      <c r="C7" s="66"/>
      <c r="D7" s="66">
        <f>SUM(D4:D6)</f>
        <v>108407.34999999999</v>
      </c>
      <c r="E7" s="67">
        <v>24</v>
      </c>
      <c r="F7" s="66">
        <f>SUM(F4:F6)</f>
        <v>2601776.4</v>
      </c>
      <c r="G7" s="62"/>
      <c r="H7" s="75"/>
      <c r="I7" s="75"/>
    </row>
    <row r="8" spans="1:9" x14ac:dyDescent="0.2">
      <c r="A8" s="62"/>
      <c r="B8" s="62"/>
      <c r="C8" s="63"/>
      <c r="D8" s="62"/>
      <c r="E8" s="62"/>
      <c r="F8" s="62"/>
      <c r="G8" s="62"/>
      <c r="H8" s="75"/>
      <c r="I8" s="76"/>
    </row>
    <row r="9" spans="1:9" x14ac:dyDescent="0.2">
      <c r="A9" s="62"/>
      <c r="B9" s="62"/>
      <c r="C9" s="63"/>
      <c r="D9" s="62"/>
      <c r="E9" s="62"/>
      <c r="F9" s="62"/>
      <c r="G9" s="62"/>
      <c r="H9" s="75"/>
      <c r="I9" s="75"/>
    </row>
    <row r="10" spans="1:9" x14ac:dyDescent="0.2">
      <c r="H10" s="38"/>
    </row>
  </sheetData>
  <mergeCells count="2">
    <mergeCell ref="A1:F2"/>
    <mergeCell ref="H3:I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26"/>
  <sheetViews>
    <sheetView workbookViewId="0">
      <selection activeCell="E6" sqref="E6"/>
    </sheetView>
  </sheetViews>
  <sheetFormatPr defaultRowHeight="12.75" x14ac:dyDescent="0.2"/>
  <cols>
    <col min="1" max="1" width="32.28515625" customWidth="1"/>
    <col min="3" max="3" width="14.42578125" customWidth="1"/>
    <col min="4" max="4" width="13.42578125" customWidth="1"/>
    <col min="5" max="5" width="16.85546875" customWidth="1"/>
    <col min="6" max="6" width="15.7109375" customWidth="1"/>
    <col min="7" max="7" width="14.140625" customWidth="1"/>
    <col min="8" max="8" width="14.28515625" customWidth="1"/>
    <col min="9" max="9" width="17" customWidth="1"/>
    <col min="10" max="10" width="11.42578125" customWidth="1"/>
    <col min="11" max="11" width="10.140625" bestFit="1" customWidth="1"/>
  </cols>
  <sheetData>
    <row r="1" spans="1:12" x14ac:dyDescent="0.2">
      <c r="L1" s="38"/>
    </row>
    <row r="2" spans="1:12" x14ac:dyDescent="0.2">
      <c r="A2" s="209" t="s">
        <v>204</v>
      </c>
      <c r="B2" s="209"/>
      <c r="C2" s="209"/>
      <c r="D2" s="209"/>
      <c r="E2" s="209"/>
      <c r="F2" s="209"/>
      <c r="G2" s="209"/>
      <c r="H2" s="209"/>
      <c r="I2" s="209"/>
      <c r="L2" s="38"/>
    </row>
    <row r="3" spans="1:12" x14ac:dyDescent="0.2">
      <c r="L3" s="38"/>
    </row>
    <row r="4" spans="1:12" x14ac:dyDescent="0.2">
      <c r="C4" s="227" t="s">
        <v>205</v>
      </c>
      <c r="D4" s="228"/>
      <c r="E4" s="229" t="s">
        <v>206</v>
      </c>
      <c r="F4" s="230"/>
      <c r="G4" s="231" t="s">
        <v>207</v>
      </c>
      <c r="H4" s="233" t="s">
        <v>208</v>
      </c>
      <c r="I4" s="234" t="s">
        <v>209</v>
      </c>
      <c r="L4" s="38"/>
    </row>
    <row r="5" spans="1:12" ht="38.25" x14ac:dyDescent="0.2">
      <c r="A5" s="23" t="s">
        <v>197</v>
      </c>
      <c r="B5" s="23" t="s">
        <v>210</v>
      </c>
      <c r="C5" s="136" t="s">
        <v>211</v>
      </c>
      <c r="D5" s="136" t="s">
        <v>212</v>
      </c>
      <c r="E5" s="55" t="s">
        <v>213</v>
      </c>
      <c r="F5" s="55" t="s">
        <v>45</v>
      </c>
      <c r="G5" s="232"/>
      <c r="H5" s="233"/>
      <c r="I5" s="234"/>
      <c r="L5" s="38"/>
    </row>
    <row r="6" spans="1:12" x14ac:dyDescent="0.2">
      <c r="A6" s="51" t="s">
        <v>133</v>
      </c>
      <c r="B6" s="65">
        <v>1</v>
      </c>
      <c r="C6" s="66">
        <f>'ASSISTENTE SOCIAL'!F34</f>
        <v>4108.53</v>
      </c>
      <c r="D6" s="52">
        <f>ROUND((C6*B6),2)</f>
        <v>4108.53</v>
      </c>
      <c r="E6" s="53">
        <f>'ASSISTENTE SOCIAL'!F45*B6</f>
        <v>499.71</v>
      </c>
      <c r="F6" s="53">
        <f>'ASSISTENTE SOCIAL'!F53*B6</f>
        <v>43.7</v>
      </c>
      <c r="G6" s="54">
        <f>'ASSISTENTE SOCIAL'!G106*B6</f>
        <v>2952.8005110000004</v>
      </c>
      <c r="H6" s="52">
        <f>'ASSISTENTE SOCIAL'!G117*B6</f>
        <v>4101.9340511</v>
      </c>
      <c r="I6" s="37">
        <f>ROUND(SUM(D6:H6),2)</f>
        <v>11706.67</v>
      </c>
      <c r="J6" s="38"/>
      <c r="K6">
        <f>G6*12</f>
        <v>35433.606132000001</v>
      </c>
      <c r="L6" s="38"/>
    </row>
    <row r="7" spans="1:12" x14ac:dyDescent="0.2">
      <c r="A7" s="51" t="s">
        <v>203</v>
      </c>
      <c r="B7" s="65">
        <v>4</v>
      </c>
      <c r="C7" s="66">
        <f>'TÉCNICO AGRÍCOLA'!F34</f>
        <v>3257.75</v>
      </c>
      <c r="D7" s="52">
        <f>ROUND((C7*B7),2)</f>
        <v>13031</v>
      </c>
      <c r="E7" s="56">
        <f>'TÉCNICO AGRÍCOLA'!F45*B7</f>
        <v>2538.96</v>
      </c>
      <c r="F7" s="56">
        <f>'TÉCNICO AGRÍCOLA'!F53:G53*B7</f>
        <v>193.2</v>
      </c>
      <c r="G7" s="54">
        <f>'TÉCNICO AGRÍCOLA'!G106*B7</f>
        <v>9365.3797000000013</v>
      </c>
      <c r="H7" s="52">
        <f>'TÉCNICO AGRÍCOLA'!G117*B7</f>
        <v>13551.733969999999</v>
      </c>
      <c r="I7" s="39">
        <f>ROUND(SUM(D7:H7),2)</f>
        <v>38680.269999999997</v>
      </c>
      <c r="J7" s="38"/>
      <c r="K7">
        <f>G7*12</f>
        <v>112384.55640000002</v>
      </c>
      <c r="L7" s="38"/>
    </row>
    <row r="8" spans="1:12" x14ac:dyDescent="0.2">
      <c r="A8" s="51" t="s">
        <v>203</v>
      </c>
      <c r="B8" s="65">
        <v>1</v>
      </c>
      <c r="C8" s="66">
        <f>'SERVIÇOS GERAIS'!F34</f>
        <v>1476.64</v>
      </c>
      <c r="D8" s="52">
        <f>ROUND((C8*B8),2)</f>
        <v>1476.64</v>
      </c>
      <c r="E8" s="56">
        <f>'SERVIÇOS GERAIS'!F45*B7</f>
        <v>2538.96</v>
      </c>
      <c r="F8" s="56">
        <f>'SERVIÇOS GERAIS'!F53:G53*B8</f>
        <v>48.3</v>
      </c>
      <c r="G8" s="54">
        <f>'SERVIÇOS GERAIS'!G106*B8</f>
        <v>1061.2611680000002</v>
      </c>
      <c r="H8" s="52">
        <f>'SERVIÇOS GERAIS'!G117*B8</f>
        <v>1737.0841168000002</v>
      </c>
      <c r="I8" s="39">
        <f>ROUND(SUM(D8:H8),2)</f>
        <v>6862.25</v>
      </c>
      <c r="J8" s="38"/>
      <c r="K8" s="38">
        <f>SUM(K6:K7)</f>
        <v>147818.16253200002</v>
      </c>
      <c r="L8" s="38"/>
    </row>
    <row r="9" spans="1:12" x14ac:dyDescent="0.2">
      <c r="A9" s="131"/>
      <c r="B9" s="40">
        <f>SUM(B6:B8)</f>
        <v>6</v>
      </c>
      <c r="C9" s="57"/>
      <c r="D9" s="48">
        <f>ROUND(SUM(D6:D8),2)</f>
        <v>18616.169999999998</v>
      </c>
      <c r="E9" s="49">
        <f>SUM(E6:E8)</f>
        <v>5577.63</v>
      </c>
      <c r="F9" s="49">
        <f>SUM(F6:F8)</f>
        <v>285.2</v>
      </c>
      <c r="G9" s="50">
        <f>SUM(G6:G8)</f>
        <v>13379.441379000004</v>
      </c>
      <c r="H9" s="48">
        <f>SUM(H6:H8)</f>
        <v>19390.752137899999</v>
      </c>
      <c r="I9" s="41">
        <f>SUM(I6:I8)</f>
        <v>57249.189999999995</v>
      </c>
      <c r="J9" s="38"/>
      <c r="K9" s="38"/>
      <c r="L9" s="38"/>
    </row>
    <row r="10" spans="1:12" x14ac:dyDescent="0.2">
      <c r="C10" s="58"/>
      <c r="D10" s="59" t="s">
        <v>214</v>
      </c>
      <c r="E10" s="60" t="s">
        <v>215</v>
      </c>
      <c r="F10" s="60" t="s">
        <v>216</v>
      </c>
      <c r="G10" s="61" t="s">
        <v>217</v>
      </c>
      <c r="H10" s="60" t="s">
        <v>218</v>
      </c>
      <c r="I10" s="38"/>
      <c r="J10" s="38"/>
      <c r="K10" s="38"/>
      <c r="L10" s="38"/>
    </row>
    <row r="11" spans="1:12" x14ac:dyDescent="0.2">
      <c r="C11" s="38"/>
      <c r="D11" s="42"/>
      <c r="E11" s="43"/>
      <c r="F11" s="44"/>
      <c r="G11" s="72"/>
      <c r="H11" s="44"/>
      <c r="I11" s="38"/>
      <c r="J11" s="38"/>
      <c r="K11" s="38"/>
      <c r="L11" s="38"/>
    </row>
    <row r="12" spans="1:12" x14ac:dyDescent="0.2">
      <c r="C12" s="38"/>
      <c r="D12" s="42"/>
      <c r="E12" s="43"/>
      <c r="F12" s="44"/>
      <c r="G12" s="45"/>
      <c r="H12" s="44"/>
      <c r="I12" s="38"/>
      <c r="J12" s="38"/>
      <c r="K12" s="38"/>
      <c r="L12" s="38"/>
    </row>
    <row r="13" spans="1:12" x14ac:dyDescent="0.2">
      <c r="C13" s="38"/>
      <c r="D13" s="42"/>
      <c r="E13" s="43"/>
      <c r="F13" s="44"/>
      <c r="G13" s="45"/>
      <c r="H13" s="44"/>
      <c r="I13" s="38"/>
      <c r="J13" s="38"/>
      <c r="K13" s="38"/>
      <c r="L13" s="38"/>
    </row>
    <row r="14" spans="1:12" x14ac:dyDescent="0.2">
      <c r="C14" s="38"/>
      <c r="D14" s="42"/>
      <c r="E14" s="43"/>
      <c r="F14" s="44"/>
      <c r="G14" s="45"/>
      <c r="H14" s="44"/>
      <c r="I14" s="38"/>
      <c r="J14" s="38"/>
      <c r="K14" s="38"/>
      <c r="L14" s="38"/>
    </row>
    <row r="15" spans="1:12" x14ac:dyDescent="0.2">
      <c r="C15" s="38"/>
      <c r="D15" s="42"/>
      <c r="E15" s="43"/>
      <c r="F15" s="44"/>
      <c r="G15" s="45"/>
      <c r="H15" s="44"/>
      <c r="I15" s="38"/>
      <c r="J15" s="38"/>
      <c r="K15" s="38"/>
      <c r="L15" s="38"/>
    </row>
    <row r="16" spans="1:12" x14ac:dyDescent="0.2">
      <c r="G16" s="46"/>
      <c r="L16" s="38"/>
    </row>
    <row r="17" spans="3:12" x14ac:dyDescent="0.2">
      <c r="C17" s="226" t="s">
        <v>219</v>
      </c>
      <c r="D17" s="226"/>
      <c r="E17" s="135" t="s">
        <v>220</v>
      </c>
      <c r="F17" s="135" t="s">
        <v>221</v>
      </c>
      <c r="G17" s="135" t="s">
        <v>222</v>
      </c>
      <c r="L17" s="38"/>
    </row>
    <row r="18" spans="3:12" x14ac:dyDescent="0.2">
      <c r="L18" s="38"/>
    </row>
    <row r="19" spans="3:12" ht="14.25" customHeight="1" x14ac:dyDescent="0.2">
      <c r="D19" s="47">
        <f t="shared" ref="D19:I19" si="0">ROUND((D9*12),2)</f>
        <v>223394.04</v>
      </c>
      <c r="E19" s="47">
        <f t="shared" si="0"/>
        <v>66931.56</v>
      </c>
      <c r="F19" s="47">
        <f t="shared" si="0"/>
        <v>3422.4</v>
      </c>
      <c r="G19" s="47">
        <f t="shared" si="0"/>
        <v>160553.29999999999</v>
      </c>
      <c r="H19" s="47">
        <f t="shared" si="0"/>
        <v>232689.03</v>
      </c>
      <c r="I19" s="47">
        <f t="shared" si="0"/>
        <v>686990.28</v>
      </c>
      <c r="L19" s="38"/>
    </row>
    <row r="20" spans="3:12" x14ac:dyDescent="0.2">
      <c r="F20" s="47">
        <f>SUM(E19:F19)</f>
        <v>70353.959999999992</v>
      </c>
      <c r="G20" s="73">
        <f>G19/D19</f>
        <v>0.71870001545251605</v>
      </c>
      <c r="L20" s="38"/>
    </row>
    <row r="21" spans="3:12" x14ac:dyDescent="0.2">
      <c r="H21" s="20"/>
      <c r="L21" s="38"/>
    </row>
    <row r="26" spans="3:12" x14ac:dyDescent="0.2">
      <c r="F26" s="38">
        <f>D19+G19</f>
        <v>383947.33999999997</v>
      </c>
    </row>
  </sheetData>
  <mergeCells count="7">
    <mergeCell ref="C17:D17"/>
    <mergeCell ref="A2:I2"/>
    <mergeCell ref="C4:D4"/>
    <mergeCell ref="E4:F4"/>
    <mergeCell ref="G4:G5"/>
    <mergeCell ref="H4:H5"/>
    <mergeCell ref="I4:I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ASSISTENTE SOCIAL</vt:lpstr>
      <vt:lpstr>TÉCNICO AGRÍCOLA</vt:lpstr>
      <vt:lpstr>SERVIÇOS GERAIS</vt:lpstr>
      <vt:lpstr>LOC. VEÍCULOS</vt:lpstr>
      <vt:lpstr>LOC. MOTOCICLETA</vt:lpstr>
      <vt:lpstr>ESTIMATIVA DE CUSTO</vt:lpstr>
      <vt:lpstr>RESUMO CUSTO MÊS</vt:lpstr>
    </vt:vector>
  </TitlesOfParts>
  <Manager/>
  <Company>5ª  SUPERINTENDENCIA REGIONAL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roberto.machado</dc:creator>
  <cp:keywords/>
  <dc:description/>
  <cp:lastModifiedBy>Antônio Costa</cp:lastModifiedBy>
  <cp:revision/>
  <dcterms:created xsi:type="dcterms:W3CDTF">2011-06-06T11:38:31Z</dcterms:created>
  <dcterms:modified xsi:type="dcterms:W3CDTF">2020-12-01T14:13:20Z</dcterms:modified>
  <cp:category/>
  <cp:contentStatus/>
</cp:coreProperties>
</file>