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LICITAÇÃO\Minutas e Editais\11. ATER - Jacaré\ÚLTIMA VERSÃO\DEFINITIVO\"/>
    </mc:Choice>
  </mc:AlternateContent>
  <xr:revisionPtr revIDLastSave="0" documentId="8_{0E49B3D5-7B9A-4187-8EB1-4E536EBC1B2E}" xr6:coauthVersionLast="45" xr6:coauthVersionMax="45" xr10:uidLastSave="{00000000-0000-0000-0000-000000000000}"/>
  <bookViews>
    <workbookView xWindow="-120" yWindow="-120" windowWidth="24240" windowHeight="13140" tabRatio="893" xr2:uid="{00000000-000D-0000-FFFF-FFFF00000000}"/>
  </bookViews>
  <sheets>
    <sheet name="PFS" sheetId="1" r:id="rId1"/>
    <sheet name="PFS_I Equipe (2)" sheetId="11" r:id="rId2"/>
    <sheet name="PFS_II Desp Gerais - Serviços" sheetId="13" r:id="rId3"/>
    <sheet name="PFS_III Desp Gerais - Forneci" sheetId="5" r:id="rId4"/>
    <sheet name="PFS_IV Cronog Financ" sheetId="6" r:id="rId5"/>
    <sheet name="PFS_V_ Det_ Custos Adm_" sheetId="7" r:id="rId6"/>
    <sheet name="PFS_VII Det_ Enc_ Soc_" sheetId="9" r:id="rId7"/>
    <sheet name="PFS_VIII Det_ Desp Fiscais" sheetId="15" r:id="rId8"/>
    <sheet name="ASSISTENTE SOCIAL" sheetId="16" r:id="rId9"/>
    <sheet name="TÉCNICO AGRÍCOLA" sheetId="17" r:id="rId10"/>
    <sheet name="SERVIÇOS GERAIS" sheetId="18" r:id="rId11"/>
    <sheet name="LOC. VEÍCULOS" sheetId="19" r:id="rId12"/>
    <sheet name="LOC. MOTOCICLETA" sheetId="20" r:id="rId13"/>
  </sheets>
  <externalReferences>
    <externalReference r:id="rId14"/>
    <externalReference r:id="rId15"/>
    <externalReference r:id="rId16"/>
    <externalReference r:id="rId17"/>
    <externalReference r:id="rId18"/>
  </externalReferences>
  <definedNames>
    <definedName name="__BAH2007" localSheetId="7">[1]VALES!$D$3</definedName>
    <definedName name="__BAH2007">[2]VALES!$D$3</definedName>
    <definedName name="__BAH2008" localSheetId="7">[1]VALES!$E$3</definedName>
    <definedName name="__BAH2008">[2]VALES!$E$3</definedName>
    <definedName name="__BAH2009" localSheetId="7">[1]VALES!$F$3</definedName>
    <definedName name="__BAH2009">[2]VALES!$F$3</definedName>
    <definedName name="__BAH2010" localSheetId="7">[1]VALES!$G$3</definedName>
    <definedName name="__BAH2010">[2]VALES!$G$3</definedName>
    <definedName name="__MIN2007" localSheetId="7">[1]VALES!$D$4</definedName>
    <definedName name="__MIN2007">[2]VALES!$D$4</definedName>
    <definedName name="__MIN2008" localSheetId="7">[1]VALES!$E$4</definedName>
    <definedName name="__MIN2008">[2]VALES!$E$4</definedName>
    <definedName name="__MIN2009" localSheetId="7">[1]VALES!$F$4</definedName>
    <definedName name="__MIN2009">[2]VALES!$F$4</definedName>
    <definedName name="__MIN2010" localSheetId="7">[1]VALES!$G$4</definedName>
    <definedName name="__MIN2010">[2]VALES!$G$4</definedName>
    <definedName name="__NAC2007" localSheetId="7">[1]VALES!$D$7</definedName>
    <definedName name="__NAC2007">[2]VALES!$D$7</definedName>
    <definedName name="__NAC2008" localSheetId="7">[1]VALES!$E$7</definedName>
    <definedName name="__NAC2008">[2]VALES!$E$7</definedName>
    <definedName name="__NAC2009" localSheetId="7">[1]VALES!$F$7</definedName>
    <definedName name="__NAC2009">[2]VALES!$F$7</definedName>
    <definedName name="__NAC2010" localSheetId="7">[1]VALES!$G$7</definedName>
    <definedName name="__NAC2010">[2]VALES!$G$7</definedName>
    <definedName name="__PAR2007" localSheetId="7">[1]VALES!$D$10</definedName>
    <definedName name="__PAR2007">[2]VALES!$D$10</definedName>
    <definedName name="__PAR2008" localSheetId="7">[1]VALES!$E$10</definedName>
    <definedName name="__PAR2008">[2]VALES!$E$10</definedName>
    <definedName name="__PAR2009" localSheetId="7">[1]VALES!$F$10</definedName>
    <definedName name="__PAR2009">[2]VALES!$F$10</definedName>
    <definedName name="__PAR2010" localSheetId="7">[1]VALES!$G$10</definedName>
    <definedName name="__PAR2010">[2]VALES!$G$10</definedName>
    <definedName name="__PER2007" localSheetId="7">[1]VALES!$D$5</definedName>
    <definedName name="__PER2007">[2]VALES!$D$5</definedName>
    <definedName name="__PER2008" localSheetId="7">[1]VALES!$E$5</definedName>
    <definedName name="__PER2008">[2]VALES!$E$5</definedName>
    <definedName name="__PER2009" localSheetId="7">[1]VALES!$F$5</definedName>
    <definedName name="__PER2009">[2]VALES!$F$5</definedName>
    <definedName name="__PER2010" localSheetId="7">[1]VALES!$G$5</definedName>
    <definedName name="__PER2010">[2]VALES!$G$5</definedName>
    <definedName name="__SER2007" localSheetId="7">[1]VALES!$D$6</definedName>
    <definedName name="__SER2007">[2]VALES!$D$6</definedName>
    <definedName name="__SER2008" localSheetId="7">[1]VALES!$E$6</definedName>
    <definedName name="__SER2008">[2]VALES!$E$6</definedName>
    <definedName name="__SER2009" localSheetId="7">[1]VALES!$F$6</definedName>
    <definedName name="__SER2009">[2]VALES!$F$6</definedName>
    <definedName name="__SER2010" localSheetId="7">[1]VALES!$G$6</definedName>
    <definedName name="__SER2010">[2]VALES!$G$6</definedName>
    <definedName name="_BAH2007" localSheetId="7">[1]VALES!$D$3</definedName>
    <definedName name="_BAH2007">[2]VALES!$D$3</definedName>
    <definedName name="_BAH2008" localSheetId="7">[1]VALES!$E$3</definedName>
    <definedName name="_BAH2008">[2]VALES!$E$3</definedName>
    <definedName name="_BAH2009" localSheetId="7">[1]VALES!$F$3</definedName>
    <definedName name="_BAH2009">[2]VALES!$F$3</definedName>
    <definedName name="_BAH2010" localSheetId="7">[1]VALES!$G$3</definedName>
    <definedName name="_BAH2010">[2]VALES!$G$3</definedName>
    <definedName name="_MIN2007" localSheetId="7">[1]VALES!$D$4</definedName>
    <definedName name="_MIN2007">[2]VALES!$D$4</definedName>
    <definedName name="_MIN2008" localSheetId="7">[1]VALES!$E$4</definedName>
    <definedName name="_MIN2008">[2]VALES!$E$4</definedName>
    <definedName name="_MIN2009" localSheetId="7">[1]VALES!$F$4</definedName>
    <definedName name="_MIN2009">[2]VALES!$F$4</definedName>
    <definedName name="_MIN2010" localSheetId="7">[1]VALES!$G$4</definedName>
    <definedName name="_MIN2010">[2]VALES!$G$4</definedName>
    <definedName name="_NAC2007" localSheetId="7">[1]VALES!$D$7</definedName>
    <definedName name="_NAC2007">[2]VALES!$D$7</definedName>
    <definedName name="_NAC2008" localSheetId="7">[1]VALES!$E$7</definedName>
    <definedName name="_NAC2008">[2]VALES!$E$7</definedName>
    <definedName name="_NAC2009" localSheetId="7">[1]VALES!$F$7</definedName>
    <definedName name="_NAC2009">[2]VALES!$F$7</definedName>
    <definedName name="_NAC2010" localSheetId="7">[1]VALES!$G$7</definedName>
    <definedName name="_NAC2010">[2]VALES!$G$7</definedName>
    <definedName name="_PAR2007" localSheetId="7">[1]VALES!$D$10</definedName>
    <definedName name="_PAR2007">[2]VALES!$D$10</definedName>
    <definedName name="_PAR2008" localSheetId="7">[1]VALES!$E$10</definedName>
    <definedName name="_PAR2008">[2]VALES!$E$10</definedName>
    <definedName name="_PAR2009" localSheetId="7">[1]VALES!$F$10</definedName>
    <definedName name="_PAR2009">[2]VALES!$F$10</definedName>
    <definedName name="_PAR2010" localSheetId="7">[1]VALES!$G$10</definedName>
    <definedName name="_PAR2010">[2]VALES!$G$10</definedName>
    <definedName name="_PER2007" localSheetId="7">[1]VALES!$D$5</definedName>
    <definedName name="_PER2007">[2]VALES!$D$5</definedName>
    <definedName name="_PER2008" localSheetId="7">[1]VALES!$E$5</definedName>
    <definedName name="_PER2008">[2]VALES!$E$5</definedName>
    <definedName name="_PER2009" localSheetId="7">[1]VALES!$F$5</definedName>
    <definedName name="_PER2009">[2]VALES!$F$5</definedName>
    <definedName name="_PER2010" localSheetId="7">[1]VALES!$G$5</definedName>
    <definedName name="_PER2010">[2]VALES!$G$5</definedName>
    <definedName name="_SER2007" localSheetId="7">[1]VALES!$D$6</definedName>
    <definedName name="_SER2007">[2]VALES!$D$6</definedName>
    <definedName name="_SER2008" localSheetId="7">[1]VALES!$E$6</definedName>
    <definedName name="_SER2008">[2]VALES!$E$6</definedName>
    <definedName name="_SER2009" localSheetId="7">[1]VALES!$F$6</definedName>
    <definedName name="_SER2009">[2]VALES!$F$6</definedName>
    <definedName name="_SER2010" localSheetId="7">[1]VALES!$G$6</definedName>
    <definedName name="_SER2010">[2]VALES!$G$6</definedName>
    <definedName name="ALAG2007" localSheetId="7">[1]VALES!$D$2</definedName>
    <definedName name="ALAG2007">[2]VALES!$D$2</definedName>
    <definedName name="ALAG2008" localSheetId="7">[1]VALES!$E$2</definedName>
    <definedName name="ALAG2008">[2]VALES!$E$2</definedName>
    <definedName name="ALAG2009" localSheetId="7">[1]VALES!$F$2</definedName>
    <definedName name="ALAG2009">[2]VALES!$F$2</definedName>
    <definedName name="ALAG2010" localSheetId="7">[1]VALES!$G$2</definedName>
    <definedName name="ALAG2010">[2]VALES!$G$2</definedName>
    <definedName name="_xlnm.Print_Area" localSheetId="0">PFS!$A$1:$O$44</definedName>
    <definedName name="_xlnm.Print_Area" localSheetId="1">'PFS_I Equipe (2)'!$A$1:$I$32</definedName>
    <definedName name="_xlnm.Print_Area" localSheetId="2">'PFS_II Desp Gerais - Serviços'!$A$1:$I$41</definedName>
    <definedName name="_xlnm.Print_Area" localSheetId="3">'PFS_III Desp Gerais - Forneci'!$A$1:$I$43</definedName>
    <definedName name="_xlnm.Print_Area" localSheetId="7">'PFS_VIII Det_ Desp Fiscais'!$A$1:$H$51</definedName>
    <definedName name="_xlnm.Criteria">[3]BDI!$G$10:$G$15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6" i="20" l="1"/>
  <c r="F41" i="20"/>
  <c r="F34" i="20"/>
  <c r="F32" i="20"/>
  <c r="F37" i="20" s="1"/>
  <c r="F28" i="20"/>
  <c r="F10" i="20"/>
  <c r="F21" i="20" s="1"/>
  <c r="F41" i="19"/>
  <c r="F46" i="19" s="1"/>
  <c r="F34" i="19"/>
  <c r="F32" i="19"/>
  <c r="F37" i="19" s="1"/>
  <c r="F28" i="19"/>
  <c r="F7" i="19"/>
  <c r="F10" i="19" s="1"/>
  <c r="F97" i="18"/>
  <c r="F105" i="18" s="1"/>
  <c r="F90" i="18"/>
  <c r="F104" i="18" s="1"/>
  <c r="F80" i="18"/>
  <c r="F103" i="18" s="1"/>
  <c r="F68" i="18"/>
  <c r="F102" i="18" s="1"/>
  <c r="F51" i="18"/>
  <c r="F49" i="18"/>
  <c r="F53" i="18" s="1"/>
  <c r="F124" i="18" s="1"/>
  <c r="F45" i="18"/>
  <c r="F123" i="18" s="1"/>
  <c r="F43" i="18"/>
  <c r="F30" i="18"/>
  <c r="F34" i="18" s="1"/>
  <c r="F103" i="17"/>
  <c r="F97" i="17"/>
  <c r="F105" i="17" s="1"/>
  <c r="G105" i="17" s="1"/>
  <c r="F90" i="17"/>
  <c r="F104" i="17" s="1"/>
  <c r="G104" i="17" s="1"/>
  <c r="G86" i="17"/>
  <c r="F80" i="17"/>
  <c r="G79" i="17"/>
  <c r="G75" i="17"/>
  <c r="F68" i="17"/>
  <c r="F102" i="17" s="1"/>
  <c r="F106" i="17" s="1"/>
  <c r="G64" i="17"/>
  <c r="G60" i="17"/>
  <c r="F51" i="17"/>
  <c r="F49" i="17"/>
  <c r="F53" i="17" s="1"/>
  <c r="F124" i="17" s="1"/>
  <c r="F45" i="17"/>
  <c r="F123" i="17" s="1"/>
  <c r="F43" i="17"/>
  <c r="F34" i="17"/>
  <c r="G103" i="17" s="1"/>
  <c r="F31" i="17"/>
  <c r="F104" i="16"/>
  <c r="F102" i="16"/>
  <c r="F97" i="16"/>
  <c r="F105" i="16" s="1"/>
  <c r="F90" i="16"/>
  <c r="F80" i="16"/>
  <c r="F103" i="16" s="1"/>
  <c r="F68" i="16"/>
  <c r="F51" i="16"/>
  <c r="F50" i="16"/>
  <c r="F53" i="16" s="1"/>
  <c r="F124" i="16" s="1"/>
  <c r="F43" i="16"/>
  <c r="F45" i="16" s="1"/>
  <c r="F123" i="16" s="1"/>
  <c r="F30" i="16"/>
  <c r="F31" i="16" s="1"/>
  <c r="F34" i="16" s="1"/>
  <c r="F50" i="20" l="1"/>
  <c r="F54" i="20" s="1"/>
  <c r="F16" i="20"/>
  <c r="F21" i="19"/>
  <c r="F16" i="19"/>
  <c r="F50" i="19"/>
  <c r="F54" i="19" s="1"/>
  <c r="G103" i="18"/>
  <c r="G87" i="18"/>
  <c r="G76" i="18"/>
  <c r="G65" i="18"/>
  <c r="G61" i="18"/>
  <c r="G86" i="18"/>
  <c r="G79" i="18"/>
  <c r="G75" i="18"/>
  <c r="G64" i="18"/>
  <c r="G60" i="18"/>
  <c r="G68" i="18" s="1"/>
  <c r="F122" i="18"/>
  <c r="G102" i="18"/>
  <c r="G96" i="18"/>
  <c r="G89" i="18"/>
  <c r="G85" i="18"/>
  <c r="G78" i="18"/>
  <c r="G74" i="18"/>
  <c r="G67" i="18"/>
  <c r="G63" i="18"/>
  <c r="G95" i="18"/>
  <c r="G88" i="18"/>
  <c r="G77" i="18"/>
  <c r="G73" i="18"/>
  <c r="G66" i="18"/>
  <c r="G62" i="18"/>
  <c r="G105" i="18"/>
  <c r="F106" i="18"/>
  <c r="G104" i="18"/>
  <c r="G62" i="17"/>
  <c r="G66" i="17"/>
  <c r="G73" i="17"/>
  <c r="G80" i="17" s="1"/>
  <c r="G77" i="17"/>
  <c r="G88" i="17"/>
  <c r="G95" i="17"/>
  <c r="G63" i="17"/>
  <c r="G67" i="17"/>
  <c r="G74" i="17"/>
  <c r="G78" i="17"/>
  <c r="G85" i="17"/>
  <c r="G89" i="17"/>
  <c r="G96" i="17"/>
  <c r="G102" i="17"/>
  <c r="G106" i="17" s="1"/>
  <c r="F122" i="17"/>
  <c r="G61" i="17"/>
  <c r="G68" i="17" s="1"/>
  <c r="G65" i="17"/>
  <c r="G76" i="17"/>
  <c r="G87" i="17"/>
  <c r="G102" i="16"/>
  <c r="G96" i="16"/>
  <c r="G89" i="16"/>
  <c r="G85" i="16"/>
  <c r="G78" i="16"/>
  <c r="G74" i="16"/>
  <c r="G67" i="16"/>
  <c r="G63" i="16"/>
  <c r="F122" i="16"/>
  <c r="G66" i="16"/>
  <c r="G103" i="16"/>
  <c r="G87" i="16"/>
  <c r="G76" i="16"/>
  <c r="G65" i="16"/>
  <c r="G61" i="16"/>
  <c r="G88" i="16"/>
  <c r="G77" i="16"/>
  <c r="G62" i="16"/>
  <c r="G86" i="16"/>
  <c r="G79" i="16"/>
  <c r="G75" i="16"/>
  <c r="G64" i="16"/>
  <c r="G60" i="16"/>
  <c r="G68" i="16" s="1"/>
  <c r="G95" i="16"/>
  <c r="G73" i="16"/>
  <c r="F106" i="16"/>
  <c r="G104" i="16"/>
  <c r="G105" i="16"/>
  <c r="G97" i="18" l="1"/>
  <c r="G106" i="18"/>
  <c r="G80" i="18"/>
  <c r="G90" i="18"/>
  <c r="I124" i="17"/>
  <c r="G90" i="17"/>
  <c r="F125" i="17"/>
  <c r="F126" i="17" s="1"/>
  <c r="I106" i="17"/>
  <c r="G97" i="17"/>
  <c r="G80" i="16"/>
  <c r="G106" i="16"/>
  <c r="F125" i="16" s="1"/>
  <c r="F126" i="16" s="1"/>
  <c r="G97" i="16"/>
  <c r="G90" i="16"/>
  <c r="I106" i="18" l="1"/>
  <c r="F125" i="18"/>
  <c r="G111" i="17"/>
  <c r="G111" i="16"/>
  <c r="F126" i="18" l="1"/>
  <c r="I124" i="18"/>
  <c r="G116" i="17"/>
  <c r="G115" i="17" s="1"/>
  <c r="G116" i="16"/>
  <c r="G111" i="18" l="1"/>
  <c r="G113" i="17"/>
  <c r="G112" i="17" s="1"/>
  <c r="G117" i="17" s="1"/>
  <c r="F127" i="17" s="1"/>
  <c r="F128" i="17" s="1"/>
  <c r="C135" i="17" s="1"/>
  <c r="E135" i="17" s="1"/>
  <c r="G115" i="16"/>
  <c r="G113" i="16"/>
  <c r="G112" i="16" s="1"/>
  <c r="G117" i="16" s="1"/>
  <c r="F127" i="16" s="1"/>
  <c r="F128" i="16" s="1"/>
  <c r="C135" i="16" s="1"/>
  <c r="E135" i="16" s="1"/>
  <c r="G116" i="18" l="1"/>
  <c r="G115" i="18" s="1"/>
  <c r="G113" i="18"/>
  <c r="G135" i="17"/>
  <c r="G136" i="17" s="1"/>
  <c r="F143" i="17" s="1"/>
  <c r="F144" i="17" s="1"/>
  <c r="F142" i="17"/>
  <c r="G135" i="16"/>
  <c r="G136" i="16" s="1"/>
  <c r="F143" i="16" s="1"/>
  <c r="F144" i="16" s="1"/>
  <c r="F142" i="16"/>
  <c r="G112" i="18" l="1"/>
  <c r="G117" i="18" s="1"/>
  <c r="F127" i="18" s="1"/>
  <c r="F128" i="18" s="1"/>
  <c r="C135" i="18" s="1"/>
  <c r="E135" i="18" s="1"/>
  <c r="G135" i="18" l="1"/>
  <c r="G136" i="18" s="1"/>
  <c r="F143" i="18" s="1"/>
  <c r="F144" i="18" s="1"/>
  <c r="F142" i="18"/>
  <c r="H11" i="6" l="1"/>
  <c r="H12" i="6"/>
  <c r="H13" i="6"/>
  <c r="H14" i="6"/>
  <c r="H15" i="6"/>
  <c r="H16" i="6"/>
  <c r="H17" i="6"/>
  <c r="H18" i="6"/>
  <c r="H19" i="6"/>
  <c r="H20" i="6"/>
  <c r="H21" i="6"/>
  <c r="H10" i="6"/>
  <c r="D14" i="11" l="1"/>
  <c r="E14" i="11" s="1"/>
  <c r="H20" i="13"/>
  <c r="H21" i="13"/>
  <c r="H22" i="13"/>
  <c r="G14" i="11" l="1"/>
  <c r="I14" i="11" s="1"/>
  <c r="D13" i="11"/>
  <c r="E13" i="11" s="1"/>
  <c r="D12" i="11" l="1"/>
  <c r="E12" i="11" s="1"/>
  <c r="H11" i="13" l="1"/>
  <c r="I11" i="13" s="1"/>
  <c r="H12" i="13"/>
  <c r="I12" i="13" s="1"/>
  <c r="G13" i="11" l="1"/>
  <c r="G12" i="11"/>
  <c r="I12" i="11" l="1"/>
  <c r="H30" i="5" l="1"/>
  <c r="I30" i="5"/>
  <c r="H29" i="5"/>
  <c r="H28" i="5"/>
  <c r="I28" i="5"/>
  <c r="H27" i="5"/>
  <c r="I27" i="5"/>
  <c r="I22" i="13"/>
  <c r="I21" i="13"/>
  <c r="I20" i="13"/>
  <c r="I15" i="5"/>
  <c r="I22" i="5"/>
  <c r="I21" i="5"/>
  <c r="I20" i="5"/>
  <c r="I19" i="5"/>
  <c r="I18" i="5"/>
  <c r="I17" i="5"/>
  <c r="I16" i="5"/>
  <c r="I14" i="5"/>
  <c r="I33" i="13"/>
  <c r="I32" i="13"/>
  <c r="I31" i="13"/>
  <c r="I30" i="13"/>
  <c r="I29" i="13"/>
  <c r="I28" i="13"/>
  <c r="I27" i="13"/>
  <c r="C22" i="11"/>
  <c r="I29" i="5"/>
  <c r="I23" i="5"/>
  <c r="I13" i="5"/>
  <c r="F39" i="15"/>
  <c r="G39" i="15" s="1"/>
  <c r="I16" i="13"/>
  <c r="I17" i="13" s="1"/>
  <c r="F37" i="9"/>
  <c r="F29" i="9"/>
  <c r="F42" i="9"/>
  <c r="K12" i="11"/>
  <c r="M12" i="11"/>
  <c r="K13" i="11"/>
  <c r="K14" i="11"/>
  <c r="K16" i="11"/>
  <c r="K17" i="11"/>
  <c r="I12" i="5"/>
  <c r="I13" i="11"/>
  <c r="F44" i="9"/>
  <c r="I34" i="13" l="1"/>
  <c r="I31" i="5"/>
  <c r="I24" i="5"/>
  <c r="I25" i="13"/>
  <c r="I13" i="13"/>
  <c r="G22" i="11"/>
  <c r="N17" i="1" s="1"/>
  <c r="N16" i="1" s="1"/>
  <c r="E22" i="11"/>
  <c r="G34" i="9" s="1"/>
  <c r="I39" i="5" l="1"/>
  <c r="N21" i="1" s="1"/>
  <c r="I37" i="13"/>
  <c r="N14" i="1"/>
  <c r="N13" i="1" s="1"/>
  <c r="G18" i="9"/>
  <c r="G14" i="9"/>
  <c r="G40" i="9"/>
  <c r="G24" i="9"/>
  <c r="G33" i="9"/>
  <c r="G28" i="9"/>
  <c r="G12" i="9"/>
  <c r="G16" i="9"/>
  <c r="G23" i="9"/>
  <c r="G41" i="9"/>
  <c r="G27" i="9"/>
  <c r="G25" i="9"/>
  <c r="G22" i="9"/>
  <c r="G36" i="9"/>
  <c r="G35" i="9"/>
  <c r="G13" i="9"/>
  <c r="G26" i="9"/>
  <c r="G32" i="9"/>
  <c r="G15" i="9"/>
  <c r="G11" i="9"/>
  <c r="G17" i="9"/>
  <c r="L22" i="11"/>
  <c r="G11" i="7"/>
  <c r="G13" i="7" l="1"/>
  <c r="N22" i="1"/>
  <c r="N23" i="1" s="1"/>
  <c r="N11" i="1" s="1"/>
  <c r="G12" i="7"/>
  <c r="G42" i="9"/>
  <c r="G37" i="9"/>
  <c r="G29" i="9"/>
  <c r="G19" i="9"/>
  <c r="G44" i="9" l="1"/>
  <c r="G37" i="7"/>
  <c r="N26" i="1" s="1"/>
  <c r="N27" i="1" s="1"/>
  <c r="H14" i="15" l="1"/>
  <c r="H12" i="15"/>
  <c r="H13" i="15"/>
  <c r="H39" i="15" l="1"/>
  <c r="N28" i="1" s="1"/>
  <c r="N25" i="1" s="1"/>
  <c r="N30" i="1" s="1"/>
  <c r="H35" i="6" l="1"/>
</calcChain>
</file>

<file path=xl/sharedStrings.xml><?xml version="1.0" encoding="utf-8"?>
<sst xmlns="http://schemas.openxmlformats.org/spreadsheetml/2006/main" count="1155" uniqueCount="423">
  <si>
    <t>CODIGO:</t>
  </si>
  <si>
    <t>PFS</t>
  </si>
  <si>
    <t>NOME DA CONSULTORA:</t>
  </si>
  <si>
    <t>PERÍMETRO(S):</t>
  </si>
  <si>
    <t>OBJETO:</t>
  </si>
  <si>
    <t>EDITAL:</t>
  </si>
  <si>
    <t>SERVIÇOS PAGOS A PREÇO GLOBAL</t>
  </si>
  <si>
    <t>CUSTOS DIRETOS</t>
  </si>
  <si>
    <t>MÃO-DE-OBRA</t>
  </si>
  <si>
    <t>A1 - TOTAL SALÁRIOS DA EQUIPE COM VÍNCULO (PFS-I)</t>
  </si>
  <si>
    <t>B - TOTAL DE ENCARGOS SOCIAIS</t>
  </si>
  <si>
    <t>OUTRAS DESPESAS</t>
  </si>
  <si>
    <t>TOTAL DE OUTRAS DESPESAS</t>
  </si>
  <si>
    <t>TOTAL DA PROPOSTA</t>
  </si>
  <si>
    <t>NOME DO INFORMANTE:</t>
  </si>
  <si>
    <t>QUALIFICAÇÃO:</t>
  </si>
  <si>
    <t>ASSINATURA:</t>
  </si>
  <si>
    <t>DATA:</t>
  </si>
  <si>
    <t>OBSERVAÇÃO:</t>
  </si>
  <si>
    <t xml:space="preserve">ESTE ORÇAMENTO FOI CALCULADO COM OS SEGUINTES % MÁXIMOS DE ENCARGOS SOCIAIS E CUSTOS INDIRETOS: </t>
  </si>
  <si>
    <t>SALÁRIOS E ENCARGOS DA EQUIPE</t>
  </si>
  <si>
    <t>PFS-I</t>
  </si>
  <si>
    <t>CATEGORIA FUNCIONAL</t>
  </si>
  <si>
    <t>SÍMBOLO</t>
  </si>
  <si>
    <t>%</t>
  </si>
  <si>
    <t>-</t>
  </si>
  <si>
    <t>A2</t>
  </si>
  <si>
    <t>A3</t>
  </si>
  <si>
    <t>C</t>
  </si>
  <si>
    <t>TOTAIS</t>
  </si>
  <si>
    <t>LEGENDA:</t>
  </si>
  <si>
    <t>QUANT.</t>
  </si>
  <si>
    <t>DISCRIMINAÇÃO</t>
  </si>
  <si>
    <t>CUSTOS (R$)</t>
  </si>
  <si>
    <t>UNITÁRIO</t>
  </si>
  <si>
    <t>TOTAL</t>
  </si>
  <si>
    <t xml:space="preserve">DESPESAS GERAIS </t>
  </si>
  <si>
    <t>PFS-IV</t>
  </si>
  <si>
    <t>ITEM</t>
  </si>
  <si>
    <t>UNID.</t>
  </si>
  <si>
    <t>Unid. X Mês</t>
  </si>
  <si>
    <t>TOTAL  DE DESPESAS GERAIS</t>
  </si>
  <si>
    <t>CRONOGRAMA FINANCEIRO</t>
  </si>
  <si>
    <t>PFS-V</t>
  </si>
  <si>
    <t xml:space="preserve">      </t>
  </si>
  <si>
    <t>Nº</t>
  </si>
  <si>
    <t>TAREFA</t>
  </si>
  <si>
    <t>RELATÓRIO/SERVIÇO DE CAMPO</t>
  </si>
  <si>
    <t>MESES
CORRIDOS</t>
  </si>
  <si>
    <t>VALOR DA PARCELA (R$)</t>
  </si>
  <si>
    <t>Relatório mensal 01</t>
  </si>
  <si>
    <t>Relatório mensal 02</t>
  </si>
  <si>
    <t>Relatório mensal 03</t>
  </si>
  <si>
    <t>Relatório mensal 04</t>
  </si>
  <si>
    <t>Relatório mensal 05</t>
  </si>
  <si>
    <t>Relatório mensal 06</t>
  </si>
  <si>
    <t>Relatório mensal 07</t>
  </si>
  <si>
    <t>Relatório mensal 08</t>
  </si>
  <si>
    <t>Relatório mensal 09</t>
  </si>
  <si>
    <t>Relatório mensal 10</t>
  </si>
  <si>
    <t>Relatório mensal 11</t>
  </si>
  <si>
    <t>Relatório mensal 12</t>
  </si>
  <si>
    <t>TOTAL DA FOLHA</t>
  </si>
  <si>
    <t>DETALHAMENTO DO CUSTO DE ADMINISTRAÇÃO</t>
  </si>
  <si>
    <t>VALORES</t>
  </si>
  <si>
    <t>R$</t>
  </si>
  <si>
    <t>TOTAIS DO CUSTO DE ADMINISTRAÇÃO</t>
  </si>
  <si>
    <t>OBSERVAÇAO:</t>
  </si>
  <si>
    <t>Observação:</t>
  </si>
  <si>
    <t>DETALHAMENTO DOS ENCARGOS SOCIAIS</t>
  </si>
  <si>
    <t>A</t>
  </si>
  <si>
    <t>ENCARGOS SOCIAIS BÁSICOS</t>
  </si>
  <si>
    <t>INSS</t>
  </si>
  <si>
    <t>FGTS</t>
  </si>
  <si>
    <t>A4</t>
  </si>
  <si>
    <t>Incra</t>
  </si>
  <si>
    <t>A5</t>
  </si>
  <si>
    <t xml:space="preserve">Salário Educação </t>
  </si>
  <si>
    <t>Sebrae</t>
  </si>
  <si>
    <t>A7</t>
  </si>
  <si>
    <t>Seguro contra acidente</t>
  </si>
  <si>
    <t>A8</t>
  </si>
  <si>
    <t>Senai</t>
  </si>
  <si>
    <t>Sesi</t>
  </si>
  <si>
    <t>SUBTOTAL DE "A"</t>
  </si>
  <si>
    <t>B</t>
  </si>
  <si>
    <t xml:space="preserve"> ENCARGOS SOCIAIS QUE RECEBEM INCIDÊNCIA DE "A"</t>
  </si>
  <si>
    <t xml:space="preserve">13º Salário  </t>
  </si>
  <si>
    <t>SUBTOTAL DE  "B"</t>
  </si>
  <si>
    <t xml:space="preserve"> ENCARGOS SOCIAIS QUE NÃO RECEBEM INCIDÊNCIA DE "A"</t>
  </si>
  <si>
    <t>C1</t>
  </si>
  <si>
    <t>C2</t>
  </si>
  <si>
    <t>C3</t>
  </si>
  <si>
    <t>SUBTOTAL DE "C"</t>
  </si>
  <si>
    <t>D</t>
  </si>
  <si>
    <t xml:space="preserve"> REINCIDÊNCIAS</t>
  </si>
  <si>
    <t>D1</t>
  </si>
  <si>
    <t>Reincidência de "A" sobre "B"</t>
  </si>
  <si>
    <t>D2</t>
  </si>
  <si>
    <t>Reincidência do FGTS sobre aviso prévio</t>
  </si>
  <si>
    <t>SUBTOTAL DE "D"</t>
  </si>
  <si>
    <t>TOTAIS DE ENCARGOS SOCIAIS</t>
  </si>
  <si>
    <t>TAXA DE
ENCARGOS
SOCIAIS
%</t>
  </si>
  <si>
    <t>TOTAL
CUSTO ENC.
SOCIAIS DE
B2</t>
  </si>
  <si>
    <t>TOTAL
CUSTO ENC.
SOCIAIS DE
B1</t>
  </si>
  <si>
    <t>TOTAL CUSTO
SALÁRIOS DE
B1</t>
  </si>
  <si>
    <t>TOTAL DE
HOMENS X
MÊS</t>
  </si>
  <si>
    <t>1</t>
  </si>
  <si>
    <t>VEÍCULOS</t>
  </si>
  <si>
    <t>1.1</t>
  </si>
  <si>
    <t>1.2</t>
  </si>
  <si>
    <t>2</t>
  </si>
  <si>
    <t>INSTALAÇÃO, MANUTENÇÃO E ADMINISTRAÇÃO DO ESCRITÓRIO</t>
  </si>
  <si>
    <t>2.1</t>
  </si>
  <si>
    <t>Total das despesas com veículos</t>
  </si>
  <si>
    <t>3.1</t>
  </si>
  <si>
    <t>3.2</t>
  </si>
  <si>
    <t>3.3</t>
  </si>
  <si>
    <t>3.4</t>
  </si>
  <si>
    <t>3.5</t>
  </si>
  <si>
    <t>B2</t>
  </si>
  <si>
    <t>B1</t>
  </si>
  <si>
    <t>B3</t>
  </si>
  <si>
    <t>B4</t>
  </si>
  <si>
    <t>B5</t>
  </si>
  <si>
    <t>B6</t>
  </si>
  <si>
    <t>B7</t>
  </si>
  <si>
    <t>Férias gozadas</t>
  </si>
  <si>
    <t>Auxílio enfermidade</t>
  </si>
  <si>
    <t>Licença paternidade</t>
  </si>
  <si>
    <t>Faltas justificadas</t>
  </si>
  <si>
    <t>Auxílio acidente de trabalho</t>
  </si>
  <si>
    <t>Salário maternidade</t>
  </si>
  <si>
    <t>A1</t>
  </si>
  <si>
    <t>A6</t>
  </si>
  <si>
    <t>C4</t>
  </si>
  <si>
    <t>C5</t>
  </si>
  <si>
    <t xml:space="preserve">Aviso prévio indenizado </t>
  </si>
  <si>
    <t xml:space="preserve">Aviso prévio trabalhado </t>
  </si>
  <si>
    <t>Férias indenizadas</t>
  </si>
  <si>
    <t>Depósito rescisão sem justa causa</t>
  </si>
  <si>
    <t>Indenização adicional</t>
  </si>
  <si>
    <t>FORNECIMENTOS</t>
  </si>
  <si>
    <t>Total das despesas com fornecimentos</t>
  </si>
  <si>
    <t xml:space="preserve">A - TOTAL DE SALÁRIO DA EQUIPE </t>
  </si>
  <si>
    <t>und</t>
  </si>
  <si>
    <t>TOTAL CUSTO
SALÁRIOS DE
B2</t>
  </si>
  <si>
    <t>1.3</t>
  </si>
  <si>
    <t>1.4</t>
  </si>
  <si>
    <t>1.5</t>
  </si>
  <si>
    <t>D - DESPESAS GERAIS - FORNECIMENTOS (PFS-III)</t>
  </si>
  <si>
    <t xml:space="preserve">C - DESPESAS </t>
  </si>
  <si>
    <t>Total das despesas com encargos complementares</t>
  </si>
  <si>
    <t>ENCARGOS COMPLEMENTARES - SERVIÇOS</t>
  </si>
  <si>
    <t>ENCARGOS COMPLEMENTARES - FORNECIMENTO</t>
  </si>
  <si>
    <t>PFS-II</t>
  </si>
  <si>
    <t>PFS-III</t>
  </si>
  <si>
    <t>PFS-VII</t>
  </si>
  <si>
    <t>global</t>
  </si>
  <si>
    <t>DETALHAMENTO DE DESPESAS FISCAIS</t>
  </si>
  <si>
    <t>DF %</t>
  </si>
  <si>
    <t>DF' %</t>
  </si>
  <si>
    <t>1 - ISS</t>
  </si>
  <si>
    <t xml:space="preserve">TOTAIS DE DESPESAS FISCAIS </t>
  </si>
  <si>
    <t xml:space="preserve"> DF' = { [ 1 / ( 1 - DF ) ] - 1 } x 100</t>
  </si>
  <si>
    <t>PFS-VIII</t>
  </si>
  <si>
    <t xml:space="preserve">  </t>
  </si>
  <si>
    <t>5. NÃO foram incluídos os tributos IRPJ e CSLL, em cumprimento ao Acórdão nº 325/2007 – TCU – Plenário.</t>
  </si>
  <si>
    <t>Lucro</t>
  </si>
  <si>
    <t>Tributos</t>
  </si>
  <si>
    <t>As despesas fiscais - serviços e fornecimentos  (DF) incidem sobre o total da fatura e não sobre os custos incorridos. Portanto aplicar a seguinte fórmula:</t>
  </si>
  <si>
    <t>Em PFS (sobre Custos Diretos + Custos de Administração + Lucro)</t>
  </si>
  <si>
    <t>CUSTOS INDIRETOS, LUCRO E TRIBUTOS - CILT</t>
  </si>
  <si>
    <t>REMUNERAÇÃO
MENSAL
(R$)*</t>
  </si>
  <si>
    <t>Auxílio alimentação</t>
  </si>
  <si>
    <t xml:space="preserve">Seguro de vida, invalidez e funeral </t>
  </si>
  <si>
    <t xml:space="preserve">Exames </t>
  </si>
  <si>
    <t>2. REMUNERAÇÃO DA EMPRESA (LUCRO) = 10% SOBRE OS ITENS DE CUSTOS DIRETOS + CUSTO DE ADMINISTRAÇÃO</t>
  </si>
  <si>
    <t>G - REMUNERAÇÃO DA EMPRESA (LUCRO) - (10,00% DOS ITENS A+B+C+D+E+F)</t>
  </si>
  <si>
    <t>Creme de proteção solar FPS 30 (3 unidades/ano/empregado)</t>
  </si>
  <si>
    <t>2.2</t>
  </si>
  <si>
    <t>2.3</t>
  </si>
  <si>
    <t>2.4</t>
  </si>
  <si>
    <t>Consultoria</t>
  </si>
  <si>
    <t>Total das despesas com consultoria</t>
  </si>
  <si>
    <t>4.1</t>
  </si>
  <si>
    <t>4.2</t>
  </si>
  <si>
    <t>4.3</t>
  </si>
  <si>
    <t>4.4</t>
  </si>
  <si>
    <t>4.5</t>
  </si>
  <si>
    <t>4.6</t>
  </si>
  <si>
    <t>Folder (colorido)</t>
  </si>
  <si>
    <t>Total das despesas com serviços gráficos</t>
  </si>
  <si>
    <t>Relatórios mensais (2 vias/perímetro)</t>
  </si>
  <si>
    <t>Relatórios anuais (2 vias/perímetro)</t>
  </si>
  <si>
    <t>Diagnóstico do Perímetro (2 vias/perímetro)</t>
  </si>
  <si>
    <t>Relatório Final ((2 vias/perímetro)</t>
  </si>
  <si>
    <t>Plano Anual de ATER (2 vias/perímetro)</t>
  </si>
  <si>
    <t>Serviços Gráficos *</t>
  </si>
  <si>
    <t>*Serviços gráficos tabela Codevasf - fev./2019</t>
  </si>
  <si>
    <t>1.6</t>
  </si>
  <si>
    <t>1.7</t>
  </si>
  <si>
    <t>1.8</t>
  </si>
  <si>
    <t>unid.</t>
  </si>
  <si>
    <t>Bebedouro de coluna com refrigeração e garrafão de 20 litros</t>
  </si>
  <si>
    <t>und.</t>
  </si>
  <si>
    <t>Cadeira secretária fixa pé palito</t>
  </si>
  <si>
    <t>Impressora multifucional tanque de tinta colorida</t>
  </si>
  <si>
    <t xml:space="preserve"> DF' = { [ 1 / ( 1 - 0,1425 ) ] - 1 } x 100</t>
  </si>
  <si>
    <t>Observação 1:</t>
  </si>
  <si>
    <t>Observação 2: Para empresas sob regime cumulativo o valor do PIS/COFINS é de 8,65</t>
  </si>
  <si>
    <t>F -  CUSTO DE ADMINISTRAÇÃO (INDIRETOS) - (10,00% DOS ITENS A+B+C+D+E) - (PFS-V)</t>
  </si>
  <si>
    <t xml:space="preserve">4. CUSTO DE ADMINISTRAÇÃO = 10% </t>
  </si>
  <si>
    <t>Armário Multiuso com 2 Portas com chave 5 prateleiras em aço</t>
  </si>
  <si>
    <t>Cadeira giratória para escritório - modelo presidente</t>
  </si>
  <si>
    <t>1. ENCARGOS SOCIAIS DA EQUIPE COM VÍNCULO = 71,87% SOBRE O SALÁRIO MENSAL</t>
  </si>
  <si>
    <t>B1 -  71,87% INCIDENTE SOBRE O ITEM  A1 (PFS_VII)</t>
  </si>
  <si>
    <t>E - DESPESAS GERAIS - SERVIÇOS (PFS-II)</t>
  </si>
  <si>
    <t>Bota (SINAPI 36145) (2 pares por ano)</t>
  </si>
  <si>
    <t>Fardamento (00941/ORSE) (3 kits por ano)</t>
  </si>
  <si>
    <t>Capa para chuva (SINAPI 12894) (1 por ano)</t>
  </si>
  <si>
    <t>Notebook com processador Intel Core 8a i5, memória de 8 GB, 1 TB de HD, 1,6 GHz, Windows 10</t>
  </si>
  <si>
    <t>Condicionador de ar 12.000 Btus split 110V - frio</t>
  </si>
  <si>
    <t>Mesa para escritório com 02 gavetas 120cm</t>
  </si>
  <si>
    <t>Locação - Motocicleta tipo Trail, com cilindrada mínima de 150cv, partida elétrica, nova.</t>
  </si>
  <si>
    <t>TECNICO DE CAMPO / AGRÍCOLA</t>
  </si>
  <si>
    <t>ASSISTENTE SOCIAL*</t>
  </si>
  <si>
    <t>3 - COFINS (6,08% = 7,6% x 80%)</t>
  </si>
  <si>
    <t>2 - PIS (1,32% = 1,65% x 80%)</t>
  </si>
  <si>
    <t xml:space="preserve"> ou seja, para o valor máximo de 12,40%, o valor a ser aplicado na composição dos preços será:</t>
  </si>
  <si>
    <t xml:space="preserve"> DF' =0,1416  ou  14,16%</t>
  </si>
  <si>
    <t>H - DESPESAS FISCAIS (TRIBUTOS) - (14,16% = DF' DOS ITENS A+B+C+D+E+F+G) - (PFS VIII)</t>
  </si>
  <si>
    <t>3. DF' - SERVIÇOS e FORNECIMENTO = A SOMA DOS TRIBUTOS: ISS (5,00%) + PIS (1,32%) + COFINS (6,08%) = 12,40%. PA-</t>
  </si>
  <si>
    <t xml:space="preserve"> RA O VALOR MÁXIMO DE 12,40%, O VALOR A SER APLICADO NA COMPOSIÇÃO DOS PREÇOS É SERÁ 14,16%</t>
  </si>
  <si>
    <t>SERVIÇOS GERAIS</t>
  </si>
  <si>
    <t>* Por conta da Lei nº 12.317/10, que fixa a duração do trabalho do assistente social em 30 horas semanais, foi feito o ajuste para uma duração de 40 horas semanais, adicionando-se 10 horas extras</t>
  </si>
  <si>
    <t>Jacaré - Curituba</t>
  </si>
  <si>
    <t>Serviço de Assistência Técnica e Extensão Rural (ATER)</t>
  </si>
  <si>
    <t>Serviço de Assistência e Extensão Rural (ATER)</t>
  </si>
  <si>
    <r>
      <t>Custos da equipe de Apoio a Produção                                                                                                                   (PFS-I - Salários</t>
    </r>
    <r>
      <rPr>
        <b/>
        <sz val="8"/>
        <color indexed="56"/>
        <rFont val="Arial"/>
        <family val="2"/>
      </rPr>
      <t xml:space="preserve"> R$ 223.394,04</t>
    </r>
    <r>
      <rPr>
        <sz val="8"/>
        <color indexed="56"/>
        <rFont val="Arial"/>
        <family val="2"/>
      </rPr>
      <t xml:space="preserve"> + Encargos </t>
    </r>
    <r>
      <rPr>
        <b/>
        <sz val="8"/>
        <color indexed="56"/>
        <rFont val="Arial"/>
        <family val="2"/>
      </rPr>
      <t>R$ 160.553,30</t>
    </r>
    <r>
      <rPr>
        <sz val="8"/>
        <color indexed="56"/>
        <rFont val="Arial"/>
        <family val="2"/>
      </rPr>
      <t>)</t>
    </r>
  </si>
  <si>
    <r>
      <t xml:space="preserve">Despesas Gerais - Serviços                                                                                                           </t>
    </r>
    <r>
      <rPr>
        <sz val="8"/>
        <color indexed="56"/>
        <rFont val="Helv"/>
      </rPr>
      <t xml:space="preserve">(PFS-II Locação, Consultoria, Enc. Complementares  </t>
    </r>
    <r>
      <rPr>
        <b/>
        <sz val="8"/>
        <color indexed="56"/>
        <rFont val="Helv"/>
      </rPr>
      <t>R$ 128.463,25)</t>
    </r>
  </si>
  <si>
    <r>
      <t xml:space="preserve">Despesas Gerais - Fornecimentos                                                                                                      </t>
    </r>
    <r>
      <rPr>
        <sz val="8"/>
        <color indexed="56"/>
        <rFont val="Helv"/>
      </rPr>
      <t xml:space="preserve">(PFS-III Fornecimentos e Enc. Complementares. </t>
    </r>
    <r>
      <rPr>
        <b/>
        <sz val="8"/>
        <color indexed="56"/>
        <rFont val="Helv"/>
      </rPr>
      <t>R$ 30.263,00</t>
    </r>
    <r>
      <rPr>
        <sz val="8"/>
        <color indexed="56"/>
        <rFont val="Helv"/>
      </rPr>
      <t>)</t>
    </r>
  </si>
  <si>
    <t xml:space="preserve">Locação - Veículo automotor de carga leve do tipo ‘Pick-Up’, cabine dupla, com motor 1.6 litros ou superior, com potência de 100 cv ou superior, bicombustível (Flex), transmissão mecânica com 05 marchas sincronizadas à frente e 01 à ré, capacidade mínima de carga de 650 kg, direção hidráulica, protetor de caçamba, grade protetora do vidro traseiro, estribos antiderrapante no para-choque traseiro, suspensão traseira elevada, protetor de cárter, tapetes, ar condicionado e rádio com MP3. </t>
  </si>
  <si>
    <t>PROPOSTA FINANCEIRA DE SERVIÇOS</t>
  </si>
  <si>
    <t>ANEXO V</t>
  </si>
  <si>
    <t>PLANILHA DE CUSTOS E FORMAÇÃO DE PREÇOS</t>
  </si>
  <si>
    <t>Nº Processo</t>
  </si>
  <si>
    <t>59540.000700/2020-91</t>
  </si>
  <si>
    <t>Licitação Nº</t>
  </si>
  <si>
    <t>Dia ___/___/___ às ___:___ horas</t>
  </si>
  <si>
    <t>Contratação de serviços assistência técnica e extensão rural para o Perímetro Público de Irrigação do Jacaré - Curituba, nos municípios de Canindé do São Francisco e Poço Redondo, em Sergipe.</t>
  </si>
  <si>
    <t xml:space="preserve">Data de apresentação da proposta (dia/mês/ano) </t>
  </si>
  <si>
    <t>Município/UF</t>
  </si>
  <si>
    <t>Aracaju-SE</t>
  </si>
  <si>
    <t>Ano Acordo, Convenção ou Sentença Normativa em Dissídio Coletivo</t>
  </si>
  <si>
    <t>Nº de meses de execução contratual</t>
  </si>
  <si>
    <t>Tipo de Seviço</t>
  </si>
  <si>
    <t>Unidade de medida</t>
  </si>
  <si>
    <t>Quantidade total a contratar</t>
  </si>
  <si>
    <t>I</t>
  </si>
  <si>
    <t>Assistente Social</t>
  </si>
  <si>
    <t>Anexo III - A - Mão-de Obra</t>
  </si>
  <si>
    <t>Mão-de-obra vincula à execução contratual</t>
  </si>
  <si>
    <t>Dados complementares para composição dos custos referente à mão-de-obra</t>
  </si>
  <si>
    <t>Tipo de serviço</t>
  </si>
  <si>
    <t>ATER</t>
  </si>
  <si>
    <t>Salário sem encargos - conforme pesquisa na página www.salario.com.br</t>
  </si>
  <si>
    <t>Categoria profissional</t>
  </si>
  <si>
    <t>auxiliar administrativo</t>
  </si>
  <si>
    <t>Data-base da categoria</t>
  </si>
  <si>
    <t>MÓDULO 1 : COMPOSIÇÃO DA REMUNERAÇÃO</t>
  </si>
  <si>
    <t>Composição da remuneração</t>
  </si>
  <si>
    <t>Valor (R$)</t>
  </si>
  <si>
    <t>Salário Base - 30 horas/semana (Lei n° 12.317/2010) ou 150 h/mês</t>
  </si>
  <si>
    <t>Horas Extras (50%) - 10 horas por semana ou 50h/mês</t>
  </si>
  <si>
    <t>Produtividade (6%)</t>
  </si>
  <si>
    <t>Adicional Noturno (25%)</t>
  </si>
  <si>
    <t>Total da Remuneração</t>
  </si>
  <si>
    <t>MÓDULO 2 : BENEFÍCIOS MENSAIS E DIÁRIOS</t>
  </si>
  <si>
    <t>Benefícios mensais e diários</t>
  </si>
  <si>
    <t>Transporte - será feito pela contratada com os veículos do contrato</t>
  </si>
  <si>
    <t>Auxílio alimentação (SINAPI 40862)</t>
  </si>
  <si>
    <t xml:space="preserve">Assistência médica e familiar </t>
  </si>
  <si>
    <t>Auxílio creche</t>
  </si>
  <si>
    <t>E</t>
  </si>
  <si>
    <t>Seguro de vida, invalidez e funeral (SINAPI 40864)</t>
  </si>
  <si>
    <t>F</t>
  </si>
  <si>
    <t xml:space="preserve">Exames (SINAPI 40863) </t>
  </si>
  <si>
    <t>G</t>
  </si>
  <si>
    <t>Intervalo Intrajornada (Alterado pelo Art. 71 da Lei 13.467)</t>
  </si>
  <si>
    <t>Total de benefícios mensais e diários</t>
  </si>
  <si>
    <t>MÓDULO 3 : INSUMOS DIVERSOS</t>
  </si>
  <si>
    <t>Insumos Diversos</t>
  </si>
  <si>
    <t>Bota (SINAPI 36145)</t>
  </si>
  <si>
    <t>Fardamento (00941/ORSE) (3 kits x R$ 77,00/12)</t>
  </si>
  <si>
    <t>Creme de proteção solar FPS 30 (SINAPI 36146) 2L/ano</t>
  </si>
  <si>
    <t>Capa para chuva (SINAPI 12894)</t>
  </si>
  <si>
    <t>Total de insumos diversos</t>
  </si>
  <si>
    <t>MÓDULO 4: ENCARGOS SOCIAIS E TRABALHISTAS</t>
  </si>
  <si>
    <t>Submódulo 4.1 - Encargos previdenciários e FGTS</t>
  </si>
  <si>
    <t>Encargos Previdenciários e FGTS (GRUPO A)</t>
  </si>
  <si>
    <t>SESI/SESC</t>
  </si>
  <si>
    <t>SENAI/SENAC</t>
  </si>
  <si>
    <t>INCRA</t>
  </si>
  <si>
    <t>Salário Educação</t>
  </si>
  <si>
    <t>Seguro acidente de trabalho</t>
  </si>
  <si>
    <t>H</t>
  </si>
  <si>
    <t>SEBRAE</t>
  </si>
  <si>
    <t>Submódulo 4.2 - 13º Salário e Adicional de Férias</t>
  </si>
  <si>
    <t>13º Salário e Adicional de Férias (GRUPO B)</t>
  </si>
  <si>
    <t xml:space="preserve">13º Salário </t>
  </si>
  <si>
    <t>Submódulo 4.3 - Provisão para Rescisão</t>
  </si>
  <si>
    <t>Provisão para Rescisão (GRUPO C)</t>
  </si>
  <si>
    <t>Submódulo 4.4 - GRUPO D</t>
  </si>
  <si>
    <t>GRUPO D</t>
  </si>
  <si>
    <t>Reincidência do Grupo A sobre o Grupo B</t>
  </si>
  <si>
    <t>Reincidência do Grupo A sobre Aviso Prévio Trabalhado e Reincidência do FGTS sobre o Aviso Prévio Indenizado</t>
  </si>
  <si>
    <t>Quadro - resumo - Módulo 4 - Encargos sociais e trabalhistas</t>
  </si>
  <si>
    <t>Módulo 4 - Encargos sociais e trabalhistas</t>
  </si>
  <si>
    <t>MÓDULO 5 - CUSTOS INDIRETOS, TRIBUTOS E LUCRO</t>
  </si>
  <si>
    <t>Custos Indiretos, Tributos e Lucro</t>
  </si>
  <si>
    <t>Custos Indiretos - Despesas Administrativas</t>
  </si>
  <si>
    <t xml:space="preserve"> </t>
  </si>
  <si>
    <t>B.1 Tributos Federais (PIS: 1,65%) (COFINS: 7,60%)</t>
  </si>
  <si>
    <t>B.2 Tributos Estaduais</t>
  </si>
  <si>
    <t>0,00%</t>
  </si>
  <si>
    <t>B.3 Tributos Municipais (ISS: 5,00%)</t>
  </si>
  <si>
    <t>21,67%</t>
  </si>
  <si>
    <t>Anexo III - B - Quadro-resumo do Custo por Empregado</t>
  </si>
  <si>
    <t>Mão-de-obra vinculada à execução contratual (valor por empregado)</t>
  </si>
  <si>
    <t>Módulo 1 – Composição da Remuneração</t>
  </si>
  <si>
    <t>Módulo 2 – Benefícios Mensais e Diários</t>
  </si>
  <si>
    <t>Módulo 3 – Insumos Diversos (uniformes, materiais, equip. e outros)</t>
  </si>
  <si>
    <t>Módulo 4 – Encargos Sociais e Trabalhistas</t>
  </si>
  <si>
    <t>Subtotal (A + B +C+ D)</t>
  </si>
  <si>
    <t>Módulo 5 – Custos indiretos, tributos e lucro</t>
  </si>
  <si>
    <t>Valor total por empregado</t>
  </si>
  <si>
    <t>Anexo III - C - Quadro-resumo - VALOR MENSAL DOS SERVIÇOS</t>
  </si>
  <si>
    <t>Tipo de</t>
  </si>
  <si>
    <t xml:space="preserve">Valor proposto </t>
  </si>
  <si>
    <t xml:space="preserve">Qtde de  </t>
  </si>
  <si>
    <t>Valor proposto</t>
  </si>
  <si>
    <t xml:space="preserve">Qtde total de </t>
  </si>
  <si>
    <t>Valor total</t>
  </si>
  <si>
    <t>Serviço</t>
  </si>
  <si>
    <t xml:space="preserve">por </t>
  </si>
  <si>
    <t>empregados</t>
  </si>
  <si>
    <t>por posto</t>
  </si>
  <si>
    <t>do serviço</t>
  </si>
  <si>
    <t>(A)</t>
  </si>
  <si>
    <t>empregado (B)</t>
  </si>
  <si>
    <t>(D) = (B x C)</t>
  </si>
  <si>
    <t>(E)</t>
  </si>
  <si>
    <t>(F) = (D x E)</t>
  </si>
  <si>
    <t>Valor Mensal dos serviços</t>
  </si>
  <si>
    <t>Anexo III - D - Quadro - demonstrativo - VALOR GLOBAL DA PROPOSTA</t>
  </si>
  <si>
    <t>Valor Global da Proposta</t>
  </si>
  <si>
    <t>Descrição</t>
  </si>
  <si>
    <t>Valor proposto por unidade de medida</t>
  </si>
  <si>
    <t>Valor mensal do serviço</t>
  </si>
  <si>
    <t>Valor global da proposta</t>
  </si>
  <si>
    <t>Elaborado por: ADR Cleudson das Neves Bernardino (cadastro 8049-08)</t>
  </si>
  <si>
    <t>Técnico Agrícola</t>
  </si>
  <si>
    <t>Salário Base</t>
  </si>
  <si>
    <t>Risco Profissional (30%)</t>
  </si>
  <si>
    <t>Bota (SINAPI 36145) (2 pares/ano)</t>
  </si>
  <si>
    <t>Téc. Agrícola</t>
  </si>
  <si>
    <t>Serviços Gerais</t>
  </si>
  <si>
    <t>Escritório</t>
  </si>
  <si>
    <t>Salário sem encargos - conforme Tabela - Engenharia Consultiva Codevasf</t>
  </si>
  <si>
    <t>COMPOSIÇÃO DO CUSTO DE LOCAÇÃO DE VEÍCULO</t>
  </si>
  <si>
    <t>Veículo automotor tipo pick up</t>
  </si>
  <si>
    <t>Depreciação mensal do equipamento</t>
  </si>
  <si>
    <t>Preço de aquisição do bem (Média de 02 modelos Tabela FIPE)</t>
  </si>
  <si>
    <t>Tempo previsto de vida útil</t>
  </si>
  <si>
    <t>Previsão de recuperação na venda do bem usado</t>
  </si>
  <si>
    <t>Custo mensal [A1-(A3xA1)}/A2</t>
  </si>
  <si>
    <t>Juros pelo capital empatado</t>
  </si>
  <si>
    <t>Taxa mensal de juros</t>
  </si>
  <si>
    <t>Juros s/ depreciação /aluguel (B1xA4)</t>
  </si>
  <si>
    <t>Conservação e manutenção</t>
  </si>
  <si>
    <t>Taxa de gastos s/ a depreciação inc. seguros</t>
  </si>
  <si>
    <t>Incidência mensal (C1xA4)</t>
  </si>
  <si>
    <t>Combustível</t>
  </si>
  <si>
    <t>Média mensal de quilômetro por veículo</t>
  </si>
  <si>
    <t>Preço do litro do combustível (Fonte: Sítio da ANP)</t>
  </si>
  <si>
    <t>D3</t>
  </si>
  <si>
    <t>Quilômetros rodados com um litro de combustível</t>
  </si>
  <si>
    <t>D4</t>
  </si>
  <si>
    <t>Combustível (D1/D3)*D2</t>
  </si>
  <si>
    <t>Lubrificantes</t>
  </si>
  <si>
    <t>E1</t>
  </si>
  <si>
    <t>Quilometragem do contrato</t>
  </si>
  <si>
    <t>E2</t>
  </si>
  <si>
    <t>Franquia (km) por troca de óleo lubrificante 10W-30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</si>
  <si>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</si>
  <si>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</si>
  <si>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</si>
  <si>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</si>
  <si>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</si>
  <si>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</si>
  <si>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</si>
  <si>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E = (E1*E3*E4*30)/E2*E5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</si>
  <si>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</si>
  <si>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</si>
  <si>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</si>
  <si>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</si>
  <si>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</si>
  <si>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</si>
  <si>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</si>
  <si>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</si>
  <si>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</si>
  <si>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>F6</t>
  </si>
  <si>
    <t>Pneus F = (F1*F3*F4*30)/F2*F5</t>
  </si>
  <si>
    <t>Custo mensal</t>
  </si>
  <si>
    <t>G1</t>
  </si>
  <si>
    <t>Sem motorista</t>
  </si>
  <si>
    <t>Custo Direto por Km Rodado</t>
  </si>
  <si>
    <t>H1</t>
  </si>
  <si>
    <t>COMPOSIÇÃO DO CUSTO DE LOCAÇÃO DE MOTOCICLETA</t>
  </si>
  <si>
    <t>Motocicleta tipo off road ou trail</t>
  </si>
  <si>
    <t>Preço de aquisição do bem (Tabela FIPE)</t>
  </si>
  <si>
    <t>Franquia (km) por troca de óleo lubrificante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</si>
</sst>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General_)"/>
    <numFmt numFmtId="166" formatCode="0_)"/>
    <numFmt numFmtId="167" formatCode="00"/>
    <numFmt numFmtId="168" formatCode="#,##0.00;[Red]#,##0.00"/>
    <numFmt numFmtId="169" formatCode="#,##0.00&quot;  &quot;"/>
    <numFmt numFmtId="170" formatCode="0.000000"/>
    <numFmt numFmtId="171" formatCode="000"/>
    <numFmt numFmtId="172" formatCode="#,##0.0000;[Red]\-#,##0.0000"/>
    <numFmt numFmtId="173" formatCode="#,##0.00_ ;[Red]\-#,##0.00\ "/>
    <numFmt numFmtId="174" formatCode="#,##0.0000"/>
    <numFmt numFmtId="175" formatCode="#,##0.0000_ ;[Red]\-#,##0.0000\ "/>
    <numFmt numFmtId="176" formatCode="#,##0_ ;[Red]\-#,##0\ "/>
    <numFmt numFmtId="177" formatCode="&quot;R$ &quot;#,##0.00;[Red]&quot;R$ &quot;#,##0.00"/>
    <numFmt numFmtId="178" formatCode="0.0000000"/>
    <numFmt numFmtId="179" formatCode="#,##0.00\ "/>
    <numFmt numFmtId="180" formatCode="_(* #,##0.00_);_(* \(#,##0.00\);_(* &quot;-&quot;??.00_);_(@_)"/>
    <numFmt numFmtId="181" formatCode="#,##0.00\ \ \ "/>
    <numFmt numFmtId="182" formatCode="\ \ \ \ \ \ @"/>
  </numFmts>
  <fonts count="53" x14ac:knownFonts="1">
    <font>
      <sz val="10"/>
      <name val="MS Sans Serif"/>
      <family val="2"/>
    </font>
    <font>
      <sz val="10"/>
      <name val="Arial"/>
      <family val="2"/>
    </font>
    <font>
      <sz val="8"/>
      <name val="Helv"/>
      <family val="2"/>
    </font>
    <font>
      <sz val="10"/>
      <name val="Arial"/>
      <family val="2"/>
    </font>
    <font>
      <b/>
      <sz val="15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sz val="10"/>
      <name val="Helv"/>
      <family val="2"/>
    </font>
    <font>
      <sz val="10"/>
      <name val="MS Sans Serif"/>
      <family val="2"/>
    </font>
    <font>
      <sz val="14"/>
      <name val="Arial"/>
      <family val="2"/>
    </font>
    <font>
      <sz val="10"/>
      <name val="Helv"/>
      <family val="2"/>
    </font>
    <font>
      <sz val="9"/>
      <name val="Helv"/>
      <family val="2"/>
    </font>
    <font>
      <sz val="8"/>
      <color indexed="56"/>
      <name val="Helv"/>
    </font>
    <font>
      <b/>
      <sz val="8"/>
      <color indexed="56"/>
      <name val="Arial"/>
      <family val="2"/>
    </font>
    <font>
      <sz val="8"/>
      <color indexed="56"/>
      <name val="Arial"/>
      <family val="2"/>
    </font>
    <font>
      <b/>
      <sz val="8"/>
      <color indexed="56"/>
      <name val="Helv"/>
    </font>
    <font>
      <sz val="8"/>
      <name val="MS Sans Serif"/>
      <family val="2"/>
    </font>
    <font>
      <sz val="11"/>
      <color theme="1"/>
      <name val="Calibri"/>
      <family val="2"/>
      <scheme val="minor"/>
    </font>
    <font>
      <b/>
      <sz val="8"/>
      <color theme="6" tint="-0.499984740745262"/>
      <name val="Arial"/>
      <family val="2"/>
    </font>
    <font>
      <b/>
      <sz val="10"/>
      <color theme="6" tint="-0.499984740745262"/>
      <name val="Arial"/>
      <family val="2"/>
    </font>
    <font>
      <b/>
      <sz val="8"/>
      <color rgb="FF002060"/>
      <name val="Arial"/>
      <family val="2"/>
    </font>
    <font>
      <sz val="8"/>
      <color rgb="FFFF0000"/>
      <name val="Arial"/>
      <family val="2"/>
    </font>
    <font>
      <sz val="8"/>
      <color rgb="FFC00000"/>
      <name val="Arial"/>
      <family val="2"/>
    </font>
    <font>
      <sz val="8"/>
      <color rgb="FF002060"/>
      <name val="Arial"/>
      <family val="2"/>
    </font>
    <font>
      <sz val="8"/>
      <color rgb="FF002060"/>
      <name val="Helv"/>
      <family val="2"/>
    </font>
    <font>
      <sz val="10"/>
      <color rgb="FF002060"/>
      <name val="Helv"/>
      <family val="2"/>
    </font>
    <font>
      <b/>
      <sz val="10"/>
      <color rgb="FF002060"/>
      <name val="Arial"/>
      <family val="2"/>
    </font>
    <font>
      <sz val="9"/>
      <color rgb="FF002060"/>
      <name val="Arial"/>
      <family val="2"/>
    </font>
    <font>
      <sz val="10"/>
      <color rgb="FF002060"/>
      <name val="Arial"/>
      <family val="2"/>
    </font>
    <font>
      <sz val="8"/>
      <color rgb="FF0000CC"/>
      <name val="Arial"/>
      <family val="2"/>
    </font>
    <font>
      <sz val="8"/>
      <color theme="2" tint="-0.89999084444715716"/>
      <name val="Arial"/>
      <family val="2"/>
    </font>
    <font>
      <b/>
      <sz val="8"/>
      <color theme="2" tint="-0.89999084444715716"/>
      <name val="Arial"/>
      <family val="2"/>
    </font>
    <font>
      <sz val="10"/>
      <color rgb="FF0000CC"/>
      <name val="MS Sans Serif"/>
      <family val="2"/>
    </font>
    <font>
      <b/>
      <sz val="8"/>
      <color theme="4" tint="-0.499984740745262"/>
      <name val="Arial"/>
      <family val="2"/>
    </font>
    <font>
      <sz val="8"/>
      <color theme="4" tint="-0.499984740745262"/>
      <name val="Arial"/>
      <family val="2"/>
    </font>
    <font>
      <b/>
      <sz val="10"/>
      <color theme="4" tint="-0.49998474074526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color rgb="FF002060"/>
      <name val="MS Sans Serif"/>
      <family val="2"/>
    </font>
    <font>
      <b/>
      <sz val="9"/>
      <color rgb="FF002060"/>
      <name val="Arial"/>
      <family val="2"/>
    </font>
    <font>
      <sz val="9"/>
      <color rgb="FF002060"/>
      <name val="Helv"/>
      <family val="2"/>
    </font>
    <font>
      <sz val="10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47"/>
      </patternFill>
    </fill>
    <fill>
      <patternFill patternType="solid">
        <fgColor indexed="47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7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</fills>
  <borders count="118">
    <border>
      <left/>
      <right/>
      <top/>
      <bottom/>
      <diagonal/>
    </border>
    <border>
      <left/>
      <right/>
      <top/>
      <bottom style="thick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</borders>
  <cellStyleXfs count="26">
    <xf numFmtId="0" fontId="0" fillId="0" borderId="0"/>
    <xf numFmtId="0" fontId="3" fillId="0" borderId="0"/>
    <xf numFmtId="0" fontId="17" fillId="0" borderId="0"/>
    <xf numFmtId="0" fontId="26" fillId="0" borderId="0"/>
    <xf numFmtId="0" fontId="3" fillId="0" borderId="0"/>
    <xf numFmtId="0" fontId="3" fillId="0" borderId="0"/>
    <xf numFmtId="0" fontId="17" fillId="0" borderId="0"/>
    <xf numFmtId="165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" fillId="0" borderId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0" fontId="17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40" fontId="17" fillId="0" borderId="0" applyFill="0" applyBorder="0" applyAlignment="0" applyProtection="0"/>
    <xf numFmtId="0" fontId="5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57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3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6" fillId="0" borderId="7" xfId="0" applyFont="1" applyBorder="1" applyAlignment="1">
      <alignment horizontal="left"/>
    </xf>
    <xf numFmtId="4" fontId="6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4" xfId="0" applyFont="1" applyBorder="1" applyAlignment="1">
      <alignment horizontal="left" vertical="top"/>
    </xf>
    <xf numFmtId="0" fontId="10" fillId="0" borderId="4" xfId="0" applyFont="1" applyBorder="1" applyAlignment="1">
      <alignment horizontal="left" vertical="top"/>
    </xf>
    <xf numFmtId="0" fontId="10" fillId="0" borderId="5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/>
    </xf>
    <xf numFmtId="0" fontId="10" fillId="0" borderId="9" xfId="0" applyFont="1" applyBorder="1" applyAlignment="1">
      <alignment horizontal="left" vertical="top"/>
    </xf>
    <xf numFmtId="0" fontId="11" fillId="0" borderId="9" xfId="0" applyFont="1" applyBorder="1" applyAlignment="1">
      <alignment horizontal="left" vertical="top"/>
    </xf>
    <xf numFmtId="0" fontId="11" fillId="0" borderId="9" xfId="0" applyFont="1" applyBorder="1" applyAlignment="1">
      <alignment horizontal="center" vertical="top"/>
    </xf>
    <xf numFmtId="0" fontId="11" fillId="0" borderId="10" xfId="0" applyFont="1" applyBorder="1" applyAlignment="1">
      <alignment horizontal="center" vertical="top"/>
    </xf>
    <xf numFmtId="0" fontId="6" fillId="0" borderId="11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0" xfId="8" applyFont="1" applyAlignment="1">
      <alignment horizontal="left" vertical="center"/>
    </xf>
    <xf numFmtId="0" fontId="6" fillId="0" borderId="0" xfId="8" applyFont="1" applyAlignment="1">
      <alignment horizontal="center" vertical="center"/>
    </xf>
    <xf numFmtId="0" fontId="6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6" fillId="2" borderId="16" xfId="0" applyFont="1" applyFill="1" applyBorder="1" applyAlignment="1">
      <alignment horizontal="left" vertical="center"/>
    </xf>
    <xf numFmtId="0" fontId="7" fillId="2" borderId="17" xfId="8" applyFont="1" applyFill="1" applyBorder="1" applyAlignment="1">
      <alignment horizontal="center" vertical="center"/>
    </xf>
    <xf numFmtId="0" fontId="6" fillId="0" borderId="0" xfId="8" applyFont="1" applyBorder="1" applyAlignment="1">
      <alignment horizontal="center" vertical="center"/>
    </xf>
    <xf numFmtId="0" fontId="6" fillId="0" borderId="0" xfId="8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0" xfId="8" applyFont="1" applyAlignment="1">
      <alignment vertical="center"/>
    </xf>
    <xf numFmtId="4" fontId="12" fillId="0" borderId="18" xfId="19" applyNumberFormat="1" applyFont="1" applyFill="1" applyBorder="1" applyAlignment="1" applyProtection="1">
      <alignment horizontal="right" vertical="center"/>
    </xf>
    <xf numFmtId="0" fontId="8" fillId="0" borderId="0" xfId="8" applyFont="1" applyBorder="1" applyAlignment="1">
      <alignment vertical="center"/>
    </xf>
    <xf numFmtId="0" fontId="6" fillId="0" borderId="19" xfId="8" applyFont="1" applyBorder="1" applyAlignment="1">
      <alignment vertical="center"/>
    </xf>
    <xf numFmtId="0" fontId="6" fillId="0" borderId="4" xfId="8" applyFont="1" applyBorder="1" applyAlignment="1">
      <alignment vertical="center"/>
    </xf>
    <xf numFmtId="0" fontId="8" fillId="0" borderId="0" xfId="8" applyFont="1" applyBorder="1" applyAlignment="1">
      <alignment horizontal="center" vertical="center"/>
    </xf>
    <xf numFmtId="0" fontId="6" fillId="0" borderId="0" xfId="9" applyFont="1" applyAlignment="1">
      <alignment vertical="center"/>
    </xf>
    <xf numFmtId="0" fontId="6" fillId="2" borderId="16" xfId="0" applyFont="1" applyFill="1" applyBorder="1" applyAlignment="1">
      <alignment horizontal="left" vertical="top"/>
    </xf>
    <xf numFmtId="0" fontId="8" fillId="0" borderId="20" xfId="9" applyFont="1" applyBorder="1" applyAlignment="1">
      <alignment vertical="top"/>
    </xf>
    <xf numFmtId="0" fontId="8" fillId="0" borderId="21" xfId="9" applyFont="1" applyBorder="1" applyAlignment="1">
      <alignment vertical="top"/>
    </xf>
    <xf numFmtId="0" fontId="8" fillId="0" borderId="4" xfId="9" applyFont="1" applyBorder="1" applyAlignment="1">
      <alignment vertical="top"/>
    </xf>
    <xf numFmtId="0" fontId="8" fillId="0" borderId="19" xfId="9" applyFont="1" applyBorder="1" applyAlignment="1">
      <alignment vertical="top"/>
    </xf>
    <xf numFmtId="0" fontId="8" fillId="0" borderId="9" xfId="9" applyFont="1" applyBorder="1" applyAlignment="1">
      <alignment vertical="top"/>
    </xf>
    <xf numFmtId="0" fontId="8" fillId="0" borderId="22" xfId="9" applyFont="1" applyBorder="1" applyAlignment="1">
      <alignment vertical="top"/>
    </xf>
    <xf numFmtId="0" fontId="8" fillId="0" borderId="23" xfId="9" applyFont="1" applyBorder="1" applyAlignment="1">
      <alignment horizontal="left" vertical="top"/>
    </xf>
    <xf numFmtId="0" fontId="8" fillId="0" borderId="0" xfId="9" applyFont="1" applyBorder="1" applyAlignment="1">
      <alignment horizontal="left" vertical="top"/>
    </xf>
    <xf numFmtId="0" fontId="8" fillId="0" borderId="24" xfId="9" applyFont="1" applyBorder="1" applyAlignment="1">
      <alignment horizontal="left" vertical="top"/>
    </xf>
    <xf numFmtId="0" fontId="8" fillId="0" borderId="25" xfId="9" applyFont="1" applyBorder="1" applyAlignment="1">
      <alignment horizontal="left" vertical="top"/>
    </xf>
    <xf numFmtId="0" fontId="8" fillId="0" borderId="26" xfId="9" applyFont="1" applyBorder="1" applyAlignment="1">
      <alignment vertical="top"/>
    </xf>
    <xf numFmtId="0" fontId="8" fillId="0" borderId="27" xfId="9" applyFont="1" applyBorder="1" applyAlignment="1">
      <alignment vertical="top"/>
    </xf>
    <xf numFmtId="0" fontId="6" fillId="0" borderId="27" xfId="9" applyFont="1" applyBorder="1" applyAlignment="1">
      <alignment vertical="center"/>
    </xf>
    <xf numFmtId="0" fontId="6" fillId="0" borderId="28" xfId="9" applyFont="1" applyBorder="1" applyAlignment="1">
      <alignment horizontal="center" vertical="center"/>
    </xf>
    <xf numFmtId="0" fontId="6" fillId="0" borderId="29" xfId="9" applyFont="1" applyBorder="1" applyAlignment="1">
      <alignment horizontal="center" vertical="center"/>
    </xf>
    <xf numFmtId="40" fontId="6" fillId="0" borderId="28" xfId="19" applyFont="1" applyFill="1" applyBorder="1" applyAlignment="1" applyProtection="1">
      <alignment vertical="center"/>
    </xf>
    <xf numFmtId="0" fontId="6" fillId="0" borderId="0" xfId="9" applyFont="1" applyBorder="1" applyAlignment="1">
      <alignment vertical="center"/>
    </xf>
    <xf numFmtId="0" fontId="6" fillId="0" borderId="0" xfId="11" applyFont="1" applyAlignment="1">
      <alignment vertical="center"/>
    </xf>
    <xf numFmtId="0" fontId="6" fillId="0" borderId="0" xfId="11" applyFont="1" applyBorder="1" applyAlignment="1">
      <alignment vertical="center"/>
    </xf>
    <xf numFmtId="0" fontId="8" fillId="0" borderId="30" xfId="11" applyFont="1" applyBorder="1" applyAlignment="1">
      <alignment horizontal="left" vertical="center"/>
    </xf>
    <xf numFmtId="0" fontId="8" fillId="0" borderId="22" xfId="11" applyFont="1" applyBorder="1" applyAlignment="1">
      <alignment horizontal="left" vertical="center"/>
    </xf>
    <xf numFmtId="0" fontId="8" fillId="0" borderId="9" xfId="11" applyFont="1" applyBorder="1" applyAlignment="1">
      <alignment horizontal="left" vertical="center"/>
    </xf>
    <xf numFmtId="0" fontId="8" fillId="0" borderId="31" xfId="11" applyFont="1" applyBorder="1" applyAlignment="1">
      <alignment vertical="center"/>
    </xf>
    <xf numFmtId="0" fontId="8" fillId="0" borderId="32" xfId="11" applyFont="1" applyBorder="1" applyAlignment="1">
      <alignment horizontal="center" vertical="center"/>
    </xf>
    <xf numFmtId="0" fontId="6" fillId="0" borderId="33" xfId="11" applyFont="1" applyBorder="1" applyAlignment="1">
      <alignment horizontal="center" vertical="center"/>
    </xf>
    <xf numFmtId="0" fontId="6" fillId="0" borderId="33" xfId="11" applyFont="1" applyBorder="1" applyAlignment="1">
      <alignment horizontal="center" vertical="center" wrapText="1"/>
    </xf>
    <xf numFmtId="0" fontId="6" fillId="0" borderId="28" xfId="11" applyNumberFormat="1" applyFont="1" applyBorder="1" applyAlignment="1">
      <alignment horizontal="center" vertical="center"/>
    </xf>
    <xf numFmtId="0" fontId="15" fillId="0" borderId="28" xfId="0" applyFont="1" applyBorder="1" applyAlignment="1">
      <alignment vertical="center"/>
    </xf>
    <xf numFmtId="49" fontId="6" fillId="0" borderId="34" xfId="11" applyNumberFormat="1" applyFont="1" applyBorder="1" applyAlignment="1">
      <alignment horizontal="left" vertical="center"/>
    </xf>
    <xf numFmtId="49" fontId="6" fillId="0" borderId="35" xfId="11" applyNumberFormat="1" applyFont="1" applyBorder="1" applyAlignment="1">
      <alignment vertical="center"/>
    </xf>
    <xf numFmtId="0" fontId="6" fillId="0" borderId="29" xfId="11" applyFont="1" applyBorder="1" applyAlignment="1">
      <alignment vertical="center"/>
    </xf>
    <xf numFmtId="167" fontId="6" fillId="0" borderId="28" xfId="11" applyNumberFormat="1" applyFont="1" applyBorder="1" applyAlignment="1">
      <alignment horizontal="center" vertical="center"/>
    </xf>
    <xf numFmtId="169" fontId="6" fillId="0" borderId="28" xfId="11" applyNumberFormat="1" applyFont="1" applyBorder="1" applyAlignment="1">
      <alignment horizontal="right" vertical="center"/>
    </xf>
    <xf numFmtId="170" fontId="6" fillId="0" borderId="0" xfId="11" applyNumberFormat="1" applyFont="1" applyBorder="1" applyAlignment="1">
      <alignment vertical="center"/>
    </xf>
    <xf numFmtId="0" fontId="6" fillId="0" borderId="28" xfId="11" applyFont="1" applyBorder="1" applyAlignment="1">
      <alignment vertical="center"/>
    </xf>
    <xf numFmtId="0" fontId="6" fillId="0" borderId="34" xfId="11" applyNumberFormat="1" applyFont="1" applyBorder="1" applyAlignment="1">
      <alignment horizontal="left" vertical="center" wrapText="1"/>
    </xf>
    <xf numFmtId="171" fontId="6" fillId="0" borderId="29" xfId="11" applyNumberFormat="1" applyFont="1" applyBorder="1" applyAlignment="1">
      <alignment horizontal="center" vertical="center"/>
    </xf>
    <xf numFmtId="0" fontId="6" fillId="0" borderId="34" xfId="11" applyNumberFormat="1" applyFont="1" applyBorder="1" applyAlignment="1">
      <alignment horizontal="center" vertical="center" wrapText="1"/>
    </xf>
    <xf numFmtId="0" fontId="8" fillId="0" borderId="23" xfId="11" applyFont="1" applyBorder="1" applyAlignment="1">
      <alignment vertical="center"/>
    </xf>
    <xf numFmtId="0" fontId="8" fillId="0" borderId="0" xfId="11" applyFont="1" applyBorder="1" applyAlignment="1">
      <alignment vertical="center"/>
    </xf>
    <xf numFmtId="0" fontId="8" fillId="0" borderId="24" xfId="11" applyFont="1" applyBorder="1" applyAlignment="1">
      <alignment vertical="center"/>
    </xf>
    <xf numFmtId="0" fontId="6" fillId="0" borderId="30" xfId="11" applyFont="1" applyBorder="1" applyAlignment="1">
      <alignment horizontal="left" vertical="center"/>
    </xf>
    <xf numFmtId="0" fontId="6" fillId="0" borderId="9" xfId="11" applyFont="1" applyBorder="1" applyAlignment="1">
      <alignment horizontal="left" vertical="center"/>
    </xf>
    <xf numFmtId="0" fontId="6" fillId="0" borderId="22" xfId="11" applyFont="1" applyBorder="1" applyAlignment="1">
      <alignment horizontal="left" vertical="center"/>
    </xf>
    <xf numFmtId="0" fontId="6" fillId="0" borderId="23" xfId="11" applyFont="1" applyBorder="1" applyAlignment="1">
      <alignment horizontal="left" vertical="center"/>
    </xf>
    <xf numFmtId="0" fontId="6" fillId="0" borderId="0" xfId="11" applyFont="1" applyBorder="1" applyAlignment="1">
      <alignment horizontal="left" vertical="center"/>
    </xf>
    <xf numFmtId="14" fontId="6" fillId="0" borderId="0" xfId="11" applyNumberFormat="1" applyFont="1" applyBorder="1" applyAlignment="1">
      <alignment horizontal="center" vertical="center"/>
    </xf>
    <xf numFmtId="14" fontId="6" fillId="0" borderId="24" xfId="11" applyNumberFormat="1" applyFont="1" applyBorder="1" applyAlignment="1">
      <alignment horizontal="center" vertical="center"/>
    </xf>
    <xf numFmtId="0" fontId="6" fillId="0" borderId="23" xfId="11" applyFont="1" applyBorder="1" applyAlignment="1">
      <alignment horizontal="center" vertical="center"/>
    </xf>
    <xf numFmtId="0" fontId="6" fillId="0" borderId="0" xfId="11" applyFont="1" applyBorder="1" applyAlignment="1">
      <alignment horizontal="center" vertical="center"/>
    </xf>
    <xf numFmtId="0" fontId="6" fillId="0" borderId="24" xfId="11" applyFont="1" applyBorder="1" applyAlignment="1">
      <alignment horizontal="center" vertical="center"/>
    </xf>
    <xf numFmtId="0" fontId="6" fillId="0" borderId="36" xfId="11" applyFont="1" applyBorder="1" applyAlignment="1">
      <alignment horizontal="left" vertical="center"/>
    </xf>
    <xf numFmtId="0" fontId="6" fillId="0" borderId="4" xfId="11" applyFont="1" applyBorder="1" applyAlignment="1">
      <alignment horizontal="left" vertical="center"/>
    </xf>
    <xf numFmtId="14" fontId="6" fillId="0" borderId="4" xfId="11" applyNumberFormat="1" applyFont="1" applyBorder="1" applyAlignment="1">
      <alignment horizontal="center" vertical="center"/>
    </xf>
    <xf numFmtId="14" fontId="6" fillId="0" borderId="19" xfId="11" applyNumberFormat="1" applyFont="1" applyBorder="1" applyAlignment="1">
      <alignment horizontal="center" vertical="center"/>
    </xf>
    <xf numFmtId="0" fontId="6" fillId="0" borderId="0" xfId="10" applyFont="1" applyAlignment="1">
      <alignment vertical="center"/>
    </xf>
    <xf numFmtId="0" fontId="7" fillId="2" borderId="37" xfId="8" applyFont="1" applyFill="1" applyBorder="1" applyAlignment="1">
      <alignment horizontal="center" vertical="center"/>
    </xf>
    <xf numFmtId="0" fontId="6" fillId="0" borderId="23" xfId="10" applyFont="1" applyBorder="1" applyAlignment="1">
      <alignment vertical="center"/>
    </xf>
    <xf numFmtId="0" fontId="6" fillId="0" borderId="0" xfId="10" applyFont="1" applyBorder="1" applyAlignment="1">
      <alignment vertical="center"/>
    </xf>
    <xf numFmtId="0" fontId="6" fillId="0" borderId="19" xfId="10" applyFont="1" applyBorder="1" applyAlignment="1">
      <alignment vertical="center"/>
    </xf>
    <xf numFmtId="0" fontId="8" fillId="0" borderId="30" xfId="10" applyFont="1" applyBorder="1" applyAlignment="1">
      <alignment horizontal="left" vertical="center"/>
    </xf>
    <xf numFmtId="0" fontId="8" fillId="0" borderId="22" xfId="10" applyFont="1" applyBorder="1" applyAlignment="1">
      <alignment horizontal="left" vertical="center"/>
    </xf>
    <xf numFmtId="0" fontId="8" fillId="0" borderId="9" xfId="10" applyFont="1" applyBorder="1" applyAlignment="1">
      <alignment horizontal="left" vertical="center"/>
    </xf>
    <xf numFmtId="0" fontId="8" fillId="0" borderId="31" xfId="10" applyFont="1" applyBorder="1" applyAlignment="1">
      <alignment horizontal="left" vertical="center"/>
    </xf>
    <xf numFmtId="0" fontId="6" fillId="0" borderId="27" xfId="10" applyFont="1" applyBorder="1" applyAlignment="1">
      <alignment vertical="center"/>
    </xf>
    <xf numFmtId="0" fontId="6" fillId="0" borderId="38" xfId="10" applyFont="1" applyBorder="1" applyAlignment="1">
      <alignment horizontal="left" vertical="center"/>
    </xf>
    <xf numFmtId="0" fontId="6" fillId="0" borderId="26" xfId="10" applyFont="1" applyBorder="1" applyAlignment="1">
      <alignment horizontal="left" vertical="center"/>
    </xf>
    <xf numFmtId="0" fontId="6" fillId="0" borderId="27" xfId="10" applyFont="1" applyBorder="1" applyAlignment="1">
      <alignment horizontal="left" vertical="center"/>
    </xf>
    <xf numFmtId="0" fontId="2" fillId="0" borderId="28" xfId="0" applyFont="1" applyBorder="1" applyAlignment="1">
      <alignment horizontal="center" vertical="center"/>
    </xf>
    <xf numFmtId="0" fontId="6" fillId="0" borderId="28" xfId="10" applyFont="1" applyBorder="1" applyAlignment="1">
      <alignment horizontal="center" vertical="center"/>
    </xf>
    <xf numFmtId="4" fontId="6" fillId="0" borderId="29" xfId="10" applyNumberFormat="1" applyFont="1" applyBorder="1" applyAlignment="1">
      <alignment horizontal="right" vertical="center"/>
    </xf>
    <xf numFmtId="0" fontId="2" fillId="0" borderId="28" xfId="0" applyFont="1" applyBorder="1" applyAlignment="1">
      <alignment horizontal="center" vertical="center" wrapText="1"/>
    </xf>
    <xf numFmtId="49" fontId="6" fillId="0" borderId="28" xfId="10" applyNumberFormat="1" applyFont="1" applyBorder="1" applyAlignment="1">
      <alignment horizontal="center" vertical="center"/>
    </xf>
    <xf numFmtId="49" fontId="6" fillId="0" borderId="35" xfId="10" applyNumberFormat="1" applyFont="1" applyBorder="1" applyAlignment="1">
      <alignment horizontal="center" vertical="center"/>
    </xf>
    <xf numFmtId="49" fontId="6" fillId="0" borderId="29" xfId="10" applyNumberFormat="1" applyFont="1" applyBorder="1" applyAlignment="1">
      <alignment horizontal="center" vertical="center"/>
    </xf>
    <xf numFmtId="9" fontId="2" fillId="0" borderId="28" xfId="0" applyNumberFormat="1" applyFont="1" applyBorder="1" applyAlignment="1">
      <alignment horizontal="center" vertical="center"/>
    </xf>
    <xf numFmtId="2" fontId="13" fillId="0" borderId="28" xfId="0" applyNumberFormat="1" applyFont="1" applyBorder="1" applyAlignment="1">
      <alignment horizontal="center" vertical="center" wrapText="1"/>
    </xf>
    <xf numFmtId="0" fontId="0" fillId="0" borderId="35" xfId="0" applyBorder="1" applyAlignment="1">
      <alignment vertical="center"/>
    </xf>
    <xf numFmtId="0" fontId="0" fillId="0" borderId="29" xfId="0" applyBorder="1" applyAlignment="1">
      <alignment vertical="center"/>
    </xf>
    <xf numFmtId="9" fontId="6" fillId="0" borderId="29" xfId="10" applyNumberFormat="1" applyFont="1" applyBorder="1" applyAlignment="1">
      <alignment horizontal="right" vertical="center"/>
    </xf>
    <xf numFmtId="0" fontId="3" fillId="0" borderId="38" xfId="10" applyNumberFormat="1" applyFont="1" applyBorder="1" applyAlignment="1">
      <alignment horizontal="right" vertical="center"/>
    </xf>
    <xf numFmtId="0" fontId="3" fillId="0" borderId="26" xfId="10" applyNumberFormat="1" applyFont="1" applyBorder="1" applyAlignment="1">
      <alignment horizontal="right" vertical="center"/>
    </xf>
    <xf numFmtId="4" fontId="3" fillId="0" borderId="27" xfId="10" applyNumberFormat="1" applyFont="1" applyBorder="1" applyAlignment="1">
      <alignment vertical="center"/>
    </xf>
    <xf numFmtId="0" fontId="8" fillId="0" borderId="23" xfId="10" applyFont="1" applyBorder="1" applyAlignment="1">
      <alignment horizontal="left" vertical="center"/>
    </xf>
    <xf numFmtId="0" fontId="8" fillId="0" borderId="0" xfId="10" applyFont="1" applyBorder="1" applyAlignment="1">
      <alignment horizontal="left" vertical="center"/>
    </xf>
    <xf numFmtId="0" fontId="8" fillId="0" borderId="24" xfId="10" applyFont="1" applyBorder="1" applyAlignment="1">
      <alignment horizontal="left" vertical="center"/>
    </xf>
    <xf numFmtId="0" fontId="6" fillId="2" borderId="39" xfId="0" applyFont="1" applyFill="1" applyBorder="1" applyAlignment="1">
      <alignment horizontal="left" vertical="top"/>
    </xf>
    <xf numFmtId="0" fontId="8" fillId="0" borderId="30" xfId="10" applyFont="1" applyBorder="1" applyAlignment="1">
      <alignment horizontal="left" vertical="top"/>
    </xf>
    <xf numFmtId="0" fontId="8" fillId="0" borderId="22" xfId="10" applyFont="1" applyBorder="1" applyAlignment="1">
      <alignment horizontal="left" vertical="top"/>
    </xf>
    <xf numFmtId="0" fontId="8" fillId="0" borderId="9" xfId="10" applyFont="1" applyBorder="1" applyAlignment="1">
      <alignment horizontal="left" vertical="top"/>
    </xf>
    <xf numFmtId="0" fontId="8" fillId="0" borderId="31" xfId="10" applyFont="1" applyBorder="1" applyAlignment="1">
      <alignment horizontal="left" vertical="top"/>
    </xf>
    <xf numFmtId="0" fontId="2" fillId="0" borderId="28" xfId="0" applyFont="1" applyBorder="1" applyAlignment="1">
      <alignment horizontal="center"/>
    </xf>
    <xf numFmtId="0" fontId="8" fillId="0" borderId="23" xfId="10" applyFont="1" applyBorder="1" applyAlignment="1">
      <alignment horizontal="left" vertical="top"/>
    </xf>
    <xf numFmtId="0" fontId="8" fillId="0" borderId="0" xfId="10" applyFont="1" applyBorder="1" applyAlignment="1">
      <alignment horizontal="left" vertical="top"/>
    </xf>
    <xf numFmtId="0" fontId="8" fillId="0" borderId="24" xfId="10" applyFont="1" applyBorder="1" applyAlignment="1">
      <alignment horizontal="left" vertical="top"/>
    </xf>
    <xf numFmtId="0" fontId="6" fillId="0" borderId="36" xfId="10" applyFont="1" applyBorder="1" applyAlignment="1">
      <alignment vertical="center"/>
    </xf>
    <xf numFmtId="0" fontId="6" fillId="0" borderId="4" xfId="10" applyFont="1" applyBorder="1" applyAlignment="1">
      <alignment vertical="center"/>
    </xf>
    <xf numFmtId="0" fontId="6" fillId="0" borderId="32" xfId="10" applyFont="1" applyBorder="1" applyAlignment="1">
      <alignment vertical="center"/>
    </xf>
    <xf numFmtId="0" fontId="11" fillId="0" borderId="28" xfId="10" applyFont="1" applyBorder="1" applyAlignment="1">
      <alignment horizontal="center" vertical="center"/>
    </xf>
    <xf numFmtId="0" fontId="11" fillId="0" borderId="29" xfId="10" applyFont="1" applyBorder="1" applyAlignment="1">
      <alignment horizontal="center" vertical="center"/>
    </xf>
    <xf numFmtId="10" fontId="11" fillId="0" borderId="18" xfId="0" applyNumberFormat="1" applyFont="1" applyBorder="1" applyAlignment="1">
      <alignment horizontal="center"/>
    </xf>
    <xf numFmtId="0" fontId="11" fillId="0" borderId="40" xfId="10" applyFont="1" applyBorder="1" applyAlignment="1">
      <alignment horizontal="center" vertical="center"/>
    </xf>
    <xf numFmtId="0" fontId="11" fillId="0" borderId="19" xfId="10" applyFont="1" applyBorder="1" applyAlignment="1">
      <alignment horizontal="center" vertical="center"/>
    </xf>
    <xf numFmtId="0" fontId="3" fillId="3" borderId="41" xfId="10" applyFont="1" applyFill="1" applyBorder="1" applyAlignment="1">
      <alignment horizontal="right" vertical="center"/>
    </xf>
    <xf numFmtId="0" fontId="10" fillId="3" borderId="41" xfId="10" applyFont="1" applyFill="1" applyBorder="1" applyAlignment="1">
      <alignment horizontal="right" vertical="center"/>
    </xf>
    <xf numFmtId="0" fontId="10" fillId="3" borderId="42" xfId="10" applyFont="1" applyFill="1" applyBorder="1" applyAlignment="1">
      <alignment horizontal="right" vertical="center"/>
    </xf>
    <xf numFmtId="10" fontId="10" fillId="3" borderId="42" xfId="0" applyNumberFormat="1" applyFont="1" applyFill="1" applyBorder="1" applyAlignment="1">
      <alignment horizontal="center"/>
    </xf>
    <xf numFmtId="4" fontId="16" fillId="3" borderId="43" xfId="0" applyNumberFormat="1" applyFont="1" applyFill="1" applyBorder="1" applyAlignment="1">
      <alignment horizontal="center"/>
    </xf>
    <xf numFmtId="0" fontId="8" fillId="0" borderId="34" xfId="10" applyFont="1" applyBorder="1" applyAlignment="1">
      <alignment horizontal="left" vertical="top"/>
    </xf>
    <xf numFmtId="0" fontId="8" fillId="0" borderId="35" xfId="10" applyFont="1" applyBorder="1" applyAlignment="1">
      <alignment horizontal="left" vertical="top"/>
    </xf>
    <xf numFmtId="0" fontId="8" fillId="0" borderId="29" xfId="10" applyFont="1" applyBorder="1" applyAlignment="1">
      <alignment horizontal="left" vertical="top"/>
    </xf>
    <xf numFmtId="0" fontId="6" fillId="0" borderId="24" xfId="10" applyFont="1" applyBorder="1" applyAlignment="1">
      <alignment vertical="center"/>
    </xf>
    <xf numFmtId="0" fontId="6" fillId="0" borderId="23" xfId="10" applyFont="1" applyBorder="1" applyAlignment="1">
      <alignment horizontal="left" vertical="top"/>
    </xf>
    <xf numFmtId="0" fontId="6" fillId="0" borderId="0" xfId="10" applyFont="1" applyBorder="1" applyAlignment="1">
      <alignment horizontal="left" vertical="top"/>
    </xf>
    <xf numFmtId="0" fontId="6" fillId="0" borderId="24" xfId="10" applyFont="1" applyBorder="1" applyAlignment="1">
      <alignment horizontal="left" vertical="top"/>
    </xf>
    <xf numFmtId="38" fontId="6" fillId="0" borderId="0" xfId="19" applyNumberFormat="1" applyFont="1" applyAlignment="1">
      <alignment horizontal="right" vertical="center"/>
    </xf>
    <xf numFmtId="38" fontId="6" fillId="0" borderId="20" xfId="19" applyNumberFormat="1" applyFont="1" applyBorder="1" applyAlignment="1">
      <alignment horizontal="right" vertical="top"/>
    </xf>
    <xf numFmtId="38" fontId="6" fillId="0" borderId="4" xfId="19" applyNumberFormat="1" applyFont="1" applyBorder="1" applyAlignment="1">
      <alignment horizontal="right" vertical="top"/>
    </xf>
    <xf numFmtId="38" fontId="6" fillId="0" borderId="0" xfId="19" applyNumberFormat="1" applyFont="1" applyBorder="1" applyAlignment="1">
      <alignment horizontal="right" vertical="top"/>
    </xf>
    <xf numFmtId="38" fontId="6" fillId="0" borderId="0" xfId="19" applyNumberFormat="1" applyFont="1" applyBorder="1" applyAlignment="1">
      <alignment horizontal="right" vertical="center"/>
    </xf>
    <xf numFmtId="40" fontId="3" fillId="0" borderId="0" xfId="19" applyFont="1" applyAlignment="1">
      <alignment vertical="center"/>
    </xf>
    <xf numFmtId="40" fontId="6" fillId="0" borderId="0" xfId="19" applyFont="1" applyAlignment="1">
      <alignment vertical="center"/>
    </xf>
    <xf numFmtId="40" fontId="6" fillId="0" borderId="0" xfId="19" applyFont="1" applyBorder="1" applyAlignment="1">
      <alignment vertical="center"/>
    </xf>
    <xf numFmtId="40" fontId="6" fillId="0" borderId="9" xfId="19" applyFont="1" applyBorder="1" applyAlignment="1">
      <alignment horizontal="left" vertical="center"/>
    </xf>
    <xf numFmtId="40" fontId="6" fillId="0" borderId="4" xfId="19" applyFont="1" applyBorder="1" applyAlignment="1">
      <alignment horizontal="left" vertical="center"/>
    </xf>
    <xf numFmtId="4" fontId="13" fillId="0" borderId="24" xfId="7" applyNumberFormat="1" applyFont="1" applyBorder="1" applyAlignment="1" applyProtection="1">
      <alignment horizontal="right" vertical="center"/>
      <protection locked="0"/>
    </xf>
    <xf numFmtId="4" fontId="13" fillId="0" borderId="23" xfId="7" applyNumberFormat="1" applyFont="1" applyBorder="1" applyAlignment="1" applyProtection="1">
      <alignment horizontal="right" vertical="center"/>
      <protection locked="0"/>
    </xf>
    <xf numFmtId="4" fontId="13" fillId="0" borderId="0" xfId="7" applyNumberFormat="1" applyFont="1" applyBorder="1" applyAlignment="1" applyProtection="1">
      <alignment horizontal="right" vertical="center"/>
      <protection locked="0"/>
    </xf>
    <xf numFmtId="0" fontId="6" fillId="0" borderId="20" xfId="8" applyFont="1" applyBorder="1" applyAlignment="1">
      <alignment horizontal="center" vertical="center"/>
    </xf>
    <xf numFmtId="0" fontId="6" fillId="0" borderId="20" xfId="8" applyFont="1" applyBorder="1" applyAlignment="1">
      <alignment horizontal="left" vertical="center"/>
    </xf>
    <xf numFmtId="0" fontId="6" fillId="0" borderId="21" xfId="8" applyFont="1" applyBorder="1" applyAlignment="1">
      <alignment horizontal="left" vertical="center"/>
    </xf>
    <xf numFmtId="0" fontId="6" fillId="0" borderId="20" xfId="8" applyFont="1" applyBorder="1" applyAlignment="1">
      <alignment vertical="center"/>
    </xf>
    <xf numFmtId="0" fontId="6" fillId="0" borderId="9" xfId="8" applyFont="1" applyBorder="1" applyAlignment="1">
      <alignment horizontal="center" vertical="center"/>
    </xf>
    <xf numFmtId="0" fontId="6" fillId="0" borderId="9" xfId="8" applyFont="1" applyBorder="1" applyAlignment="1">
      <alignment horizontal="left" vertical="center"/>
    </xf>
    <xf numFmtId="0" fontId="6" fillId="0" borderId="22" xfId="8" applyFont="1" applyBorder="1" applyAlignment="1">
      <alignment horizontal="left" vertical="center"/>
    </xf>
    <xf numFmtId="0" fontId="6" fillId="0" borderId="30" xfId="8" applyFont="1" applyBorder="1" applyAlignment="1">
      <alignment vertical="center"/>
    </xf>
    <xf numFmtId="0" fontId="6" fillId="0" borderId="4" xfId="8" applyFont="1" applyBorder="1" applyAlignment="1">
      <alignment horizontal="center" vertical="center"/>
    </xf>
    <xf numFmtId="0" fontId="6" fillId="0" borderId="4" xfId="8" applyFont="1" applyBorder="1" applyAlignment="1">
      <alignment horizontal="left" vertical="center"/>
    </xf>
    <xf numFmtId="0" fontId="6" fillId="0" borderId="19" xfId="8" applyFont="1" applyBorder="1" applyAlignment="1">
      <alignment horizontal="left" vertical="center"/>
    </xf>
    <xf numFmtId="0" fontId="6" fillId="0" borderId="36" xfId="8" applyFont="1" applyBorder="1" applyAlignment="1">
      <alignment vertical="center"/>
    </xf>
    <xf numFmtId="40" fontId="6" fillId="0" borderId="0" xfId="19" applyFont="1" applyBorder="1" applyAlignment="1">
      <alignment horizontal="left" vertical="center"/>
    </xf>
    <xf numFmtId="0" fontId="6" fillId="0" borderId="0" xfId="8" applyFont="1" applyBorder="1" applyAlignment="1">
      <alignment horizontal="left" vertical="center"/>
    </xf>
    <xf numFmtId="0" fontId="3" fillId="0" borderId="0" xfId="8" applyFont="1" applyAlignment="1">
      <alignment horizontal="left"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vertical="center"/>
    </xf>
    <xf numFmtId="0" fontId="18" fillId="0" borderId="0" xfId="8" applyFont="1" applyAlignment="1">
      <alignment vertical="center"/>
    </xf>
    <xf numFmtId="40" fontId="8" fillId="0" borderId="0" xfId="19" applyFont="1" applyBorder="1" applyAlignment="1">
      <alignment vertical="center"/>
    </xf>
    <xf numFmtId="0" fontId="8" fillId="0" borderId="24" xfId="8" applyFont="1" applyBorder="1" applyAlignment="1">
      <alignment vertical="center"/>
    </xf>
    <xf numFmtId="40" fontId="8" fillId="0" borderId="9" xfId="19" applyFont="1" applyBorder="1" applyAlignment="1">
      <alignment horizontal="left" vertical="center"/>
    </xf>
    <xf numFmtId="40" fontId="8" fillId="0" borderId="4" xfId="19" applyFont="1" applyBorder="1" applyAlignment="1">
      <alignment horizontal="left" vertical="center"/>
    </xf>
    <xf numFmtId="0" fontId="6" fillId="0" borderId="0" xfId="8" applyFont="1" applyAlignment="1">
      <alignment vertical="center" wrapText="1"/>
    </xf>
    <xf numFmtId="0" fontId="6" fillId="0" borderId="28" xfId="8" applyFont="1" applyBorder="1" applyAlignment="1">
      <alignment horizontal="center" vertical="center" wrapText="1"/>
    </xf>
    <xf numFmtId="165" fontId="12" fillId="3" borderId="44" xfId="7" applyFont="1" applyFill="1" applyBorder="1" applyAlignment="1">
      <alignment horizontal="right" vertical="center"/>
    </xf>
    <xf numFmtId="4" fontId="12" fillId="0" borderId="18" xfId="0" applyNumberFormat="1" applyFont="1" applyFill="1" applyBorder="1" applyAlignment="1" applyProtection="1">
      <alignment horizontal="right" vertical="center"/>
    </xf>
    <xf numFmtId="40" fontId="6" fillId="0" borderId="28" xfId="19" applyFont="1" applyBorder="1" applyAlignment="1">
      <alignment horizontal="center" vertical="center"/>
    </xf>
    <xf numFmtId="0" fontId="6" fillId="0" borderId="0" xfId="9" applyFont="1" applyAlignment="1">
      <alignment horizontal="center" vertical="center"/>
    </xf>
    <xf numFmtId="0" fontId="14" fillId="0" borderId="45" xfId="9" applyFont="1" applyBorder="1" applyAlignment="1">
      <alignment vertical="top"/>
    </xf>
    <xf numFmtId="0" fontId="8" fillId="0" borderId="36" xfId="9" applyFont="1" applyBorder="1" applyAlignment="1">
      <alignment vertical="top"/>
    </xf>
    <xf numFmtId="0" fontId="14" fillId="0" borderId="30" xfId="9" applyFont="1" applyBorder="1" applyAlignment="1">
      <alignment vertical="top"/>
    </xf>
    <xf numFmtId="4" fontId="6" fillId="0" borderId="0" xfId="8" applyNumberFormat="1" applyFont="1" applyBorder="1" applyAlignment="1">
      <alignment vertical="center"/>
    </xf>
    <xf numFmtId="40" fontId="17" fillId="0" borderId="0" xfId="19" applyAlignment="1">
      <alignment vertical="center"/>
    </xf>
    <xf numFmtId="40" fontId="6" fillId="0" borderId="0" xfId="0" applyNumberFormat="1" applyFont="1" applyAlignment="1">
      <alignment vertical="center"/>
    </xf>
    <xf numFmtId="0" fontId="6" fillId="0" borderId="46" xfId="8" applyFont="1" applyBorder="1" applyAlignment="1">
      <alignment horizontal="center" vertical="center" wrapText="1"/>
    </xf>
    <xf numFmtId="165" fontId="13" fillId="0" borderId="47" xfId="7" applyFont="1" applyBorder="1" applyAlignment="1">
      <alignment horizontal="center" vertical="center"/>
    </xf>
    <xf numFmtId="166" fontId="13" fillId="0" borderId="47" xfId="7" applyNumberFormat="1" applyFont="1" applyFill="1" applyBorder="1" applyAlignment="1" applyProtection="1">
      <alignment horizontal="center" vertical="center"/>
      <protection locked="0"/>
    </xf>
    <xf numFmtId="0" fontId="3" fillId="0" borderId="47" xfId="0" applyFont="1" applyBorder="1"/>
    <xf numFmtId="0" fontId="3" fillId="0" borderId="47" xfId="0" applyFont="1" applyBorder="1" applyAlignment="1">
      <alignment horizontal="left"/>
    </xf>
    <xf numFmtId="0" fontId="6" fillId="0" borderId="34" xfId="0" applyFont="1" applyBorder="1" applyAlignment="1">
      <alignment horizontal="left"/>
    </xf>
    <xf numFmtId="0" fontId="11" fillId="0" borderId="46" xfId="10" applyFont="1" applyBorder="1" applyAlignment="1">
      <alignment horizontal="center" vertical="center"/>
    </xf>
    <xf numFmtId="0" fontId="11" fillId="0" borderId="23" xfId="10" applyFont="1" applyBorder="1" applyAlignment="1">
      <alignment horizontal="center" vertical="center"/>
    </xf>
    <xf numFmtId="0" fontId="11" fillId="0" borderId="24" xfId="10" applyFont="1" applyBorder="1" applyAlignment="1">
      <alignment horizontal="center" vertical="center"/>
    </xf>
    <xf numFmtId="0" fontId="6" fillId="0" borderId="35" xfId="0" applyFont="1" applyBorder="1" applyAlignment="1">
      <alignment horizontal="left"/>
    </xf>
    <xf numFmtId="10" fontId="6" fillId="0" borderId="28" xfId="19" applyNumberFormat="1" applyFont="1" applyFill="1" applyBorder="1" applyAlignment="1" applyProtection="1">
      <alignment horizontal="center"/>
    </xf>
    <xf numFmtId="4" fontId="6" fillId="0" borderId="19" xfId="0" applyNumberFormat="1" applyFont="1" applyBorder="1" applyAlignment="1">
      <alignment horizontal="center"/>
    </xf>
    <xf numFmtId="10" fontId="6" fillId="0" borderId="31" xfId="0" applyNumberFormat="1" applyFont="1" applyBorder="1" applyAlignment="1">
      <alignment horizontal="center"/>
    </xf>
    <xf numFmtId="4" fontId="11" fillId="0" borderId="18" xfId="0" applyNumberFormat="1" applyFont="1" applyBorder="1" applyAlignment="1">
      <alignment horizontal="center"/>
    </xf>
    <xf numFmtId="0" fontId="10" fillId="3" borderId="43" xfId="0" applyFont="1" applyFill="1" applyBorder="1" applyAlignment="1">
      <alignment horizontal="center"/>
    </xf>
    <xf numFmtId="0" fontId="6" fillId="0" borderId="46" xfId="9" applyNumberFormat="1" applyFont="1" applyBorder="1" applyAlignment="1">
      <alignment horizontal="center" vertical="center"/>
    </xf>
    <xf numFmtId="40" fontId="6" fillId="0" borderId="46" xfId="19" applyFont="1" applyBorder="1" applyAlignment="1">
      <alignment horizontal="right" vertical="center"/>
    </xf>
    <xf numFmtId="40" fontId="6" fillId="0" borderId="46" xfId="19" applyFont="1" applyFill="1" applyBorder="1" applyAlignment="1" applyProtection="1">
      <alignment vertical="center"/>
    </xf>
    <xf numFmtId="166" fontId="13" fillId="0" borderId="48" xfId="0" applyNumberFormat="1" applyFont="1" applyBorder="1" applyAlignment="1" applyProtection="1">
      <alignment horizontal="left" vertical="center" wrapText="1"/>
      <protection locked="0"/>
    </xf>
    <xf numFmtId="166" fontId="13" fillId="0" borderId="49" xfId="0" applyNumberFormat="1" applyFont="1" applyBorder="1" applyAlignment="1" applyProtection="1">
      <alignment horizontal="left" vertical="center" wrapText="1"/>
      <protection locked="0"/>
    </xf>
    <xf numFmtId="166" fontId="13" fillId="0" borderId="50" xfId="0" applyNumberFormat="1" applyFont="1" applyBorder="1" applyAlignment="1" applyProtection="1">
      <alignment horizontal="left" vertical="center" wrapText="1"/>
      <protection locked="0"/>
    </xf>
    <xf numFmtId="38" fontId="6" fillId="0" borderId="46" xfId="19" applyNumberFormat="1" applyFont="1" applyFill="1" applyBorder="1" applyAlignment="1" applyProtection="1">
      <alignment horizontal="center" vertical="center"/>
    </xf>
    <xf numFmtId="4" fontId="6" fillId="0" borderId="28" xfId="10" applyNumberFormat="1" applyFont="1" applyBorder="1" applyAlignment="1">
      <alignment horizontal="right" vertical="center"/>
    </xf>
    <xf numFmtId="40" fontId="19" fillId="0" borderId="28" xfId="19" applyFont="1" applyFill="1" applyBorder="1" applyAlignment="1" applyProtection="1">
      <alignment horizontal="center" vertical="top"/>
    </xf>
    <xf numFmtId="0" fontId="20" fillId="0" borderId="34" xfId="0" applyFont="1" applyBorder="1" applyAlignment="1">
      <alignment horizontal="left" vertical="top" wrapText="1"/>
    </xf>
    <xf numFmtId="4" fontId="6" fillId="0" borderId="0" xfId="10" applyNumberFormat="1" applyFont="1" applyBorder="1" applyAlignment="1">
      <alignment vertical="center"/>
    </xf>
    <xf numFmtId="0" fontId="20" fillId="0" borderId="35" xfId="0" applyFont="1" applyBorder="1" applyAlignment="1">
      <alignment horizontal="left" vertical="top" wrapText="1"/>
    </xf>
    <xf numFmtId="40" fontId="6" fillId="0" borderId="0" xfId="19" applyFont="1" applyFill="1" applyBorder="1" applyAlignment="1" applyProtection="1">
      <alignment vertical="center"/>
    </xf>
    <xf numFmtId="4" fontId="2" fillId="0" borderId="28" xfId="0" applyNumberFormat="1" applyFont="1" applyBorder="1" applyAlignment="1">
      <alignment horizontal="center"/>
    </xf>
    <xf numFmtId="0" fontId="6" fillId="0" borderId="0" xfId="10" applyFont="1" applyBorder="1" applyAlignment="1">
      <alignment horizontal="left" vertical="center" indent="1"/>
    </xf>
    <xf numFmtId="4" fontId="10" fillId="0" borderId="44" xfId="10" applyNumberFormat="1" applyFont="1" applyBorder="1" applyAlignment="1">
      <alignment horizontal="center" vertical="center"/>
    </xf>
    <xf numFmtId="0" fontId="8" fillId="0" borderId="36" xfId="10" applyFont="1" applyBorder="1" applyAlignment="1">
      <alignment horizontal="left" vertical="top"/>
    </xf>
    <xf numFmtId="0" fontId="8" fillId="0" borderId="4" xfId="10" applyFont="1" applyBorder="1" applyAlignment="1">
      <alignment horizontal="left" vertical="top"/>
    </xf>
    <xf numFmtId="0" fontId="8" fillId="0" borderId="19" xfId="10" applyFont="1" applyBorder="1" applyAlignment="1">
      <alignment horizontal="left" vertical="top"/>
    </xf>
    <xf numFmtId="0" fontId="6" fillId="0" borderId="23" xfId="10" applyFont="1" applyBorder="1" applyAlignment="1">
      <alignment horizontal="left" vertical="center"/>
    </xf>
    <xf numFmtId="0" fontId="6" fillId="0" borderId="0" xfId="10" applyFont="1" applyBorder="1" applyAlignment="1">
      <alignment horizontal="left" vertical="center"/>
    </xf>
    <xf numFmtId="0" fontId="6" fillId="0" borderId="24" xfId="10" applyFont="1" applyBorder="1" applyAlignment="1">
      <alignment horizontal="left" vertical="center"/>
    </xf>
    <xf numFmtId="44" fontId="6" fillId="0" borderId="0" xfId="9" applyNumberFormat="1" applyFont="1" applyAlignment="1">
      <alignment vertical="center"/>
    </xf>
    <xf numFmtId="0" fontId="27" fillId="0" borderId="0" xfId="9" applyFont="1" applyAlignment="1">
      <alignment horizontal="right" vertical="center"/>
    </xf>
    <xf numFmtId="4" fontId="27" fillId="0" borderId="0" xfId="9" applyNumberFormat="1" applyFont="1" applyAlignment="1">
      <alignment vertical="center"/>
    </xf>
    <xf numFmtId="0" fontId="27" fillId="0" borderId="0" xfId="9" applyFont="1" applyAlignment="1">
      <alignment vertical="center"/>
    </xf>
    <xf numFmtId="10" fontId="28" fillId="0" borderId="0" xfId="12" applyNumberFormat="1" applyFont="1" applyAlignment="1">
      <alignment vertical="center"/>
    </xf>
    <xf numFmtId="0" fontId="8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 vertical="center"/>
    </xf>
    <xf numFmtId="4" fontId="10" fillId="0" borderId="0" xfId="19" applyNumberFormat="1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>
      <alignment horizontal="left" vertical="center"/>
    </xf>
    <xf numFmtId="4" fontId="11" fillId="0" borderId="0" xfId="19" applyNumberFormat="1" applyFont="1" applyFill="1" applyBorder="1" applyAlignment="1" applyProtection="1">
      <alignment horizontal="right" vertical="center"/>
    </xf>
    <xf numFmtId="4" fontId="6" fillId="0" borderId="0" xfId="19" applyNumberFormat="1" applyFont="1" applyFill="1" applyBorder="1" applyAlignment="1" applyProtection="1">
      <alignment horizontal="right" vertical="center"/>
    </xf>
    <xf numFmtId="4" fontId="11" fillId="0" borderId="0" xfId="0" applyNumberFormat="1" applyFont="1" applyFill="1" applyBorder="1" applyAlignment="1">
      <alignment horizontal="right" vertical="center"/>
    </xf>
    <xf numFmtId="4" fontId="29" fillId="0" borderId="0" xfId="19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>
      <alignment horizontal="right" vertical="center"/>
    </xf>
    <xf numFmtId="4" fontId="30" fillId="0" borderId="0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4" fontId="31" fillId="4" borderId="0" xfId="0" applyNumberFormat="1" applyFont="1" applyFill="1" applyBorder="1" applyAlignment="1">
      <alignment horizontal="right" vertical="center"/>
    </xf>
    <xf numFmtId="0" fontId="6" fillId="5" borderId="0" xfId="0" applyFont="1" applyFill="1" applyBorder="1" applyAlignment="1">
      <alignment horizontal="left" vertical="top"/>
    </xf>
    <xf numFmtId="0" fontId="7" fillId="5" borderId="0" xfId="0" applyFont="1" applyFill="1" applyBorder="1" applyAlignment="1">
      <alignment horizontal="center"/>
    </xf>
    <xf numFmtId="40" fontId="6" fillId="0" borderId="0" xfId="10" applyNumberFormat="1" applyFont="1" applyBorder="1" applyAlignment="1">
      <alignment vertical="center"/>
    </xf>
    <xf numFmtId="40" fontId="11" fillId="0" borderId="0" xfId="10" applyNumberFormat="1" applyFont="1" applyBorder="1" applyAlignment="1">
      <alignment vertical="center"/>
    </xf>
    <xf numFmtId="40" fontId="17" fillId="0" borderId="0" xfId="19" applyNumberFormat="1" applyBorder="1" applyAlignment="1">
      <alignment vertical="center"/>
    </xf>
    <xf numFmtId="38" fontId="29" fillId="4" borderId="46" xfId="19" applyNumberFormat="1" applyFont="1" applyFill="1" applyBorder="1" applyAlignment="1" applyProtection="1">
      <alignment horizontal="center" vertical="center"/>
    </xf>
    <xf numFmtId="38" fontId="32" fillId="4" borderId="46" xfId="19" applyNumberFormat="1" applyFont="1" applyFill="1" applyBorder="1" applyAlignment="1" applyProtection="1">
      <alignment horizontal="center" vertical="center"/>
    </xf>
    <xf numFmtId="0" fontId="32" fillId="4" borderId="46" xfId="9" applyNumberFormat="1" applyFont="1" applyFill="1" applyBorder="1" applyAlignment="1">
      <alignment horizontal="center" vertical="center"/>
    </xf>
    <xf numFmtId="38" fontId="29" fillId="4" borderId="46" xfId="19" applyNumberFormat="1" applyFont="1" applyFill="1" applyBorder="1" applyAlignment="1">
      <alignment horizontal="center" vertical="center"/>
    </xf>
    <xf numFmtId="40" fontId="32" fillId="4" borderId="46" xfId="19" applyFont="1" applyFill="1" applyBorder="1" applyAlignment="1" applyProtection="1">
      <alignment vertical="center"/>
    </xf>
    <xf numFmtId="10" fontId="33" fillId="0" borderId="28" xfId="19" applyNumberFormat="1" applyFont="1" applyFill="1" applyBorder="1" applyAlignment="1" applyProtection="1">
      <alignment horizontal="center" vertical="center"/>
    </xf>
    <xf numFmtId="4" fontId="29" fillId="0" borderId="29" xfId="10" applyNumberFormat="1" applyFont="1" applyBorder="1" applyAlignment="1">
      <alignment horizontal="right" vertical="center"/>
    </xf>
    <xf numFmtId="4" fontId="29" fillId="4" borderId="29" xfId="10" applyNumberFormat="1" applyFont="1" applyFill="1" applyBorder="1" applyAlignment="1">
      <alignment horizontal="right" vertical="center"/>
    </xf>
    <xf numFmtId="10" fontId="29" fillId="0" borderId="9" xfId="10" applyNumberFormat="1" applyFont="1" applyBorder="1" applyAlignment="1">
      <alignment horizontal="center" vertical="center"/>
    </xf>
    <xf numFmtId="4" fontId="29" fillId="0" borderId="31" xfId="10" applyNumberFormat="1" applyFont="1" applyBorder="1" applyAlignment="1">
      <alignment horizontal="right" vertical="center"/>
    </xf>
    <xf numFmtId="4" fontId="32" fillId="0" borderId="28" xfId="10" applyNumberFormat="1" applyFont="1" applyBorder="1" applyAlignment="1">
      <alignment horizontal="right" vertical="center"/>
    </xf>
    <xf numFmtId="40" fontId="34" fillId="0" borderId="28" xfId="19" applyFont="1" applyFill="1" applyBorder="1" applyAlignment="1" applyProtection="1">
      <alignment horizontal="center" vertical="top"/>
    </xf>
    <xf numFmtId="172" fontId="34" fillId="0" borderId="28" xfId="19" applyNumberFormat="1" applyFont="1" applyFill="1" applyBorder="1" applyAlignment="1" applyProtection="1">
      <alignment horizontal="center" vertical="top"/>
    </xf>
    <xf numFmtId="40" fontId="35" fillId="0" borderId="18" xfId="19" applyFont="1" applyFill="1" applyBorder="1" applyAlignment="1" applyProtection="1">
      <alignment horizontal="right" vertical="center"/>
    </xf>
    <xf numFmtId="4" fontId="29" fillId="0" borderId="0" xfId="0" applyNumberFormat="1" applyFont="1" applyBorder="1" applyAlignment="1">
      <alignment horizontal="right" vertical="top"/>
    </xf>
    <xf numFmtId="4" fontId="35" fillId="0" borderId="0" xfId="19" applyNumberFormat="1" applyFont="1" applyFill="1" applyBorder="1" applyAlignment="1" applyProtection="1">
      <alignment horizontal="right" vertical="center"/>
    </xf>
    <xf numFmtId="4" fontId="32" fillId="4" borderId="0" xfId="0" applyNumberFormat="1" applyFont="1" applyFill="1" applyBorder="1" applyAlignment="1">
      <alignment horizontal="right" vertical="center"/>
    </xf>
    <xf numFmtId="4" fontId="35" fillId="0" borderId="0" xfId="0" applyNumberFormat="1" applyFont="1" applyFill="1" applyBorder="1" applyAlignment="1">
      <alignment horizontal="right" vertical="center"/>
    </xf>
    <xf numFmtId="40" fontId="36" fillId="0" borderId="28" xfId="19" applyFont="1" applyFill="1" applyBorder="1" applyAlignment="1" applyProtection="1">
      <alignment horizontal="center" vertical="center"/>
    </xf>
    <xf numFmtId="40" fontId="36" fillId="0" borderId="28" xfId="19" applyFont="1" applyFill="1" applyBorder="1" applyAlignment="1" applyProtection="1">
      <alignment horizontal="right" vertical="center"/>
    </xf>
    <xf numFmtId="49" fontId="32" fillId="0" borderId="34" xfId="11" applyNumberFormat="1" applyFont="1" applyBorder="1" applyAlignment="1">
      <alignment horizontal="left" vertical="center"/>
    </xf>
    <xf numFmtId="49" fontId="32" fillId="0" borderId="35" xfId="11" applyNumberFormat="1" applyFont="1" applyBorder="1" applyAlignment="1">
      <alignment vertical="center"/>
    </xf>
    <xf numFmtId="0" fontId="32" fillId="0" borderId="29" xfId="11" applyFont="1" applyBorder="1" applyAlignment="1">
      <alignment vertical="center"/>
    </xf>
    <xf numFmtId="167" fontId="32" fillId="0" borderId="28" xfId="11" applyNumberFormat="1" applyFont="1" applyBorder="1" applyAlignment="1">
      <alignment horizontal="center" vertical="center"/>
    </xf>
    <xf numFmtId="169" fontId="32" fillId="0" borderId="28" xfId="11" applyNumberFormat="1" applyFont="1" applyBorder="1" applyAlignment="1">
      <alignment horizontal="right" vertical="center"/>
    </xf>
    <xf numFmtId="169" fontId="29" fillId="0" borderId="18" xfId="11" applyNumberFormat="1" applyFont="1" applyBorder="1" applyAlignment="1">
      <alignment horizontal="right" vertical="center"/>
    </xf>
    <xf numFmtId="38" fontId="6" fillId="0" borderId="51" xfId="19" applyNumberFormat="1" applyFont="1" applyFill="1" applyBorder="1" applyAlignment="1" applyProtection="1">
      <alignment vertical="center"/>
    </xf>
    <xf numFmtId="0" fontId="6" fillId="0" borderId="52" xfId="9" applyFont="1" applyBorder="1" applyAlignment="1">
      <alignment vertical="center"/>
    </xf>
    <xf numFmtId="0" fontId="6" fillId="0" borderId="53" xfId="11" applyFont="1" applyBorder="1" applyAlignment="1">
      <alignment horizontal="left" vertical="center"/>
    </xf>
    <xf numFmtId="0" fontId="6" fillId="0" borderId="54" xfId="9" applyFont="1" applyBorder="1" applyAlignment="1">
      <alignment vertical="center"/>
    </xf>
    <xf numFmtId="38" fontId="6" fillId="0" borderId="54" xfId="19" applyNumberFormat="1" applyFont="1" applyBorder="1" applyAlignment="1">
      <alignment horizontal="right" vertical="center"/>
    </xf>
    <xf numFmtId="0" fontId="6" fillId="0" borderId="55" xfId="9" applyFont="1" applyBorder="1" applyAlignment="1">
      <alignment vertical="center"/>
    </xf>
    <xf numFmtId="0" fontId="6" fillId="0" borderId="56" xfId="9" applyFont="1" applyBorder="1" applyAlignment="1">
      <alignment vertical="center"/>
    </xf>
    <xf numFmtId="0" fontId="6" fillId="0" borderId="57" xfId="9" applyFont="1" applyBorder="1" applyAlignment="1">
      <alignment vertical="center"/>
    </xf>
    <xf numFmtId="0" fontId="6" fillId="0" borderId="58" xfId="9" applyFont="1" applyBorder="1" applyAlignment="1">
      <alignment vertical="center"/>
    </xf>
    <xf numFmtId="38" fontId="6" fillId="0" borderId="58" xfId="19" applyNumberFormat="1" applyFont="1" applyBorder="1" applyAlignment="1">
      <alignment horizontal="right" vertical="center"/>
    </xf>
    <xf numFmtId="0" fontId="6" fillId="0" borderId="59" xfId="9" applyFont="1" applyBorder="1" applyAlignment="1">
      <alignment vertical="center"/>
    </xf>
    <xf numFmtId="0" fontId="6" fillId="0" borderId="53" xfId="9" applyFont="1" applyBorder="1" applyAlignment="1">
      <alignment horizontal="left" vertical="top"/>
    </xf>
    <xf numFmtId="0" fontId="8" fillId="0" borderId="54" xfId="9" applyFont="1" applyBorder="1" applyAlignment="1">
      <alignment vertical="top"/>
    </xf>
    <xf numFmtId="0" fontId="8" fillId="0" borderId="60" xfId="9" applyFont="1" applyBorder="1" applyAlignment="1">
      <alignment vertical="top"/>
    </xf>
    <xf numFmtId="0" fontId="8" fillId="0" borderId="54" xfId="9" applyFont="1" applyBorder="1" applyAlignment="1">
      <alignment horizontal="left" vertical="top"/>
    </xf>
    <xf numFmtId="0" fontId="8" fillId="0" borderId="55" xfId="9" applyFont="1" applyBorder="1" applyAlignment="1">
      <alignment horizontal="left" vertical="top"/>
    </xf>
    <xf numFmtId="0" fontId="8" fillId="0" borderId="60" xfId="9" applyFont="1" applyBorder="1" applyAlignment="1">
      <alignment horizontal="left" vertical="top"/>
    </xf>
    <xf numFmtId="38" fontId="6" fillId="0" borderId="61" xfId="19" applyNumberFormat="1" applyFont="1" applyBorder="1" applyAlignment="1">
      <alignment horizontal="left" vertical="top"/>
    </xf>
    <xf numFmtId="0" fontId="6" fillId="0" borderId="62" xfId="9" applyFont="1" applyBorder="1" applyAlignment="1">
      <alignment vertical="center"/>
    </xf>
    <xf numFmtId="174" fontId="6" fillId="0" borderId="0" xfId="10" applyNumberFormat="1" applyFont="1" applyBorder="1" applyAlignment="1">
      <alignment vertical="center"/>
    </xf>
    <xf numFmtId="40" fontId="17" fillId="0" borderId="0" xfId="19" applyBorder="1" applyAlignment="1">
      <alignment vertical="center"/>
    </xf>
    <xf numFmtId="175" fontId="6" fillId="0" borderId="0" xfId="10" applyNumberFormat="1" applyFont="1" applyBorder="1" applyAlignment="1">
      <alignment vertical="center"/>
    </xf>
    <xf numFmtId="0" fontId="8" fillId="0" borderId="56" xfId="8" applyFont="1" applyBorder="1" applyAlignment="1">
      <alignment horizontal="left" vertical="center"/>
    </xf>
    <xf numFmtId="0" fontId="8" fillId="0" borderId="52" xfId="8" applyFont="1" applyBorder="1" applyAlignment="1">
      <alignment vertical="center"/>
    </xf>
    <xf numFmtId="0" fontId="8" fillId="0" borderId="63" xfId="0" applyFont="1" applyBorder="1" applyAlignment="1">
      <alignment horizontal="left" vertical="center"/>
    </xf>
    <xf numFmtId="0" fontId="8" fillId="0" borderId="64" xfId="0" applyFont="1" applyBorder="1" applyAlignment="1">
      <alignment horizontal="left" vertical="center"/>
    </xf>
    <xf numFmtId="0" fontId="8" fillId="0" borderId="56" xfId="0" applyFont="1" applyBorder="1" applyAlignment="1">
      <alignment horizontal="left" vertical="center"/>
    </xf>
    <xf numFmtId="0" fontId="8" fillId="0" borderId="65" xfId="8" applyFont="1" applyBorder="1" applyAlignment="1">
      <alignment vertical="center"/>
    </xf>
    <xf numFmtId="0" fontId="6" fillId="0" borderId="66" xfId="8" applyFont="1" applyBorder="1" applyAlignment="1">
      <alignment horizontal="center" vertical="center" wrapText="1"/>
    </xf>
    <xf numFmtId="165" fontId="12" fillId="0" borderId="56" xfId="7" applyFont="1" applyBorder="1" applyAlignment="1">
      <alignment horizontal="left" vertical="center"/>
    </xf>
    <xf numFmtId="165" fontId="12" fillId="3" borderId="67" xfId="7" applyFont="1" applyFill="1" applyBorder="1" applyAlignment="1">
      <alignment horizontal="center" vertical="center"/>
    </xf>
    <xf numFmtId="0" fontId="6" fillId="0" borderId="68" xfId="8" applyFont="1" applyBorder="1" applyAlignment="1">
      <alignment horizontal="left" vertical="center"/>
    </xf>
    <xf numFmtId="0" fontId="6" fillId="0" borderId="52" xfId="8" applyFont="1" applyBorder="1" applyAlignment="1">
      <alignment vertical="center"/>
    </xf>
    <xf numFmtId="0" fontId="6" fillId="0" borderId="56" xfId="8" applyFont="1" applyBorder="1" applyAlignment="1">
      <alignment horizontal="left" vertical="center"/>
    </xf>
    <xf numFmtId="0" fontId="6" fillId="0" borderId="69" xfId="8" applyFont="1" applyBorder="1" applyAlignment="1">
      <alignment vertical="center"/>
    </xf>
    <xf numFmtId="0" fontId="6" fillId="0" borderId="63" xfId="8" applyFont="1" applyBorder="1" applyAlignment="1">
      <alignment horizontal="left" vertical="center"/>
    </xf>
    <xf numFmtId="0" fontId="6" fillId="0" borderId="70" xfId="8" applyFont="1" applyBorder="1" applyAlignment="1">
      <alignment vertical="center"/>
    </xf>
    <xf numFmtId="0" fontId="6" fillId="0" borderId="71" xfId="8" applyFont="1" applyBorder="1" applyAlignment="1">
      <alignment horizontal="left" vertical="center"/>
    </xf>
    <xf numFmtId="0" fontId="6" fillId="0" borderId="57" xfId="8" applyFont="1" applyBorder="1" applyAlignment="1">
      <alignment horizontal="left" vertical="center"/>
    </xf>
    <xf numFmtId="0" fontId="6" fillId="0" borderId="58" xfId="8" applyFont="1" applyBorder="1" applyAlignment="1">
      <alignment horizontal="center" vertical="center"/>
    </xf>
    <xf numFmtId="40" fontId="6" fillId="0" borderId="58" xfId="19" applyFont="1" applyBorder="1" applyAlignment="1">
      <alignment horizontal="left" vertical="center"/>
    </xf>
    <xf numFmtId="0" fontId="6" fillId="0" borderId="58" xfId="8" applyFont="1" applyBorder="1" applyAlignment="1">
      <alignment horizontal="left" vertical="center"/>
    </xf>
    <xf numFmtId="0" fontId="6" fillId="0" borderId="59" xfId="8" applyFont="1" applyBorder="1" applyAlignment="1">
      <alignment vertical="center"/>
    </xf>
    <xf numFmtId="0" fontId="8" fillId="2" borderId="72" xfId="0" applyFont="1" applyFill="1" applyBorder="1" applyAlignment="1">
      <alignment horizontal="left" vertical="center"/>
    </xf>
    <xf numFmtId="0" fontId="7" fillId="2" borderId="73" xfId="8" applyFont="1" applyFill="1" applyBorder="1" applyAlignment="1">
      <alignment horizontal="center" vertical="center"/>
    </xf>
    <xf numFmtId="166" fontId="12" fillId="0" borderId="48" xfId="0" applyNumberFormat="1" applyFont="1" applyBorder="1" applyAlignment="1" applyProtection="1">
      <alignment horizontal="left" vertical="center" indent="1"/>
      <protection locked="0"/>
    </xf>
    <xf numFmtId="166" fontId="12" fillId="0" borderId="49" xfId="0" applyNumberFormat="1" applyFont="1" applyBorder="1" applyAlignment="1" applyProtection="1">
      <alignment horizontal="left" vertical="center" indent="1"/>
      <protection locked="0"/>
    </xf>
    <xf numFmtId="40" fontId="11" fillId="0" borderId="50" xfId="19" applyFont="1" applyFill="1" applyBorder="1" applyAlignment="1" applyProtection="1">
      <alignment vertical="center"/>
    </xf>
    <xf numFmtId="0" fontId="6" fillId="0" borderId="48" xfId="9" applyFont="1" applyBorder="1" applyAlignment="1">
      <alignment vertical="center"/>
    </xf>
    <xf numFmtId="0" fontId="6" fillId="0" borderId="49" xfId="9" applyFont="1" applyBorder="1" applyAlignment="1">
      <alignment vertical="center"/>
    </xf>
    <xf numFmtId="38" fontId="6" fillId="0" borderId="49" xfId="19" applyNumberFormat="1" applyFont="1" applyBorder="1" applyAlignment="1">
      <alignment horizontal="right" vertical="center"/>
    </xf>
    <xf numFmtId="0" fontId="6" fillId="0" borderId="50" xfId="9" applyFont="1" applyBorder="1" applyAlignment="1">
      <alignment vertical="center"/>
    </xf>
    <xf numFmtId="166" fontId="29" fillId="4" borderId="74" xfId="0" applyNumberFormat="1" applyFont="1" applyFill="1" applyBorder="1" applyAlignment="1" applyProtection="1">
      <alignment horizontal="left" vertical="center" indent="1"/>
      <protection locked="0"/>
    </xf>
    <xf numFmtId="166" fontId="29" fillId="4" borderId="75" xfId="0" applyNumberFormat="1" applyFont="1" applyFill="1" applyBorder="1" applyAlignment="1" applyProtection="1">
      <alignment horizontal="left" vertical="center" indent="1"/>
      <protection locked="0"/>
    </xf>
    <xf numFmtId="166" fontId="29" fillId="4" borderId="76" xfId="0" applyNumberFormat="1" applyFont="1" applyFill="1" applyBorder="1" applyAlignment="1" applyProtection="1">
      <alignment horizontal="left" vertical="center" indent="1"/>
      <protection locked="0"/>
    </xf>
    <xf numFmtId="0" fontId="6" fillId="0" borderId="31" xfId="9" applyFont="1" applyBorder="1" applyAlignment="1">
      <alignment horizontal="center" vertical="center"/>
    </xf>
    <xf numFmtId="0" fontId="6" fillId="0" borderId="22" xfId="9" applyFont="1" applyBorder="1" applyAlignment="1">
      <alignment horizontal="center" vertical="center"/>
    </xf>
    <xf numFmtId="4" fontId="28" fillId="0" borderId="0" xfId="9" applyNumberFormat="1" applyFont="1" applyAlignment="1">
      <alignment vertical="center"/>
    </xf>
    <xf numFmtId="0" fontId="37" fillId="4" borderId="47" xfId="0" applyFont="1" applyFill="1" applyBorder="1" applyAlignment="1"/>
    <xf numFmtId="0" fontId="37" fillId="0" borderId="73" xfId="0" applyFont="1" applyBorder="1" applyAlignment="1"/>
    <xf numFmtId="40" fontId="32" fillId="0" borderId="29" xfId="19" applyFont="1" applyFill="1" applyBorder="1" applyAlignment="1" applyProtection="1">
      <alignment vertical="center"/>
      <protection locked="0"/>
    </xf>
    <xf numFmtId="40" fontId="32" fillId="0" borderId="28" xfId="19" applyFont="1" applyFill="1" applyBorder="1" applyAlignment="1" applyProtection="1">
      <alignment vertical="center"/>
    </xf>
    <xf numFmtId="40" fontId="29" fillId="6" borderId="31" xfId="19" applyFont="1" applyFill="1" applyBorder="1" applyAlignment="1" applyProtection="1">
      <alignment vertical="center"/>
    </xf>
    <xf numFmtId="40" fontId="35" fillId="6" borderId="51" xfId="19" applyFont="1" applyFill="1" applyBorder="1" applyAlignment="1" applyProtection="1">
      <alignment horizontal="right" vertical="center"/>
    </xf>
    <xf numFmtId="40" fontId="32" fillId="0" borderId="66" xfId="19" applyFont="1" applyFill="1" applyBorder="1" applyAlignment="1" applyProtection="1">
      <alignment vertical="center"/>
    </xf>
    <xf numFmtId="40" fontId="29" fillId="6" borderId="77" xfId="19" applyFont="1" applyFill="1" applyBorder="1" applyAlignment="1" applyProtection="1">
      <alignment vertical="center"/>
    </xf>
    <xf numFmtId="40" fontId="29" fillId="6" borderId="46" xfId="19" applyFont="1" applyFill="1" applyBorder="1" applyAlignment="1" applyProtection="1">
      <alignment vertical="center"/>
    </xf>
    <xf numFmtId="165" fontId="32" fillId="0" borderId="47" xfId="7" applyFont="1" applyBorder="1" applyAlignment="1">
      <alignment horizontal="center" vertical="center"/>
    </xf>
    <xf numFmtId="4" fontId="32" fillId="0" borderId="0" xfId="7" applyNumberFormat="1" applyFont="1" applyBorder="1" applyAlignment="1" applyProtection="1">
      <alignment horizontal="right" vertical="center"/>
      <protection locked="0"/>
    </xf>
    <xf numFmtId="165" fontId="32" fillId="0" borderId="73" xfId="7" applyFont="1" applyBorder="1" applyAlignment="1">
      <alignment horizontal="center" vertical="center"/>
    </xf>
    <xf numFmtId="0" fontId="38" fillId="0" borderId="28" xfId="8" applyFont="1" applyBorder="1" applyAlignment="1">
      <alignment horizontal="center" vertical="center" wrapText="1"/>
    </xf>
    <xf numFmtId="0" fontId="32" fillId="0" borderId="0" xfId="8" applyFont="1" applyAlignment="1">
      <alignment vertical="center"/>
    </xf>
    <xf numFmtId="38" fontId="32" fillId="0" borderId="31" xfId="19" quotePrefix="1" applyNumberFormat="1" applyFont="1" applyFill="1" applyBorder="1" applyAlignment="1" applyProtection="1">
      <alignment horizontal="center" vertical="center"/>
    </xf>
    <xf numFmtId="39" fontId="32" fillId="0" borderId="28" xfId="0" applyNumberFormat="1" applyFont="1" applyBorder="1" applyAlignment="1" applyProtection="1">
      <alignment horizontal="center" vertical="center"/>
      <protection locked="0"/>
    </xf>
    <xf numFmtId="40" fontId="32" fillId="0" borderId="29" xfId="19" applyFont="1" applyBorder="1" applyAlignment="1" applyProtection="1">
      <alignment horizontal="center" vertical="center"/>
      <protection locked="0"/>
    </xf>
    <xf numFmtId="38" fontId="29" fillId="0" borderId="28" xfId="19" quotePrefix="1" applyNumberFormat="1" applyFont="1" applyFill="1" applyBorder="1" applyAlignment="1" applyProtection="1">
      <alignment horizontal="left" vertical="center" indent="1"/>
    </xf>
    <xf numFmtId="166" fontId="11" fillId="0" borderId="48" xfId="0" applyNumberFormat="1" applyFont="1" applyBorder="1" applyAlignment="1" applyProtection="1">
      <alignment horizontal="left" vertical="center" indent="1"/>
      <protection locked="0"/>
    </xf>
    <xf numFmtId="166" fontId="11" fillId="0" borderId="49" xfId="0" applyNumberFormat="1" applyFont="1" applyBorder="1" applyAlignment="1" applyProtection="1">
      <alignment horizontal="left" vertical="center" indent="1"/>
      <protection locked="0"/>
    </xf>
    <xf numFmtId="38" fontId="29" fillId="0" borderId="78" xfId="19" quotePrefix="1" applyNumberFormat="1" applyFont="1" applyFill="1" applyBorder="1" applyAlignment="1" applyProtection="1">
      <alignment horizontal="left" vertical="center" indent="1"/>
    </xf>
    <xf numFmtId="38" fontId="32" fillId="0" borderId="79" xfId="19" applyNumberFormat="1" applyFont="1" applyFill="1" applyBorder="1" applyAlignment="1" applyProtection="1">
      <alignment horizontal="left" vertical="center" indent="1"/>
    </xf>
    <xf numFmtId="0" fontId="32" fillId="0" borderId="28" xfId="9" applyNumberFormat="1" applyFont="1" applyBorder="1" applyAlignment="1">
      <alignment horizontal="center" vertical="center"/>
    </xf>
    <xf numFmtId="40" fontId="32" fillId="0" borderId="28" xfId="19" applyFont="1" applyBorder="1" applyAlignment="1">
      <alignment horizontal="center" vertical="center"/>
    </xf>
    <xf numFmtId="0" fontId="39" fillId="4" borderId="0" xfId="9" applyFont="1" applyFill="1" applyBorder="1" applyAlignment="1">
      <alignment horizontal="center" vertical="center"/>
    </xf>
    <xf numFmtId="0" fontId="40" fillId="4" borderId="0" xfId="9" applyFont="1" applyFill="1" applyBorder="1" applyAlignment="1">
      <alignment horizontal="center" vertical="center"/>
    </xf>
    <xf numFmtId="4" fontId="6" fillId="4" borderId="0" xfId="9" applyNumberFormat="1" applyFont="1" applyFill="1" applyBorder="1" applyAlignment="1">
      <alignment vertical="center"/>
    </xf>
    <xf numFmtId="10" fontId="35" fillId="0" borderId="0" xfId="12" applyNumberFormat="1" applyFont="1" applyFill="1" applyBorder="1" applyAlignment="1">
      <alignment horizontal="left" vertical="center" indent="1"/>
    </xf>
    <xf numFmtId="0" fontId="11" fillId="0" borderId="0" xfId="8" applyFont="1" applyAlignment="1">
      <alignment horizontal="right" vertical="center"/>
    </xf>
    <xf numFmtId="4" fontId="11" fillId="0" borderId="0" xfId="8" applyNumberFormat="1" applyFont="1" applyAlignment="1">
      <alignment vertical="center"/>
    </xf>
    <xf numFmtId="0" fontId="29" fillId="0" borderId="0" xfId="9" applyFont="1" applyAlignment="1">
      <alignment horizontal="right" vertical="center"/>
    </xf>
    <xf numFmtId="4" fontId="29" fillId="0" borderId="0" xfId="9" applyNumberFormat="1" applyFont="1" applyAlignment="1">
      <alignment vertical="center"/>
    </xf>
    <xf numFmtId="0" fontId="32" fillId="0" borderId="0" xfId="8" applyFont="1" applyBorder="1" applyAlignment="1">
      <alignment vertical="center"/>
    </xf>
    <xf numFmtId="10" fontId="35" fillId="0" borderId="0" xfId="12" applyNumberFormat="1" applyFont="1" applyAlignment="1">
      <alignment vertical="center"/>
    </xf>
    <xf numFmtId="0" fontId="32" fillId="0" borderId="0" xfId="9" applyFont="1" applyAlignment="1">
      <alignment vertical="center"/>
    </xf>
    <xf numFmtId="4" fontId="35" fillId="0" borderId="0" xfId="9" applyNumberFormat="1" applyFont="1" applyAlignment="1">
      <alignment vertical="center"/>
    </xf>
    <xf numFmtId="4" fontId="29" fillId="0" borderId="0" xfId="8" applyNumberFormat="1" applyFont="1" applyAlignment="1">
      <alignment vertical="center"/>
    </xf>
    <xf numFmtId="0" fontId="29" fillId="0" borderId="0" xfId="8" applyFont="1" applyAlignment="1">
      <alignment horizontal="right" vertical="center"/>
    </xf>
    <xf numFmtId="4" fontId="32" fillId="4" borderId="25" xfId="7" applyNumberFormat="1" applyFont="1" applyFill="1" applyBorder="1" applyAlignment="1" applyProtection="1">
      <alignment horizontal="center" vertical="center"/>
      <protection locked="0"/>
    </xf>
    <xf numFmtId="4" fontId="13" fillId="4" borderId="25" xfId="7" applyNumberFormat="1" applyFont="1" applyFill="1" applyBorder="1" applyAlignment="1" applyProtection="1">
      <alignment horizontal="center" vertical="center"/>
      <protection locked="0"/>
    </xf>
    <xf numFmtId="4" fontId="32" fillId="4" borderId="25" xfId="7" applyNumberFormat="1" applyFont="1" applyFill="1" applyBorder="1" applyAlignment="1" applyProtection="1">
      <alignment horizontal="right" vertical="center"/>
      <protection locked="0"/>
    </xf>
    <xf numFmtId="10" fontId="6" fillId="4" borderId="52" xfId="8" applyNumberFormat="1" applyFont="1" applyFill="1" applyBorder="1" applyAlignment="1">
      <alignment horizontal="right" vertical="center"/>
    </xf>
    <xf numFmtId="0" fontId="6" fillId="4" borderId="31" xfId="10" applyFont="1" applyFill="1" applyBorder="1" applyAlignment="1">
      <alignment horizontal="center" vertical="center"/>
    </xf>
    <xf numFmtId="0" fontId="6" fillId="4" borderId="46" xfId="10" applyFont="1" applyFill="1" applyBorder="1" applyAlignment="1">
      <alignment horizontal="center" vertical="center"/>
    </xf>
    <xf numFmtId="10" fontId="6" fillId="4" borderId="28" xfId="12" applyNumberFormat="1" applyFont="1" applyFill="1" applyBorder="1" applyAlignment="1" applyProtection="1">
      <alignment horizontal="center"/>
    </xf>
    <xf numFmtId="10" fontId="6" fillId="4" borderId="31" xfId="12" applyNumberFormat="1" applyFont="1" applyFill="1" applyBorder="1" applyAlignment="1" applyProtection="1">
      <alignment horizontal="center"/>
    </xf>
    <xf numFmtId="4" fontId="11" fillId="4" borderId="18" xfId="0" applyNumberFormat="1" applyFont="1" applyFill="1" applyBorder="1" applyAlignment="1">
      <alignment horizontal="center"/>
    </xf>
    <xf numFmtId="0" fontId="6" fillId="4" borderId="28" xfId="10" applyFont="1" applyFill="1" applyBorder="1" applyAlignment="1">
      <alignment horizontal="center" vertical="center"/>
    </xf>
    <xf numFmtId="10" fontId="11" fillId="4" borderId="18" xfId="0" applyNumberFormat="1" applyFont="1" applyFill="1" applyBorder="1" applyAlignment="1">
      <alignment horizontal="center"/>
    </xf>
    <xf numFmtId="10" fontId="6" fillId="4" borderId="28" xfId="19" applyNumberFormat="1" applyFont="1" applyFill="1" applyBorder="1" applyAlignment="1" applyProtection="1">
      <alignment horizontal="center"/>
    </xf>
    <xf numFmtId="10" fontId="6" fillId="4" borderId="31" xfId="19" applyNumberFormat="1" applyFont="1" applyFill="1" applyBorder="1" applyAlignment="1" applyProtection="1">
      <alignment horizontal="center"/>
    </xf>
    <xf numFmtId="10" fontId="11" fillId="4" borderId="32" xfId="19" applyNumberFormat="1" applyFont="1" applyFill="1" applyBorder="1" applyAlignment="1" applyProtection="1">
      <alignment horizontal="center" vertical="center"/>
    </xf>
    <xf numFmtId="4" fontId="29" fillId="0" borderId="34" xfId="0" applyNumberFormat="1" applyFont="1" applyFill="1" applyBorder="1" applyAlignment="1">
      <alignment horizontal="right" vertical="center"/>
    </xf>
    <xf numFmtId="4" fontId="29" fillId="0" borderId="80" xfId="0" applyNumberFormat="1" applyFont="1" applyFill="1" applyBorder="1" applyAlignment="1">
      <alignment horizontal="right" vertical="center"/>
    </xf>
    <xf numFmtId="4" fontId="41" fillId="0" borderId="81" xfId="0" applyNumberFormat="1" applyFont="1" applyBorder="1"/>
    <xf numFmtId="176" fontId="32" fillId="0" borderId="24" xfId="19" applyNumberFormat="1" applyFont="1" applyBorder="1" applyAlignment="1" applyProtection="1">
      <alignment horizontal="center" vertical="center"/>
      <protection locked="0"/>
    </xf>
    <xf numFmtId="4" fontId="13" fillId="0" borderId="0" xfId="7" applyNumberFormat="1" applyFont="1" applyFill="1" applyBorder="1" applyAlignment="1" applyProtection="1">
      <alignment horizontal="right" vertical="center"/>
      <protection locked="0"/>
    </xf>
    <xf numFmtId="38" fontId="42" fillId="0" borderId="78" xfId="19" quotePrefix="1" applyNumberFormat="1" applyFont="1" applyFill="1" applyBorder="1" applyAlignment="1" applyProtection="1">
      <alignment horizontal="left" vertical="center" indent="1"/>
    </xf>
    <xf numFmtId="38" fontId="43" fillId="0" borderId="79" xfId="19" quotePrefix="1" applyNumberFormat="1" applyFont="1" applyFill="1" applyBorder="1" applyAlignment="1" applyProtection="1">
      <alignment horizontal="left" vertical="center" indent="1"/>
    </xf>
    <xf numFmtId="0" fontId="43" fillId="0" borderId="28" xfId="9" applyNumberFormat="1" applyFont="1" applyBorder="1" applyAlignment="1">
      <alignment horizontal="center" vertical="center"/>
    </xf>
    <xf numFmtId="38" fontId="43" fillId="0" borderId="28" xfId="19" applyNumberFormat="1" applyFont="1" applyBorder="1" applyAlignment="1">
      <alignment horizontal="center" vertical="center"/>
    </xf>
    <xf numFmtId="40" fontId="43" fillId="0" borderId="28" xfId="19" applyFont="1" applyFill="1" applyBorder="1" applyAlignment="1" applyProtection="1">
      <alignment vertical="center"/>
    </xf>
    <xf numFmtId="40" fontId="43" fillId="0" borderId="66" xfId="19" applyFont="1" applyFill="1" applyBorder="1" applyAlignment="1" applyProtection="1">
      <alignment vertical="center"/>
    </xf>
    <xf numFmtId="4" fontId="11" fillId="4" borderId="50" xfId="0" applyNumberFormat="1" applyFont="1" applyFill="1" applyBorder="1" applyAlignment="1">
      <alignment horizontal="center"/>
    </xf>
    <xf numFmtId="10" fontId="6" fillId="4" borderId="82" xfId="19" applyNumberFormat="1" applyFont="1" applyFill="1" applyBorder="1" applyAlignment="1" applyProtection="1">
      <alignment horizontal="center"/>
    </xf>
    <xf numFmtId="10" fontId="6" fillId="4" borderId="46" xfId="12" applyNumberFormat="1" applyFont="1" applyFill="1" applyBorder="1" applyAlignment="1">
      <alignment horizontal="center" vertical="center"/>
    </xf>
    <xf numFmtId="10" fontId="6" fillId="4" borderId="46" xfId="12" applyNumberFormat="1" applyFont="1" applyFill="1" applyBorder="1" applyAlignment="1" applyProtection="1">
      <alignment horizontal="center"/>
    </xf>
    <xf numFmtId="10" fontId="11" fillId="4" borderId="83" xfId="0" applyNumberFormat="1" applyFont="1" applyFill="1" applyBorder="1" applyAlignment="1">
      <alignment horizontal="center"/>
    </xf>
    <xf numFmtId="0" fontId="29" fillId="0" borderId="84" xfId="0" applyFont="1" applyFill="1" applyBorder="1" applyAlignment="1">
      <alignment horizontal="left" vertical="center"/>
    </xf>
    <xf numFmtId="0" fontId="29" fillId="0" borderId="35" xfId="0" applyFont="1" applyFill="1" applyBorder="1" applyAlignment="1">
      <alignment horizontal="left" vertical="center"/>
    </xf>
    <xf numFmtId="0" fontId="29" fillId="0" borderId="29" xfId="0" applyFont="1" applyFill="1" applyBorder="1" applyAlignment="1">
      <alignment horizontal="left" vertical="center"/>
    </xf>
    <xf numFmtId="0" fontId="44" fillId="0" borderId="0" xfId="11" applyFont="1" applyBorder="1" applyAlignment="1">
      <alignment vertical="center"/>
    </xf>
    <xf numFmtId="173" fontId="6" fillId="0" borderId="0" xfId="9" applyNumberFormat="1" applyFont="1" applyAlignment="1">
      <alignment vertical="center"/>
    </xf>
    <xf numFmtId="0" fontId="10" fillId="0" borderId="0" xfId="9" applyFont="1" applyBorder="1" applyAlignment="1">
      <alignment horizontal="center" vertical="center"/>
    </xf>
    <xf numFmtId="0" fontId="8" fillId="0" borderId="0" xfId="9" applyFont="1" applyBorder="1" applyAlignment="1">
      <alignment vertical="center"/>
    </xf>
    <xf numFmtId="38" fontId="29" fillId="4" borderId="0" xfId="19" applyNumberFormat="1" applyFont="1" applyFill="1" applyBorder="1" applyAlignment="1" applyProtection="1">
      <alignment horizontal="center" vertical="center"/>
    </xf>
    <xf numFmtId="38" fontId="32" fillId="4" borderId="0" xfId="19" applyNumberFormat="1" applyFont="1" applyFill="1" applyBorder="1" applyAlignment="1" applyProtection="1">
      <alignment horizontal="center" vertical="center"/>
    </xf>
    <xf numFmtId="0" fontId="32" fillId="4" borderId="0" xfId="9" applyNumberFormat="1" applyFont="1" applyFill="1" applyBorder="1" applyAlignment="1">
      <alignment horizontal="center" vertical="center"/>
    </xf>
    <xf numFmtId="38" fontId="32" fillId="4" borderId="0" xfId="19" applyNumberFormat="1" applyFont="1" applyFill="1" applyBorder="1" applyAlignment="1">
      <alignment horizontal="center" vertical="center"/>
    </xf>
    <xf numFmtId="40" fontId="32" fillId="4" borderId="0" xfId="19" applyFont="1" applyFill="1" applyBorder="1" applyAlignment="1" applyProtection="1">
      <alignment vertical="center"/>
    </xf>
    <xf numFmtId="40" fontId="29" fillId="4" borderId="0" xfId="19" applyFont="1" applyFill="1" applyBorder="1" applyAlignment="1" applyProtection="1">
      <alignment vertical="center"/>
    </xf>
    <xf numFmtId="0" fontId="6" fillId="2" borderId="85" xfId="0" applyFont="1" applyFill="1" applyBorder="1" applyAlignment="1">
      <alignment horizontal="left" vertical="center"/>
    </xf>
    <xf numFmtId="0" fontId="6" fillId="0" borderId="14" xfId="10" applyFont="1" applyBorder="1" applyAlignment="1">
      <alignment vertical="center"/>
    </xf>
    <xf numFmtId="0" fontId="6" fillId="2" borderId="85" xfId="0" applyFont="1" applyFill="1" applyBorder="1" applyAlignment="1">
      <alignment horizontal="left" vertical="top"/>
    </xf>
    <xf numFmtId="0" fontId="6" fillId="0" borderId="14" xfId="11" applyFont="1" applyBorder="1" applyAlignment="1">
      <alignment vertical="center"/>
    </xf>
    <xf numFmtId="38" fontId="11" fillId="4" borderId="0" xfId="19" applyNumberFormat="1" applyFont="1" applyFill="1" applyBorder="1" applyAlignment="1" applyProtection="1">
      <alignment horizontal="center" vertical="center"/>
    </xf>
    <xf numFmtId="38" fontId="39" fillId="4" borderId="0" xfId="19" applyNumberFormat="1" applyFont="1" applyFill="1" applyBorder="1" applyAlignment="1" applyProtection="1">
      <alignment horizontal="center" vertical="center"/>
    </xf>
    <xf numFmtId="0" fontId="39" fillId="4" borderId="0" xfId="9" applyNumberFormat="1" applyFont="1" applyFill="1" applyBorder="1" applyAlignment="1">
      <alignment horizontal="center" vertical="center"/>
    </xf>
    <xf numFmtId="38" fontId="39" fillId="4" borderId="0" xfId="19" applyNumberFormat="1" applyFont="1" applyFill="1" applyBorder="1" applyAlignment="1">
      <alignment horizontal="center" vertical="center"/>
    </xf>
    <xf numFmtId="40" fontId="39" fillId="4" borderId="0" xfId="19" applyFont="1" applyFill="1" applyBorder="1" applyAlignment="1" applyProtection="1">
      <alignment vertical="center"/>
    </xf>
    <xf numFmtId="0" fontId="39" fillId="4" borderId="0" xfId="0" applyFont="1" applyFill="1" applyBorder="1" applyAlignment="1">
      <alignment horizontal="left"/>
    </xf>
    <xf numFmtId="166" fontId="40" fillId="4" borderId="0" xfId="0" applyNumberFormat="1" applyFont="1" applyFill="1" applyBorder="1" applyAlignment="1" applyProtection="1">
      <alignment horizontal="left" vertical="center" indent="1"/>
      <protection locked="0"/>
    </xf>
    <xf numFmtId="165" fontId="32" fillId="4" borderId="47" xfId="7" applyFont="1" applyFill="1" applyBorder="1" applyAlignment="1">
      <alignment horizontal="center" vertical="center"/>
    </xf>
    <xf numFmtId="4" fontId="13" fillId="4" borderId="24" xfId="7" applyNumberFormat="1" applyFont="1" applyFill="1" applyBorder="1" applyAlignment="1" applyProtection="1">
      <alignment horizontal="right" vertical="center"/>
      <protection locked="0"/>
    </xf>
    <xf numFmtId="4" fontId="32" fillId="4" borderId="0" xfId="7" applyNumberFormat="1" applyFont="1" applyFill="1" applyBorder="1" applyAlignment="1" applyProtection="1">
      <alignment horizontal="right" vertical="center"/>
      <protection locked="0"/>
    </xf>
    <xf numFmtId="4" fontId="13" fillId="4" borderId="23" xfId="7" applyNumberFormat="1" applyFont="1" applyFill="1" applyBorder="1" applyAlignment="1" applyProtection="1">
      <alignment horizontal="right" vertical="center"/>
      <protection locked="0"/>
    </xf>
    <xf numFmtId="0" fontId="45" fillId="4" borderId="47" xfId="0" applyFont="1" applyFill="1" applyBorder="1" applyAlignment="1"/>
    <xf numFmtId="0" fontId="45" fillId="4" borderId="47" xfId="0" applyFont="1" applyFill="1" applyBorder="1"/>
    <xf numFmtId="176" fontId="46" fillId="0" borderId="24" xfId="19" applyNumberFormat="1" applyFont="1" applyBorder="1" applyAlignment="1" applyProtection="1">
      <alignment horizontal="center" vertical="center"/>
      <protection locked="0"/>
    </xf>
    <xf numFmtId="176" fontId="46" fillId="4" borderId="24" xfId="19" applyNumberFormat="1" applyFont="1" applyFill="1" applyBorder="1" applyAlignment="1" applyProtection="1">
      <alignment horizontal="center" vertical="center"/>
      <protection locked="0"/>
    </xf>
    <xf numFmtId="4" fontId="32" fillId="0" borderId="24" xfId="7" applyNumberFormat="1" applyFont="1" applyBorder="1" applyAlignment="1" applyProtection="1">
      <alignment horizontal="right" vertical="center"/>
      <protection locked="0"/>
    </xf>
    <xf numFmtId="4" fontId="41" fillId="4" borderId="81" xfId="0" applyNumberFormat="1" applyFont="1" applyFill="1" applyBorder="1"/>
    <xf numFmtId="4" fontId="47" fillId="0" borderId="81" xfId="0" applyNumberFormat="1" applyFont="1" applyBorder="1"/>
    <xf numFmtId="4" fontId="47" fillId="0" borderId="65" xfId="0" applyNumberFormat="1" applyFont="1" applyBorder="1"/>
    <xf numFmtId="4" fontId="32" fillId="0" borderId="23" xfId="7" applyNumberFormat="1" applyFont="1" applyBorder="1" applyAlignment="1" applyProtection="1">
      <alignment horizontal="right" vertical="center"/>
      <protection locked="0"/>
    </xf>
    <xf numFmtId="10" fontId="32" fillId="4" borderId="52" xfId="8" applyNumberFormat="1" applyFont="1" applyFill="1" applyBorder="1" applyAlignment="1">
      <alignment horizontal="right" vertical="center"/>
    </xf>
    <xf numFmtId="4" fontId="32" fillId="7" borderId="24" xfId="7" applyNumberFormat="1" applyFont="1" applyFill="1" applyBorder="1" applyAlignment="1" applyProtection="1">
      <alignment horizontal="right" vertical="center"/>
      <protection locked="0"/>
    </xf>
    <xf numFmtId="4" fontId="32" fillId="7" borderId="0" xfId="7" applyNumberFormat="1" applyFont="1" applyFill="1" applyBorder="1" applyAlignment="1" applyProtection="1">
      <alignment horizontal="right" vertical="center"/>
      <protection locked="0"/>
    </xf>
    <xf numFmtId="4" fontId="32" fillId="7" borderId="25" xfId="7" applyNumberFormat="1" applyFont="1" applyFill="1" applyBorder="1" applyAlignment="1" applyProtection="1">
      <alignment horizontal="center" vertical="center"/>
      <protection locked="0"/>
    </xf>
    <xf numFmtId="0" fontId="32" fillId="4" borderId="0" xfId="0" applyFont="1" applyFill="1" applyBorder="1" applyAlignment="1">
      <alignment horizontal="left"/>
    </xf>
    <xf numFmtId="166" fontId="12" fillId="4" borderId="0" xfId="0" applyNumberFormat="1" applyFont="1" applyFill="1" applyBorder="1" applyAlignment="1" applyProtection="1">
      <alignment horizontal="left" vertical="center" wrapText="1"/>
      <protection locked="0"/>
    </xf>
    <xf numFmtId="165" fontId="13" fillId="0" borderId="11" xfId="7" applyFont="1" applyBorder="1" applyAlignment="1">
      <alignment horizontal="left" vertical="center"/>
    </xf>
    <xf numFmtId="165" fontId="13" fillId="0" borderId="25" xfId="7" applyFont="1" applyBorder="1" applyAlignment="1">
      <alignment horizontal="center" vertical="center"/>
    </xf>
    <xf numFmtId="40" fontId="6" fillId="0" borderId="25" xfId="19" applyFont="1" applyBorder="1" applyAlignment="1" applyProtection="1">
      <alignment horizontal="center" vertical="center"/>
      <protection locked="0"/>
    </xf>
    <xf numFmtId="4" fontId="36" fillId="0" borderId="28" xfId="10" applyNumberFormat="1" applyFont="1" applyBorder="1" applyAlignment="1">
      <alignment horizontal="center" vertical="center"/>
    </xf>
    <xf numFmtId="4" fontId="6" fillId="0" borderId="46" xfId="0" applyNumberFormat="1" applyFont="1" applyBorder="1" applyAlignment="1">
      <alignment horizontal="center"/>
    </xf>
    <xf numFmtId="0" fontId="6" fillId="0" borderId="29" xfId="8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6" fillId="0" borderId="72" xfId="8" applyFont="1" applyBorder="1" applyAlignment="1">
      <alignment horizontal="center" vertical="center" wrapText="1"/>
    </xf>
    <xf numFmtId="4" fontId="11" fillId="0" borderId="18" xfId="0" applyNumberFormat="1" applyFont="1" applyFill="1" applyBorder="1" applyAlignment="1">
      <alignment horizontal="center"/>
    </xf>
    <xf numFmtId="40" fontId="6" fillId="0" borderId="86" xfId="19" applyFont="1" applyBorder="1" applyAlignment="1">
      <alignment horizontal="center" vertical="center"/>
    </xf>
    <xf numFmtId="165" fontId="12" fillId="0" borderId="87" xfId="7" applyFont="1" applyBorder="1" applyAlignment="1">
      <alignment horizontal="center" vertical="center"/>
    </xf>
    <xf numFmtId="38" fontId="11" fillId="0" borderId="40" xfId="19" quotePrefix="1" applyNumberFormat="1" applyFont="1" applyFill="1" applyBorder="1" applyAlignment="1" applyProtection="1">
      <alignment horizontal="left" vertical="center" indent="1"/>
    </xf>
    <xf numFmtId="38" fontId="6" fillId="0" borderId="34" xfId="19" quotePrefix="1" applyNumberFormat="1" applyFont="1" applyFill="1" applyBorder="1" applyAlignment="1" applyProtection="1">
      <alignment horizontal="center" vertical="center"/>
    </xf>
    <xf numFmtId="0" fontId="6" fillId="0" borderId="0" xfId="9" applyFont="1" applyFill="1" applyAlignment="1">
      <alignment vertical="center"/>
    </xf>
    <xf numFmtId="2" fontId="6" fillId="0" borderId="0" xfId="10" applyNumberFormat="1" applyFont="1" applyBorder="1" applyAlignment="1">
      <alignment vertical="center"/>
    </xf>
    <xf numFmtId="9" fontId="1" fillId="0" borderId="0" xfId="12" applyFill="1" applyBorder="1" applyAlignment="1">
      <alignment horizontal="right" vertical="center"/>
    </xf>
    <xf numFmtId="0" fontId="8" fillId="0" borderId="38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27" fillId="0" borderId="0" xfId="9" applyFont="1" applyFill="1" applyBorder="1" applyAlignment="1">
      <alignment horizontal="right" vertical="center"/>
    </xf>
    <xf numFmtId="10" fontId="28" fillId="0" borderId="0" xfId="12" applyNumberFormat="1" applyFont="1" applyFill="1" applyBorder="1" applyAlignment="1">
      <alignment vertical="center"/>
    </xf>
    <xf numFmtId="4" fontId="27" fillId="0" borderId="0" xfId="9" applyNumberFormat="1" applyFont="1" applyFill="1" applyBorder="1" applyAlignment="1">
      <alignment vertical="center"/>
    </xf>
    <xf numFmtId="0" fontId="6" fillId="0" borderId="0" xfId="9" applyFont="1" applyFill="1" applyBorder="1" applyAlignment="1">
      <alignment vertical="center"/>
    </xf>
    <xf numFmtId="0" fontId="39" fillId="0" borderId="0" xfId="0" applyFont="1" applyFill="1" applyBorder="1" applyAlignment="1">
      <alignment horizontal="left"/>
    </xf>
    <xf numFmtId="0" fontId="39" fillId="0" borderId="0" xfId="9" applyNumberFormat="1" applyFont="1" applyFill="1" applyBorder="1" applyAlignment="1">
      <alignment horizontal="center" vertical="center"/>
    </xf>
    <xf numFmtId="38" fontId="39" fillId="0" borderId="0" xfId="19" applyNumberFormat="1" applyFont="1" applyFill="1" applyBorder="1" applyAlignment="1">
      <alignment horizontal="center" vertical="center"/>
    </xf>
    <xf numFmtId="40" fontId="39" fillId="0" borderId="0" xfId="19" applyFont="1" applyFill="1" applyBorder="1" applyAlignment="1" applyProtection="1">
      <alignment vertical="center"/>
    </xf>
    <xf numFmtId="4" fontId="6" fillId="0" borderId="0" xfId="9" applyNumberFormat="1" applyFont="1" applyFill="1" applyBorder="1" applyAlignment="1">
      <alignment vertical="center"/>
    </xf>
    <xf numFmtId="166" fontId="40" fillId="0" borderId="0" xfId="0" applyNumberFormat="1" applyFont="1" applyFill="1" applyBorder="1" applyAlignment="1" applyProtection="1">
      <alignment horizontal="left" vertical="center" indent="1"/>
      <protection locked="0"/>
    </xf>
    <xf numFmtId="40" fontId="40" fillId="0" borderId="0" xfId="19" applyFont="1" applyFill="1" applyBorder="1" applyAlignment="1" applyProtection="1">
      <alignment vertical="center"/>
    </xf>
    <xf numFmtId="4" fontId="11" fillId="0" borderId="0" xfId="9" applyNumberFormat="1" applyFont="1" applyFill="1" applyBorder="1" applyAlignment="1">
      <alignment vertical="center"/>
    </xf>
    <xf numFmtId="4" fontId="28" fillId="0" borderId="0" xfId="9" applyNumberFormat="1" applyFont="1" applyFill="1" applyBorder="1" applyAlignment="1">
      <alignment vertical="center"/>
    </xf>
    <xf numFmtId="0" fontId="50" fillId="0" borderId="0" xfId="20"/>
    <xf numFmtId="0" fontId="50" fillId="0" borderId="46" xfId="20" applyBorder="1"/>
    <xf numFmtId="0" fontId="50" fillId="0" borderId="46" xfId="20" applyBorder="1" applyAlignment="1">
      <alignment horizontal="left"/>
    </xf>
    <xf numFmtId="0" fontId="10" fillId="0" borderId="46" xfId="20" applyFont="1" applyBorder="1" applyAlignment="1">
      <alignment horizontal="left"/>
    </xf>
    <xf numFmtId="0" fontId="1" fillId="0" borderId="0" xfId="20" applyFont="1"/>
    <xf numFmtId="168" fontId="50" fillId="4" borderId="0" xfId="20" applyNumberFormat="1" applyFill="1"/>
    <xf numFmtId="168" fontId="10" fillId="4" borderId="0" xfId="20" applyNumberFormat="1" applyFont="1" applyFill="1"/>
    <xf numFmtId="2" fontId="50" fillId="0" borderId="0" xfId="20" applyNumberFormat="1"/>
    <xf numFmtId="0" fontId="1" fillId="0" borderId="46" xfId="20" applyFont="1" applyBorder="1"/>
    <xf numFmtId="0" fontId="10" fillId="0" borderId="0" xfId="20" applyFont="1" applyAlignment="1">
      <alignment horizontal="left"/>
    </xf>
    <xf numFmtId="168" fontId="10" fillId="0" borderId="0" xfId="20" applyNumberFormat="1" applyFont="1" applyAlignment="1">
      <alignment horizontal="right"/>
    </xf>
    <xf numFmtId="0" fontId="10" fillId="0" borderId="46" xfId="20" applyFont="1" applyBorder="1"/>
    <xf numFmtId="0" fontId="10" fillId="0" borderId="46" xfId="20" applyFont="1" applyBorder="1" applyAlignment="1">
      <alignment horizontal="center"/>
    </xf>
    <xf numFmtId="0" fontId="10" fillId="0" borderId="46" xfId="20" applyFont="1" applyBorder="1" applyAlignment="1">
      <alignment horizontal="right"/>
    </xf>
    <xf numFmtId="10" fontId="50" fillId="0" borderId="46" xfId="20" applyNumberFormat="1" applyBorder="1" applyAlignment="1">
      <alignment horizontal="center"/>
    </xf>
    <xf numFmtId="168" fontId="50" fillId="0" borderId="46" xfId="20" applyNumberFormat="1" applyBorder="1" applyAlignment="1">
      <alignment horizontal="right"/>
    </xf>
    <xf numFmtId="10" fontId="10" fillId="0" borderId="46" xfId="20" applyNumberFormat="1" applyFont="1" applyBorder="1" applyAlignment="1">
      <alignment horizontal="center"/>
    </xf>
    <xf numFmtId="168" fontId="10" fillId="0" borderId="46" xfId="20" applyNumberFormat="1" applyFont="1" applyBorder="1" applyAlignment="1">
      <alignment horizontal="right"/>
    </xf>
    <xf numFmtId="10" fontId="50" fillId="4" borderId="46" xfId="20" applyNumberFormat="1" applyFill="1" applyBorder="1" applyAlignment="1">
      <alignment horizontal="center"/>
    </xf>
    <xf numFmtId="168" fontId="50" fillId="0" borderId="46" xfId="20" applyNumberFormat="1" applyBorder="1"/>
    <xf numFmtId="0" fontId="1" fillId="0" borderId="46" xfId="20" applyFont="1" applyBorder="1" applyAlignment="1">
      <alignment horizontal="left"/>
    </xf>
    <xf numFmtId="168" fontId="10" fillId="0" borderId="46" xfId="20" applyNumberFormat="1" applyFont="1" applyBorder="1"/>
    <xf numFmtId="0" fontId="50" fillId="0" borderId="0" xfId="20" applyAlignment="1">
      <alignment horizontal="left"/>
    </xf>
    <xf numFmtId="4" fontId="50" fillId="0" borderId="46" xfId="20" applyNumberFormat="1" applyBorder="1"/>
    <xf numFmtId="4" fontId="10" fillId="0" borderId="46" xfId="20" applyNumberFormat="1" applyFont="1" applyBorder="1"/>
    <xf numFmtId="10" fontId="10" fillId="0" borderId="0" xfId="20" applyNumberFormat="1" applyFont="1" applyAlignment="1">
      <alignment horizontal="center"/>
    </xf>
    <xf numFmtId="4" fontId="10" fillId="0" borderId="0" xfId="20" applyNumberFormat="1" applyFont="1"/>
    <xf numFmtId="9" fontId="50" fillId="0" borderId="0" xfId="20" applyNumberFormat="1"/>
    <xf numFmtId="10" fontId="50" fillId="0" borderId="0" xfId="20" applyNumberFormat="1"/>
    <xf numFmtId="0" fontId="6" fillId="0" borderId="0" xfId="21" applyFont="1" applyAlignment="1">
      <alignment vertical="center"/>
    </xf>
    <xf numFmtId="4" fontId="1" fillId="0" borderId="46" xfId="20" applyNumberFormat="1" applyFont="1" applyBorder="1"/>
    <xf numFmtId="178" fontId="50" fillId="0" borderId="0" xfId="20" applyNumberFormat="1"/>
    <xf numFmtId="49" fontId="50" fillId="0" borderId="46" xfId="20" applyNumberFormat="1" applyBorder="1" applyAlignment="1">
      <alignment horizontal="center"/>
    </xf>
    <xf numFmtId="10" fontId="1" fillId="0" borderId="46" xfId="22" applyNumberFormat="1" applyFont="1" applyFill="1" applyBorder="1" applyAlignment="1">
      <alignment horizontal="center"/>
    </xf>
    <xf numFmtId="49" fontId="10" fillId="0" borderId="46" xfId="20" applyNumberFormat="1" applyFont="1" applyBorder="1" applyAlignment="1">
      <alignment horizontal="center"/>
    </xf>
    <xf numFmtId="168" fontId="50" fillId="0" borderId="0" xfId="20" applyNumberFormat="1"/>
    <xf numFmtId="0" fontId="10" fillId="0" borderId="72" xfId="20" applyFont="1" applyBorder="1" applyAlignment="1">
      <alignment horizontal="center"/>
    </xf>
    <xf numFmtId="0" fontId="10" fillId="0" borderId="47" xfId="20" applyFont="1" applyBorder="1" applyAlignment="1">
      <alignment horizontal="center"/>
    </xf>
    <xf numFmtId="0" fontId="10" fillId="0" borderId="73" xfId="20" applyFont="1" applyBorder="1" applyAlignment="1">
      <alignment horizontal="center"/>
    </xf>
    <xf numFmtId="0" fontId="1" fillId="0" borderId="46" xfId="20" applyFont="1" applyBorder="1" applyAlignment="1">
      <alignment horizontal="center"/>
    </xf>
    <xf numFmtId="177" fontId="50" fillId="0" borderId="46" xfId="20" applyNumberFormat="1" applyBorder="1"/>
    <xf numFmtId="0" fontId="50" fillId="0" borderId="46" xfId="20" applyBorder="1" applyAlignment="1">
      <alignment horizontal="center"/>
    </xf>
    <xf numFmtId="177" fontId="10" fillId="0" borderId="46" xfId="20" applyNumberFormat="1" applyFont="1" applyBorder="1"/>
    <xf numFmtId="0" fontId="6" fillId="0" borderId="0" xfId="20" applyFont="1"/>
    <xf numFmtId="4" fontId="35" fillId="0" borderId="46" xfId="20" applyNumberFormat="1" applyFont="1" applyBorder="1"/>
    <xf numFmtId="4" fontId="37" fillId="0" borderId="46" xfId="20" applyNumberFormat="1" applyFont="1" applyBorder="1"/>
    <xf numFmtId="0" fontId="1" fillId="0" borderId="0" xfId="23"/>
    <xf numFmtId="0" fontId="51" fillId="0" borderId="0" xfId="23" applyFont="1" applyAlignment="1">
      <alignment vertical="center"/>
    </xf>
    <xf numFmtId="0" fontId="52" fillId="0" borderId="0" xfId="23" applyFont="1" applyAlignment="1">
      <alignment vertical="center"/>
    </xf>
    <xf numFmtId="0" fontId="52" fillId="0" borderId="0" xfId="23" applyFont="1" applyAlignment="1">
      <alignment horizontal="center" vertical="center"/>
    </xf>
    <xf numFmtId="0" fontId="51" fillId="0" borderId="0" xfId="23" applyFont="1" applyAlignment="1">
      <alignment horizontal="left" vertical="center"/>
    </xf>
    <xf numFmtId="0" fontId="10" fillId="0" borderId="0" xfId="23" applyFont="1"/>
    <xf numFmtId="0" fontId="51" fillId="0" borderId="49" xfId="23" applyFont="1" applyBorder="1" applyAlignment="1">
      <alignment horizontal="center" vertical="center"/>
    </xf>
    <xf numFmtId="0" fontId="51" fillId="0" borderId="54" xfId="23" applyFont="1" applyBorder="1" applyAlignment="1">
      <alignment horizontal="left" vertical="center"/>
    </xf>
    <xf numFmtId="0" fontId="52" fillId="0" borderId="49" xfId="23" applyFont="1" applyBorder="1" applyAlignment="1">
      <alignment vertical="center"/>
    </xf>
    <xf numFmtId="0" fontId="52" fillId="0" borderId="50" xfId="23" applyFont="1" applyBorder="1" applyAlignment="1">
      <alignment vertical="center"/>
    </xf>
    <xf numFmtId="179" fontId="10" fillId="0" borderId="46" xfId="23" applyNumberFormat="1" applyFont="1" applyBorder="1" applyAlignment="1">
      <alignment horizontal="center" vertical="center"/>
    </xf>
    <xf numFmtId="49" fontId="51" fillId="0" borderId="56" xfId="23" applyNumberFormat="1" applyFont="1" applyBorder="1" applyAlignment="1">
      <alignment horizontal="center" vertical="center"/>
    </xf>
    <xf numFmtId="0" fontId="52" fillId="0" borderId="54" xfId="23" applyFont="1" applyBorder="1" applyAlignment="1">
      <alignment horizontal="left" vertical="center"/>
    </xf>
    <xf numFmtId="0" fontId="52" fillId="0" borderId="55" xfId="23" applyFont="1" applyBorder="1" applyAlignment="1">
      <alignment horizontal="left" vertical="center"/>
    </xf>
    <xf numFmtId="164" fontId="0" fillId="0" borderId="47" xfId="24" applyFont="1" applyFill="1" applyBorder="1" applyAlignment="1">
      <alignment horizontal="right" vertical="center"/>
    </xf>
    <xf numFmtId="0" fontId="52" fillId="0" borderId="0" xfId="23" applyFont="1" applyAlignment="1">
      <alignment horizontal="left" vertical="center"/>
    </xf>
    <xf numFmtId="0" fontId="52" fillId="0" borderId="52" xfId="23" applyFont="1" applyBorder="1" applyAlignment="1">
      <alignment horizontal="left" vertical="center"/>
    </xf>
    <xf numFmtId="164" fontId="52" fillId="0" borderId="47" xfId="24" applyFont="1" applyFill="1" applyBorder="1" applyAlignment="1">
      <alignment horizontal="right" vertical="center"/>
    </xf>
    <xf numFmtId="9" fontId="52" fillId="0" borderId="47" xfId="25" applyFont="1" applyFill="1" applyBorder="1" applyAlignment="1">
      <alignment horizontal="right" vertical="center"/>
    </xf>
    <xf numFmtId="0" fontId="51" fillId="0" borderId="52" xfId="23" applyFont="1" applyBorder="1" applyAlignment="1">
      <alignment horizontal="left" vertical="center"/>
    </xf>
    <xf numFmtId="164" fontId="51" fillId="0" borderId="47" xfId="24" applyFont="1" applyFill="1" applyBorder="1" applyAlignment="1">
      <alignment horizontal="right" vertical="center"/>
    </xf>
    <xf numFmtId="49" fontId="51" fillId="0" borderId="57" xfId="23" applyNumberFormat="1" applyFont="1" applyBorder="1" applyAlignment="1">
      <alignment horizontal="left" vertical="center"/>
    </xf>
    <xf numFmtId="0" fontId="52" fillId="0" borderId="58" xfId="23" applyFont="1" applyBorder="1" applyAlignment="1">
      <alignment horizontal="left" vertical="center"/>
    </xf>
    <xf numFmtId="0" fontId="52" fillId="0" borderId="59" xfId="23" applyFont="1" applyBorder="1" applyAlignment="1">
      <alignment horizontal="left" vertical="center"/>
    </xf>
    <xf numFmtId="164" fontId="0" fillId="0" borderId="73" xfId="24" applyFont="1" applyFill="1" applyBorder="1" applyAlignment="1">
      <alignment horizontal="right" vertical="center"/>
    </xf>
    <xf numFmtId="179" fontId="1" fillId="0" borderId="0" xfId="23" applyNumberFormat="1" applyAlignment="1">
      <alignment horizontal="right" vertical="center"/>
    </xf>
    <xf numFmtId="179" fontId="10" fillId="0" borderId="0" xfId="23" applyNumberFormat="1" applyFont="1" applyAlignment="1">
      <alignment horizontal="center" vertical="center"/>
    </xf>
    <xf numFmtId="0" fontId="51" fillId="0" borderId="49" xfId="23" applyFont="1" applyBorder="1" applyAlignment="1">
      <alignment horizontal="left" vertical="center"/>
    </xf>
    <xf numFmtId="0" fontId="52" fillId="0" borderId="54" xfId="23" applyFont="1" applyBorder="1" applyAlignment="1">
      <alignment vertical="center"/>
    </xf>
    <xf numFmtId="179" fontId="1" fillId="0" borderId="46" xfId="23" applyNumberFormat="1" applyBorder="1" applyAlignment="1">
      <alignment horizontal="center" vertical="center"/>
    </xf>
    <xf numFmtId="9" fontId="0" fillId="0" borderId="47" xfId="25" applyFont="1" applyFill="1" applyBorder="1" applyAlignment="1">
      <alignment horizontal="right" vertical="center"/>
    </xf>
    <xf numFmtId="180" fontId="51" fillId="0" borderId="47" xfId="24" applyNumberFormat="1" applyFont="1" applyFill="1" applyBorder="1" applyAlignment="1">
      <alignment horizontal="right" vertical="center"/>
    </xf>
    <xf numFmtId="49" fontId="51" fillId="0" borderId="57" xfId="23" applyNumberFormat="1" applyFont="1" applyBorder="1" applyAlignment="1">
      <alignment horizontal="center" vertical="center"/>
    </xf>
    <xf numFmtId="0" fontId="1" fillId="0" borderId="58" xfId="23" applyBorder="1" applyAlignment="1">
      <alignment horizontal="left"/>
    </xf>
    <xf numFmtId="164" fontId="52" fillId="0" borderId="73" xfId="24" applyFont="1" applyFill="1" applyBorder="1" applyAlignment="1">
      <alignment horizontal="right" vertical="center"/>
    </xf>
    <xf numFmtId="0" fontId="51" fillId="0" borderId="54" xfId="23" applyFont="1" applyBorder="1" applyAlignment="1">
      <alignment vertical="center"/>
    </xf>
    <xf numFmtId="0" fontId="51" fillId="0" borderId="0" xfId="23" applyFont="1" applyAlignment="1">
      <alignment horizontal="center" vertical="center"/>
    </xf>
    <xf numFmtId="181" fontId="10" fillId="0" borderId="0" xfId="23" applyNumberFormat="1" applyFont="1" applyAlignment="1">
      <alignment horizontal="right" vertical="center"/>
    </xf>
    <xf numFmtId="49" fontId="51" fillId="0" borderId="56" xfId="23" applyNumberFormat="1" applyFont="1" applyBorder="1" applyAlignment="1">
      <alignment horizontal="left" vertical="center"/>
    </xf>
    <xf numFmtId="182" fontId="52" fillId="0" borderId="49" xfId="23" applyNumberFormat="1" applyFont="1" applyBorder="1" applyAlignment="1">
      <alignment horizontal="left" vertical="center"/>
    </xf>
    <xf numFmtId="0" fontId="52" fillId="0" borderId="49" xfId="23" applyFont="1" applyBorder="1" applyAlignment="1">
      <alignment horizontal="center" vertical="center"/>
    </xf>
    <xf numFmtId="4" fontId="1" fillId="0" borderId="49" xfId="23" applyNumberFormat="1" applyBorder="1" applyAlignment="1">
      <alignment horizontal="center" vertical="center"/>
    </xf>
    <xf numFmtId="181" fontId="1" fillId="0" borderId="49" xfId="23" applyNumberFormat="1" applyBorder="1" applyAlignment="1">
      <alignment horizontal="right" vertical="center"/>
    </xf>
    <xf numFmtId="0" fontId="51" fillId="0" borderId="58" xfId="23" applyFont="1" applyBorder="1" applyAlignment="1">
      <alignment horizontal="center" vertical="center"/>
    </xf>
    <xf numFmtId="0" fontId="52" fillId="0" borderId="58" xfId="23" applyFont="1" applyBorder="1" applyAlignment="1">
      <alignment vertical="center"/>
    </xf>
    <xf numFmtId="0" fontId="52" fillId="0" borderId="59" xfId="23" applyFont="1" applyBorder="1" applyAlignment="1">
      <alignment vertical="center"/>
    </xf>
    <xf numFmtId="179" fontId="1" fillId="0" borderId="73" xfId="23" applyNumberFormat="1" applyBorder="1" applyAlignment="1">
      <alignment horizontal="center" vertical="center"/>
    </xf>
    <xf numFmtId="0" fontId="51" fillId="0" borderId="48" xfId="23" applyFont="1" applyBorder="1" applyAlignment="1">
      <alignment horizontal="center" vertical="center"/>
    </xf>
    <xf numFmtId="164" fontId="10" fillId="0" borderId="47" xfId="24" applyFont="1" applyFill="1" applyBorder="1" applyAlignment="1">
      <alignment horizontal="right" vertical="center"/>
    </xf>
    <xf numFmtId="0" fontId="7" fillId="2" borderId="96" xfId="0" applyFont="1" applyFill="1" applyBorder="1" applyAlignment="1">
      <alignment horizontal="center" vertical="center"/>
    </xf>
    <xf numFmtId="0" fontId="6" fillId="2" borderId="97" xfId="0" applyFont="1" applyFill="1" applyBorder="1" applyAlignment="1">
      <alignment horizontal="left" vertical="top"/>
    </xf>
    <xf numFmtId="0" fontId="7" fillId="2" borderId="98" xfId="0" applyFont="1" applyFill="1" applyBorder="1" applyAlignment="1">
      <alignment horizontal="center"/>
    </xf>
    <xf numFmtId="0" fontId="8" fillId="0" borderId="99" xfId="0" applyFont="1" applyBorder="1" applyAlignment="1">
      <alignment horizontal="left" vertical="top"/>
    </xf>
    <xf numFmtId="0" fontId="10" fillId="0" borderId="95" xfId="0" applyFont="1" applyFill="1" applyBorder="1" applyAlignment="1">
      <alignment horizontal="left" vertical="center"/>
    </xf>
    <xf numFmtId="0" fontId="8" fillId="0" borderId="39" xfId="0" applyFont="1" applyBorder="1" applyAlignment="1">
      <alignment horizontal="left" vertical="top"/>
    </xf>
    <xf numFmtId="0" fontId="8" fillId="0" borderId="31" xfId="0" applyFont="1" applyBorder="1" applyAlignment="1">
      <alignment horizontal="left" vertical="top"/>
    </xf>
    <xf numFmtId="0" fontId="6" fillId="0" borderId="94" xfId="0" applyFont="1" applyBorder="1" applyAlignment="1">
      <alignment horizontal="left"/>
    </xf>
    <xf numFmtId="0" fontId="6" fillId="0" borderId="40" xfId="0" applyFont="1" applyBorder="1" applyAlignment="1">
      <alignment horizontal="left"/>
    </xf>
    <xf numFmtId="0" fontId="9" fillId="0" borderId="95" xfId="0" applyFont="1" applyBorder="1" applyAlignment="1">
      <alignment horizontal="left" vertical="center"/>
    </xf>
    <xf numFmtId="0" fontId="35" fillId="0" borderId="89" xfId="0" applyFont="1" applyFill="1" applyBorder="1" applyAlignment="1">
      <alignment horizontal="right" vertical="center"/>
    </xf>
    <xf numFmtId="4" fontId="35" fillId="0" borderId="90" xfId="19" applyNumberFormat="1" applyFont="1" applyFill="1" applyBorder="1" applyAlignment="1" applyProtection="1">
      <alignment horizontal="right" vertical="center"/>
    </xf>
    <xf numFmtId="0" fontId="11" fillId="0" borderId="89" xfId="0" applyFont="1" applyFill="1" applyBorder="1" applyAlignment="1">
      <alignment horizontal="left" vertical="center"/>
    </xf>
    <xf numFmtId="4" fontId="11" fillId="0" borderId="90" xfId="19" applyNumberFormat="1" applyFont="1" applyFill="1" applyBorder="1" applyAlignment="1" applyProtection="1">
      <alignment horizontal="right" vertical="center"/>
    </xf>
    <xf numFmtId="0" fontId="6" fillId="0" borderId="89" xfId="0" applyFont="1" applyFill="1" applyBorder="1" applyAlignment="1">
      <alignment horizontal="left" vertical="center" indent="2"/>
    </xf>
    <xf numFmtId="4" fontId="6" fillId="0" borderId="90" xfId="19" applyNumberFormat="1" applyFont="1" applyFill="1" applyBorder="1" applyAlignment="1" applyProtection="1">
      <alignment horizontal="right" vertical="center"/>
    </xf>
    <xf numFmtId="0" fontId="6" fillId="0" borderId="89" xfId="0" applyFont="1" applyFill="1" applyBorder="1" applyAlignment="1">
      <alignment horizontal="left" vertical="center"/>
    </xf>
    <xf numFmtId="4" fontId="29" fillId="0" borderId="34" xfId="19" applyNumberFormat="1" applyFont="1" applyFill="1" applyBorder="1" applyAlignment="1" applyProtection="1">
      <alignment horizontal="right" vertical="center"/>
    </xf>
    <xf numFmtId="4" fontId="29" fillId="0" borderId="80" xfId="19" applyNumberFormat="1" applyFont="1" applyFill="1" applyBorder="1" applyAlignment="1" applyProtection="1">
      <alignment horizontal="right" vertical="center"/>
    </xf>
    <xf numFmtId="0" fontId="6" fillId="4" borderId="89" xfId="0" applyFont="1" applyFill="1" applyBorder="1" applyAlignment="1">
      <alignment horizontal="left" vertical="center" indent="2"/>
    </xf>
    <xf numFmtId="4" fontId="29" fillId="0" borderId="90" xfId="0" applyNumberFormat="1" applyFont="1" applyFill="1" applyBorder="1" applyAlignment="1">
      <alignment horizontal="right" vertical="center"/>
    </xf>
    <xf numFmtId="0" fontId="32" fillId="4" borderId="89" xfId="0" applyFont="1" applyFill="1" applyBorder="1" applyAlignment="1">
      <alignment horizontal="left" vertical="center"/>
    </xf>
    <xf numFmtId="4" fontId="32" fillId="4" borderId="90" xfId="0" applyNumberFormat="1" applyFont="1" applyFill="1" applyBorder="1" applyAlignment="1">
      <alignment horizontal="right" vertical="center"/>
    </xf>
    <xf numFmtId="0" fontId="29" fillId="0" borderId="89" xfId="0" applyFont="1" applyFill="1" applyBorder="1" applyAlignment="1">
      <alignment horizontal="left" vertical="center"/>
    </xf>
    <xf numFmtId="0" fontId="6" fillId="0" borderId="39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94" xfId="0" applyFont="1" applyBorder="1" applyAlignment="1">
      <alignment horizontal="left" vertical="top"/>
    </xf>
    <xf numFmtId="0" fontId="10" fillId="0" borderId="7" xfId="0" applyFont="1" applyBorder="1" applyAlignment="1">
      <alignment horizontal="center" vertical="top"/>
    </xf>
    <xf numFmtId="0" fontId="6" fillId="0" borderId="11" xfId="10" applyFont="1" applyFill="1" applyBorder="1" applyAlignment="1">
      <alignment horizontal="left" vertical="center"/>
    </xf>
    <xf numFmtId="0" fontId="6" fillId="0" borderId="0" xfId="10" applyFont="1" applyFill="1" applyBorder="1" applyAlignment="1">
      <alignment horizontal="left" vertical="center"/>
    </xf>
    <xf numFmtId="0" fontId="6" fillId="0" borderId="12" xfId="10" applyFont="1" applyFill="1" applyBorder="1" applyAlignment="1">
      <alignment horizontal="left" vertical="center"/>
    </xf>
    <xf numFmtId="0" fontId="6" fillId="0" borderId="88" xfId="10" applyFont="1" applyFill="1" applyBorder="1" applyAlignment="1">
      <alignment horizontal="left" vertical="center"/>
    </xf>
    <xf numFmtId="4" fontId="35" fillId="0" borderId="34" xfId="0" applyNumberFormat="1" applyFont="1" applyFill="1" applyBorder="1" applyAlignment="1">
      <alignment horizontal="right" vertical="center"/>
    </xf>
    <xf numFmtId="4" fontId="35" fillId="0" borderId="80" xfId="0" applyNumberFormat="1" applyFont="1" applyFill="1" applyBorder="1" applyAlignment="1">
      <alignment horizontal="right" vertical="center"/>
    </xf>
    <xf numFmtId="4" fontId="30" fillId="0" borderId="90" xfId="0" applyNumberFormat="1" applyFont="1" applyFill="1" applyBorder="1" applyAlignment="1">
      <alignment horizontal="right" vertical="center"/>
    </xf>
    <xf numFmtId="4" fontId="29" fillId="0" borderId="34" xfId="0" applyNumberFormat="1" applyFont="1" applyFill="1" applyBorder="1" applyAlignment="1">
      <alignment horizontal="right" vertical="center"/>
    </xf>
    <xf numFmtId="4" fontId="29" fillId="0" borderId="80" xfId="0" applyNumberFormat="1" applyFont="1" applyFill="1" applyBorder="1" applyAlignment="1">
      <alignment horizontal="right" vertical="center"/>
    </xf>
    <xf numFmtId="0" fontId="32" fillId="0" borderId="89" xfId="0" applyFont="1" applyFill="1" applyBorder="1" applyAlignment="1">
      <alignment horizontal="left" vertical="center"/>
    </xf>
    <xf numFmtId="0" fontId="32" fillId="0" borderId="84" xfId="0" applyFont="1" applyFill="1" applyBorder="1" applyAlignment="1">
      <alignment horizontal="left" vertical="center"/>
    </xf>
    <xf numFmtId="0" fontId="32" fillId="0" borderId="35" xfId="0" applyFont="1" applyFill="1" applyBorder="1" applyAlignment="1">
      <alignment horizontal="left" vertical="center"/>
    </xf>
    <xf numFmtId="0" fontId="32" fillId="0" borderId="29" xfId="0" applyFont="1" applyFill="1" applyBorder="1" applyAlignment="1">
      <alignment horizontal="left" vertical="center"/>
    </xf>
    <xf numFmtId="0" fontId="35" fillId="0" borderId="91" xfId="0" applyFont="1" applyFill="1" applyBorder="1" applyAlignment="1">
      <alignment horizontal="right" vertical="center"/>
    </xf>
    <xf numFmtId="4" fontId="35" fillId="0" borderId="92" xfId="0" applyNumberFormat="1" applyFont="1" applyFill="1" applyBorder="1" applyAlignment="1">
      <alignment horizontal="right" vertical="center"/>
    </xf>
    <xf numFmtId="0" fontId="6" fillId="0" borderId="85" xfId="0" applyFont="1" applyBorder="1" applyAlignment="1">
      <alignment horizontal="left" vertical="top"/>
    </xf>
    <xf numFmtId="0" fontId="6" fillId="0" borderId="93" xfId="0" applyFont="1" applyBorder="1" applyAlignment="1">
      <alignment horizontal="left" vertical="top"/>
    </xf>
    <xf numFmtId="0" fontId="6" fillId="0" borderId="94" xfId="0" applyFont="1" applyBorder="1" applyAlignment="1">
      <alignment horizontal="center" vertical="top"/>
    </xf>
    <xf numFmtId="0" fontId="7" fillId="2" borderId="100" xfId="8" applyFont="1" applyFill="1" applyBorder="1" applyAlignment="1">
      <alignment horizontal="center" vertical="center"/>
    </xf>
    <xf numFmtId="0" fontId="7" fillId="2" borderId="101" xfId="8" applyFont="1" applyFill="1" applyBorder="1" applyAlignment="1">
      <alignment horizontal="center" vertical="center"/>
    </xf>
    <xf numFmtId="0" fontId="7" fillId="2" borderId="102" xfId="8" applyFont="1" applyFill="1" applyBorder="1" applyAlignment="1">
      <alignment horizontal="center" vertical="center"/>
    </xf>
    <xf numFmtId="0" fontId="7" fillId="2" borderId="103" xfId="8" applyFont="1" applyFill="1" applyBorder="1" applyAlignment="1">
      <alignment horizontal="center" vertical="center"/>
    </xf>
    <xf numFmtId="0" fontId="7" fillId="2" borderId="104" xfId="8" applyFont="1" applyFill="1" applyBorder="1" applyAlignment="1">
      <alignment horizontal="center" vertical="center"/>
    </xf>
    <xf numFmtId="0" fontId="7" fillId="2" borderId="105" xfId="8" applyFont="1" applyFill="1" applyBorder="1" applyAlignment="1">
      <alignment horizontal="center" vertical="center"/>
    </xf>
    <xf numFmtId="0" fontId="8" fillId="0" borderId="106" xfId="8" applyFont="1" applyBorder="1" applyAlignment="1">
      <alignment horizontal="left" vertical="center"/>
    </xf>
    <xf numFmtId="0" fontId="8" fillId="0" borderId="85" xfId="8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6" fillId="0" borderId="46" xfId="0" applyFont="1" applyFill="1" applyBorder="1" applyAlignment="1">
      <alignment horizontal="left" vertical="center"/>
    </xf>
    <xf numFmtId="166" fontId="29" fillId="4" borderId="74" xfId="0" applyNumberFormat="1" applyFont="1" applyFill="1" applyBorder="1" applyAlignment="1" applyProtection="1">
      <alignment horizontal="left" vertical="center" indent="1"/>
      <protection locked="0"/>
    </xf>
    <xf numFmtId="166" fontId="29" fillId="4" borderId="75" xfId="0" applyNumberFormat="1" applyFont="1" applyFill="1" applyBorder="1" applyAlignment="1" applyProtection="1">
      <alignment horizontal="left" vertical="center" indent="1"/>
      <protection locked="0"/>
    </xf>
    <xf numFmtId="166" fontId="12" fillId="0" borderId="61" xfId="0" applyNumberFormat="1" applyFont="1" applyBorder="1" applyAlignment="1" applyProtection="1">
      <alignment horizontal="left" vertical="center"/>
      <protection locked="0"/>
    </xf>
    <xf numFmtId="166" fontId="12" fillId="0" borderId="54" xfId="0" applyNumberFormat="1" applyFont="1" applyBorder="1" applyAlignment="1" applyProtection="1">
      <alignment horizontal="left" vertical="center"/>
      <protection locked="0"/>
    </xf>
    <xf numFmtId="166" fontId="12" fillId="0" borderId="110" xfId="0" applyNumberFormat="1" applyFont="1" applyBorder="1" applyAlignment="1" applyProtection="1">
      <alignment horizontal="left" vertical="center"/>
      <protection locked="0"/>
    </xf>
    <xf numFmtId="166" fontId="12" fillId="0" borderId="116" xfId="0" applyNumberFormat="1" applyFont="1" applyBorder="1" applyAlignment="1" applyProtection="1">
      <alignment horizontal="left" vertical="center"/>
      <protection locked="0"/>
    </xf>
    <xf numFmtId="0" fontId="6" fillId="0" borderId="48" xfId="0" applyFont="1" applyFill="1" applyBorder="1" applyAlignment="1">
      <alignment horizontal="left" vertical="center"/>
    </xf>
    <xf numFmtId="0" fontId="6" fillId="0" borderId="49" xfId="0" applyFont="1" applyFill="1" applyBorder="1" applyAlignment="1">
      <alignment horizontal="left" vertical="center"/>
    </xf>
    <xf numFmtId="0" fontId="6" fillId="0" borderId="50" xfId="0" applyFont="1" applyFill="1" applyBorder="1" applyAlignment="1">
      <alignment horizontal="left" vertical="center"/>
    </xf>
    <xf numFmtId="0" fontId="32" fillId="4" borderId="0" xfId="0" applyFont="1" applyFill="1" applyBorder="1" applyAlignment="1">
      <alignment horizontal="left"/>
    </xf>
    <xf numFmtId="0" fontId="7" fillId="2" borderId="92" xfId="9" applyFont="1" applyFill="1" applyBorder="1" applyAlignment="1">
      <alignment horizontal="center" vertical="center"/>
    </xf>
    <xf numFmtId="0" fontId="7" fillId="2" borderId="112" xfId="9" applyFont="1" applyFill="1" applyBorder="1" applyAlignment="1">
      <alignment horizontal="center" vertical="center"/>
    </xf>
    <xf numFmtId="0" fontId="7" fillId="2" borderId="113" xfId="9" applyFont="1" applyFill="1" applyBorder="1" applyAlignment="1">
      <alignment horizontal="center" vertical="center"/>
    </xf>
    <xf numFmtId="0" fontId="7" fillId="2" borderId="114" xfId="9" applyFont="1" applyFill="1" applyBorder="1" applyAlignment="1">
      <alignment horizontal="center" vertical="center"/>
    </xf>
    <xf numFmtId="0" fontId="8" fillId="0" borderId="38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11" fillId="0" borderId="115" xfId="9" applyFont="1" applyBorder="1" applyAlignment="1">
      <alignment horizontal="center" vertical="center"/>
    </xf>
    <xf numFmtId="0" fontId="6" fillId="0" borderId="115" xfId="9" applyFont="1" applyBorder="1" applyAlignment="1">
      <alignment horizontal="center" vertical="center"/>
    </xf>
    <xf numFmtId="0" fontId="6" fillId="0" borderId="40" xfId="9" applyFont="1" applyBorder="1" applyAlignment="1">
      <alignment horizontal="center" vertical="center" wrapText="1"/>
    </xf>
    <xf numFmtId="38" fontId="6" fillId="0" borderId="40" xfId="19" applyNumberFormat="1" applyFont="1" applyBorder="1" applyAlignment="1">
      <alignment horizontal="right" vertical="center" wrapText="1"/>
    </xf>
    <xf numFmtId="49" fontId="29" fillId="0" borderId="34" xfId="9" applyNumberFormat="1" applyFont="1" applyBorder="1" applyAlignment="1">
      <alignment horizontal="left" vertical="center"/>
    </xf>
    <xf numFmtId="49" fontId="29" fillId="0" borderId="35" xfId="9" applyNumberFormat="1" applyFont="1" applyBorder="1" applyAlignment="1">
      <alignment horizontal="left" vertical="center"/>
    </xf>
    <xf numFmtId="49" fontId="29" fillId="0" borderId="29" xfId="9" applyNumberFormat="1" applyFont="1" applyBorder="1" applyAlignment="1">
      <alignment horizontal="left" vertical="center"/>
    </xf>
    <xf numFmtId="0" fontId="32" fillId="0" borderId="108" xfId="0" applyFont="1" applyBorder="1" applyAlignment="1">
      <alignment horizontal="left" vertical="center" wrapText="1"/>
    </xf>
    <xf numFmtId="0" fontId="32" fillId="0" borderId="35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vertical="center" wrapText="1"/>
    </xf>
    <xf numFmtId="166" fontId="29" fillId="0" borderId="23" xfId="0" applyNumberFormat="1" applyFont="1" applyBorder="1" applyAlignment="1" applyProtection="1">
      <alignment horizontal="left" vertical="center" indent="1"/>
      <protection locked="0"/>
    </xf>
    <xf numFmtId="166" fontId="29" fillId="0" borderId="9" xfId="0" applyNumberFormat="1" applyFont="1" applyBorder="1" applyAlignment="1" applyProtection="1">
      <alignment horizontal="left" vertical="center" indent="1"/>
      <protection locked="0"/>
    </xf>
    <xf numFmtId="166" fontId="29" fillId="0" borderId="22" xfId="0" applyNumberFormat="1" applyFont="1" applyBorder="1" applyAlignment="1" applyProtection="1">
      <alignment horizontal="left" vertical="center" indent="1"/>
      <protection locked="0"/>
    </xf>
    <xf numFmtId="49" fontId="29" fillId="0" borderId="109" xfId="9" applyNumberFormat="1" applyFont="1" applyBorder="1" applyAlignment="1">
      <alignment horizontal="left" vertical="center"/>
    </xf>
    <xf numFmtId="49" fontId="29" fillId="0" borderId="110" xfId="9" applyNumberFormat="1" applyFont="1" applyBorder="1" applyAlignment="1">
      <alignment horizontal="left" vertical="center"/>
    </xf>
    <xf numFmtId="49" fontId="29" fillId="0" borderId="111" xfId="9" applyNumberFormat="1" applyFont="1" applyBorder="1" applyAlignment="1">
      <alignment horizontal="left" vertical="center"/>
    </xf>
    <xf numFmtId="173" fontId="6" fillId="0" borderId="0" xfId="9" applyNumberFormat="1" applyFont="1" applyAlignment="1">
      <alignment horizontal="center" vertical="center"/>
    </xf>
    <xf numFmtId="0" fontId="8" fillId="0" borderId="61" xfId="9" applyFont="1" applyBorder="1" applyAlignment="1">
      <alignment horizontal="left" vertical="top"/>
    </xf>
    <xf numFmtId="0" fontId="8" fillId="0" borderId="54" xfId="9" applyFont="1" applyBorder="1" applyAlignment="1">
      <alignment horizontal="left" vertical="top"/>
    </xf>
    <xf numFmtId="0" fontId="8" fillId="0" borderId="55" xfId="9" applyFont="1" applyBorder="1" applyAlignment="1">
      <alignment horizontal="left" vertical="top"/>
    </xf>
    <xf numFmtId="38" fontId="6" fillId="0" borderId="58" xfId="19" applyNumberFormat="1" applyFont="1" applyBorder="1" applyAlignment="1">
      <alignment horizontal="center" vertical="center"/>
    </xf>
    <xf numFmtId="38" fontId="6" fillId="0" borderId="59" xfId="19" applyNumberFormat="1" applyFont="1" applyBorder="1" applyAlignment="1">
      <alignment horizontal="center" vertical="center"/>
    </xf>
    <xf numFmtId="0" fontId="10" fillId="0" borderId="0" xfId="9" applyFont="1" applyBorder="1" applyAlignment="1">
      <alignment horizontal="center" vertical="center"/>
    </xf>
    <xf numFmtId="0" fontId="29" fillId="0" borderId="107" xfId="9" applyFont="1" applyBorder="1" applyAlignment="1">
      <alignment horizontal="right" vertical="center"/>
    </xf>
    <xf numFmtId="0" fontId="29" fillId="0" borderId="51" xfId="9" applyFont="1" applyBorder="1" applyAlignment="1">
      <alignment horizontal="right" vertical="center"/>
    </xf>
    <xf numFmtId="0" fontId="32" fillId="4" borderId="46" xfId="0" applyFont="1" applyFill="1" applyBorder="1" applyAlignment="1">
      <alignment horizontal="left"/>
    </xf>
    <xf numFmtId="166" fontId="29" fillId="0" borderId="63" xfId="0" applyNumberFormat="1" applyFont="1" applyBorder="1" applyAlignment="1" applyProtection="1">
      <alignment horizontal="left" vertical="center" indent="1"/>
      <protection locked="0"/>
    </xf>
    <xf numFmtId="166" fontId="29" fillId="4" borderId="48" xfId="0" applyNumberFormat="1" applyFont="1" applyFill="1" applyBorder="1" applyAlignment="1" applyProtection="1">
      <alignment horizontal="left" vertical="center" wrapText="1"/>
      <protection locked="0"/>
    </xf>
    <xf numFmtId="166" fontId="29" fillId="4" borderId="49" xfId="0" applyNumberFormat="1" applyFont="1" applyFill="1" applyBorder="1" applyAlignment="1" applyProtection="1">
      <alignment horizontal="left" vertical="center" wrapText="1"/>
      <protection locked="0"/>
    </xf>
    <xf numFmtId="166" fontId="29" fillId="4" borderId="50" xfId="0" applyNumberFormat="1" applyFont="1" applyFill="1" applyBorder="1" applyAlignment="1" applyProtection="1">
      <alignment horizontal="left" vertical="center" wrapText="1"/>
      <protection locked="0"/>
    </xf>
    <xf numFmtId="166" fontId="32" fillId="0" borderId="34" xfId="0" applyNumberFormat="1" applyFont="1" applyFill="1" applyBorder="1" applyAlignment="1" applyProtection="1">
      <alignment horizontal="left" vertical="center" wrapText="1"/>
      <protection locked="0"/>
    </xf>
    <xf numFmtId="166" fontId="32" fillId="0" borderId="35" xfId="0" applyNumberFormat="1" applyFont="1" applyFill="1" applyBorder="1" applyAlignment="1" applyProtection="1">
      <alignment horizontal="left" vertical="center" wrapText="1"/>
      <protection locked="0"/>
    </xf>
    <xf numFmtId="166" fontId="32" fillId="0" borderId="29" xfId="0" applyNumberFormat="1" applyFont="1" applyFill="1" applyBorder="1" applyAlignment="1" applyProtection="1">
      <alignment horizontal="left" vertical="center" wrapText="1"/>
      <protection locked="0"/>
    </xf>
    <xf numFmtId="0" fontId="32" fillId="4" borderId="48" xfId="0" applyFont="1" applyFill="1" applyBorder="1" applyAlignment="1">
      <alignment horizontal="left"/>
    </xf>
    <xf numFmtId="0" fontId="32" fillId="4" borderId="49" xfId="0" applyFont="1" applyFill="1" applyBorder="1" applyAlignment="1">
      <alignment horizontal="left"/>
    </xf>
    <xf numFmtId="0" fontId="32" fillId="4" borderId="50" xfId="0" applyFont="1" applyFill="1" applyBorder="1" applyAlignment="1">
      <alignment horizontal="left"/>
    </xf>
    <xf numFmtId="166" fontId="29" fillId="4" borderId="0" xfId="0" applyNumberFormat="1" applyFont="1" applyFill="1" applyBorder="1" applyAlignment="1" applyProtection="1">
      <alignment horizontal="left" vertical="center" indent="1"/>
      <protection locked="0"/>
    </xf>
    <xf numFmtId="166" fontId="29" fillId="4" borderId="0" xfId="0" applyNumberFormat="1" applyFont="1" applyFill="1" applyBorder="1" applyAlignment="1" applyProtection="1">
      <alignment horizontal="left" vertical="center" wrapText="1"/>
      <protection locked="0"/>
    </xf>
    <xf numFmtId="40" fontId="35" fillId="0" borderId="0" xfId="19" applyFont="1" applyAlignment="1">
      <alignment horizontal="center" vertical="center"/>
    </xf>
    <xf numFmtId="40" fontId="3" fillId="0" borderId="58" xfId="19" applyFont="1" applyBorder="1" applyAlignment="1">
      <alignment horizontal="center" vertical="center"/>
    </xf>
    <xf numFmtId="166" fontId="6" fillId="0" borderId="34" xfId="0" applyNumberFormat="1" applyFont="1" applyBorder="1" applyAlignment="1" applyProtection="1">
      <alignment horizontal="left" vertical="center" wrapText="1"/>
      <protection locked="0"/>
    </xf>
    <xf numFmtId="166" fontId="6" fillId="0" borderId="35" xfId="0" applyNumberFormat="1" applyFont="1" applyBorder="1" applyAlignment="1" applyProtection="1">
      <alignment horizontal="left" vertical="center" wrapText="1"/>
      <protection locked="0"/>
    </xf>
    <xf numFmtId="166" fontId="6" fillId="0" borderId="29" xfId="0" applyNumberFormat="1" applyFont="1" applyBorder="1" applyAlignment="1" applyProtection="1">
      <alignment horizontal="left" vertical="center" wrapText="1"/>
      <protection locked="0"/>
    </xf>
    <xf numFmtId="0" fontId="11" fillId="0" borderId="33" xfId="9" applyFont="1" applyBorder="1" applyAlignment="1">
      <alignment horizontal="center" vertical="center"/>
    </xf>
    <xf numFmtId="166" fontId="6" fillId="0" borderId="34" xfId="0" applyNumberFormat="1" applyFont="1" applyBorder="1" applyAlignment="1" applyProtection="1">
      <alignment horizontal="left" vertical="center"/>
      <protection locked="0"/>
    </xf>
    <xf numFmtId="166" fontId="6" fillId="0" borderId="35" xfId="0" applyNumberFormat="1" applyFont="1" applyBorder="1" applyAlignment="1" applyProtection="1">
      <alignment horizontal="left" vertical="center"/>
      <protection locked="0"/>
    </xf>
    <xf numFmtId="166" fontId="6" fillId="0" borderId="29" xfId="0" applyNumberFormat="1" applyFont="1" applyBorder="1" applyAlignment="1" applyProtection="1">
      <alignment horizontal="left" vertical="center"/>
      <protection locked="0"/>
    </xf>
    <xf numFmtId="166" fontId="6" fillId="0" borderId="34" xfId="0" applyNumberFormat="1" applyFont="1" applyFill="1" applyBorder="1" applyAlignment="1" applyProtection="1">
      <alignment horizontal="left" vertical="center" wrapText="1"/>
      <protection locked="0"/>
    </xf>
    <xf numFmtId="166" fontId="6" fillId="0" borderId="35" xfId="0" applyNumberFormat="1" applyFont="1" applyFill="1" applyBorder="1" applyAlignment="1" applyProtection="1">
      <alignment horizontal="left" vertical="center" wrapText="1"/>
      <protection locked="0"/>
    </xf>
    <xf numFmtId="166" fontId="6" fillId="0" borderId="29" xfId="0" applyNumberFormat="1" applyFont="1" applyFill="1" applyBorder="1" applyAlignment="1" applyProtection="1">
      <alignment horizontal="left" vertical="center" wrapText="1"/>
      <protection locked="0"/>
    </xf>
    <xf numFmtId="0" fontId="6" fillId="0" borderId="34" xfId="0" applyFont="1" applyBorder="1" applyAlignment="1">
      <alignment horizontal="left"/>
    </xf>
    <xf numFmtId="0" fontId="6" fillId="0" borderId="35" xfId="0" applyFont="1" applyBorder="1" applyAlignment="1">
      <alignment horizontal="left"/>
    </xf>
    <xf numFmtId="0" fontId="6" fillId="0" borderId="29" xfId="0" applyFont="1" applyBorder="1" applyAlignment="1">
      <alignment horizontal="left"/>
    </xf>
    <xf numFmtId="168" fontId="0" fillId="0" borderId="0" xfId="0" applyNumberFormat="1" applyFill="1" applyBorder="1" applyAlignment="1">
      <alignment horizontal="right"/>
    </xf>
    <xf numFmtId="49" fontId="42" fillId="0" borderId="109" xfId="9" applyNumberFormat="1" applyFont="1" applyBorder="1" applyAlignment="1">
      <alignment horizontal="left" vertical="center"/>
    </xf>
    <xf numFmtId="49" fontId="42" fillId="0" borderId="110" xfId="9" applyNumberFormat="1" applyFont="1" applyBorder="1" applyAlignment="1">
      <alignment horizontal="left" vertical="center"/>
    </xf>
    <xf numFmtId="49" fontId="42" fillId="0" borderId="111" xfId="9" applyNumberFormat="1" applyFont="1" applyBorder="1" applyAlignment="1">
      <alignment horizontal="left" vertical="center"/>
    </xf>
    <xf numFmtId="166" fontId="6" fillId="0" borderId="34" xfId="0" applyNumberFormat="1" applyFont="1" applyBorder="1" applyAlignment="1" applyProtection="1">
      <alignment vertical="center"/>
      <protection locked="0"/>
    </xf>
    <xf numFmtId="166" fontId="6" fillId="0" borderId="35" xfId="0" applyNumberFormat="1" applyFont="1" applyBorder="1" applyAlignment="1" applyProtection="1">
      <alignment vertical="center"/>
      <protection locked="0"/>
    </xf>
    <xf numFmtId="166" fontId="6" fillId="0" borderId="29" xfId="0" applyNumberFormat="1" applyFont="1" applyBorder="1" applyAlignment="1" applyProtection="1">
      <alignment vertical="center"/>
      <protection locked="0"/>
    </xf>
    <xf numFmtId="168" fontId="3" fillId="0" borderId="0" xfId="0" applyNumberFormat="1" applyFont="1" applyFill="1" applyBorder="1" applyAlignment="1">
      <alignment horizontal="right"/>
    </xf>
    <xf numFmtId="0" fontId="6" fillId="0" borderId="33" xfId="9" applyFont="1" applyBorder="1" applyAlignment="1">
      <alignment horizontal="center" vertical="center"/>
    </xf>
    <xf numFmtId="0" fontId="6" fillId="0" borderId="25" xfId="9" applyFont="1" applyBorder="1" applyAlignment="1">
      <alignment horizontal="center" vertical="center" wrapText="1"/>
    </xf>
    <xf numFmtId="38" fontId="6" fillId="0" borderId="25" xfId="19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left"/>
    </xf>
    <xf numFmtId="166" fontId="12" fillId="4" borderId="0" xfId="0" applyNumberFormat="1" applyFont="1" applyFill="1" applyBorder="1" applyAlignment="1" applyProtection="1">
      <alignment horizontal="left" vertical="center" wrapText="1"/>
      <protection locked="0"/>
    </xf>
    <xf numFmtId="0" fontId="29" fillId="4" borderId="51" xfId="9" applyFont="1" applyFill="1" applyBorder="1" applyAlignment="1">
      <alignment horizontal="right" vertical="center"/>
    </xf>
    <xf numFmtId="0" fontId="6" fillId="0" borderId="46" xfId="0" applyFont="1" applyBorder="1" applyAlignment="1">
      <alignment horizontal="left"/>
    </xf>
    <xf numFmtId="0" fontId="25" fillId="0" borderId="46" xfId="0" applyFont="1" applyBorder="1" applyAlignment="1">
      <alignment horizontal="left"/>
    </xf>
    <xf numFmtId="0" fontId="6" fillId="0" borderId="53" xfId="0" applyFont="1" applyBorder="1" applyAlignment="1">
      <alignment horizontal="left"/>
    </xf>
    <xf numFmtId="0" fontId="6" fillId="0" borderId="54" xfId="0" applyFont="1" applyBorder="1" applyAlignment="1">
      <alignment horizontal="left"/>
    </xf>
    <xf numFmtId="0" fontId="6" fillId="0" borderId="55" xfId="0" applyFont="1" applyBorder="1" applyAlignment="1">
      <alignment horizontal="left"/>
    </xf>
    <xf numFmtId="166" fontId="12" fillId="0" borderId="74" xfId="0" applyNumberFormat="1" applyFont="1" applyBorder="1" applyAlignment="1" applyProtection="1">
      <alignment horizontal="left" vertical="center" indent="1"/>
      <protection locked="0"/>
    </xf>
    <xf numFmtId="166" fontId="12" fillId="0" borderId="75" xfId="0" applyNumberFormat="1" applyFont="1" applyBorder="1" applyAlignment="1" applyProtection="1">
      <alignment horizontal="left" vertical="center" indent="1"/>
      <protection locked="0"/>
    </xf>
    <xf numFmtId="166" fontId="12" fillId="0" borderId="76" xfId="0" applyNumberFormat="1" applyFont="1" applyBorder="1" applyAlignment="1" applyProtection="1">
      <alignment horizontal="left" vertical="center" indent="1"/>
      <protection locked="0"/>
    </xf>
    <xf numFmtId="0" fontId="39" fillId="4" borderId="0" xfId="0" applyFont="1" applyFill="1" applyBorder="1" applyAlignment="1">
      <alignment horizontal="left"/>
    </xf>
    <xf numFmtId="0" fontId="6" fillId="0" borderId="33" xfId="11" applyFont="1" applyBorder="1" applyAlignment="1">
      <alignment horizontal="center" vertical="center"/>
    </xf>
    <xf numFmtId="0" fontId="6" fillId="0" borderId="115" xfId="11" applyFont="1" applyBorder="1" applyAlignment="1">
      <alignment horizontal="center" vertical="center" wrapText="1"/>
    </xf>
    <xf numFmtId="0" fontId="7" fillId="2" borderId="114" xfId="11" applyFont="1" applyFill="1" applyBorder="1" applyAlignment="1">
      <alignment horizontal="center" vertical="center"/>
    </xf>
    <xf numFmtId="0" fontId="8" fillId="0" borderId="33" xfId="11" applyFont="1" applyBorder="1" applyAlignment="1">
      <alignment horizontal="left" vertical="center"/>
    </xf>
    <xf numFmtId="0" fontId="8" fillId="0" borderId="40" xfId="11" applyFont="1" applyBorder="1" applyAlignment="1">
      <alignment horizontal="left" vertical="center"/>
    </xf>
    <xf numFmtId="0" fontId="6" fillId="0" borderId="32" xfId="11" applyFont="1" applyBorder="1" applyAlignment="1">
      <alignment horizontal="left" vertical="center"/>
    </xf>
    <xf numFmtId="0" fontId="15" fillId="0" borderId="40" xfId="11" applyFont="1" applyBorder="1" applyAlignment="1">
      <alignment horizontal="left" vertical="center"/>
    </xf>
    <xf numFmtId="14" fontId="15" fillId="0" borderId="40" xfId="11" applyNumberFormat="1" applyFont="1" applyBorder="1" applyAlignment="1">
      <alignment horizontal="center" vertical="center"/>
    </xf>
    <xf numFmtId="0" fontId="29" fillId="0" borderId="18" xfId="11" applyNumberFormat="1" applyFont="1" applyBorder="1" applyAlignment="1">
      <alignment horizontal="right" vertical="center"/>
    </xf>
    <xf numFmtId="0" fontId="8" fillId="0" borderId="25" xfId="11" applyFont="1" applyBorder="1" applyAlignment="1">
      <alignment horizontal="left" vertical="center"/>
    </xf>
    <xf numFmtId="0" fontId="6" fillId="0" borderId="40" xfId="11" applyFont="1" applyBorder="1" applyAlignment="1">
      <alignment horizontal="left" vertical="center"/>
    </xf>
    <xf numFmtId="0" fontId="8" fillId="0" borderId="31" xfId="11" applyFont="1" applyBorder="1" applyAlignment="1">
      <alignment horizontal="left" vertical="center"/>
    </xf>
    <xf numFmtId="0" fontId="7" fillId="2" borderId="98" xfId="10" applyFont="1" applyFill="1" applyBorder="1" applyAlignment="1">
      <alignment horizontal="center" vertical="center"/>
    </xf>
    <xf numFmtId="0" fontId="7" fillId="2" borderId="92" xfId="10" applyFont="1" applyFill="1" applyBorder="1" applyAlignment="1">
      <alignment horizontal="center" vertical="center"/>
    </xf>
    <xf numFmtId="0" fontId="8" fillId="0" borderId="33" xfId="10" applyFont="1" applyBorder="1" applyAlignment="1">
      <alignment horizontal="left" vertical="center"/>
    </xf>
    <xf numFmtId="0" fontId="6" fillId="0" borderId="40" xfId="10" applyFont="1" applyBorder="1" applyAlignment="1">
      <alignment horizontal="center" vertical="center"/>
    </xf>
    <xf numFmtId="0" fontId="6" fillId="0" borderId="40" xfId="10" applyFont="1" applyBorder="1" applyAlignment="1">
      <alignment horizontal="center" vertical="center" wrapText="1"/>
    </xf>
    <xf numFmtId="0" fontId="8" fillId="0" borderId="25" xfId="10" applyFont="1" applyBorder="1" applyAlignment="1">
      <alignment horizontal="left" vertical="center"/>
    </xf>
    <xf numFmtId="0" fontId="8" fillId="0" borderId="40" xfId="10" applyFont="1" applyBorder="1" applyAlignment="1">
      <alignment horizontal="left" vertical="center"/>
    </xf>
    <xf numFmtId="2" fontId="32" fillId="0" borderId="28" xfId="0" applyNumberFormat="1" applyFont="1" applyBorder="1" applyAlignment="1">
      <alignment horizontal="left" vertical="center" wrapText="1"/>
    </xf>
    <xf numFmtId="0" fontId="33" fillId="0" borderId="28" xfId="0" applyFont="1" applyFill="1" applyBorder="1" applyAlignment="1">
      <alignment horizontal="left" vertical="center" wrapText="1"/>
    </xf>
    <xf numFmtId="0" fontId="29" fillId="0" borderId="22" xfId="10" applyNumberFormat="1" applyFont="1" applyBorder="1" applyAlignment="1">
      <alignment horizontal="right" vertical="center"/>
    </xf>
    <xf numFmtId="0" fontId="8" fillId="0" borderId="31" xfId="10" applyFont="1" applyBorder="1" applyAlignment="1">
      <alignment horizontal="left" vertical="center"/>
    </xf>
    <xf numFmtId="0" fontId="44" fillId="0" borderId="14" xfId="11" applyFont="1" applyBorder="1" applyAlignment="1">
      <alignment horizontal="center" vertical="center"/>
    </xf>
    <xf numFmtId="0" fontId="6" fillId="4" borderId="46" xfId="0" applyFont="1" applyFill="1" applyBorder="1" applyAlignment="1">
      <alignment horizontal="left"/>
    </xf>
    <xf numFmtId="0" fontId="11" fillId="0" borderId="28" xfId="10" applyFont="1" applyBorder="1" applyAlignment="1">
      <alignment horizontal="left" vertical="center"/>
    </xf>
    <xf numFmtId="0" fontId="11" fillId="0" borderId="30" xfId="10" applyFont="1" applyBorder="1" applyAlignment="1">
      <alignment horizontal="right" vertical="center"/>
    </xf>
    <xf numFmtId="0" fontId="11" fillId="0" borderId="40" xfId="10" applyFont="1" applyBorder="1" applyAlignment="1">
      <alignment horizontal="left" vertical="center"/>
    </xf>
    <xf numFmtId="0" fontId="11" fillId="4" borderId="23" xfId="10" applyFont="1" applyFill="1" applyBorder="1" applyAlignment="1">
      <alignment horizontal="right" vertical="center"/>
    </xf>
    <xf numFmtId="0" fontId="3" fillId="3" borderId="43" xfId="10" applyFont="1" applyFill="1" applyBorder="1" applyAlignment="1">
      <alignment horizontal="center" vertical="center"/>
    </xf>
    <xf numFmtId="0" fontId="3" fillId="3" borderId="27" xfId="10" applyFont="1" applyFill="1" applyBorder="1" applyAlignment="1">
      <alignment horizontal="center" vertical="center"/>
    </xf>
    <xf numFmtId="0" fontId="11" fillId="0" borderId="46" xfId="10" applyFont="1" applyBorder="1" applyAlignment="1">
      <alignment horizontal="left" vertical="center"/>
    </xf>
    <xf numFmtId="0" fontId="7" fillId="2" borderId="114" xfId="10" applyFont="1" applyFill="1" applyBorder="1" applyAlignment="1">
      <alignment horizontal="center" vertical="center"/>
    </xf>
    <xf numFmtId="0" fontId="8" fillId="0" borderId="33" xfId="10" applyFont="1" applyBorder="1" applyAlignment="1">
      <alignment horizontal="left" vertical="top"/>
    </xf>
    <xf numFmtId="0" fontId="3" fillId="3" borderId="41" xfId="10" applyFont="1" applyFill="1" applyBorder="1" applyAlignment="1">
      <alignment horizontal="center" vertical="center"/>
    </xf>
    <xf numFmtId="0" fontId="3" fillId="3" borderId="45" xfId="10" applyFont="1" applyFill="1" applyBorder="1" applyAlignment="1">
      <alignment horizontal="center" vertical="center"/>
    </xf>
    <xf numFmtId="0" fontId="6" fillId="4" borderId="61" xfId="0" applyFont="1" applyFill="1" applyBorder="1" applyAlignment="1">
      <alignment horizontal="left"/>
    </xf>
    <xf numFmtId="0" fontId="6" fillId="4" borderId="54" xfId="0" applyFont="1" applyFill="1" applyBorder="1" applyAlignment="1">
      <alignment horizontal="left"/>
    </xf>
    <xf numFmtId="0" fontId="6" fillId="4" borderId="60" xfId="0" applyFont="1" applyFill="1" applyBorder="1" applyAlignment="1">
      <alignment horizontal="left"/>
    </xf>
    <xf numFmtId="0" fontId="6" fillId="4" borderId="28" xfId="10" applyFont="1" applyFill="1" applyBorder="1" applyAlignment="1">
      <alignment horizontal="left" vertical="center"/>
    </xf>
    <xf numFmtId="0" fontId="11" fillId="4" borderId="30" xfId="10" applyFont="1" applyFill="1" applyBorder="1" applyAlignment="1">
      <alignment horizontal="right" vertical="center"/>
    </xf>
    <xf numFmtId="0" fontId="11" fillId="0" borderId="41" xfId="10" applyNumberFormat="1" applyFont="1" applyBorder="1" applyAlignment="1">
      <alignment horizontal="right" vertical="center"/>
    </xf>
    <xf numFmtId="0" fontId="3" fillId="3" borderId="117" xfId="10" applyFont="1" applyFill="1" applyBorder="1" applyAlignment="1">
      <alignment horizontal="center" vertical="center"/>
    </xf>
    <xf numFmtId="0" fontId="6" fillId="0" borderId="25" xfId="10" applyFont="1" applyBorder="1" applyAlignment="1">
      <alignment horizontal="left" vertical="top" wrapText="1"/>
    </xf>
    <xf numFmtId="0" fontId="6" fillId="0" borderId="25" xfId="10" applyFont="1" applyBorder="1" applyAlignment="1">
      <alignment horizontal="left" vertical="top"/>
    </xf>
    <xf numFmtId="49" fontId="6" fillId="0" borderId="34" xfId="10" applyNumberFormat="1" applyFont="1" applyBorder="1" applyAlignment="1">
      <alignment horizontal="center" vertical="center"/>
    </xf>
    <xf numFmtId="2" fontId="13" fillId="0" borderId="34" xfId="0" applyNumberFormat="1" applyFont="1" applyBorder="1" applyAlignment="1">
      <alignment horizontal="center" vertical="center" wrapText="1"/>
    </xf>
    <xf numFmtId="0" fontId="11" fillId="0" borderId="18" xfId="10" applyNumberFormat="1" applyFont="1" applyBorder="1" applyAlignment="1">
      <alignment horizontal="right" vertical="center"/>
    </xf>
    <xf numFmtId="0" fontId="6" fillId="0" borderId="31" xfId="10" applyFont="1" applyBorder="1" applyAlignment="1">
      <alignment horizontal="left" vertical="center"/>
    </xf>
    <xf numFmtId="2" fontId="13" fillId="0" borderId="34" xfId="0" applyNumberFormat="1" applyFont="1" applyBorder="1" applyAlignment="1">
      <alignment horizontal="left" vertical="center" wrapText="1"/>
    </xf>
    <xf numFmtId="2" fontId="36" fillId="0" borderId="34" xfId="0" applyNumberFormat="1" applyFont="1" applyBorder="1" applyAlignment="1">
      <alignment horizontal="left" vertical="center" wrapText="1"/>
    </xf>
    <xf numFmtId="0" fontId="49" fillId="0" borderId="34" xfId="0" applyFont="1" applyBorder="1" applyAlignment="1">
      <alignment horizontal="left" vertical="center" wrapText="1"/>
    </xf>
    <xf numFmtId="0" fontId="49" fillId="0" borderId="34" xfId="0" applyFont="1" applyBorder="1" applyAlignment="1">
      <alignment horizontal="left" vertical="top" wrapText="1"/>
    </xf>
    <xf numFmtId="49" fontId="6" fillId="0" borderId="28" xfId="10" applyNumberFormat="1" applyFont="1" applyBorder="1" applyAlignment="1">
      <alignment horizontal="center" vertical="center"/>
    </xf>
    <xf numFmtId="2" fontId="48" fillId="0" borderId="34" xfId="0" applyNumberFormat="1" applyFont="1" applyBorder="1" applyAlignment="1">
      <alignment horizontal="center" vertical="top" wrapText="1"/>
    </xf>
    <xf numFmtId="2" fontId="48" fillId="0" borderId="35" xfId="0" applyNumberFormat="1" applyFont="1" applyBorder="1" applyAlignment="1">
      <alignment horizontal="center" vertical="top" wrapText="1"/>
    </xf>
    <xf numFmtId="2" fontId="48" fillId="0" borderId="29" xfId="0" applyNumberFormat="1" applyFont="1" applyBorder="1" applyAlignment="1">
      <alignment horizontal="center" vertical="top" wrapText="1"/>
    </xf>
    <xf numFmtId="0" fontId="8" fillId="0" borderId="36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50" fillId="0" borderId="46" xfId="20" applyBorder="1" applyAlignment="1">
      <alignment horizontal="left"/>
    </xf>
    <xf numFmtId="177" fontId="50" fillId="0" borderId="46" xfId="20" applyNumberFormat="1" applyBorder="1" applyAlignment="1">
      <alignment horizontal="right"/>
    </xf>
    <xf numFmtId="0" fontId="50" fillId="0" borderId="46" xfId="20" applyBorder="1" applyAlignment="1">
      <alignment horizontal="right"/>
    </xf>
    <xf numFmtId="0" fontId="10" fillId="0" borderId="46" xfId="20" applyFont="1" applyBorder="1" applyAlignment="1">
      <alignment horizontal="left"/>
    </xf>
    <xf numFmtId="177" fontId="10" fillId="0" borderId="46" xfId="20" applyNumberFormat="1" applyFont="1" applyBorder="1" applyAlignment="1">
      <alignment horizontal="right"/>
    </xf>
    <xf numFmtId="0" fontId="10" fillId="0" borderId="46" xfId="20" applyFont="1" applyBorder="1" applyAlignment="1">
      <alignment horizontal="right"/>
    </xf>
    <xf numFmtId="0" fontId="10" fillId="0" borderId="56" xfId="20" applyFont="1" applyBorder="1" applyAlignment="1">
      <alignment horizontal="center"/>
    </xf>
    <xf numFmtId="0" fontId="10" fillId="0" borderId="52" xfId="20" applyFont="1" applyBorder="1" applyAlignment="1">
      <alignment horizontal="center"/>
    </xf>
    <xf numFmtId="0" fontId="10" fillId="0" borderId="57" xfId="20" applyFont="1" applyBorder="1" applyAlignment="1">
      <alignment horizontal="center"/>
    </xf>
    <xf numFmtId="0" fontId="10" fillId="0" borderId="59" xfId="20" applyFont="1" applyBorder="1" applyAlignment="1">
      <alignment horizontal="center"/>
    </xf>
    <xf numFmtId="0" fontId="10" fillId="0" borderId="0" xfId="20" applyFont="1" applyAlignment="1">
      <alignment horizontal="left"/>
    </xf>
    <xf numFmtId="0" fontId="10" fillId="0" borderId="48" xfId="20" applyFont="1" applyBorder="1" applyAlignment="1">
      <alignment horizontal="left"/>
    </xf>
    <xf numFmtId="0" fontId="10" fillId="0" borderId="49" xfId="20" applyFont="1" applyBorder="1" applyAlignment="1">
      <alignment horizontal="left"/>
    </xf>
    <xf numFmtId="0" fontId="10" fillId="0" borderId="50" xfId="20" applyFont="1" applyBorder="1" applyAlignment="1">
      <alignment horizontal="left"/>
    </xf>
    <xf numFmtId="4" fontId="50" fillId="0" borderId="46" xfId="20" applyNumberFormat="1" applyBorder="1" applyAlignment="1">
      <alignment horizontal="right"/>
    </xf>
    <xf numFmtId="168" fontId="10" fillId="0" borderId="46" xfId="20" applyNumberFormat="1" applyFont="1" applyBorder="1" applyAlignment="1">
      <alignment horizontal="right"/>
    </xf>
    <xf numFmtId="0" fontId="10" fillId="0" borderId="53" xfId="20" applyFont="1" applyBorder="1" applyAlignment="1">
      <alignment horizontal="center"/>
    </xf>
    <xf numFmtId="0" fontId="10" fillId="0" borderId="55" xfId="20" applyFont="1" applyBorder="1" applyAlignment="1">
      <alignment horizontal="center"/>
    </xf>
    <xf numFmtId="168" fontId="50" fillId="0" borderId="46" xfId="20" applyNumberFormat="1" applyBorder="1" applyAlignment="1">
      <alignment horizontal="right"/>
    </xf>
    <xf numFmtId="0" fontId="1" fillId="0" borderId="46" xfId="20" applyFont="1" applyBorder="1" applyAlignment="1">
      <alignment horizontal="left"/>
    </xf>
    <xf numFmtId="0" fontId="1" fillId="0" borderId="48" xfId="20" applyFont="1" applyBorder="1" applyAlignment="1">
      <alignment horizontal="left"/>
    </xf>
    <xf numFmtId="0" fontId="50" fillId="0" borderId="49" xfId="20" applyBorder="1" applyAlignment="1">
      <alignment horizontal="left"/>
    </xf>
    <xf numFmtId="0" fontId="50" fillId="0" borderId="50" xfId="20" applyBorder="1" applyAlignment="1">
      <alignment horizontal="left"/>
    </xf>
    <xf numFmtId="0" fontId="1" fillId="0" borderId="48" xfId="20" applyFont="1" applyBorder="1" applyAlignment="1">
      <alignment horizontal="left" vertical="justify" wrapText="1"/>
    </xf>
    <xf numFmtId="0" fontId="1" fillId="0" borderId="49" xfId="20" applyFont="1" applyBorder="1" applyAlignment="1">
      <alignment horizontal="left" vertical="justify" wrapText="1"/>
    </xf>
    <xf numFmtId="0" fontId="1" fillId="0" borderId="50" xfId="20" applyFont="1" applyBorder="1" applyAlignment="1">
      <alignment horizontal="left" vertical="justify" wrapText="1"/>
    </xf>
    <xf numFmtId="168" fontId="1" fillId="0" borderId="46" xfId="20" applyNumberFormat="1" applyFont="1" applyBorder="1" applyAlignment="1">
      <alignment horizontal="right"/>
    </xf>
    <xf numFmtId="0" fontId="1" fillId="0" borderId="49" xfId="20" applyFont="1" applyBorder="1" applyAlignment="1">
      <alignment horizontal="left"/>
    </xf>
    <xf numFmtId="0" fontId="1" fillId="0" borderId="50" xfId="20" applyFont="1" applyBorder="1" applyAlignment="1">
      <alignment horizontal="left"/>
    </xf>
    <xf numFmtId="168" fontId="10" fillId="4" borderId="46" xfId="20" applyNumberFormat="1" applyFont="1" applyFill="1" applyBorder="1" applyAlignment="1">
      <alignment horizontal="right"/>
    </xf>
    <xf numFmtId="168" fontId="50" fillId="4" borderId="46" xfId="20" applyNumberFormat="1" applyFill="1" applyBorder="1" applyAlignment="1">
      <alignment horizontal="right"/>
    </xf>
    <xf numFmtId="0" fontId="50" fillId="4" borderId="48" xfId="20" applyFill="1" applyBorder="1" applyAlignment="1">
      <alignment horizontal="left"/>
    </xf>
    <xf numFmtId="0" fontId="50" fillId="4" borderId="49" xfId="20" applyFill="1" applyBorder="1" applyAlignment="1">
      <alignment horizontal="left"/>
    </xf>
    <xf numFmtId="0" fontId="50" fillId="4" borderId="50" xfId="20" applyFill="1" applyBorder="1" applyAlignment="1">
      <alignment horizontal="left"/>
    </xf>
    <xf numFmtId="0" fontId="1" fillId="4" borderId="48" xfId="20" applyFont="1" applyFill="1" applyBorder="1" applyAlignment="1">
      <alignment horizontal="left"/>
    </xf>
    <xf numFmtId="0" fontId="1" fillId="4" borderId="49" xfId="20" applyFont="1" applyFill="1" applyBorder="1" applyAlignment="1">
      <alignment horizontal="left"/>
    </xf>
    <xf numFmtId="0" fontId="1" fillId="4" borderId="50" xfId="20" applyFont="1" applyFill="1" applyBorder="1" applyAlignment="1">
      <alignment horizontal="left"/>
    </xf>
    <xf numFmtId="14" fontId="50" fillId="0" borderId="46" xfId="20" applyNumberFormat="1" applyBorder="1" applyAlignment="1">
      <alignment horizontal="right"/>
    </xf>
    <xf numFmtId="177" fontId="50" fillId="4" borderId="46" xfId="20" applyNumberFormat="1" applyFill="1" applyBorder="1" applyAlignment="1">
      <alignment horizontal="right"/>
    </xf>
    <xf numFmtId="0" fontId="1" fillId="0" borderId="46" xfId="20" applyFont="1" applyBorder="1" applyAlignment="1">
      <alignment horizontal="right"/>
    </xf>
    <xf numFmtId="0" fontId="10" fillId="0" borderId="46" xfId="20" applyFont="1" applyBorder="1" applyAlignment="1">
      <alignment horizontal="center"/>
    </xf>
    <xf numFmtId="0" fontId="50" fillId="0" borderId="46" xfId="20" applyBorder="1" applyAlignment="1">
      <alignment horizontal="center"/>
    </xf>
    <xf numFmtId="0" fontId="10" fillId="0" borderId="58" xfId="20" applyFont="1" applyBorder="1" applyAlignment="1">
      <alignment horizontal="left"/>
    </xf>
    <xf numFmtId="0" fontId="50" fillId="0" borderId="0" xfId="20" applyAlignment="1">
      <alignment horizontal="left"/>
    </xf>
    <xf numFmtId="0" fontId="10" fillId="0" borderId="53" xfId="20" applyFont="1" applyBorder="1" applyAlignment="1">
      <alignment horizontal="justify" vertical="top" wrapText="1"/>
    </xf>
    <xf numFmtId="0" fontId="10" fillId="0" borderId="54" xfId="20" applyFont="1" applyBorder="1" applyAlignment="1">
      <alignment horizontal="justify" vertical="top" wrapText="1"/>
    </xf>
    <xf numFmtId="0" fontId="10" fillId="0" borderId="55" xfId="20" applyFont="1" applyBorder="1" applyAlignment="1">
      <alignment horizontal="justify" vertical="top" wrapText="1"/>
    </xf>
    <xf numFmtId="0" fontId="10" fillId="0" borderId="56" xfId="20" applyFont="1" applyBorder="1" applyAlignment="1">
      <alignment horizontal="justify" vertical="top" wrapText="1"/>
    </xf>
    <xf numFmtId="0" fontId="10" fillId="0" borderId="0" xfId="20" applyFont="1" applyAlignment="1">
      <alignment horizontal="justify" vertical="top" wrapText="1"/>
    </xf>
    <xf numFmtId="0" fontId="10" fillId="0" borderId="52" xfId="20" applyFont="1" applyBorder="1" applyAlignment="1">
      <alignment horizontal="justify" vertical="top" wrapText="1"/>
    </xf>
    <xf numFmtId="0" fontId="10" fillId="0" borderId="57" xfId="20" applyFont="1" applyBorder="1" applyAlignment="1">
      <alignment horizontal="justify" vertical="top" wrapText="1"/>
    </xf>
    <xf numFmtId="0" fontId="10" fillId="0" borderId="58" xfId="20" applyFont="1" applyBorder="1" applyAlignment="1">
      <alignment horizontal="justify" vertical="top" wrapText="1"/>
    </xf>
    <xf numFmtId="0" fontId="10" fillId="0" borderId="59" xfId="20" applyFont="1" applyBorder="1" applyAlignment="1">
      <alignment horizontal="justify" vertical="top" wrapText="1"/>
    </xf>
    <xf numFmtId="0" fontId="10" fillId="0" borderId="0" xfId="20" applyFont="1" applyAlignment="1">
      <alignment horizontal="center"/>
    </xf>
    <xf numFmtId="0" fontId="50" fillId="0" borderId="48" xfId="20" applyBorder="1" applyAlignment="1">
      <alignment horizontal="left"/>
    </xf>
    <xf numFmtId="0" fontId="1" fillId="0" borderId="46" xfId="20" applyFont="1" applyBorder="1" applyAlignment="1">
      <alignment horizontal="center"/>
    </xf>
    <xf numFmtId="0" fontId="10" fillId="0" borderId="0" xfId="23" applyFont="1" applyAlignment="1">
      <alignment horizontal="center" vertical="center"/>
    </xf>
  </cellXfs>
  <cellStyles count="26">
    <cellStyle name="Normal" xfId="0" builtinId="0"/>
    <cellStyle name="Normal 2" xfId="1" xr:uid="{00000000-0005-0000-0000-000002000000}"/>
    <cellStyle name="Normal 2 2" xfId="2" xr:uid="{00000000-0005-0000-0000-000003000000}"/>
    <cellStyle name="Normal 2 3" xfId="23" xr:uid="{2E8FFB3E-3EFC-4279-84A8-A9E34C8700C3}"/>
    <cellStyle name="Normal 3" xfId="3" xr:uid="{00000000-0005-0000-0000-000004000000}"/>
    <cellStyle name="Normal 4" xfId="4" xr:uid="{00000000-0005-0000-0000-000005000000}"/>
    <cellStyle name="Normal 4 2" xfId="5" xr:uid="{00000000-0005-0000-0000-000006000000}"/>
    <cellStyle name="Normal 5" xfId="6" xr:uid="{00000000-0005-0000-0000-000007000000}"/>
    <cellStyle name="Normal 6" xfId="20" xr:uid="{68A77FC3-9EC2-4F17-95D3-ED3ABFBC57A5}"/>
    <cellStyle name="Normal_PP-2A" xfId="7" xr:uid="{00000000-0005-0000-0000-000008000000}"/>
    <cellStyle name="Normal_PP-II" xfId="8" xr:uid="{00000000-0005-0000-0000-000009000000}"/>
    <cellStyle name="Normal_PP-V" xfId="9" xr:uid="{00000000-0005-0000-0000-00000A000000}"/>
    <cellStyle name="Normal_PP-VI" xfId="10" xr:uid="{00000000-0005-0000-0000-00000B000000}"/>
    <cellStyle name="Normal_PP-VI 2" xfId="21" xr:uid="{1D1E6279-B40B-44E0-B0C9-C9AFA73A42F3}"/>
    <cellStyle name="Normal_PP-X" xfId="11" xr:uid="{00000000-0005-0000-0000-00000C000000}"/>
    <cellStyle name="Porcentagem" xfId="12" builtinId="5"/>
    <cellStyle name="Porcentagem 2" xfId="13" xr:uid="{00000000-0005-0000-0000-00000E000000}"/>
    <cellStyle name="Porcentagem 2 2" xfId="25" xr:uid="{95BDAC05-3D8B-4A0D-BA29-10E9C4CDE530}"/>
    <cellStyle name="Porcentagem 3" xfId="22" xr:uid="{7AF0D6B1-34C8-4E59-995B-384C936268A0}"/>
    <cellStyle name="Separador de milhares 2" xfId="14" xr:uid="{00000000-0005-0000-0000-00000F000000}"/>
    <cellStyle name="Separador de milhares 3" xfId="15" xr:uid="{00000000-0005-0000-0000-000010000000}"/>
    <cellStyle name="Separador de milhares 4" xfId="16" xr:uid="{00000000-0005-0000-0000-000011000000}"/>
    <cellStyle name="Título 1 1" xfId="17" xr:uid="{00000000-0005-0000-0000-000012000000}"/>
    <cellStyle name="Total" xfId="18" builtinId="25" customBuiltin="1"/>
    <cellStyle name="Vírgula" xfId="19" builtinId="3"/>
    <cellStyle name="Vírgula 2" xfId="24" xr:uid="{70D49801-CDE8-462F-A2F9-B6D30518EC0B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BFBFBF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2.jpeg"/><Relationship Id="rId4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2.jpeg"/><Relationship Id="rId4" Type="http://schemas.openxmlformats.org/officeDocument/2006/relationships/image" Target="../media/image4.jpeg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2.jpeg"/><Relationship Id="rId4" Type="http://schemas.openxmlformats.org/officeDocument/2006/relationships/image" Target="../media/image4.jpeg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2.jpeg"/><Relationship Id="rId4" Type="http://schemas.openxmlformats.org/officeDocument/2006/relationships/image" Target="../media/image4.jpeg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2.jpeg"/><Relationship Id="rId4" Type="http://schemas.openxmlformats.org/officeDocument/2006/relationships/image" Target="../media/image4.jpe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2.jpeg"/><Relationship Id="rId4" Type="http://schemas.openxmlformats.org/officeDocument/2006/relationships/image" Target="../media/image4.jpeg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2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</xdr:row>
      <xdr:rowOff>28575</xdr:rowOff>
    </xdr:from>
    <xdr:to>
      <xdr:col>8</xdr:col>
      <xdr:colOff>0</xdr:colOff>
      <xdr:row>9</xdr:row>
      <xdr:rowOff>161925</xdr:rowOff>
    </xdr:to>
    <xdr:sp macro="" textlink="" fLocksText="0">
      <xdr:nvSpPr>
        <xdr:cNvPr id="2" name="Texto 44">
          <a:extLst>
            <a:ext uri="{FF2B5EF4-FFF2-40B4-BE49-F238E27FC236}">
              <a16:creationId xmlns:a16="http://schemas.microsoft.com/office/drawing/2014/main" id="{39529656-F1FA-44C2-8250-7E9240D3C440}"/>
            </a:ext>
          </a:extLst>
        </xdr:cNvPr>
        <xdr:cNvSpPr txBox="1">
          <a:spLocks noChangeArrowheads="1"/>
        </xdr:cNvSpPr>
      </xdr:nvSpPr>
      <xdr:spPr bwMode="auto">
        <a:xfrm>
          <a:off x="6343650" y="1581150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45sr\GRD-UEP\Documents%20and%20Settings\user\My%20Documents\CODEVASF\MONITORAMENTO%20PAC%2025JUL2007\MONITORAMENTO%20PAC\PROCESSOS_EROSIVOS_CRONOGRAMA_PAC_21AGOSTO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user/My%20Documents/CODEVASF/MONITORAMENTO%20PAC%2025JUL2007/MONITORAMENTO%20PAC/PROCESSOS_EROSIVOS_CRONOGRAMA_PAC_21AGOSTO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b8d0605e011ccc5/Can&#225;rio/Termos%20de%20Refer&#234;ncia/TR's%204&#170;SR/Licita&#231;&#227;o%20ATER%202020%20Jacar&#233;-Curituba/Forma&#231;&#227;o%20de%20pre&#231;o%20m&#227;o-de-obra%20ATER%202020%20Jacar&#233;Curitub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antonio.canario/OneDrive/Can&#225;rio/Termos%20de%20Refer&#234;ncia/TR's%204&#170;SR/O&amp;M%20Jacar&#233;-Curituba%202019/Forma&#231;&#227;o%20de%20Pre&#231;o%20M.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VALES"/>
      <sheetName val="BACIA SF"/>
      <sheetName val="ALAGOAS"/>
      <sheetName val="BAHIA"/>
      <sheetName val="MINAS"/>
      <sheetName val="PERNAMBUCO"/>
      <sheetName val="SERGIPE"/>
      <sheetName val="PARNAÍBA"/>
      <sheetName val="CODIGOS"/>
    </sheetNames>
    <sheetDataSet>
      <sheetData sheetId="0" refreshError="1"/>
      <sheetData sheetId="1">
        <row r="2">
          <cell r="D2">
            <v>3294327</v>
          </cell>
          <cell r="E2">
            <v>6733478</v>
          </cell>
          <cell r="F2">
            <v>6769570</v>
          </cell>
          <cell r="G2">
            <v>6679571</v>
          </cell>
        </row>
        <row r="3">
          <cell r="D3">
            <v>22955735.039999999</v>
          </cell>
          <cell r="E3">
            <v>38701399</v>
          </cell>
          <cell r="F3">
            <v>28989819</v>
          </cell>
          <cell r="G3">
            <v>12280745</v>
          </cell>
        </row>
        <row r="4">
          <cell r="D4">
            <v>21989469</v>
          </cell>
          <cell r="E4">
            <v>33281382.050000001</v>
          </cell>
          <cell r="F4">
            <v>35483199</v>
          </cell>
          <cell r="G4">
            <v>16925899.48</v>
          </cell>
        </row>
        <row r="5">
          <cell r="D5">
            <v>4803235.43</v>
          </cell>
          <cell r="E5">
            <v>8619722.5399999991</v>
          </cell>
          <cell r="F5">
            <v>10346200</v>
          </cell>
          <cell r="G5">
            <v>9036200</v>
          </cell>
        </row>
        <row r="6">
          <cell r="D6">
            <v>6193010</v>
          </cell>
          <cell r="E6">
            <v>6985730</v>
          </cell>
          <cell r="F6">
            <v>4693600</v>
          </cell>
          <cell r="G6">
            <v>3425166</v>
          </cell>
        </row>
        <row r="7">
          <cell r="D7">
            <v>17003146</v>
          </cell>
          <cell r="E7">
            <v>7000000</v>
          </cell>
          <cell r="F7">
            <v>4000000</v>
          </cell>
          <cell r="G7">
            <v>4500000</v>
          </cell>
        </row>
        <row r="10">
          <cell r="D10">
            <v>13671180</v>
          </cell>
          <cell r="E10">
            <v>13876808</v>
          </cell>
          <cell r="F10">
            <v>8438083</v>
          </cell>
          <cell r="G10">
            <v>6961275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VALES"/>
      <sheetName val="BACIA SF"/>
      <sheetName val="ALAGOAS"/>
      <sheetName val="BAHIA"/>
      <sheetName val="MINAS"/>
      <sheetName val="PERNAMBUCO"/>
      <sheetName val="SERGIPE"/>
      <sheetName val="PARNAÍBA"/>
      <sheetName val="CODIGOS"/>
    </sheetNames>
    <sheetDataSet>
      <sheetData sheetId="0" refreshError="1"/>
      <sheetData sheetId="1">
        <row r="2">
          <cell r="D2">
            <v>3294327</v>
          </cell>
          <cell r="E2">
            <v>6733478</v>
          </cell>
          <cell r="F2">
            <v>6769570</v>
          </cell>
          <cell r="G2">
            <v>6679571</v>
          </cell>
        </row>
        <row r="3">
          <cell r="D3">
            <v>22955735.039999999</v>
          </cell>
          <cell r="E3">
            <v>38701399</v>
          </cell>
          <cell r="F3">
            <v>28989819</v>
          </cell>
          <cell r="G3">
            <v>12280745</v>
          </cell>
        </row>
        <row r="4">
          <cell r="D4">
            <v>21989469</v>
          </cell>
          <cell r="E4">
            <v>33281382.050000001</v>
          </cell>
          <cell r="F4">
            <v>35483199</v>
          </cell>
          <cell r="G4">
            <v>16925899.48</v>
          </cell>
        </row>
        <row r="5">
          <cell r="D5">
            <v>4803235.43</v>
          </cell>
          <cell r="E5">
            <v>8619722.5399999991</v>
          </cell>
          <cell r="F5">
            <v>10346200</v>
          </cell>
          <cell r="G5">
            <v>9036200</v>
          </cell>
        </row>
        <row r="6">
          <cell r="D6">
            <v>6193010</v>
          </cell>
          <cell r="E6">
            <v>6985730</v>
          </cell>
          <cell r="F6">
            <v>4693600</v>
          </cell>
          <cell r="G6">
            <v>3425166</v>
          </cell>
        </row>
        <row r="7">
          <cell r="D7">
            <v>17003146</v>
          </cell>
          <cell r="E7">
            <v>7000000</v>
          </cell>
          <cell r="F7">
            <v>4000000</v>
          </cell>
          <cell r="G7">
            <v>4500000</v>
          </cell>
        </row>
        <row r="10">
          <cell r="D10">
            <v>13671180</v>
          </cell>
          <cell r="E10">
            <v>13876808</v>
          </cell>
          <cell r="F10">
            <v>8438083</v>
          </cell>
          <cell r="G10">
            <v>6961275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ISTENTE SOCIAL"/>
      <sheetName val="TÉCNICO AGRÍCOLA"/>
      <sheetName val="SERVIÇOS GERAIS"/>
      <sheetName val="LOC. VEÍCULOS"/>
      <sheetName val="LOC. MOTOCICLETA"/>
      <sheetName val="ESTIMATIVA DE CUSTO"/>
      <sheetName val="RESUMO CUSTO MÊS"/>
    </sheetNames>
    <sheetDataSet>
      <sheetData sheetId="0">
        <row r="34">
          <cell r="F34">
            <v>4108.53</v>
          </cell>
        </row>
        <row r="106">
          <cell r="G106">
            <v>2952.8005110000004</v>
          </cell>
        </row>
      </sheetData>
      <sheetData sheetId="1">
        <row r="34">
          <cell r="F34">
            <v>3257.75</v>
          </cell>
        </row>
        <row r="106">
          <cell r="G106">
            <v>2341.3449250000003</v>
          </cell>
        </row>
      </sheetData>
      <sheetData sheetId="2">
        <row r="34">
          <cell r="F34">
            <v>1476.64</v>
          </cell>
        </row>
        <row r="106">
          <cell r="G106">
            <v>1061.2611680000002</v>
          </cell>
        </row>
      </sheetData>
      <sheetData sheetId="3">
        <row r="50">
          <cell r="F50">
            <v>3650.0087557077622</v>
          </cell>
        </row>
      </sheetData>
      <sheetData sheetId="4">
        <row r="50">
          <cell r="F50">
            <v>977.00048706240477</v>
          </cell>
        </row>
      </sheetData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ERADOR DE ESCAVADEIRA"/>
      <sheetName val="VIGIA 12X36 NOTURNO"/>
      <sheetName val="OPERADOR EB-12X36-NOTURNO"/>
      <sheetName val="OPERADOR EB-12X36-DIURNO"/>
      <sheetName val="CANALEIROS (12X36) DIURNO"/>
      <sheetName val="MECÂNICO EQUIP PESADOS"/>
      <sheetName val="AUX. DE MECÂNICO"/>
      <sheetName val="AJUDANTE DE ELETRICISTA"/>
      <sheetName val="ENCANADOR HIDRA."/>
      <sheetName val="ELETRICISTA."/>
      <sheetName val="LEITURISTA"/>
      <sheetName val="MOT VEÍCULO LEVE"/>
      <sheetName val="MOT VEÍCUL PESADO"/>
      <sheetName val="ANEXO VI"/>
      <sheetName val="Tubos e Conexões"/>
      <sheetName val="ORÇ BASICO E ESPECIFICAÇÃO"/>
      <sheetName val="LOC. VEÍCULOS SEM COMBS. "/>
      <sheetName val="LOCAÇÃO VEÍCULOS"/>
      <sheetName val="ESTIMATIVA DE CUSTO"/>
      <sheetName val="RESUMO CUSTOS"/>
      <sheetName val="RESUMO CUSTOS Mê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48">
          <cell r="M48">
            <v>30.033333333333331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V47"/>
  <sheetViews>
    <sheetView showGridLines="0" tabSelected="1" zoomScale="120" zoomScaleNormal="120" zoomScaleSheetLayoutView="100" workbookViewId="0"/>
  </sheetViews>
  <sheetFormatPr defaultColWidth="11.42578125" defaultRowHeight="11.25" x14ac:dyDescent="0.2"/>
  <cols>
    <col min="1" max="1" width="2.42578125" style="1" customWidth="1"/>
    <col min="2" max="2" width="5" style="1" customWidth="1"/>
    <col min="3" max="3" width="8.7109375" style="1" customWidth="1"/>
    <col min="4" max="4" width="3.42578125" style="1" customWidth="1"/>
    <col min="5" max="5" width="3.5703125" style="1" customWidth="1"/>
    <col min="6" max="7" width="5" style="1" customWidth="1"/>
    <col min="8" max="8" width="1.7109375" style="1" customWidth="1"/>
    <col min="9" max="9" width="8.5703125" style="1" customWidth="1"/>
    <col min="10" max="10" width="8.28515625" style="1" customWidth="1"/>
    <col min="11" max="11" width="4.5703125" style="1" customWidth="1"/>
    <col min="12" max="12" width="5.85546875" style="1" customWidth="1"/>
    <col min="13" max="13" width="11.85546875" style="1" customWidth="1"/>
    <col min="14" max="14" width="3" style="1" customWidth="1"/>
    <col min="15" max="16" width="14.85546875" style="1" customWidth="1"/>
    <col min="17" max="17" width="12.140625" style="1" customWidth="1"/>
    <col min="18" max="19" width="11.42578125" style="1"/>
    <col min="20" max="20" width="11.85546875" style="1" bestFit="1" customWidth="1"/>
    <col min="21" max="21" width="11.42578125" style="1"/>
    <col min="22" max="22" width="14.28515625" style="1" customWidth="1"/>
    <col min="23" max="16384" width="11.42578125" style="1"/>
  </cols>
  <sheetData>
    <row r="4" spans="1:17" ht="9.9499999999999993" customHeight="1" x14ac:dyDescent="0.2">
      <c r="A4" s="588" t="s">
        <v>243</v>
      </c>
      <c r="B4" s="588"/>
      <c r="C4" s="588"/>
      <c r="D4" s="588"/>
      <c r="E4" s="588"/>
      <c r="F4" s="588"/>
      <c r="G4" s="588"/>
      <c r="H4" s="588"/>
      <c r="I4" s="588"/>
      <c r="J4" s="588"/>
      <c r="K4" s="588"/>
      <c r="L4" s="588"/>
      <c r="M4" s="588"/>
      <c r="N4" s="589" t="s">
        <v>0</v>
      </c>
      <c r="O4" s="589"/>
      <c r="P4" s="262"/>
      <c r="Q4" s="262"/>
    </row>
    <row r="5" spans="1:17" ht="20.100000000000001" customHeight="1" x14ac:dyDescent="0.25">
      <c r="A5" s="588"/>
      <c r="B5" s="588"/>
      <c r="C5" s="588"/>
      <c r="D5" s="588"/>
      <c r="E5" s="588"/>
      <c r="F5" s="588"/>
      <c r="G5" s="588"/>
      <c r="H5" s="588"/>
      <c r="I5" s="588"/>
      <c r="J5" s="588"/>
      <c r="K5" s="588"/>
      <c r="L5" s="588"/>
      <c r="M5" s="588"/>
      <c r="N5" s="590" t="s">
        <v>1</v>
      </c>
      <c r="O5" s="590"/>
      <c r="P5" s="263"/>
      <c r="Q5" s="263"/>
    </row>
    <row r="6" spans="1:17" ht="12.6" customHeight="1" x14ac:dyDescent="0.2">
      <c r="A6" s="591" t="s">
        <v>2</v>
      </c>
      <c r="B6" s="591"/>
      <c r="C6" s="591"/>
      <c r="D6" s="591"/>
      <c r="E6" s="591"/>
      <c r="F6" s="591"/>
      <c r="G6" s="591"/>
      <c r="H6" s="591"/>
      <c r="I6" s="591"/>
      <c r="J6" s="591"/>
      <c r="K6" s="591"/>
      <c r="L6" s="591"/>
      <c r="M6" s="591"/>
      <c r="N6" s="591"/>
      <c r="O6" s="591"/>
      <c r="P6" s="247"/>
      <c r="Q6" s="247"/>
    </row>
    <row r="7" spans="1:17" ht="12.6" customHeight="1" x14ac:dyDescent="0.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5"/>
      <c r="P7" s="247"/>
      <c r="Q7" s="247"/>
    </row>
    <row r="8" spans="1:17" ht="12.6" customHeight="1" x14ac:dyDescent="0.2">
      <c r="A8" s="593" t="s">
        <v>3</v>
      </c>
      <c r="B8" s="593"/>
      <c r="C8" s="593"/>
      <c r="D8" s="593"/>
      <c r="E8" s="593"/>
      <c r="F8" s="593"/>
      <c r="G8" s="594" t="s">
        <v>4</v>
      </c>
      <c r="H8" s="594"/>
      <c r="I8" s="594"/>
      <c r="J8" s="594"/>
      <c r="K8" s="594"/>
      <c r="L8" s="594"/>
      <c r="M8" s="594"/>
      <c r="N8" s="594"/>
      <c r="O8" s="6" t="s">
        <v>5</v>
      </c>
      <c r="P8" s="247"/>
      <c r="Q8" s="247"/>
    </row>
    <row r="9" spans="1:17" ht="12.6" customHeight="1" x14ac:dyDescent="0.2">
      <c r="A9" s="595" t="s">
        <v>236</v>
      </c>
      <c r="B9" s="595"/>
      <c r="C9" s="595"/>
      <c r="D9" s="595"/>
      <c r="E9" s="595"/>
      <c r="F9" s="595"/>
      <c r="G9" s="596" t="s">
        <v>237</v>
      </c>
      <c r="H9" s="596"/>
      <c r="I9" s="596"/>
      <c r="J9" s="596"/>
      <c r="K9" s="596"/>
      <c r="L9" s="596"/>
      <c r="M9" s="596"/>
      <c r="N9" s="596"/>
      <c r="O9" s="7"/>
      <c r="P9" s="248"/>
      <c r="Q9" s="248"/>
    </row>
    <row r="10" spans="1:17" ht="15" customHeight="1" x14ac:dyDescent="0.2">
      <c r="A10" s="597" t="s">
        <v>6</v>
      </c>
      <c r="B10" s="597"/>
      <c r="C10" s="597"/>
      <c r="D10" s="597"/>
      <c r="E10" s="597"/>
      <c r="F10" s="597"/>
      <c r="G10" s="597"/>
      <c r="H10" s="597"/>
      <c r="I10" s="597"/>
      <c r="J10" s="597"/>
      <c r="K10" s="597"/>
      <c r="L10" s="597"/>
      <c r="M10" s="597"/>
      <c r="N10" s="597"/>
      <c r="O10" s="597"/>
      <c r="P10" s="249"/>
      <c r="Q10" s="249"/>
    </row>
    <row r="11" spans="1:17" ht="20.100000000000001" customHeight="1" x14ac:dyDescent="0.2">
      <c r="A11" s="598" t="s">
        <v>7</v>
      </c>
      <c r="B11" s="598"/>
      <c r="C11" s="598"/>
      <c r="D11" s="598"/>
      <c r="E11" s="598"/>
      <c r="F11" s="598"/>
      <c r="G11" s="598"/>
      <c r="H11" s="598"/>
      <c r="I11" s="598"/>
      <c r="J11" s="598"/>
      <c r="K11" s="598"/>
      <c r="L11" s="598"/>
      <c r="M11" s="598"/>
      <c r="N11" s="599">
        <f>N13+N16+N23</f>
        <v>542673.59</v>
      </c>
      <c r="O11" s="599"/>
      <c r="P11" s="282"/>
      <c r="Q11" s="250"/>
    </row>
    <row r="12" spans="1:17" ht="14.1" customHeight="1" x14ac:dyDescent="0.2">
      <c r="A12" s="592" t="s">
        <v>8</v>
      </c>
      <c r="B12" s="592"/>
      <c r="C12" s="592"/>
      <c r="D12" s="592"/>
      <c r="E12" s="592"/>
      <c r="F12" s="592"/>
      <c r="G12" s="592"/>
      <c r="H12" s="592"/>
      <c r="I12" s="592"/>
      <c r="J12" s="592"/>
      <c r="K12" s="592"/>
      <c r="L12" s="592"/>
      <c r="M12" s="592"/>
      <c r="N12" s="592"/>
      <c r="O12" s="592"/>
      <c r="P12" s="251"/>
      <c r="Q12" s="251"/>
    </row>
    <row r="13" spans="1:17" ht="14.1" customHeight="1" x14ac:dyDescent="0.2">
      <c r="A13" s="600" t="s">
        <v>144</v>
      </c>
      <c r="B13" s="600"/>
      <c r="C13" s="600"/>
      <c r="D13" s="600"/>
      <c r="E13" s="600"/>
      <c r="F13" s="600"/>
      <c r="G13" s="600"/>
      <c r="H13" s="600"/>
      <c r="I13" s="600"/>
      <c r="J13" s="600"/>
      <c r="K13" s="600"/>
      <c r="L13" s="600"/>
      <c r="M13" s="600"/>
      <c r="N13" s="601">
        <f>SUM(N14)</f>
        <v>223394.03999999998</v>
      </c>
      <c r="O13" s="601"/>
      <c r="P13" s="252"/>
      <c r="Q13" s="252"/>
    </row>
    <row r="14" spans="1:17" ht="14.1" customHeight="1" x14ac:dyDescent="0.2">
      <c r="A14" s="602" t="s">
        <v>9</v>
      </c>
      <c r="B14" s="602"/>
      <c r="C14" s="602"/>
      <c r="D14" s="602"/>
      <c r="E14" s="602"/>
      <c r="F14" s="602"/>
      <c r="G14" s="602"/>
      <c r="H14" s="602"/>
      <c r="I14" s="602"/>
      <c r="J14" s="602"/>
      <c r="K14" s="602"/>
      <c r="L14" s="602"/>
      <c r="M14" s="602"/>
      <c r="N14" s="603">
        <f>'PFS_I Equipe (2)'!E22</f>
        <v>223394.03999999998</v>
      </c>
      <c r="O14" s="603"/>
      <c r="P14" s="253"/>
      <c r="Q14" s="253"/>
    </row>
    <row r="15" spans="1:17" ht="14.1" customHeight="1" x14ac:dyDescent="0.2">
      <c r="A15" s="607"/>
      <c r="B15" s="607"/>
      <c r="C15" s="607"/>
      <c r="D15" s="607"/>
      <c r="E15" s="607"/>
      <c r="F15" s="607"/>
      <c r="G15" s="607"/>
      <c r="H15" s="607"/>
      <c r="I15" s="607"/>
      <c r="J15" s="607"/>
      <c r="K15" s="607"/>
      <c r="L15" s="607"/>
      <c r="M15" s="607"/>
      <c r="N15" s="603"/>
      <c r="O15" s="603"/>
      <c r="P15" s="253"/>
      <c r="Q15" s="253"/>
    </row>
    <row r="16" spans="1:17" s="9" customFormat="1" ht="14.1" customHeight="1" x14ac:dyDescent="0.2">
      <c r="A16" s="600" t="s">
        <v>10</v>
      </c>
      <c r="B16" s="600"/>
      <c r="C16" s="600"/>
      <c r="D16" s="600"/>
      <c r="E16" s="600"/>
      <c r="F16" s="600"/>
      <c r="G16" s="600"/>
      <c r="H16" s="600"/>
      <c r="I16" s="600"/>
      <c r="J16" s="600"/>
      <c r="K16" s="600"/>
      <c r="L16" s="600"/>
      <c r="M16" s="600"/>
      <c r="N16" s="601">
        <f>SUM(N17)</f>
        <v>160553.29999999999</v>
      </c>
      <c r="O16" s="601"/>
      <c r="P16" s="252"/>
      <c r="Q16" s="252"/>
    </row>
    <row r="17" spans="1:22" ht="14.1" customHeight="1" x14ac:dyDescent="0.2">
      <c r="A17" s="602" t="s">
        <v>216</v>
      </c>
      <c r="B17" s="602"/>
      <c r="C17" s="602"/>
      <c r="D17" s="602"/>
      <c r="E17" s="602"/>
      <c r="F17" s="602"/>
      <c r="G17" s="602"/>
      <c r="H17" s="602"/>
      <c r="I17" s="602"/>
      <c r="J17" s="602"/>
      <c r="K17" s="602"/>
      <c r="L17" s="602"/>
      <c r="M17" s="602"/>
      <c r="N17" s="603">
        <f>'PFS_I Equipe (2)'!G22</f>
        <v>160553.29999999999</v>
      </c>
      <c r="O17" s="603"/>
      <c r="P17" s="253"/>
      <c r="Q17" s="253"/>
    </row>
    <row r="18" spans="1:22" ht="14.1" customHeight="1" x14ac:dyDescent="0.2">
      <c r="A18" s="602"/>
      <c r="B18" s="602"/>
      <c r="C18" s="602"/>
      <c r="D18" s="602"/>
      <c r="E18" s="602"/>
      <c r="F18" s="602"/>
      <c r="G18" s="602"/>
      <c r="H18" s="602"/>
      <c r="I18" s="602"/>
      <c r="J18" s="602"/>
      <c r="K18" s="602"/>
      <c r="L18" s="602"/>
      <c r="M18" s="602"/>
      <c r="N18" s="603"/>
      <c r="O18" s="603"/>
      <c r="P18" s="253"/>
      <c r="Q18" s="253"/>
    </row>
    <row r="19" spans="1:22" ht="14.1" customHeight="1" x14ac:dyDescent="0.2">
      <c r="A19" s="592" t="s">
        <v>11</v>
      </c>
      <c r="B19" s="592"/>
      <c r="C19" s="592"/>
      <c r="D19" s="592"/>
      <c r="E19" s="592"/>
      <c r="F19" s="592"/>
      <c r="G19" s="592"/>
      <c r="H19" s="592"/>
      <c r="I19" s="592"/>
      <c r="J19" s="592"/>
      <c r="K19" s="592"/>
      <c r="L19" s="592"/>
      <c r="M19" s="592"/>
      <c r="N19" s="592"/>
      <c r="O19" s="592"/>
      <c r="P19" s="251"/>
      <c r="Q19" s="251"/>
    </row>
    <row r="20" spans="1:22" ht="14.1" customHeight="1" x14ac:dyDescent="0.2">
      <c r="A20" s="604" t="s">
        <v>151</v>
      </c>
      <c r="B20" s="604"/>
      <c r="C20" s="604"/>
      <c r="D20" s="604"/>
      <c r="E20" s="604"/>
      <c r="F20" s="604"/>
      <c r="G20" s="604"/>
      <c r="H20" s="604"/>
      <c r="I20" s="604"/>
      <c r="J20" s="604"/>
      <c r="K20" s="604"/>
      <c r="L20" s="604"/>
      <c r="M20" s="604"/>
      <c r="N20" s="603">
        <v>0</v>
      </c>
      <c r="O20" s="603"/>
      <c r="P20" s="253"/>
      <c r="Q20" s="253"/>
    </row>
    <row r="21" spans="1:22" ht="14.1" customHeight="1" x14ac:dyDescent="0.2">
      <c r="A21" s="609" t="s">
        <v>150</v>
      </c>
      <c r="B21" s="609"/>
      <c r="C21" s="609"/>
      <c r="D21" s="609"/>
      <c r="E21" s="609"/>
      <c r="F21" s="609"/>
      <c r="G21" s="609"/>
      <c r="H21" s="609"/>
      <c r="I21" s="609"/>
      <c r="J21" s="609"/>
      <c r="K21" s="609"/>
      <c r="L21" s="609"/>
      <c r="M21" s="609"/>
      <c r="N21" s="610">
        <f>ROUND(('PFS_III Desp Gerais - Forneci'!I39),2)</f>
        <v>30263</v>
      </c>
      <c r="O21" s="610"/>
      <c r="P21" s="283"/>
      <c r="Q21" s="261"/>
    </row>
    <row r="22" spans="1:22" ht="14.1" customHeight="1" x14ac:dyDescent="0.2">
      <c r="A22" s="609" t="s">
        <v>217</v>
      </c>
      <c r="B22" s="609"/>
      <c r="C22" s="609"/>
      <c r="D22" s="609"/>
      <c r="E22" s="609"/>
      <c r="F22" s="609"/>
      <c r="G22" s="609"/>
      <c r="H22" s="609"/>
      <c r="I22" s="609"/>
      <c r="J22" s="609"/>
      <c r="K22" s="609"/>
      <c r="L22" s="609"/>
      <c r="M22" s="609"/>
      <c r="N22" s="610">
        <f>ROUND(('PFS_II Desp Gerais - Serviços'!I37),2)</f>
        <v>128463.25</v>
      </c>
      <c r="O22" s="610"/>
      <c r="P22" s="283"/>
      <c r="Q22" s="261"/>
    </row>
    <row r="23" spans="1:22" ht="14.1" customHeight="1" x14ac:dyDescent="0.2">
      <c r="A23" s="611" t="s">
        <v>12</v>
      </c>
      <c r="B23" s="611"/>
      <c r="C23" s="611"/>
      <c r="D23" s="611"/>
      <c r="E23" s="611"/>
      <c r="F23" s="611"/>
      <c r="G23" s="611"/>
      <c r="H23" s="611"/>
      <c r="I23" s="611"/>
      <c r="J23" s="611"/>
      <c r="K23" s="611"/>
      <c r="L23" s="611"/>
      <c r="M23" s="611"/>
      <c r="N23" s="608">
        <f>SUM(N20:O22)</f>
        <v>158726.25</v>
      </c>
      <c r="O23" s="608"/>
      <c r="P23" s="256"/>
      <c r="Q23" s="254"/>
    </row>
    <row r="24" spans="1:22" ht="14.1" customHeight="1" x14ac:dyDescent="0.2">
      <c r="A24" s="419"/>
      <c r="B24" s="420"/>
      <c r="C24" s="420"/>
      <c r="D24" s="420"/>
      <c r="E24" s="420"/>
      <c r="F24" s="420"/>
      <c r="G24" s="420"/>
      <c r="H24" s="420"/>
      <c r="I24" s="420"/>
      <c r="J24" s="420"/>
      <c r="K24" s="420"/>
      <c r="L24" s="420"/>
      <c r="M24" s="421"/>
      <c r="N24" s="403"/>
      <c r="O24" s="404"/>
      <c r="P24" s="256"/>
      <c r="Q24" s="254"/>
    </row>
    <row r="25" spans="1:22" ht="20.100000000000001" customHeight="1" x14ac:dyDescent="0.2">
      <c r="A25" s="598" t="s">
        <v>172</v>
      </c>
      <c r="B25" s="598"/>
      <c r="C25" s="598"/>
      <c r="D25" s="598"/>
      <c r="E25" s="598"/>
      <c r="F25" s="598"/>
      <c r="G25" s="598"/>
      <c r="H25" s="598"/>
      <c r="I25" s="598"/>
      <c r="J25" s="598"/>
      <c r="K25" s="598"/>
      <c r="L25" s="598"/>
      <c r="M25" s="598"/>
      <c r="N25" s="620">
        <f>SUM(N26:N29)</f>
        <v>206940.97999999998</v>
      </c>
      <c r="O25" s="621"/>
      <c r="P25" s="284"/>
      <c r="Q25" s="477"/>
    </row>
    <row r="26" spans="1:22" ht="14.1" customHeight="1" x14ac:dyDescent="0.2">
      <c r="A26" s="625" t="s">
        <v>211</v>
      </c>
      <c r="B26" s="625"/>
      <c r="C26" s="625"/>
      <c r="D26" s="625"/>
      <c r="E26" s="625"/>
      <c r="F26" s="625"/>
      <c r="G26" s="625"/>
      <c r="H26" s="625"/>
      <c r="I26" s="625"/>
      <c r="J26" s="625"/>
      <c r="K26" s="625"/>
      <c r="L26" s="625"/>
      <c r="M26" s="625"/>
      <c r="N26" s="605">
        <f>'PFS_V_ Det_ Custos Adm_'!G37</f>
        <v>54267.360000000001</v>
      </c>
      <c r="O26" s="606"/>
      <c r="P26" s="255"/>
      <c r="Q26" s="255"/>
    </row>
    <row r="27" spans="1:22" ht="14.1" customHeight="1" x14ac:dyDescent="0.2">
      <c r="A27" s="626" t="s">
        <v>178</v>
      </c>
      <c r="B27" s="627"/>
      <c r="C27" s="627"/>
      <c r="D27" s="627"/>
      <c r="E27" s="627"/>
      <c r="F27" s="627"/>
      <c r="G27" s="627"/>
      <c r="H27" s="627"/>
      <c r="I27" s="627"/>
      <c r="J27" s="627"/>
      <c r="K27" s="627"/>
      <c r="L27" s="627"/>
      <c r="M27" s="628"/>
      <c r="N27" s="605">
        <f>ROUND(((N11+N26)*0.1),2)</f>
        <v>59694.1</v>
      </c>
      <c r="O27" s="606"/>
      <c r="P27" s="255"/>
      <c r="Q27" s="255"/>
    </row>
    <row r="28" spans="1:22" ht="14.1" customHeight="1" x14ac:dyDescent="0.2">
      <c r="A28" s="625" t="s">
        <v>231</v>
      </c>
      <c r="B28" s="625"/>
      <c r="C28" s="625"/>
      <c r="D28" s="625"/>
      <c r="E28" s="625"/>
      <c r="F28" s="625"/>
      <c r="G28" s="625"/>
      <c r="H28" s="625"/>
      <c r="I28" s="625"/>
      <c r="J28" s="625"/>
      <c r="K28" s="625"/>
      <c r="L28" s="625"/>
      <c r="M28" s="625"/>
      <c r="N28" s="623">
        <f>'PFS_VIII Det_ Desp Fiscais'!H39</f>
        <v>92979.520000000004</v>
      </c>
      <c r="O28" s="624"/>
      <c r="P28" s="256"/>
      <c r="Q28" s="256"/>
    </row>
    <row r="29" spans="1:22" ht="14.1" customHeight="1" x14ac:dyDescent="0.2">
      <c r="A29" s="604"/>
      <c r="B29" s="604"/>
      <c r="C29" s="604"/>
      <c r="D29" s="604"/>
      <c r="E29" s="604"/>
      <c r="F29" s="604"/>
      <c r="G29" s="604"/>
      <c r="H29" s="604"/>
      <c r="I29" s="604"/>
      <c r="J29" s="604"/>
      <c r="K29" s="604"/>
      <c r="L29" s="604"/>
      <c r="M29" s="604"/>
      <c r="N29" s="622"/>
      <c r="O29" s="622"/>
      <c r="P29" s="257"/>
      <c r="Q29" s="257"/>
    </row>
    <row r="30" spans="1:22" ht="20.100000000000001" customHeight="1" x14ac:dyDescent="0.2">
      <c r="A30" s="629" t="s">
        <v>13</v>
      </c>
      <c r="B30" s="629"/>
      <c r="C30" s="629"/>
      <c r="D30" s="629"/>
      <c r="E30" s="629"/>
      <c r="F30" s="629"/>
      <c r="G30" s="629"/>
      <c r="H30" s="629"/>
      <c r="I30" s="629"/>
      <c r="J30" s="629"/>
      <c r="K30" s="629"/>
      <c r="L30" s="629"/>
      <c r="M30" s="629"/>
      <c r="N30" s="630">
        <f>ROUND((N11+N25),2)</f>
        <v>749614.57</v>
      </c>
      <c r="O30" s="630"/>
      <c r="P30" s="378"/>
      <c r="Q30" s="281"/>
      <c r="R30" s="8"/>
      <c r="T30" s="8"/>
    </row>
    <row r="31" spans="1:22" ht="12.6" customHeight="1" x14ac:dyDescent="0.2">
      <c r="A31" s="631" t="s">
        <v>14</v>
      </c>
      <c r="B31" s="631"/>
      <c r="C31" s="631"/>
      <c r="D31" s="631"/>
      <c r="E31" s="631"/>
      <c r="F31" s="631"/>
      <c r="G31" s="631"/>
      <c r="H31" s="631"/>
      <c r="I31" s="631"/>
      <c r="J31" s="632" t="s">
        <v>15</v>
      </c>
      <c r="K31" s="632"/>
      <c r="L31" s="632"/>
      <c r="M31" s="632"/>
      <c r="N31" s="632"/>
      <c r="O31" s="632"/>
      <c r="P31" s="19"/>
      <c r="Q31" s="19"/>
      <c r="T31" s="203"/>
    </row>
    <row r="32" spans="1:22" ht="12.6" customHeight="1" x14ac:dyDescent="0.2">
      <c r="A32" s="633"/>
      <c r="B32" s="633"/>
      <c r="C32" s="633"/>
      <c r="D32" s="633"/>
      <c r="E32" s="633"/>
      <c r="F32" s="633"/>
      <c r="G32" s="633"/>
      <c r="H32" s="633"/>
      <c r="I32" s="633"/>
      <c r="J32" s="10"/>
      <c r="K32" s="11"/>
      <c r="L32" s="11"/>
      <c r="M32" s="11"/>
      <c r="N32" s="11" t="s">
        <v>166</v>
      </c>
      <c r="O32" s="12"/>
      <c r="P32" s="258"/>
      <c r="Q32" s="258"/>
      <c r="T32" s="203"/>
      <c r="V32" s="203"/>
    </row>
    <row r="33" spans="1:22" ht="12.6" customHeight="1" x14ac:dyDescent="0.2">
      <c r="A33" s="612" t="s">
        <v>16</v>
      </c>
      <c r="B33" s="612"/>
      <c r="C33" s="612"/>
      <c r="D33" s="612"/>
      <c r="E33" s="612"/>
      <c r="F33" s="612"/>
      <c r="G33" s="612"/>
      <c r="H33" s="612"/>
      <c r="I33" s="612"/>
      <c r="J33" s="612"/>
      <c r="K33" s="612"/>
      <c r="L33" s="612"/>
      <c r="M33" s="612"/>
      <c r="N33" s="613" t="s">
        <v>17</v>
      </c>
      <c r="O33" s="613"/>
      <c r="P33" s="19"/>
      <c r="Q33" s="19"/>
      <c r="T33" s="203"/>
      <c r="V33" s="203"/>
    </row>
    <row r="34" spans="1:22" ht="12.6" customHeight="1" x14ac:dyDescent="0.2">
      <c r="A34" s="614"/>
      <c r="B34" s="614"/>
      <c r="C34" s="614"/>
      <c r="D34" s="614"/>
      <c r="E34" s="614"/>
      <c r="F34" s="614"/>
      <c r="G34" s="614"/>
      <c r="H34" s="614"/>
      <c r="I34" s="614"/>
      <c r="J34" s="614"/>
      <c r="K34" s="614"/>
      <c r="L34" s="614"/>
      <c r="M34" s="614"/>
      <c r="N34" s="615"/>
      <c r="O34" s="615"/>
      <c r="P34" s="259"/>
      <c r="Q34" s="259"/>
      <c r="T34" s="204"/>
    </row>
    <row r="35" spans="1:22" s="2" customFormat="1" ht="20.100000000000001" customHeight="1" x14ac:dyDescent="0.2">
      <c r="A35" s="13" t="s">
        <v>18</v>
      </c>
      <c r="B35" s="14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6"/>
      <c r="O35" s="17"/>
      <c r="P35" s="260"/>
      <c r="Q35" s="260"/>
    </row>
    <row r="36" spans="1:22" s="2" customFormat="1" ht="20.100000000000001" customHeight="1" x14ac:dyDescent="0.2">
      <c r="A36" s="18" t="s">
        <v>19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20"/>
      <c r="P36" s="19"/>
      <c r="Q36" s="19"/>
    </row>
    <row r="37" spans="1:22" s="2" customFormat="1" ht="20.100000000000001" customHeight="1" x14ac:dyDescent="0.2">
      <c r="A37" s="21" t="s">
        <v>215</v>
      </c>
      <c r="O37" s="22"/>
    </row>
    <row r="38" spans="1:22" s="2" customFormat="1" ht="20.100000000000001" customHeight="1" x14ac:dyDescent="0.2">
      <c r="A38" s="21" t="s">
        <v>177</v>
      </c>
      <c r="O38" s="22"/>
    </row>
    <row r="39" spans="1:22" s="2" customFormat="1" ht="20.100000000000001" customHeight="1" x14ac:dyDescent="0.2">
      <c r="A39" s="21" t="s">
        <v>232</v>
      </c>
      <c r="O39" s="22"/>
    </row>
    <row r="40" spans="1:22" ht="20.100000000000001" customHeight="1" x14ac:dyDescent="0.2">
      <c r="A40" s="619" t="s">
        <v>233</v>
      </c>
      <c r="B40" s="619"/>
      <c r="C40" s="619"/>
      <c r="D40" s="619"/>
      <c r="E40" s="619"/>
      <c r="F40" s="619"/>
      <c r="G40" s="619"/>
      <c r="H40" s="619"/>
      <c r="I40" s="619"/>
      <c r="J40" s="619"/>
      <c r="K40" s="619"/>
      <c r="L40" s="619"/>
      <c r="M40" s="619"/>
      <c r="N40" s="619"/>
      <c r="O40" s="619"/>
      <c r="P40" s="240"/>
      <c r="Q40" s="240"/>
    </row>
    <row r="41" spans="1:22" ht="20.100000000000001" customHeight="1" x14ac:dyDescent="0.2">
      <c r="A41" s="619" t="s">
        <v>212</v>
      </c>
      <c r="B41" s="619"/>
      <c r="C41" s="619"/>
      <c r="D41" s="619"/>
      <c r="E41" s="619"/>
      <c r="F41" s="619"/>
      <c r="G41" s="619"/>
      <c r="H41" s="619"/>
      <c r="I41" s="619"/>
      <c r="J41" s="619"/>
      <c r="K41" s="619"/>
      <c r="L41" s="619"/>
      <c r="M41" s="619"/>
      <c r="N41" s="619"/>
      <c r="O41" s="619"/>
      <c r="P41" s="240"/>
      <c r="Q41" s="240"/>
    </row>
    <row r="42" spans="1:22" x14ac:dyDescent="0.2">
      <c r="A42" s="616" t="s">
        <v>167</v>
      </c>
      <c r="B42" s="617"/>
      <c r="C42" s="617"/>
      <c r="D42" s="617"/>
      <c r="E42" s="617"/>
      <c r="F42" s="617"/>
      <c r="G42" s="617"/>
      <c r="H42" s="617"/>
      <c r="I42" s="617"/>
      <c r="J42" s="617"/>
      <c r="K42" s="617"/>
      <c r="L42" s="617"/>
      <c r="M42" s="617"/>
      <c r="N42" s="617"/>
      <c r="O42" s="618"/>
      <c r="P42" s="240"/>
      <c r="Q42" s="240"/>
    </row>
    <row r="43" spans="1:22" x14ac:dyDescent="0.2">
      <c r="A43" s="2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2"/>
      <c r="P43" s="2"/>
      <c r="Q43" s="2"/>
    </row>
    <row r="44" spans="1:22" x14ac:dyDescent="0.2">
      <c r="A44" s="23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5"/>
      <c r="P44" s="2"/>
      <c r="Q44" s="2"/>
    </row>
    <row r="47" spans="1:22" x14ac:dyDescent="0.2">
      <c r="O47" s="8"/>
      <c r="P47" s="8"/>
      <c r="Q47" s="8"/>
    </row>
  </sheetData>
  <mergeCells count="55">
    <mergeCell ref="A42:O42"/>
    <mergeCell ref="A41:O41"/>
    <mergeCell ref="A25:M25"/>
    <mergeCell ref="N25:O25"/>
    <mergeCell ref="N29:O29"/>
    <mergeCell ref="N28:O28"/>
    <mergeCell ref="A26:M26"/>
    <mergeCell ref="A28:M28"/>
    <mergeCell ref="N27:O27"/>
    <mergeCell ref="A27:M27"/>
    <mergeCell ref="A40:O40"/>
    <mergeCell ref="A30:M30"/>
    <mergeCell ref="N30:O30"/>
    <mergeCell ref="A31:I31"/>
    <mergeCell ref="J31:O31"/>
    <mergeCell ref="A32:I32"/>
    <mergeCell ref="A33:M33"/>
    <mergeCell ref="N33:O33"/>
    <mergeCell ref="A34:M34"/>
    <mergeCell ref="N34:O34"/>
    <mergeCell ref="A29:M29"/>
    <mergeCell ref="N26:O26"/>
    <mergeCell ref="A15:M15"/>
    <mergeCell ref="N15:O15"/>
    <mergeCell ref="N23:O23"/>
    <mergeCell ref="A21:M21"/>
    <mergeCell ref="N21:O21"/>
    <mergeCell ref="A22:M22"/>
    <mergeCell ref="N22:O22"/>
    <mergeCell ref="A16:M16"/>
    <mergeCell ref="N16:O16"/>
    <mergeCell ref="A23:M23"/>
    <mergeCell ref="A17:M17"/>
    <mergeCell ref="N17:O17"/>
    <mergeCell ref="A18:M18"/>
    <mergeCell ref="N18:O18"/>
    <mergeCell ref="A19:O19"/>
    <mergeCell ref="A13:M13"/>
    <mergeCell ref="N13:O13"/>
    <mergeCell ref="A14:M14"/>
    <mergeCell ref="N14:O14"/>
    <mergeCell ref="A20:M20"/>
    <mergeCell ref="N20:O20"/>
    <mergeCell ref="A4:M5"/>
    <mergeCell ref="N4:O4"/>
    <mergeCell ref="N5:O5"/>
    <mergeCell ref="A6:O6"/>
    <mergeCell ref="A12:O12"/>
    <mergeCell ref="A8:F8"/>
    <mergeCell ref="G8:N8"/>
    <mergeCell ref="A9:F9"/>
    <mergeCell ref="G9:N9"/>
    <mergeCell ref="A10:O10"/>
    <mergeCell ref="A11:M11"/>
    <mergeCell ref="N11:O11"/>
  </mergeCells>
  <printOptions horizontalCentered="1"/>
  <pageMargins left="0.78740157480314965" right="0.39370078740157483" top="0.78740157480314965" bottom="0.39370078740157483" header="0.51181102362204722" footer="0.51181102362204722"/>
  <pageSetup paperSize="9" firstPageNumber="0" orientation="portrait" r:id="rId1"/>
  <headerFooter alignWithMargins="0"/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60407-DA14-4D5B-AA1E-08CC1026F414}">
  <dimension ref="A1:N147"/>
  <sheetViews>
    <sheetView topLeftCell="A122" workbookViewId="0">
      <selection activeCell="A38" sqref="A38:G53"/>
    </sheetView>
  </sheetViews>
  <sheetFormatPr defaultRowHeight="12.75" x14ac:dyDescent="0.2"/>
  <cols>
    <col min="1" max="1" width="3.5703125" style="493" customWidth="1"/>
    <col min="2" max="2" width="18" style="493" customWidth="1"/>
    <col min="3" max="3" width="15" style="493" customWidth="1"/>
    <col min="4" max="4" width="14.85546875" style="493" customWidth="1"/>
    <col min="5" max="5" width="14" style="493" customWidth="1"/>
    <col min="6" max="6" width="13" style="493" customWidth="1"/>
    <col min="7" max="7" width="12.85546875" style="493" customWidth="1"/>
    <col min="8" max="8" width="11.5703125" style="493" customWidth="1"/>
    <col min="9" max="9" width="10.140625" style="493" customWidth="1"/>
    <col min="10" max="13" width="9.140625" style="493"/>
    <col min="14" max="14" width="10.5703125" style="493" customWidth="1"/>
    <col min="15" max="16384" width="9.140625" style="493"/>
  </cols>
  <sheetData>
    <row r="1" spans="1:7" x14ac:dyDescent="0.2">
      <c r="A1" s="853" t="s">
        <v>244</v>
      </c>
      <c r="B1" s="853"/>
      <c r="C1" s="853"/>
      <c r="D1" s="853"/>
      <c r="E1" s="853"/>
      <c r="F1" s="853"/>
      <c r="G1" s="853"/>
    </row>
    <row r="2" spans="1:7" x14ac:dyDescent="0.2">
      <c r="A2" s="853" t="s">
        <v>245</v>
      </c>
      <c r="B2" s="853"/>
      <c r="C2" s="853"/>
      <c r="D2" s="853"/>
      <c r="E2" s="853"/>
      <c r="F2" s="853"/>
      <c r="G2" s="853"/>
    </row>
    <row r="4" spans="1:7" x14ac:dyDescent="0.2">
      <c r="A4" s="854" t="s">
        <v>246</v>
      </c>
      <c r="B4" s="821"/>
      <c r="C4" s="821"/>
      <c r="D4" s="822"/>
      <c r="E4" s="855" t="s">
        <v>247</v>
      </c>
      <c r="F4" s="841"/>
      <c r="G4" s="841"/>
    </row>
    <row r="5" spans="1:7" x14ac:dyDescent="0.2">
      <c r="A5" s="854" t="s">
        <v>248</v>
      </c>
      <c r="B5" s="821"/>
      <c r="C5" s="821"/>
      <c r="D5" s="822"/>
      <c r="E5" s="841"/>
      <c r="F5" s="841"/>
      <c r="G5" s="841"/>
    </row>
    <row r="6" spans="1:7" x14ac:dyDescent="0.2">
      <c r="A6" s="843" t="s">
        <v>249</v>
      </c>
      <c r="B6" s="843"/>
      <c r="C6" s="843"/>
      <c r="D6" s="843"/>
      <c r="E6" s="843"/>
      <c r="F6" s="843"/>
      <c r="G6" s="843"/>
    </row>
    <row r="8" spans="1:7" ht="12.75" customHeight="1" x14ac:dyDescent="0.2">
      <c r="A8" s="844" t="s">
        <v>250</v>
      </c>
      <c r="B8" s="845"/>
      <c r="C8" s="845"/>
      <c r="D8" s="845"/>
      <c r="E8" s="845"/>
      <c r="F8" s="845"/>
      <c r="G8" s="846"/>
    </row>
    <row r="9" spans="1:7" x14ac:dyDescent="0.2">
      <c r="A9" s="847"/>
      <c r="B9" s="848"/>
      <c r="C9" s="848"/>
      <c r="D9" s="848"/>
      <c r="E9" s="848"/>
      <c r="F9" s="848"/>
      <c r="G9" s="849"/>
    </row>
    <row r="10" spans="1:7" ht="7.5" customHeight="1" x14ac:dyDescent="0.2">
      <c r="A10" s="850"/>
      <c r="B10" s="851"/>
      <c r="C10" s="851"/>
      <c r="D10" s="851"/>
      <c r="E10" s="851"/>
      <c r="F10" s="851"/>
      <c r="G10" s="852"/>
    </row>
    <row r="12" spans="1:7" x14ac:dyDescent="0.2">
      <c r="A12" s="494" t="s">
        <v>70</v>
      </c>
      <c r="B12" s="800" t="s">
        <v>251</v>
      </c>
      <c r="C12" s="800"/>
      <c r="D12" s="800"/>
      <c r="E12" s="800"/>
      <c r="F12" s="841"/>
      <c r="G12" s="841"/>
    </row>
    <row r="13" spans="1:7" x14ac:dyDescent="0.2">
      <c r="A13" s="494" t="s">
        <v>85</v>
      </c>
      <c r="B13" s="800" t="s">
        <v>252</v>
      </c>
      <c r="C13" s="800"/>
      <c r="D13" s="800"/>
      <c r="E13" s="800"/>
      <c r="F13" s="841" t="s">
        <v>253</v>
      </c>
      <c r="G13" s="841"/>
    </row>
    <row r="14" spans="1:7" x14ac:dyDescent="0.2">
      <c r="A14" s="494" t="s">
        <v>28</v>
      </c>
      <c r="B14" s="800" t="s">
        <v>254</v>
      </c>
      <c r="C14" s="800"/>
      <c r="D14" s="800"/>
      <c r="E14" s="800"/>
      <c r="F14" s="841"/>
      <c r="G14" s="841"/>
    </row>
    <row r="15" spans="1:7" x14ac:dyDescent="0.2">
      <c r="A15" s="494" t="s">
        <v>94</v>
      </c>
      <c r="B15" s="800" t="s">
        <v>255</v>
      </c>
      <c r="C15" s="800"/>
      <c r="D15" s="800"/>
      <c r="E15" s="800"/>
      <c r="F15" s="841">
        <v>12</v>
      </c>
      <c r="G15" s="841"/>
    </row>
    <row r="17" spans="1:7" x14ac:dyDescent="0.2">
      <c r="A17" s="841" t="s">
        <v>256</v>
      </c>
      <c r="B17" s="841"/>
      <c r="C17" s="841"/>
      <c r="D17" s="841" t="s">
        <v>257</v>
      </c>
      <c r="E17" s="841"/>
      <c r="F17" s="841" t="s">
        <v>258</v>
      </c>
      <c r="G17" s="841"/>
    </row>
    <row r="18" spans="1:7" x14ac:dyDescent="0.2">
      <c r="A18" s="494" t="s">
        <v>259</v>
      </c>
      <c r="B18" s="840" t="s">
        <v>362</v>
      </c>
      <c r="C18" s="840"/>
      <c r="D18" s="841">
        <v>1</v>
      </c>
      <c r="E18" s="841"/>
      <c r="F18" s="841">
        <v>4</v>
      </c>
      <c r="G18" s="841"/>
    </row>
    <row r="20" spans="1:7" x14ac:dyDescent="0.2">
      <c r="A20" s="810" t="s">
        <v>261</v>
      </c>
      <c r="B20" s="810"/>
      <c r="C20" s="810"/>
      <c r="D20" s="810"/>
      <c r="E20" s="810"/>
      <c r="F20" s="810"/>
      <c r="G20" s="810"/>
    </row>
    <row r="21" spans="1:7" x14ac:dyDescent="0.2">
      <c r="A21" s="842" t="s">
        <v>262</v>
      </c>
      <c r="B21" s="842"/>
      <c r="C21" s="842"/>
      <c r="D21" s="842"/>
      <c r="E21" s="842"/>
      <c r="F21" s="842"/>
      <c r="G21" s="842"/>
    </row>
    <row r="22" spans="1:7" x14ac:dyDescent="0.2">
      <c r="A22" s="803" t="s">
        <v>263</v>
      </c>
      <c r="B22" s="803"/>
      <c r="C22" s="803"/>
      <c r="D22" s="803"/>
      <c r="E22" s="803"/>
      <c r="F22" s="803"/>
      <c r="G22" s="803"/>
    </row>
    <row r="23" spans="1:7" x14ac:dyDescent="0.2">
      <c r="A23" s="495">
        <v>1</v>
      </c>
      <c r="B23" s="800" t="s">
        <v>264</v>
      </c>
      <c r="C23" s="800"/>
      <c r="D23" s="800"/>
      <c r="E23" s="800"/>
      <c r="F23" s="839" t="s">
        <v>265</v>
      </c>
      <c r="G23" s="802"/>
    </row>
    <row r="24" spans="1:7" x14ac:dyDescent="0.2">
      <c r="A24" s="495">
        <v>2</v>
      </c>
      <c r="B24" s="819" t="s">
        <v>266</v>
      </c>
      <c r="C24" s="800"/>
      <c r="D24" s="800"/>
      <c r="E24" s="800"/>
      <c r="F24" s="801">
        <v>2505.96</v>
      </c>
      <c r="G24" s="801"/>
    </row>
    <row r="25" spans="1:7" x14ac:dyDescent="0.2">
      <c r="A25" s="495">
        <v>3</v>
      </c>
      <c r="B25" s="800" t="s">
        <v>267</v>
      </c>
      <c r="C25" s="800"/>
      <c r="D25" s="800"/>
      <c r="E25" s="800"/>
      <c r="F25" s="839" t="s">
        <v>362</v>
      </c>
      <c r="G25" s="802"/>
    </row>
    <row r="26" spans="1:7" x14ac:dyDescent="0.2">
      <c r="A26" s="495">
        <v>4</v>
      </c>
      <c r="B26" s="800" t="s">
        <v>269</v>
      </c>
      <c r="C26" s="800"/>
      <c r="D26" s="800"/>
      <c r="E26" s="800"/>
      <c r="F26" s="837"/>
      <c r="G26" s="837"/>
    </row>
    <row r="28" spans="1:7" x14ac:dyDescent="0.2">
      <c r="A28" s="803" t="s">
        <v>270</v>
      </c>
      <c r="B28" s="803"/>
      <c r="C28" s="803"/>
      <c r="D28" s="803"/>
      <c r="E28" s="803"/>
      <c r="F28" s="803"/>
      <c r="G28" s="803"/>
    </row>
    <row r="29" spans="1:7" x14ac:dyDescent="0.2">
      <c r="A29" s="496">
        <v>1</v>
      </c>
      <c r="B29" s="803" t="s">
        <v>271</v>
      </c>
      <c r="C29" s="803"/>
      <c r="D29" s="803"/>
      <c r="E29" s="803"/>
      <c r="F29" s="805" t="s">
        <v>272</v>
      </c>
      <c r="G29" s="805"/>
    </row>
    <row r="30" spans="1:7" x14ac:dyDescent="0.2">
      <c r="A30" s="494" t="s">
        <v>70</v>
      </c>
      <c r="B30" s="800" t="s">
        <v>363</v>
      </c>
      <c r="C30" s="800"/>
      <c r="D30" s="800"/>
      <c r="E30" s="800"/>
      <c r="F30" s="838">
        <v>2505.96</v>
      </c>
      <c r="G30" s="838"/>
    </row>
    <row r="31" spans="1:7" x14ac:dyDescent="0.2">
      <c r="A31" s="494" t="s">
        <v>85</v>
      </c>
      <c r="B31" s="854" t="s">
        <v>364</v>
      </c>
      <c r="C31" s="821"/>
      <c r="D31" s="821"/>
      <c r="E31" s="822"/>
      <c r="F31" s="830">
        <f>ROUND((F30*30%),2)</f>
        <v>751.79</v>
      </c>
      <c r="G31" s="830"/>
    </row>
    <row r="32" spans="1:7" x14ac:dyDescent="0.2">
      <c r="A32" s="494" t="s">
        <v>28</v>
      </c>
      <c r="B32" s="831" t="s">
        <v>275</v>
      </c>
      <c r="C32" s="832"/>
      <c r="D32" s="832"/>
      <c r="E32" s="833"/>
      <c r="F32" s="830">
        <v>0</v>
      </c>
      <c r="G32" s="830"/>
    </row>
    <row r="33" spans="1:10" x14ac:dyDescent="0.2">
      <c r="A33" s="494" t="s">
        <v>94</v>
      </c>
      <c r="B33" s="834" t="s">
        <v>276</v>
      </c>
      <c r="C33" s="835"/>
      <c r="D33" s="835"/>
      <c r="E33" s="836"/>
      <c r="F33" s="830">
        <v>0</v>
      </c>
      <c r="G33" s="830"/>
      <c r="J33" s="498"/>
    </row>
    <row r="34" spans="1:10" x14ac:dyDescent="0.2">
      <c r="A34" s="803" t="s">
        <v>277</v>
      </c>
      <c r="B34" s="803"/>
      <c r="C34" s="803"/>
      <c r="D34" s="803"/>
      <c r="E34" s="803"/>
      <c r="F34" s="829">
        <f>SUM(F30:G33)</f>
        <v>3257.75</v>
      </c>
      <c r="G34" s="829"/>
      <c r="J34" s="499"/>
    </row>
    <row r="36" spans="1:10" x14ac:dyDescent="0.2">
      <c r="A36" s="810" t="s">
        <v>278</v>
      </c>
      <c r="B36" s="810"/>
      <c r="C36" s="810"/>
      <c r="D36" s="810"/>
      <c r="E36" s="810"/>
      <c r="F36" s="810"/>
      <c r="G36" s="810"/>
    </row>
    <row r="37" spans="1:10" x14ac:dyDescent="0.2">
      <c r="A37" s="496">
        <v>2</v>
      </c>
      <c r="B37" s="803" t="s">
        <v>279</v>
      </c>
      <c r="C37" s="803"/>
      <c r="D37" s="803"/>
      <c r="E37" s="803"/>
      <c r="F37" s="805" t="s">
        <v>272</v>
      </c>
      <c r="G37" s="805"/>
    </row>
    <row r="38" spans="1:10" x14ac:dyDescent="0.2">
      <c r="A38" s="494" t="s">
        <v>70</v>
      </c>
      <c r="B38" s="819" t="s">
        <v>280</v>
      </c>
      <c r="C38" s="800"/>
      <c r="D38" s="800"/>
      <c r="E38" s="800"/>
      <c r="F38" s="818">
        <v>135.03</v>
      </c>
      <c r="G38" s="818"/>
      <c r="I38" s="500"/>
    </row>
    <row r="39" spans="1:10" x14ac:dyDescent="0.2">
      <c r="A39" s="494" t="s">
        <v>85</v>
      </c>
      <c r="B39" s="800" t="s">
        <v>281</v>
      </c>
      <c r="C39" s="800"/>
      <c r="D39" s="800"/>
      <c r="E39" s="800"/>
      <c r="F39" s="818">
        <v>420.7</v>
      </c>
      <c r="G39" s="818"/>
      <c r="I39" s="500"/>
    </row>
    <row r="40" spans="1:10" x14ac:dyDescent="0.2">
      <c r="A40" s="494" t="s">
        <v>28</v>
      </c>
      <c r="B40" s="800" t="s">
        <v>282</v>
      </c>
      <c r="C40" s="800"/>
      <c r="D40" s="800"/>
      <c r="E40" s="800"/>
      <c r="F40" s="818">
        <v>0</v>
      </c>
      <c r="G40" s="818"/>
      <c r="I40" s="500"/>
    </row>
    <row r="41" spans="1:10" x14ac:dyDescent="0.2">
      <c r="A41" s="501" t="s">
        <v>94</v>
      </c>
      <c r="B41" s="819" t="s">
        <v>283</v>
      </c>
      <c r="C41" s="819"/>
      <c r="D41" s="819"/>
      <c r="E41" s="819"/>
      <c r="F41" s="826">
        <v>0</v>
      </c>
      <c r="G41" s="826"/>
      <c r="I41" s="498"/>
    </row>
    <row r="42" spans="1:10" x14ac:dyDescent="0.2">
      <c r="A42" s="494" t="s">
        <v>284</v>
      </c>
      <c r="B42" s="819" t="s">
        <v>285</v>
      </c>
      <c r="C42" s="819"/>
      <c r="D42" s="819"/>
      <c r="E42" s="819"/>
      <c r="F42" s="818">
        <v>13.07</v>
      </c>
      <c r="G42" s="818"/>
      <c r="I42" s="498"/>
    </row>
    <row r="43" spans="1:10" x14ac:dyDescent="0.2">
      <c r="A43" s="494" t="s">
        <v>286</v>
      </c>
      <c r="B43" s="819" t="s">
        <v>287</v>
      </c>
      <c r="C43" s="800"/>
      <c r="D43" s="800"/>
      <c r="E43" s="800"/>
      <c r="F43" s="818">
        <f>65.94</f>
        <v>65.94</v>
      </c>
      <c r="G43" s="818"/>
      <c r="I43" s="498"/>
    </row>
    <row r="44" spans="1:10" x14ac:dyDescent="0.2">
      <c r="A44" s="501" t="s">
        <v>288</v>
      </c>
      <c r="B44" s="820" t="s">
        <v>289</v>
      </c>
      <c r="C44" s="827"/>
      <c r="D44" s="827"/>
      <c r="E44" s="828"/>
      <c r="F44" s="818">
        <v>0</v>
      </c>
      <c r="G44" s="818"/>
      <c r="I44" s="499"/>
    </row>
    <row r="45" spans="1:10" x14ac:dyDescent="0.2">
      <c r="A45" s="803" t="s">
        <v>290</v>
      </c>
      <c r="B45" s="803"/>
      <c r="C45" s="803"/>
      <c r="D45" s="803"/>
      <c r="E45" s="803"/>
      <c r="F45" s="815">
        <f>SUM(F38:G44)</f>
        <v>634.74</v>
      </c>
      <c r="G45" s="815"/>
    </row>
    <row r="47" spans="1:10" x14ac:dyDescent="0.2">
      <c r="A47" s="810" t="s">
        <v>291</v>
      </c>
      <c r="B47" s="810"/>
      <c r="C47" s="810"/>
      <c r="D47" s="810"/>
      <c r="E47" s="810"/>
      <c r="F47" s="810"/>
      <c r="G47" s="810"/>
    </row>
    <row r="48" spans="1:10" x14ac:dyDescent="0.2">
      <c r="A48" s="496">
        <v>3</v>
      </c>
      <c r="B48" s="803" t="s">
        <v>292</v>
      </c>
      <c r="C48" s="803"/>
      <c r="D48" s="803"/>
      <c r="E48" s="803"/>
      <c r="F48" s="805" t="s">
        <v>272</v>
      </c>
      <c r="G48" s="805"/>
    </row>
    <row r="49" spans="1:7" x14ac:dyDescent="0.2">
      <c r="A49" s="494" t="s">
        <v>70</v>
      </c>
      <c r="B49" s="819" t="s">
        <v>365</v>
      </c>
      <c r="C49" s="800"/>
      <c r="D49" s="800"/>
      <c r="E49" s="800"/>
      <c r="F49" s="818">
        <f>(25.92*2)/12</f>
        <v>4.32</v>
      </c>
      <c r="G49" s="818"/>
    </row>
    <row r="50" spans="1:7" x14ac:dyDescent="0.2">
      <c r="A50" s="494" t="s">
        <v>85</v>
      </c>
      <c r="B50" s="819" t="s">
        <v>294</v>
      </c>
      <c r="C50" s="800"/>
      <c r="D50" s="800"/>
      <c r="E50" s="800"/>
      <c r="F50" s="826">
        <v>19.53</v>
      </c>
      <c r="G50" s="818"/>
    </row>
    <row r="51" spans="1:7" x14ac:dyDescent="0.2">
      <c r="A51" s="494" t="s">
        <v>28</v>
      </c>
      <c r="B51" s="819" t="s">
        <v>295</v>
      </c>
      <c r="C51" s="800"/>
      <c r="D51" s="800"/>
      <c r="E51" s="800"/>
      <c r="F51" s="818">
        <f>153/12</f>
        <v>12.75</v>
      </c>
      <c r="G51" s="818"/>
    </row>
    <row r="52" spans="1:7" x14ac:dyDescent="0.2">
      <c r="A52" s="494" t="s">
        <v>94</v>
      </c>
      <c r="B52" s="819" t="s">
        <v>296</v>
      </c>
      <c r="C52" s="800"/>
      <c r="D52" s="800"/>
      <c r="E52" s="800"/>
      <c r="F52" s="818">
        <v>11.7</v>
      </c>
      <c r="G52" s="818"/>
    </row>
    <row r="53" spans="1:7" x14ac:dyDescent="0.2">
      <c r="A53" s="803" t="s">
        <v>297</v>
      </c>
      <c r="B53" s="803"/>
      <c r="C53" s="803"/>
      <c r="D53" s="803"/>
      <c r="E53" s="803"/>
      <c r="F53" s="815">
        <f>SUM(F49:G52)</f>
        <v>48.3</v>
      </c>
      <c r="G53" s="815"/>
    </row>
    <row r="54" spans="1:7" x14ac:dyDescent="0.2">
      <c r="A54" s="502"/>
      <c r="B54" s="502"/>
      <c r="C54" s="502"/>
      <c r="D54" s="502"/>
      <c r="E54" s="502"/>
      <c r="F54" s="503"/>
      <c r="G54" s="503"/>
    </row>
    <row r="55" spans="1:7" x14ac:dyDescent="0.2">
      <c r="A55" s="810" t="s">
        <v>298</v>
      </c>
      <c r="B55" s="810"/>
      <c r="C55" s="810"/>
      <c r="D55" s="810"/>
      <c r="E55" s="810"/>
      <c r="F55" s="810"/>
      <c r="G55" s="810"/>
    </row>
    <row r="57" spans="1:7" x14ac:dyDescent="0.2">
      <c r="A57" s="810" t="s">
        <v>299</v>
      </c>
      <c r="B57" s="810"/>
      <c r="C57" s="810"/>
      <c r="D57" s="810"/>
      <c r="E57" s="810"/>
      <c r="F57" s="810"/>
      <c r="G57" s="810"/>
    </row>
    <row r="59" spans="1:7" x14ac:dyDescent="0.2">
      <c r="A59" s="504" t="s">
        <v>185</v>
      </c>
      <c r="B59" s="803" t="s">
        <v>300</v>
      </c>
      <c r="C59" s="803"/>
      <c r="D59" s="803"/>
      <c r="E59" s="803"/>
      <c r="F59" s="505" t="s">
        <v>24</v>
      </c>
      <c r="G59" s="506" t="s">
        <v>272</v>
      </c>
    </row>
    <row r="60" spans="1:7" x14ac:dyDescent="0.2">
      <c r="A60" s="494" t="s">
        <v>70</v>
      </c>
      <c r="B60" s="800" t="s">
        <v>72</v>
      </c>
      <c r="C60" s="800"/>
      <c r="D60" s="800"/>
      <c r="E60" s="800"/>
      <c r="F60" s="507">
        <v>0.2</v>
      </c>
      <c r="G60" s="508">
        <f>ROUND((F34*F60),2)</f>
        <v>651.54999999999995</v>
      </c>
    </row>
    <row r="61" spans="1:7" x14ac:dyDescent="0.2">
      <c r="A61" s="494" t="s">
        <v>85</v>
      </c>
      <c r="B61" s="800" t="s">
        <v>301</v>
      </c>
      <c r="C61" s="800"/>
      <c r="D61" s="800"/>
      <c r="E61" s="800"/>
      <c r="F61" s="507">
        <v>1.4999999999999999E-2</v>
      </c>
      <c r="G61" s="508">
        <f>F34*0.015</f>
        <v>48.866250000000001</v>
      </c>
    </row>
    <row r="62" spans="1:7" x14ac:dyDescent="0.2">
      <c r="A62" s="494" t="s">
        <v>28</v>
      </c>
      <c r="B62" s="800" t="s">
        <v>302</v>
      </c>
      <c r="C62" s="800"/>
      <c r="D62" s="800"/>
      <c r="E62" s="800"/>
      <c r="F62" s="507">
        <v>0.01</v>
      </c>
      <c r="G62" s="508">
        <f>F34*0.01</f>
        <v>32.577500000000001</v>
      </c>
    </row>
    <row r="63" spans="1:7" x14ac:dyDescent="0.2">
      <c r="A63" s="494" t="s">
        <v>94</v>
      </c>
      <c r="B63" s="800" t="s">
        <v>303</v>
      </c>
      <c r="C63" s="800"/>
      <c r="D63" s="800"/>
      <c r="E63" s="800"/>
      <c r="F63" s="507">
        <v>2E-3</v>
      </c>
      <c r="G63" s="508">
        <f>F34*0.002</f>
        <v>6.5155000000000003</v>
      </c>
    </row>
    <row r="64" spans="1:7" x14ac:dyDescent="0.2">
      <c r="A64" s="494" t="s">
        <v>284</v>
      </c>
      <c r="B64" s="800" t="s">
        <v>304</v>
      </c>
      <c r="C64" s="800"/>
      <c r="D64" s="800"/>
      <c r="E64" s="800"/>
      <c r="F64" s="507">
        <v>2.5000000000000001E-2</v>
      </c>
      <c r="G64" s="508">
        <f>F34*0.025</f>
        <v>81.443750000000009</v>
      </c>
    </row>
    <row r="65" spans="1:7" x14ac:dyDescent="0.2">
      <c r="A65" s="494" t="s">
        <v>286</v>
      </c>
      <c r="B65" s="800" t="s">
        <v>73</v>
      </c>
      <c r="C65" s="800"/>
      <c r="D65" s="800"/>
      <c r="E65" s="800"/>
      <c r="F65" s="507">
        <v>0.08</v>
      </c>
      <c r="G65" s="508">
        <f>F34*0.08</f>
        <v>260.62</v>
      </c>
    </row>
    <row r="66" spans="1:7" x14ac:dyDescent="0.2">
      <c r="A66" s="494" t="s">
        <v>288</v>
      </c>
      <c r="B66" s="800" t="s">
        <v>305</v>
      </c>
      <c r="C66" s="800"/>
      <c r="D66" s="800"/>
      <c r="E66" s="800"/>
      <c r="F66" s="507">
        <v>0.03</v>
      </c>
      <c r="G66" s="508">
        <f>F34*0.03</f>
        <v>97.732500000000002</v>
      </c>
    </row>
    <row r="67" spans="1:7" x14ac:dyDescent="0.2">
      <c r="A67" s="494" t="s">
        <v>306</v>
      </c>
      <c r="B67" s="800" t="s">
        <v>307</v>
      </c>
      <c r="C67" s="800"/>
      <c r="D67" s="800"/>
      <c r="E67" s="800"/>
      <c r="F67" s="507">
        <v>6.0000000000000001E-3</v>
      </c>
      <c r="G67" s="508">
        <f>F34*0.006</f>
        <v>19.546500000000002</v>
      </c>
    </row>
    <row r="68" spans="1:7" x14ac:dyDescent="0.2">
      <c r="A68" s="803" t="s">
        <v>35</v>
      </c>
      <c r="B68" s="803"/>
      <c r="C68" s="803"/>
      <c r="D68" s="803"/>
      <c r="E68" s="803"/>
      <c r="F68" s="509">
        <f>SUM(F60:F67)</f>
        <v>0.3680000000000001</v>
      </c>
      <c r="G68" s="510">
        <f>SUM(G60:G67)</f>
        <v>1198.8519999999999</v>
      </c>
    </row>
    <row r="70" spans="1:7" x14ac:dyDescent="0.2">
      <c r="A70" s="810" t="s">
        <v>308</v>
      </c>
      <c r="B70" s="810"/>
      <c r="C70" s="810"/>
      <c r="D70" s="810"/>
      <c r="E70" s="810"/>
      <c r="F70" s="810"/>
      <c r="G70" s="810"/>
    </row>
    <row r="72" spans="1:7" x14ac:dyDescent="0.2">
      <c r="A72" s="496" t="s">
        <v>186</v>
      </c>
      <c r="B72" s="803" t="s">
        <v>309</v>
      </c>
      <c r="C72" s="803"/>
      <c r="D72" s="803"/>
      <c r="E72" s="803"/>
      <c r="F72" s="505" t="s">
        <v>24</v>
      </c>
      <c r="G72" s="506" t="s">
        <v>272</v>
      </c>
    </row>
    <row r="73" spans="1:7" x14ac:dyDescent="0.2">
      <c r="A73" s="495" t="s">
        <v>70</v>
      </c>
      <c r="B73" s="800" t="s">
        <v>310</v>
      </c>
      <c r="C73" s="800"/>
      <c r="D73" s="800"/>
      <c r="E73" s="800"/>
      <c r="F73" s="511">
        <v>8.3299999999999999E-2</v>
      </c>
      <c r="G73" s="512">
        <f>$F$34*F73</f>
        <v>271.37057499999997</v>
      </c>
    </row>
    <row r="74" spans="1:7" x14ac:dyDescent="0.2">
      <c r="A74" s="495" t="s">
        <v>85</v>
      </c>
      <c r="B74" s="819" t="s">
        <v>127</v>
      </c>
      <c r="C74" s="800"/>
      <c r="D74" s="800"/>
      <c r="E74" s="800"/>
      <c r="F74" s="511">
        <v>9.8199999999999996E-2</v>
      </c>
      <c r="G74" s="512">
        <f>($F$34*F74)</f>
        <v>319.91104999999999</v>
      </c>
    </row>
    <row r="75" spans="1:7" x14ac:dyDescent="0.2">
      <c r="A75" s="513" t="s">
        <v>28</v>
      </c>
      <c r="B75" s="820" t="s">
        <v>128</v>
      </c>
      <c r="C75" s="821"/>
      <c r="D75" s="821"/>
      <c r="E75" s="822"/>
      <c r="F75" s="511">
        <v>6.8999999999999999E-3</v>
      </c>
      <c r="G75" s="512">
        <f>$F$34*F75</f>
        <v>22.478475</v>
      </c>
    </row>
    <row r="76" spans="1:7" x14ac:dyDescent="0.2">
      <c r="A76" s="513" t="s">
        <v>94</v>
      </c>
      <c r="B76" s="820" t="s">
        <v>129</v>
      </c>
      <c r="C76" s="821"/>
      <c r="D76" s="821"/>
      <c r="E76" s="822"/>
      <c r="F76" s="511">
        <v>5.9999999999999995E-4</v>
      </c>
      <c r="G76" s="512">
        <f>$F$34*F76</f>
        <v>1.9546499999999998</v>
      </c>
    </row>
    <row r="77" spans="1:7" x14ac:dyDescent="0.2">
      <c r="A77" s="513" t="s">
        <v>284</v>
      </c>
      <c r="B77" s="820" t="s">
        <v>130</v>
      </c>
      <c r="C77" s="821"/>
      <c r="D77" s="821"/>
      <c r="E77" s="822"/>
      <c r="F77" s="511">
        <v>5.5999999999999999E-3</v>
      </c>
      <c r="G77" s="512">
        <f>$F$34*F77</f>
        <v>18.243400000000001</v>
      </c>
    </row>
    <row r="78" spans="1:7" x14ac:dyDescent="0.2">
      <c r="A78" s="513" t="s">
        <v>286</v>
      </c>
      <c r="B78" s="820" t="s">
        <v>131</v>
      </c>
      <c r="C78" s="821"/>
      <c r="D78" s="821"/>
      <c r="E78" s="822"/>
      <c r="F78" s="511">
        <v>8.9999999999999998E-4</v>
      </c>
      <c r="G78" s="512">
        <f>$F$34*F78</f>
        <v>2.931975</v>
      </c>
    </row>
    <row r="79" spans="1:7" x14ac:dyDescent="0.2">
      <c r="A79" s="513" t="s">
        <v>288</v>
      </c>
      <c r="B79" s="820" t="s">
        <v>132</v>
      </c>
      <c r="C79" s="821"/>
      <c r="D79" s="821"/>
      <c r="E79" s="822"/>
      <c r="F79" s="511">
        <v>2.9999999999999997E-4</v>
      </c>
      <c r="G79" s="512">
        <f>$F$34*F79</f>
        <v>0.97732499999999989</v>
      </c>
    </row>
    <row r="80" spans="1:7" x14ac:dyDescent="0.2">
      <c r="A80" s="803" t="s">
        <v>35</v>
      </c>
      <c r="B80" s="803"/>
      <c r="C80" s="803"/>
      <c r="D80" s="803"/>
      <c r="E80" s="803"/>
      <c r="F80" s="509">
        <f>SUM(F73:F79)</f>
        <v>0.19579999999999997</v>
      </c>
      <c r="G80" s="514">
        <f>SUM(G73:G79)</f>
        <v>637.86744999999985</v>
      </c>
    </row>
    <row r="82" spans="1:7" x14ac:dyDescent="0.2">
      <c r="A82" s="810" t="s">
        <v>311</v>
      </c>
      <c r="B82" s="810"/>
      <c r="C82" s="810"/>
      <c r="D82" s="810"/>
      <c r="E82" s="810"/>
      <c r="F82" s="810"/>
      <c r="G82" s="810"/>
    </row>
    <row r="83" spans="1:7" x14ac:dyDescent="0.2">
      <c r="A83" s="515"/>
      <c r="B83" s="515"/>
      <c r="C83" s="515"/>
      <c r="D83" s="515"/>
      <c r="E83" s="515"/>
      <c r="F83" s="515"/>
      <c r="G83" s="515"/>
    </row>
    <row r="84" spans="1:7" x14ac:dyDescent="0.2">
      <c r="A84" s="496" t="s">
        <v>187</v>
      </c>
      <c r="B84" s="803" t="s">
        <v>312</v>
      </c>
      <c r="C84" s="803"/>
      <c r="D84" s="803"/>
      <c r="E84" s="803"/>
      <c r="F84" s="505" t="s">
        <v>24</v>
      </c>
      <c r="G84" s="504" t="s">
        <v>272</v>
      </c>
    </row>
    <row r="85" spans="1:7" x14ac:dyDescent="0.2">
      <c r="A85" s="495" t="s">
        <v>70</v>
      </c>
      <c r="B85" s="800" t="s">
        <v>137</v>
      </c>
      <c r="C85" s="800"/>
      <c r="D85" s="800"/>
      <c r="E85" s="800"/>
      <c r="F85" s="511">
        <v>2.9899999999999999E-2</v>
      </c>
      <c r="G85" s="516">
        <f>$F$34*F85</f>
        <v>97.406724999999994</v>
      </c>
    </row>
    <row r="86" spans="1:7" x14ac:dyDescent="0.2">
      <c r="A86" s="495" t="s">
        <v>85</v>
      </c>
      <c r="B86" s="800" t="s">
        <v>138</v>
      </c>
      <c r="C86" s="800"/>
      <c r="D86" s="800"/>
      <c r="E86" s="800"/>
      <c r="F86" s="511">
        <v>6.9999999999999999E-4</v>
      </c>
      <c r="G86" s="516">
        <f>$F$34*F86</f>
        <v>2.2804250000000001</v>
      </c>
    </row>
    <row r="87" spans="1:7" x14ac:dyDescent="0.2">
      <c r="A87" s="495" t="s">
        <v>28</v>
      </c>
      <c r="B87" s="819" t="s">
        <v>139</v>
      </c>
      <c r="C87" s="800"/>
      <c r="D87" s="800"/>
      <c r="E87" s="800"/>
      <c r="F87" s="511">
        <v>1.01E-2</v>
      </c>
      <c r="G87" s="516">
        <f>$F$34*F87</f>
        <v>32.903275000000001</v>
      </c>
    </row>
    <row r="88" spans="1:7" x14ac:dyDescent="0.2">
      <c r="A88" s="495" t="s">
        <v>94</v>
      </c>
      <c r="B88" s="819" t="s">
        <v>140</v>
      </c>
      <c r="C88" s="800"/>
      <c r="D88" s="800"/>
      <c r="E88" s="800"/>
      <c r="F88" s="511">
        <v>3.6999999999999998E-2</v>
      </c>
      <c r="G88" s="516">
        <f>$F$34*F88</f>
        <v>120.53675</v>
      </c>
    </row>
    <row r="89" spans="1:7" x14ac:dyDescent="0.2">
      <c r="A89" s="495" t="s">
        <v>284</v>
      </c>
      <c r="B89" s="819" t="s">
        <v>141</v>
      </c>
      <c r="C89" s="800"/>
      <c r="D89" s="800"/>
      <c r="E89" s="800"/>
      <c r="F89" s="507">
        <v>2.5000000000000001E-3</v>
      </c>
      <c r="G89" s="516">
        <f>$F$34*F89</f>
        <v>8.1443750000000001</v>
      </c>
    </row>
    <row r="90" spans="1:7" x14ac:dyDescent="0.2">
      <c r="A90" s="811" t="s">
        <v>35</v>
      </c>
      <c r="B90" s="812"/>
      <c r="C90" s="812"/>
      <c r="D90" s="812"/>
      <c r="E90" s="813"/>
      <c r="F90" s="509">
        <f>SUM(F85:F89)</f>
        <v>8.0199999999999994E-2</v>
      </c>
      <c r="G90" s="517">
        <f>SUM(G85:G89)</f>
        <v>261.27154999999999</v>
      </c>
    </row>
    <row r="92" spans="1:7" x14ac:dyDescent="0.2">
      <c r="A92" s="810" t="s">
        <v>313</v>
      </c>
      <c r="B92" s="810"/>
      <c r="C92" s="810"/>
      <c r="D92" s="810"/>
      <c r="E92" s="810"/>
      <c r="F92" s="810"/>
      <c r="G92" s="810"/>
    </row>
    <row r="94" spans="1:7" x14ac:dyDescent="0.2">
      <c r="A94" s="496" t="s">
        <v>188</v>
      </c>
      <c r="B94" s="803" t="s">
        <v>314</v>
      </c>
      <c r="C94" s="803"/>
      <c r="D94" s="803"/>
      <c r="E94" s="803"/>
      <c r="F94" s="505" t="s">
        <v>24</v>
      </c>
      <c r="G94" s="506" t="s">
        <v>272</v>
      </c>
    </row>
    <row r="95" spans="1:7" x14ac:dyDescent="0.2">
      <c r="A95" s="495" t="s">
        <v>70</v>
      </c>
      <c r="B95" s="820" t="s">
        <v>315</v>
      </c>
      <c r="C95" s="821"/>
      <c r="D95" s="821"/>
      <c r="E95" s="822"/>
      <c r="F95" s="511">
        <v>7.2099999999999997E-2</v>
      </c>
      <c r="G95" s="516">
        <f>F34*F95</f>
        <v>234.88377499999999</v>
      </c>
    </row>
    <row r="96" spans="1:7" ht="25.5" customHeight="1" x14ac:dyDescent="0.2">
      <c r="A96" s="495" t="s">
        <v>85</v>
      </c>
      <c r="B96" s="823" t="s">
        <v>316</v>
      </c>
      <c r="C96" s="824"/>
      <c r="D96" s="824"/>
      <c r="E96" s="825"/>
      <c r="F96" s="511">
        <v>2.5999999999999999E-3</v>
      </c>
      <c r="G96" s="516">
        <f>F34*F96</f>
        <v>8.4701500000000003</v>
      </c>
    </row>
    <row r="97" spans="1:14" x14ac:dyDescent="0.2">
      <c r="A97" s="803" t="s">
        <v>35</v>
      </c>
      <c r="B97" s="803"/>
      <c r="C97" s="803"/>
      <c r="D97" s="803"/>
      <c r="E97" s="803"/>
      <c r="F97" s="509">
        <f>SUM(F95:F96)</f>
        <v>7.4700000000000003E-2</v>
      </c>
      <c r="G97" s="517">
        <f>SUM(G95:G96)</f>
        <v>243.35392499999998</v>
      </c>
    </row>
    <row r="98" spans="1:14" x14ac:dyDescent="0.2">
      <c r="A98" s="502"/>
      <c r="B98" s="502"/>
      <c r="C98" s="502"/>
      <c r="D98" s="502"/>
      <c r="E98" s="502"/>
      <c r="F98" s="518"/>
      <c r="G98" s="519"/>
    </row>
    <row r="99" spans="1:14" x14ac:dyDescent="0.2">
      <c r="A99" s="810" t="s">
        <v>317</v>
      </c>
      <c r="B99" s="810"/>
      <c r="C99" s="810"/>
      <c r="D99" s="810"/>
      <c r="E99" s="810"/>
      <c r="F99" s="810"/>
      <c r="G99" s="810"/>
    </row>
    <row r="101" spans="1:14" x14ac:dyDescent="0.2">
      <c r="A101" s="496">
        <v>4</v>
      </c>
      <c r="B101" s="803" t="s">
        <v>318</v>
      </c>
      <c r="C101" s="803"/>
      <c r="D101" s="803"/>
      <c r="E101" s="803"/>
      <c r="F101" s="505" t="s">
        <v>24</v>
      </c>
      <c r="G101" s="506" t="s">
        <v>272</v>
      </c>
    </row>
    <row r="102" spans="1:14" x14ac:dyDescent="0.2">
      <c r="A102" s="495" t="s">
        <v>185</v>
      </c>
      <c r="B102" s="819" t="s">
        <v>300</v>
      </c>
      <c r="C102" s="819"/>
      <c r="D102" s="819"/>
      <c r="E102" s="819"/>
      <c r="F102" s="507">
        <f>F68</f>
        <v>0.3680000000000001</v>
      </c>
      <c r="G102" s="516">
        <f>F34*F102</f>
        <v>1198.8520000000003</v>
      </c>
    </row>
    <row r="103" spans="1:14" x14ac:dyDescent="0.2">
      <c r="A103" s="495" t="s">
        <v>186</v>
      </c>
      <c r="B103" s="819" t="s">
        <v>309</v>
      </c>
      <c r="C103" s="819"/>
      <c r="D103" s="819"/>
      <c r="E103" s="819"/>
      <c r="F103" s="507">
        <f>F80</f>
        <v>0.19579999999999997</v>
      </c>
      <c r="G103" s="516">
        <f>F34*F103</f>
        <v>637.86744999999996</v>
      </c>
    </row>
    <row r="104" spans="1:14" x14ac:dyDescent="0.2">
      <c r="A104" s="495" t="s">
        <v>187</v>
      </c>
      <c r="B104" s="819" t="s">
        <v>312</v>
      </c>
      <c r="C104" s="819"/>
      <c r="D104" s="819"/>
      <c r="E104" s="819"/>
      <c r="F104" s="507">
        <f>F90</f>
        <v>8.0199999999999994E-2</v>
      </c>
      <c r="G104" s="516">
        <f>F104*F34</f>
        <v>261.27154999999999</v>
      </c>
    </row>
    <row r="105" spans="1:14" x14ac:dyDescent="0.2">
      <c r="A105" s="495" t="s">
        <v>188</v>
      </c>
      <c r="B105" s="819" t="s">
        <v>314</v>
      </c>
      <c r="C105" s="819"/>
      <c r="D105" s="819"/>
      <c r="E105" s="819"/>
      <c r="F105" s="507">
        <f>F97</f>
        <v>7.4700000000000003E-2</v>
      </c>
      <c r="G105" s="516">
        <f>F105*F34</f>
        <v>243.353925</v>
      </c>
    </row>
    <row r="106" spans="1:14" x14ac:dyDescent="0.2">
      <c r="A106" s="803" t="s">
        <v>35</v>
      </c>
      <c r="B106" s="803"/>
      <c r="C106" s="803"/>
      <c r="D106" s="803"/>
      <c r="E106" s="803"/>
      <c r="F106" s="509">
        <f>SUM(F102:F105)</f>
        <v>0.71870000000000012</v>
      </c>
      <c r="G106" s="517">
        <f>SUM(G102:G105)</f>
        <v>2341.3449250000003</v>
      </c>
      <c r="I106" s="493">
        <f>G106*12</f>
        <v>28096.139100000004</v>
      </c>
    </row>
    <row r="108" spans="1:14" x14ac:dyDescent="0.2">
      <c r="A108" s="810" t="s">
        <v>319</v>
      </c>
      <c r="B108" s="810"/>
      <c r="C108" s="810"/>
      <c r="D108" s="810"/>
      <c r="E108" s="810"/>
      <c r="F108" s="810"/>
      <c r="G108" s="810"/>
    </row>
    <row r="110" spans="1:14" x14ac:dyDescent="0.2">
      <c r="A110" s="496">
        <v>5</v>
      </c>
      <c r="B110" s="803" t="s">
        <v>320</v>
      </c>
      <c r="C110" s="803"/>
      <c r="D110" s="803"/>
      <c r="E110" s="803"/>
      <c r="F110" s="505" t="s">
        <v>24</v>
      </c>
      <c r="G110" s="506" t="s">
        <v>272</v>
      </c>
      <c r="J110" s="497"/>
      <c r="K110" s="520"/>
      <c r="L110" s="521"/>
      <c r="M110" s="521"/>
      <c r="N110" s="522"/>
    </row>
    <row r="111" spans="1:14" x14ac:dyDescent="0.2">
      <c r="A111" s="495" t="s">
        <v>70</v>
      </c>
      <c r="B111" s="800" t="s">
        <v>321</v>
      </c>
      <c r="C111" s="800"/>
      <c r="D111" s="800"/>
      <c r="E111" s="800"/>
      <c r="F111" s="507">
        <v>0.2</v>
      </c>
      <c r="G111" s="516">
        <f>ROUND((F126*0.2),)</f>
        <v>1256</v>
      </c>
      <c r="J111" s="497"/>
      <c r="K111" s="521"/>
      <c r="L111" s="521"/>
      <c r="M111" s="521"/>
      <c r="N111" s="522"/>
    </row>
    <row r="112" spans="1:14" x14ac:dyDescent="0.2">
      <c r="A112" s="513" t="s">
        <v>322</v>
      </c>
      <c r="B112" s="800" t="s">
        <v>169</v>
      </c>
      <c r="C112" s="800"/>
      <c r="D112" s="800"/>
      <c r="E112" s="800"/>
      <c r="F112" s="509">
        <v>0.16619999999999999</v>
      </c>
      <c r="G112" s="537">
        <f>ROUND(SUM(G113:G115),2)</f>
        <v>1378.12</v>
      </c>
      <c r="J112" s="497"/>
      <c r="K112" s="521"/>
      <c r="L112" s="521"/>
      <c r="M112" s="521"/>
      <c r="N112" s="522"/>
    </row>
    <row r="113" spans="1:14" x14ac:dyDescent="0.2">
      <c r="A113" s="495"/>
      <c r="B113" s="819" t="s">
        <v>323</v>
      </c>
      <c r="C113" s="800"/>
      <c r="D113" s="800"/>
      <c r="E113" s="800"/>
      <c r="F113" s="507">
        <v>0.1079</v>
      </c>
      <c r="G113" s="538">
        <f>ROUND((F113*(F126+G111+G116)),2)</f>
        <v>894.7</v>
      </c>
      <c r="K113" s="521"/>
      <c r="L113" s="521"/>
      <c r="N113" s="524"/>
    </row>
    <row r="114" spans="1:14" x14ac:dyDescent="0.2">
      <c r="A114" s="495"/>
      <c r="B114" s="800" t="s">
        <v>324</v>
      </c>
      <c r="C114" s="800"/>
      <c r="D114" s="800"/>
      <c r="E114" s="800"/>
      <c r="F114" s="525" t="s">
        <v>325</v>
      </c>
      <c r="G114" s="538">
        <v>0</v>
      </c>
    </row>
    <row r="115" spans="1:14" x14ac:dyDescent="0.2">
      <c r="A115" s="495"/>
      <c r="B115" s="800" t="s">
        <v>326</v>
      </c>
      <c r="C115" s="800"/>
      <c r="D115" s="800"/>
      <c r="E115" s="800"/>
      <c r="F115" s="526">
        <v>5.8299999999999998E-2</v>
      </c>
      <c r="G115" s="538">
        <f>ROUND((F115*(F126+G111+G116)),2)</f>
        <v>483.42</v>
      </c>
      <c r="L115" s="521"/>
    </row>
    <row r="116" spans="1:14" x14ac:dyDescent="0.2">
      <c r="A116" s="495" t="s">
        <v>28</v>
      </c>
      <c r="B116" s="800" t="s">
        <v>168</v>
      </c>
      <c r="C116" s="800"/>
      <c r="D116" s="800"/>
      <c r="E116" s="800"/>
      <c r="F116" s="507">
        <v>0.1</v>
      </c>
      <c r="G116" s="516">
        <f>(G111+F126)*0.1</f>
        <v>753.81349250000005</v>
      </c>
    </row>
    <row r="117" spans="1:14" x14ac:dyDescent="0.2">
      <c r="A117" s="803" t="s">
        <v>35</v>
      </c>
      <c r="B117" s="803"/>
      <c r="C117" s="803"/>
      <c r="D117" s="803"/>
      <c r="E117" s="803"/>
      <c r="F117" s="527" t="s">
        <v>327</v>
      </c>
      <c r="G117" s="517">
        <f>G111+G112+G116</f>
        <v>3387.9334924999998</v>
      </c>
    </row>
    <row r="119" spans="1:14" x14ac:dyDescent="0.2">
      <c r="A119" s="810" t="s">
        <v>328</v>
      </c>
      <c r="B119" s="810"/>
      <c r="C119" s="810"/>
      <c r="D119" s="810"/>
      <c r="E119" s="810"/>
      <c r="F119" s="810"/>
      <c r="G119" s="810"/>
    </row>
    <row r="121" spans="1:14" x14ac:dyDescent="0.2">
      <c r="A121" s="811" t="s">
        <v>329</v>
      </c>
      <c r="B121" s="812"/>
      <c r="C121" s="812"/>
      <c r="D121" s="812"/>
      <c r="E121" s="813"/>
      <c r="F121" s="805" t="s">
        <v>272</v>
      </c>
      <c r="G121" s="805"/>
    </row>
    <row r="122" spans="1:14" x14ac:dyDescent="0.2">
      <c r="A122" s="495" t="s">
        <v>70</v>
      </c>
      <c r="B122" s="800" t="s">
        <v>330</v>
      </c>
      <c r="C122" s="800"/>
      <c r="D122" s="800"/>
      <c r="E122" s="800"/>
      <c r="F122" s="818">
        <f>F34</f>
        <v>3257.75</v>
      </c>
      <c r="G122" s="802"/>
    </row>
    <row r="123" spans="1:14" x14ac:dyDescent="0.2">
      <c r="A123" s="495" t="s">
        <v>85</v>
      </c>
      <c r="B123" s="800" t="s">
        <v>331</v>
      </c>
      <c r="C123" s="800"/>
      <c r="D123" s="800"/>
      <c r="E123" s="800"/>
      <c r="F123" s="818">
        <f>F45</f>
        <v>634.74</v>
      </c>
      <c r="G123" s="802"/>
    </row>
    <row r="124" spans="1:14" x14ac:dyDescent="0.2">
      <c r="A124" s="495" t="s">
        <v>28</v>
      </c>
      <c r="B124" s="800" t="s">
        <v>332</v>
      </c>
      <c r="C124" s="800"/>
      <c r="D124" s="800"/>
      <c r="E124" s="800"/>
      <c r="F124" s="818">
        <f>F53</f>
        <v>48.3</v>
      </c>
      <c r="G124" s="802"/>
      <c r="I124" s="528">
        <f>F122+F125</f>
        <v>5599.0949250000003</v>
      </c>
    </row>
    <row r="125" spans="1:14" x14ac:dyDescent="0.2">
      <c r="A125" s="495" t="s">
        <v>94</v>
      </c>
      <c r="B125" s="800" t="s">
        <v>333</v>
      </c>
      <c r="C125" s="800"/>
      <c r="D125" s="800"/>
      <c r="E125" s="800"/>
      <c r="F125" s="814">
        <f>G106</f>
        <v>2341.3449250000003</v>
      </c>
      <c r="G125" s="802"/>
    </row>
    <row r="126" spans="1:14" x14ac:dyDescent="0.2">
      <c r="A126" s="495"/>
      <c r="B126" s="800" t="s">
        <v>334</v>
      </c>
      <c r="C126" s="800"/>
      <c r="D126" s="800"/>
      <c r="E126" s="800"/>
      <c r="F126" s="818">
        <f>SUM(F122:G125)</f>
        <v>6282.1349250000003</v>
      </c>
      <c r="G126" s="802"/>
    </row>
    <row r="127" spans="1:14" x14ac:dyDescent="0.2">
      <c r="A127" s="495" t="s">
        <v>284</v>
      </c>
      <c r="B127" s="800" t="s">
        <v>335</v>
      </c>
      <c r="C127" s="800"/>
      <c r="D127" s="800"/>
      <c r="E127" s="800"/>
      <c r="F127" s="814">
        <f>G117</f>
        <v>3387.9334924999998</v>
      </c>
      <c r="G127" s="802"/>
    </row>
    <row r="128" spans="1:14" x14ac:dyDescent="0.2">
      <c r="A128" s="803" t="s">
        <v>336</v>
      </c>
      <c r="B128" s="803"/>
      <c r="C128" s="803"/>
      <c r="D128" s="803"/>
      <c r="E128" s="803"/>
      <c r="F128" s="815">
        <f>F126+F127</f>
        <v>9670.0684175000006</v>
      </c>
      <c r="G128" s="805"/>
    </row>
    <row r="130" spans="1:7" x14ac:dyDescent="0.2">
      <c r="A130" s="810" t="s">
        <v>337</v>
      </c>
      <c r="B130" s="810"/>
      <c r="C130" s="810"/>
      <c r="D130" s="810"/>
      <c r="E130" s="810"/>
      <c r="F130" s="810"/>
      <c r="G130" s="810"/>
    </row>
    <row r="132" spans="1:7" x14ac:dyDescent="0.2">
      <c r="A132" s="816" t="s">
        <v>338</v>
      </c>
      <c r="B132" s="817"/>
      <c r="C132" s="529" t="s">
        <v>339</v>
      </c>
      <c r="D132" s="529" t="s">
        <v>340</v>
      </c>
      <c r="E132" s="529" t="s">
        <v>341</v>
      </c>
      <c r="F132" s="529" t="s">
        <v>342</v>
      </c>
      <c r="G132" s="529" t="s">
        <v>343</v>
      </c>
    </row>
    <row r="133" spans="1:7" x14ac:dyDescent="0.2">
      <c r="A133" s="806" t="s">
        <v>344</v>
      </c>
      <c r="B133" s="807"/>
      <c r="C133" s="530" t="s">
        <v>345</v>
      </c>
      <c r="D133" s="530" t="s">
        <v>346</v>
      </c>
      <c r="E133" s="530" t="s">
        <v>347</v>
      </c>
      <c r="F133" s="530" t="s">
        <v>346</v>
      </c>
      <c r="G133" s="530" t="s">
        <v>348</v>
      </c>
    </row>
    <row r="134" spans="1:7" x14ac:dyDescent="0.2">
      <c r="A134" s="808" t="s">
        <v>349</v>
      </c>
      <c r="B134" s="809"/>
      <c r="C134" s="531" t="s">
        <v>350</v>
      </c>
      <c r="D134" s="531"/>
      <c r="E134" s="531" t="s">
        <v>351</v>
      </c>
      <c r="F134" s="531" t="s">
        <v>352</v>
      </c>
      <c r="G134" s="531" t="s">
        <v>353</v>
      </c>
    </row>
    <row r="135" spans="1:7" x14ac:dyDescent="0.2">
      <c r="A135" s="494" t="s">
        <v>259</v>
      </c>
      <c r="B135" s="534" t="s">
        <v>366</v>
      </c>
      <c r="C135" s="533">
        <f>F128</f>
        <v>9670.0684175000006</v>
      </c>
      <c r="D135" s="534">
        <v>4</v>
      </c>
      <c r="E135" s="533">
        <f>C135</f>
        <v>9670.0684175000006</v>
      </c>
      <c r="F135" s="534">
        <v>4</v>
      </c>
      <c r="G135" s="533">
        <f>E135*F135</f>
        <v>38680.273670000002</v>
      </c>
    </row>
    <row r="136" spans="1:7" x14ac:dyDescent="0.2">
      <c r="A136" s="803" t="s">
        <v>354</v>
      </c>
      <c r="B136" s="803"/>
      <c r="C136" s="803"/>
      <c r="D136" s="803"/>
      <c r="E136" s="803"/>
      <c r="F136" s="803"/>
      <c r="G136" s="535">
        <f>G135</f>
        <v>38680.273670000002</v>
      </c>
    </row>
    <row r="138" spans="1:7" x14ac:dyDescent="0.2">
      <c r="A138" s="810" t="s">
        <v>355</v>
      </c>
      <c r="B138" s="810"/>
      <c r="C138" s="810"/>
      <c r="D138" s="810"/>
      <c r="E138" s="810"/>
      <c r="F138" s="810"/>
      <c r="G138" s="810"/>
    </row>
    <row r="140" spans="1:7" x14ac:dyDescent="0.2">
      <c r="A140" s="811" t="s">
        <v>356</v>
      </c>
      <c r="B140" s="812"/>
      <c r="C140" s="812"/>
      <c r="D140" s="812"/>
      <c r="E140" s="812"/>
      <c r="F140" s="812"/>
      <c r="G140" s="813"/>
    </row>
    <row r="141" spans="1:7" x14ac:dyDescent="0.2">
      <c r="A141" s="494"/>
      <c r="B141" s="803" t="s">
        <v>357</v>
      </c>
      <c r="C141" s="803"/>
      <c r="D141" s="803"/>
      <c r="E141" s="803"/>
      <c r="F141" s="805" t="s">
        <v>272</v>
      </c>
      <c r="G141" s="805"/>
    </row>
    <row r="142" spans="1:7" x14ac:dyDescent="0.2">
      <c r="A142" s="494" t="s">
        <v>70</v>
      </c>
      <c r="B142" s="800" t="s">
        <v>358</v>
      </c>
      <c r="C142" s="800"/>
      <c r="D142" s="800"/>
      <c r="E142" s="800"/>
      <c r="F142" s="801">
        <f>E135</f>
        <v>9670.0684175000006</v>
      </c>
      <c r="G142" s="802"/>
    </row>
    <row r="143" spans="1:7" x14ac:dyDescent="0.2">
      <c r="A143" s="494" t="s">
        <v>85</v>
      </c>
      <c r="B143" s="800" t="s">
        <v>359</v>
      </c>
      <c r="C143" s="800"/>
      <c r="D143" s="800"/>
      <c r="E143" s="800"/>
      <c r="F143" s="801">
        <f>G136</f>
        <v>38680.273670000002</v>
      </c>
      <c r="G143" s="802"/>
    </row>
    <row r="144" spans="1:7" x14ac:dyDescent="0.2">
      <c r="A144" s="504" t="s">
        <v>28</v>
      </c>
      <c r="B144" s="803" t="s">
        <v>360</v>
      </c>
      <c r="C144" s="803"/>
      <c r="D144" s="803"/>
      <c r="E144" s="803"/>
      <c r="F144" s="804">
        <f>F143*12</f>
        <v>464163.28404000006</v>
      </c>
      <c r="G144" s="805"/>
    </row>
    <row r="147" spans="1:1" x14ac:dyDescent="0.2">
      <c r="A147" s="536" t="s">
        <v>361</v>
      </c>
    </row>
  </sheetData>
  <mergeCells count="161">
    <mergeCell ref="A6:G6"/>
    <mergeCell ref="A8:G10"/>
    <mergeCell ref="B12:E12"/>
    <mergeCell ref="F12:G12"/>
    <mergeCell ref="B13:E13"/>
    <mergeCell ref="F13:G13"/>
    <mergeCell ref="A1:G1"/>
    <mergeCell ref="A2:G2"/>
    <mergeCell ref="A4:D4"/>
    <mergeCell ref="E4:G4"/>
    <mergeCell ref="A5:D5"/>
    <mergeCell ref="E5:G5"/>
    <mergeCell ref="B18:C18"/>
    <mergeCell ref="D18:E18"/>
    <mergeCell ref="F18:G18"/>
    <mergeCell ref="A20:G20"/>
    <mergeCell ref="A21:G21"/>
    <mergeCell ref="A22:G22"/>
    <mergeCell ref="B14:E14"/>
    <mergeCell ref="F14:G14"/>
    <mergeCell ref="B15:E15"/>
    <mergeCell ref="F15:G15"/>
    <mergeCell ref="A17:C17"/>
    <mergeCell ref="D17:E17"/>
    <mergeCell ref="F17:G17"/>
    <mergeCell ref="B26:E26"/>
    <mergeCell ref="F26:G26"/>
    <mergeCell ref="A28:G28"/>
    <mergeCell ref="B29:E29"/>
    <mergeCell ref="F29:G29"/>
    <mergeCell ref="B30:E30"/>
    <mergeCell ref="F30:G30"/>
    <mergeCell ref="B23:E23"/>
    <mergeCell ref="F23:G23"/>
    <mergeCell ref="B24:E24"/>
    <mergeCell ref="F24:G24"/>
    <mergeCell ref="B25:E25"/>
    <mergeCell ref="F25:G25"/>
    <mergeCell ref="A34:E34"/>
    <mergeCell ref="F34:G34"/>
    <mergeCell ref="A36:G36"/>
    <mergeCell ref="B37:E37"/>
    <mergeCell ref="F37:G37"/>
    <mergeCell ref="B38:E38"/>
    <mergeCell ref="F38:G38"/>
    <mergeCell ref="B31:E31"/>
    <mergeCell ref="F31:G31"/>
    <mergeCell ref="B32:E32"/>
    <mergeCell ref="F32:G32"/>
    <mergeCell ref="B33:E33"/>
    <mergeCell ref="F33:G33"/>
    <mergeCell ref="B42:E42"/>
    <mergeCell ref="F42:G42"/>
    <mergeCell ref="B43:E43"/>
    <mergeCell ref="F43:G43"/>
    <mergeCell ref="B44:E44"/>
    <mergeCell ref="F44:G44"/>
    <mergeCell ref="B39:E39"/>
    <mergeCell ref="F39:G39"/>
    <mergeCell ref="B40:E40"/>
    <mergeCell ref="F40:G40"/>
    <mergeCell ref="B41:E41"/>
    <mergeCell ref="F41:G41"/>
    <mergeCell ref="B50:E50"/>
    <mergeCell ref="F50:G50"/>
    <mergeCell ref="B51:E51"/>
    <mergeCell ref="F51:G51"/>
    <mergeCell ref="B52:E52"/>
    <mergeCell ref="F52:G52"/>
    <mergeCell ref="A45:E45"/>
    <mergeCell ref="F45:G45"/>
    <mergeCell ref="A47:G47"/>
    <mergeCell ref="B48:E48"/>
    <mergeCell ref="F48:G48"/>
    <mergeCell ref="B49:E49"/>
    <mergeCell ref="F49:G49"/>
    <mergeCell ref="B61:E61"/>
    <mergeCell ref="B62:E62"/>
    <mergeCell ref="B63:E63"/>
    <mergeCell ref="B64:E64"/>
    <mergeCell ref="B65:E65"/>
    <mergeCell ref="B66:E66"/>
    <mergeCell ref="A53:E53"/>
    <mergeCell ref="F53:G53"/>
    <mergeCell ref="A55:G55"/>
    <mergeCell ref="A57:G57"/>
    <mergeCell ref="B59:E59"/>
    <mergeCell ref="B60:E60"/>
    <mergeCell ref="B75:E75"/>
    <mergeCell ref="B76:E76"/>
    <mergeCell ref="B77:E77"/>
    <mergeCell ref="B78:E78"/>
    <mergeCell ref="B79:E79"/>
    <mergeCell ref="A80:E80"/>
    <mergeCell ref="B67:E67"/>
    <mergeCell ref="A68:E68"/>
    <mergeCell ref="A70:G70"/>
    <mergeCell ref="B72:E72"/>
    <mergeCell ref="B73:E73"/>
    <mergeCell ref="B74:E74"/>
    <mergeCell ref="B89:E89"/>
    <mergeCell ref="A90:E90"/>
    <mergeCell ref="A92:G92"/>
    <mergeCell ref="B94:E94"/>
    <mergeCell ref="B95:E95"/>
    <mergeCell ref="B96:E96"/>
    <mergeCell ref="A82:G82"/>
    <mergeCell ref="B84:E84"/>
    <mergeCell ref="B85:E85"/>
    <mergeCell ref="B86:E86"/>
    <mergeCell ref="B87:E87"/>
    <mergeCell ref="B88:E88"/>
    <mergeCell ref="B105:E105"/>
    <mergeCell ref="A106:E106"/>
    <mergeCell ref="A108:G108"/>
    <mergeCell ref="B110:E110"/>
    <mergeCell ref="B111:E111"/>
    <mergeCell ref="B112:E112"/>
    <mergeCell ref="A97:E97"/>
    <mergeCell ref="A99:G99"/>
    <mergeCell ref="B101:E101"/>
    <mergeCell ref="B102:E102"/>
    <mergeCell ref="B103:E103"/>
    <mergeCell ref="B104:E104"/>
    <mergeCell ref="A121:E121"/>
    <mergeCell ref="F121:G121"/>
    <mergeCell ref="B122:E122"/>
    <mergeCell ref="F122:G122"/>
    <mergeCell ref="B123:E123"/>
    <mergeCell ref="F123:G123"/>
    <mergeCell ref="B113:E113"/>
    <mergeCell ref="B114:E114"/>
    <mergeCell ref="B115:E115"/>
    <mergeCell ref="B116:E116"/>
    <mergeCell ref="A117:E117"/>
    <mergeCell ref="A119:G119"/>
    <mergeCell ref="B127:E127"/>
    <mergeCell ref="F127:G127"/>
    <mergeCell ref="A128:E128"/>
    <mergeCell ref="F128:G128"/>
    <mergeCell ref="A130:G130"/>
    <mergeCell ref="A132:B132"/>
    <mergeCell ref="B124:E124"/>
    <mergeCell ref="F124:G124"/>
    <mergeCell ref="B125:E125"/>
    <mergeCell ref="F125:G125"/>
    <mergeCell ref="B126:E126"/>
    <mergeCell ref="F126:G126"/>
    <mergeCell ref="B142:E142"/>
    <mergeCell ref="F142:G142"/>
    <mergeCell ref="B143:E143"/>
    <mergeCell ref="F143:G143"/>
    <mergeCell ref="B144:E144"/>
    <mergeCell ref="F144:G144"/>
    <mergeCell ref="A133:B133"/>
    <mergeCell ref="A134:B134"/>
    <mergeCell ref="A136:F136"/>
    <mergeCell ref="A138:G138"/>
    <mergeCell ref="A140:G140"/>
    <mergeCell ref="B141:E141"/>
    <mergeCell ref="F141:G141"/>
  </mergeCells>
  <pageMargins left="0.57999999999999996" right="0.39370078740157483" top="0.89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2F6B9-F2C6-4FD8-9CF5-34467EC249E0}">
  <dimension ref="A1:N147"/>
  <sheetViews>
    <sheetView showGridLines="0" topLeftCell="A22" zoomScaleNormal="100" workbookViewId="0">
      <selection activeCell="F39" sqref="F39:G39"/>
    </sheetView>
  </sheetViews>
  <sheetFormatPr defaultRowHeight="12.75" x14ac:dyDescent="0.2"/>
  <cols>
    <col min="1" max="1" width="3.5703125" style="493" customWidth="1"/>
    <col min="2" max="2" width="18" style="493" customWidth="1"/>
    <col min="3" max="3" width="15" style="493" customWidth="1"/>
    <col min="4" max="4" width="14.85546875" style="493" customWidth="1"/>
    <col min="5" max="5" width="14" style="493" customWidth="1"/>
    <col min="6" max="6" width="13" style="493" customWidth="1"/>
    <col min="7" max="7" width="12.85546875" style="493" customWidth="1"/>
    <col min="8" max="8" width="11.5703125" style="493" customWidth="1"/>
    <col min="9" max="9" width="10.140625" style="493" customWidth="1"/>
    <col min="10" max="13" width="9.140625" style="493"/>
    <col min="14" max="14" width="10.5703125" style="493" customWidth="1"/>
    <col min="15" max="16384" width="9.140625" style="493"/>
  </cols>
  <sheetData>
    <row r="1" spans="1:7" x14ac:dyDescent="0.2">
      <c r="A1" s="853" t="s">
        <v>244</v>
      </c>
      <c r="B1" s="853"/>
      <c r="C1" s="853"/>
      <c r="D1" s="853"/>
      <c r="E1" s="853"/>
      <c r="F1" s="853"/>
      <c r="G1" s="853"/>
    </row>
    <row r="2" spans="1:7" x14ac:dyDescent="0.2">
      <c r="A2" s="853" t="s">
        <v>245</v>
      </c>
      <c r="B2" s="853"/>
      <c r="C2" s="853"/>
      <c r="D2" s="853"/>
      <c r="E2" s="853"/>
      <c r="F2" s="853"/>
      <c r="G2" s="853"/>
    </row>
    <row r="4" spans="1:7" x14ac:dyDescent="0.2">
      <c r="A4" s="854" t="s">
        <v>246</v>
      </c>
      <c r="B4" s="821"/>
      <c r="C4" s="821"/>
      <c r="D4" s="822"/>
      <c r="E4" s="855" t="s">
        <v>247</v>
      </c>
      <c r="F4" s="841"/>
      <c r="G4" s="841"/>
    </row>
    <row r="5" spans="1:7" x14ac:dyDescent="0.2">
      <c r="A5" s="854" t="s">
        <v>248</v>
      </c>
      <c r="B5" s="821"/>
      <c r="C5" s="821"/>
      <c r="D5" s="822"/>
      <c r="E5" s="841"/>
      <c r="F5" s="841"/>
      <c r="G5" s="841"/>
    </row>
    <row r="6" spans="1:7" x14ac:dyDescent="0.2">
      <c r="A6" s="843" t="s">
        <v>249</v>
      </c>
      <c r="B6" s="843"/>
      <c r="C6" s="843"/>
      <c r="D6" s="843"/>
      <c r="E6" s="843"/>
      <c r="F6" s="843"/>
      <c r="G6" s="843"/>
    </row>
    <row r="8" spans="1:7" ht="12.75" customHeight="1" x14ac:dyDescent="0.2">
      <c r="A8" s="844" t="s">
        <v>250</v>
      </c>
      <c r="B8" s="845"/>
      <c r="C8" s="845"/>
      <c r="D8" s="845"/>
      <c r="E8" s="845"/>
      <c r="F8" s="845"/>
      <c r="G8" s="846"/>
    </row>
    <row r="9" spans="1:7" x14ac:dyDescent="0.2">
      <c r="A9" s="847"/>
      <c r="B9" s="848"/>
      <c r="C9" s="848"/>
      <c r="D9" s="848"/>
      <c r="E9" s="848"/>
      <c r="F9" s="848"/>
      <c r="G9" s="849"/>
    </row>
    <row r="10" spans="1:7" ht="7.5" customHeight="1" x14ac:dyDescent="0.2">
      <c r="A10" s="850"/>
      <c r="B10" s="851"/>
      <c r="C10" s="851"/>
      <c r="D10" s="851"/>
      <c r="E10" s="851"/>
      <c r="F10" s="851"/>
      <c r="G10" s="852"/>
    </row>
    <row r="12" spans="1:7" x14ac:dyDescent="0.2">
      <c r="A12" s="494" t="s">
        <v>70</v>
      </c>
      <c r="B12" s="800" t="s">
        <v>251</v>
      </c>
      <c r="C12" s="800"/>
      <c r="D12" s="800"/>
      <c r="E12" s="800"/>
      <c r="F12" s="841"/>
      <c r="G12" s="841"/>
    </row>
    <row r="13" spans="1:7" x14ac:dyDescent="0.2">
      <c r="A13" s="494" t="s">
        <v>85</v>
      </c>
      <c r="B13" s="800" t="s">
        <v>252</v>
      </c>
      <c r="C13" s="800"/>
      <c r="D13" s="800"/>
      <c r="E13" s="800"/>
      <c r="F13" s="841" t="s">
        <v>253</v>
      </c>
      <c r="G13" s="841"/>
    </row>
    <row r="14" spans="1:7" x14ac:dyDescent="0.2">
      <c r="A14" s="494" t="s">
        <v>28</v>
      </c>
      <c r="B14" s="800" t="s">
        <v>254</v>
      </c>
      <c r="C14" s="800"/>
      <c r="D14" s="800"/>
      <c r="E14" s="800"/>
      <c r="F14" s="841"/>
      <c r="G14" s="841"/>
    </row>
    <row r="15" spans="1:7" x14ac:dyDescent="0.2">
      <c r="A15" s="494" t="s">
        <v>94</v>
      </c>
      <c r="B15" s="800" t="s">
        <v>255</v>
      </c>
      <c r="C15" s="800"/>
      <c r="D15" s="800"/>
      <c r="E15" s="800"/>
      <c r="F15" s="841">
        <v>12</v>
      </c>
      <c r="G15" s="841"/>
    </row>
    <row r="17" spans="1:7" x14ac:dyDescent="0.2">
      <c r="A17" s="841" t="s">
        <v>256</v>
      </c>
      <c r="B17" s="841"/>
      <c r="C17" s="841"/>
      <c r="D17" s="841" t="s">
        <v>257</v>
      </c>
      <c r="E17" s="841"/>
      <c r="F17" s="841" t="s">
        <v>258</v>
      </c>
      <c r="G17" s="841"/>
    </row>
    <row r="18" spans="1:7" x14ac:dyDescent="0.2">
      <c r="A18" s="494" t="s">
        <v>259</v>
      </c>
      <c r="B18" s="840" t="s">
        <v>367</v>
      </c>
      <c r="C18" s="840"/>
      <c r="D18" s="841">
        <v>1</v>
      </c>
      <c r="E18" s="841"/>
      <c r="F18" s="841">
        <v>1</v>
      </c>
      <c r="G18" s="841"/>
    </row>
    <row r="20" spans="1:7" x14ac:dyDescent="0.2">
      <c r="A20" s="810" t="s">
        <v>261</v>
      </c>
      <c r="B20" s="810"/>
      <c r="C20" s="810"/>
      <c r="D20" s="810"/>
      <c r="E20" s="810"/>
      <c r="F20" s="810"/>
      <c r="G20" s="810"/>
    </row>
    <row r="21" spans="1:7" x14ac:dyDescent="0.2">
      <c r="A21" s="842" t="s">
        <v>262</v>
      </c>
      <c r="B21" s="842"/>
      <c r="C21" s="842"/>
      <c r="D21" s="842"/>
      <c r="E21" s="842"/>
      <c r="F21" s="842"/>
      <c r="G21" s="842"/>
    </row>
    <row r="22" spans="1:7" x14ac:dyDescent="0.2">
      <c r="A22" s="803" t="s">
        <v>263</v>
      </c>
      <c r="B22" s="803"/>
      <c r="C22" s="803"/>
      <c r="D22" s="803"/>
      <c r="E22" s="803"/>
      <c r="F22" s="803"/>
      <c r="G22" s="803"/>
    </row>
    <row r="23" spans="1:7" x14ac:dyDescent="0.2">
      <c r="A23" s="495">
        <v>1</v>
      </c>
      <c r="B23" s="800" t="s">
        <v>264</v>
      </c>
      <c r="C23" s="800"/>
      <c r="D23" s="800"/>
      <c r="E23" s="800"/>
      <c r="F23" s="839" t="s">
        <v>368</v>
      </c>
      <c r="G23" s="802"/>
    </row>
    <row r="24" spans="1:7" x14ac:dyDescent="0.2">
      <c r="A24" s="495">
        <v>2</v>
      </c>
      <c r="B24" s="819" t="s">
        <v>369</v>
      </c>
      <c r="C24" s="800"/>
      <c r="D24" s="800"/>
      <c r="E24" s="800"/>
      <c r="F24" s="801">
        <v>1476.64</v>
      </c>
      <c r="G24" s="801"/>
    </row>
    <row r="25" spans="1:7" x14ac:dyDescent="0.2">
      <c r="A25" s="495">
        <v>3</v>
      </c>
      <c r="B25" s="800" t="s">
        <v>267</v>
      </c>
      <c r="C25" s="800"/>
      <c r="D25" s="800"/>
      <c r="E25" s="800"/>
      <c r="F25" s="839" t="s">
        <v>367</v>
      </c>
      <c r="G25" s="802"/>
    </row>
    <row r="26" spans="1:7" x14ac:dyDescent="0.2">
      <c r="A26" s="495">
        <v>4</v>
      </c>
      <c r="B26" s="800" t="s">
        <v>269</v>
      </c>
      <c r="C26" s="800"/>
      <c r="D26" s="800"/>
      <c r="E26" s="800"/>
      <c r="F26" s="837"/>
      <c r="G26" s="837"/>
    </row>
    <row r="28" spans="1:7" x14ac:dyDescent="0.2">
      <c r="A28" s="803" t="s">
        <v>270</v>
      </c>
      <c r="B28" s="803"/>
      <c r="C28" s="803"/>
      <c r="D28" s="803"/>
      <c r="E28" s="803"/>
      <c r="F28" s="803"/>
      <c r="G28" s="803"/>
    </row>
    <row r="29" spans="1:7" x14ac:dyDescent="0.2">
      <c r="A29" s="496">
        <v>1</v>
      </c>
      <c r="B29" s="803" t="s">
        <v>271</v>
      </c>
      <c r="C29" s="803"/>
      <c r="D29" s="803"/>
      <c r="E29" s="803"/>
      <c r="F29" s="805" t="s">
        <v>272</v>
      </c>
      <c r="G29" s="805"/>
    </row>
    <row r="30" spans="1:7" x14ac:dyDescent="0.2">
      <c r="A30" s="494" t="s">
        <v>70</v>
      </c>
      <c r="B30" s="800" t="s">
        <v>363</v>
      </c>
      <c r="C30" s="800"/>
      <c r="D30" s="800"/>
      <c r="E30" s="800"/>
      <c r="F30" s="838">
        <f>F24</f>
        <v>1476.64</v>
      </c>
      <c r="G30" s="838"/>
    </row>
    <row r="31" spans="1:7" x14ac:dyDescent="0.2">
      <c r="A31" s="494" t="s">
        <v>85</v>
      </c>
      <c r="B31" s="854" t="s">
        <v>364</v>
      </c>
      <c r="C31" s="821"/>
      <c r="D31" s="821"/>
      <c r="E31" s="822"/>
      <c r="F31" s="830">
        <v>0</v>
      </c>
      <c r="G31" s="830"/>
    </row>
    <row r="32" spans="1:7" x14ac:dyDescent="0.2">
      <c r="A32" s="494" t="s">
        <v>28</v>
      </c>
      <c r="B32" s="831" t="s">
        <v>275</v>
      </c>
      <c r="C32" s="832"/>
      <c r="D32" s="832"/>
      <c r="E32" s="833"/>
      <c r="F32" s="830">
        <v>0</v>
      </c>
      <c r="G32" s="830"/>
    </row>
    <row r="33" spans="1:10" x14ac:dyDescent="0.2">
      <c r="A33" s="494" t="s">
        <v>94</v>
      </c>
      <c r="B33" s="834" t="s">
        <v>276</v>
      </c>
      <c r="C33" s="835"/>
      <c r="D33" s="835"/>
      <c r="E33" s="836"/>
      <c r="F33" s="830">
        <v>0</v>
      </c>
      <c r="G33" s="830"/>
      <c r="J33" s="498"/>
    </row>
    <row r="34" spans="1:10" x14ac:dyDescent="0.2">
      <c r="A34" s="803" t="s">
        <v>277</v>
      </c>
      <c r="B34" s="803"/>
      <c r="C34" s="803"/>
      <c r="D34" s="803"/>
      <c r="E34" s="803"/>
      <c r="F34" s="829">
        <f>SUM(F30:G33)</f>
        <v>1476.64</v>
      </c>
      <c r="G34" s="829"/>
      <c r="J34" s="499"/>
    </row>
    <row r="36" spans="1:10" x14ac:dyDescent="0.2">
      <c r="A36" s="810" t="s">
        <v>278</v>
      </c>
      <c r="B36" s="810"/>
      <c r="C36" s="810"/>
      <c r="D36" s="810"/>
      <c r="E36" s="810"/>
      <c r="F36" s="810"/>
      <c r="G36" s="810"/>
    </row>
    <row r="37" spans="1:10" x14ac:dyDescent="0.2">
      <c r="A37" s="496">
        <v>2</v>
      </c>
      <c r="B37" s="803" t="s">
        <v>279</v>
      </c>
      <c r="C37" s="803"/>
      <c r="D37" s="803"/>
      <c r="E37" s="803"/>
      <c r="F37" s="805" t="s">
        <v>272</v>
      </c>
      <c r="G37" s="805"/>
    </row>
    <row r="38" spans="1:10" x14ac:dyDescent="0.2">
      <c r="A38" s="494" t="s">
        <v>70</v>
      </c>
      <c r="B38" s="819" t="s">
        <v>280</v>
      </c>
      <c r="C38" s="800"/>
      <c r="D38" s="800"/>
      <c r="E38" s="800"/>
      <c r="F38" s="818">
        <v>135.03</v>
      </c>
      <c r="G38" s="818"/>
      <c r="I38" s="500"/>
    </row>
    <row r="39" spans="1:10" x14ac:dyDescent="0.2">
      <c r="A39" s="494" t="s">
        <v>85</v>
      </c>
      <c r="B39" s="800" t="s">
        <v>281</v>
      </c>
      <c r="C39" s="800"/>
      <c r="D39" s="800"/>
      <c r="E39" s="800"/>
      <c r="F39" s="818">
        <v>420.7</v>
      </c>
      <c r="G39" s="818"/>
      <c r="I39" s="500"/>
    </row>
    <row r="40" spans="1:10" x14ac:dyDescent="0.2">
      <c r="A40" s="494" t="s">
        <v>28</v>
      </c>
      <c r="B40" s="800" t="s">
        <v>282</v>
      </c>
      <c r="C40" s="800"/>
      <c r="D40" s="800"/>
      <c r="E40" s="800"/>
      <c r="F40" s="818">
        <v>0</v>
      </c>
      <c r="G40" s="818"/>
      <c r="I40" s="500"/>
    </row>
    <row r="41" spans="1:10" x14ac:dyDescent="0.2">
      <c r="A41" s="501" t="s">
        <v>94</v>
      </c>
      <c r="B41" s="819" t="s">
        <v>283</v>
      </c>
      <c r="C41" s="819"/>
      <c r="D41" s="819"/>
      <c r="E41" s="819"/>
      <c r="F41" s="826">
        <v>0</v>
      </c>
      <c r="G41" s="826"/>
      <c r="I41" s="498"/>
    </row>
    <row r="42" spans="1:10" x14ac:dyDescent="0.2">
      <c r="A42" s="494" t="s">
        <v>284</v>
      </c>
      <c r="B42" s="819" t="s">
        <v>285</v>
      </c>
      <c r="C42" s="819"/>
      <c r="D42" s="819"/>
      <c r="E42" s="819"/>
      <c r="F42" s="818">
        <v>13.07</v>
      </c>
      <c r="G42" s="818"/>
      <c r="I42" s="498"/>
    </row>
    <row r="43" spans="1:10" x14ac:dyDescent="0.2">
      <c r="A43" s="494" t="s">
        <v>286</v>
      </c>
      <c r="B43" s="819" t="s">
        <v>287</v>
      </c>
      <c r="C43" s="800"/>
      <c r="D43" s="800"/>
      <c r="E43" s="800"/>
      <c r="F43" s="818">
        <f>65.94</f>
        <v>65.94</v>
      </c>
      <c r="G43" s="818"/>
      <c r="I43" s="498"/>
    </row>
    <row r="44" spans="1:10" x14ac:dyDescent="0.2">
      <c r="A44" s="501" t="s">
        <v>288</v>
      </c>
      <c r="B44" s="820" t="s">
        <v>289</v>
      </c>
      <c r="C44" s="827"/>
      <c r="D44" s="827"/>
      <c r="E44" s="828"/>
      <c r="F44" s="818">
        <v>0</v>
      </c>
      <c r="G44" s="818"/>
      <c r="I44" s="499"/>
    </row>
    <row r="45" spans="1:10" x14ac:dyDescent="0.2">
      <c r="A45" s="803" t="s">
        <v>290</v>
      </c>
      <c r="B45" s="803"/>
      <c r="C45" s="803"/>
      <c r="D45" s="803"/>
      <c r="E45" s="803"/>
      <c r="F45" s="815">
        <f>SUM(F38:G44)</f>
        <v>634.74</v>
      </c>
      <c r="G45" s="815"/>
    </row>
    <row r="47" spans="1:10" x14ac:dyDescent="0.2">
      <c r="A47" s="810" t="s">
        <v>291</v>
      </c>
      <c r="B47" s="810"/>
      <c r="C47" s="810"/>
      <c r="D47" s="810"/>
      <c r="E47" s="810"/>
      <c r="F47" s="810"/>
      <c r="G47" s="810"/>
    </row>
    <row r="48" spans="1:10" x14ac:dyDescent="0.2">
      <c r="A48" s="496">
        <v>3</v>
      </c>
      <c r="B48" s="803" t="s">
        <v>292</v>
      </c>
      <c r="C48" s="803"/>
      <c r="D48" s="803"/>
      <c r="E48" s="803"/>
      <c r="F48" s="805" t="s">
        <v>272</v>
      </c>
      <c r="G48" s="805"/>
    </row>
    <row r="49" spans="1:7" x14ac:dyDescent="0.2">
      <c r="A49" s="494" t="s">
        <v>70</v>
      </c>
      <c r="B49" s="819" t="s">
        <v>365</v>
      </c>
      <c r="C49" s="800"/>
      <c r="D49" s="800"/>
      <c r="E49" s="800"/>
      <c r="F49" s="818">
        <f>(25.92*2)/12</f>
        <v>4.32</v>
      </c>
      <c r="G49" s="818"/>
    </row>
    <row r="50" spans="1:7" x14ac:dyDescent="0.2">
      <c r="A50" s="494" t="s">
        <v>85</v>
      </c>
      <c r="B50" s="819" t="s">
        <v>294</v>
      </c>
      <c r="C50" s="800"/>
      <c r="D50" s="800"/>
      <c r="E50" s="800"/>
      <c r="F50" s="826">
        <v>19.53</v>
      </c>
      <c r="G50" s="818"/>
    </row>
    <row r="51" spans="1:7" x14ac:dyDescent="0.2">
      <c r="A51" s="494" t="s">
        <v>28</v>
      </c>
      <c r="B51" s="819" t="s">
        <v>295</v>
      </c>
      <c r="C51" s="800"/>
      <c r="D51" s="800"/>
      <c r="E51" s="800"/>
      <c r="F51" s="818">
        <f>153/12</f>
        <v>12.75</v>
      </c>
      <c r="G51" s="818"/>
    </row>
    <row r="52" spans="1:7" x14ac:dyDescent="0.2">
      <c r="A52" s="494" t="s">
        <v>94</v>
      </c>
      <c r="B52" s="819" t="s">
        <v>296</v>
      </c>
      <c r="C52" s="800"/>
      <c r="D52" s="800"/>
      <c r="E52" s="800"/>
      <c r="F52" s="818">
        <v>11.7</v>
      </c>
      <c r="G52" s="818"/>
    </row>
    <row r="53" spans="1:7" x14ac:dyDescent="0.2">
      <c r="A53" s="803" t="s">
        <v>297</v>
      </c>
      <c r="B53" s="803"/>
      <c r="C53" s="803"/>
      <c r="D53" s="803"/>
      <c r="E53" s="803"/>
      <c r="F53" s="815">
        <f>SUM(F49:G52)</f>
        <v>48.3</v>
      </c>
      <c r="G53" s="815"/>
    </row>
    <row r="54" spans="1:7" x14ac:dyDescent="0.2">
      <c r="A54" s="502"/>
      <c r="B54" s="502"/>
      <c r="C54" s="502"/>
      <c r="D54" s="502"/>
      <c r="E54" s="502"/>
      <c r="F54" s="503"/>
      <c r="G54" s="503"/>
    </row>
    <row r="55" spans="1:7" x14ac:dyDescent="0.2">
      <c r="A55" s="810" t="s">
        <v>298</v>
      </c>
      <c r="B55" s="810"/>
      <c r="C55" s="810"/>
      <c r="D55" s="810"/>
      <c r="E55" s="810"/>
      <c r="F55" s="810"/>
      <c r="G55" s="810"/>
    </row>
    <row r="57" spans="1:7" x14ac:dyDescent="0.2">
      <c r="A57" s="810" t="s">
        <v>299</v>
      </c>
      <c r="B57" s="810"/>
      <c r="C57" s="810"/>
      <c r="D57" s="810"/>
      <c r="E57" s="810"/>
      <c r="F57" s="810"/>
      <c r="G57" s="810"/>
    </row>
    <row r="59" spans="1:7" x14ac:dyDescent="0.2">
      <c r="A59" s="504" t="s">
        <v>185</v>
      </c>
      <c r="B59" s="803" t="s">
        <v>300</v>
      </c>
      <c r="C59" s="803"/>
      <c r="D59" s="803"/>
      <c r="E59" s="803"/>
      <c r="F59" s="505" t="s">
        <v>24</v>
      </c>
      <c r="G59" s="506" t="s">
        <v>272</v>
      </c>
    </row>
    <row r="60" spans="1:7" x14ac:dyDescent="0.2">
      <c r="A60" s="494" t="s">
        <v>70</v>
      </c>
      <c r="B60" s="800" t="s">
        <v>72</v>
      </c>
      <c r="C60" s="800"/>
      <c r="D60" s="800"/>
      <c r="E60" s="800"/>
      <c r="F60" s="507">
        <v>0.2</v>
      </c>
      <c r="G60" s="508">
        <f>ROUND((F34*F60),2)</f>
        <v>295.33</v>
      </c>
    </row>
    <row r="61" spans="1:7" x14ac:dyDescent="0.2">
      <c r="A61" s="494" t="s">
        <v>85</v>
      </c>
      <c r="B61" s="800" t="s">
        <v>301</v>
      </c>
      <c r="C61" s="800"/>
      <c r="D61" s="800"/>
      <c r="E61" s="800"/>
      <c r="F61" s="507">
        <v>1.4999999999999999E-2</v>
      </c>
      <c r="G61" s="508">
        <f>F34*0.015</f>
        <v>22.1496</v>
      </c>
    </row>
    <row r="62" spans="1:7" x14ac:dyDescent="0.2">
      <c r="A62" s="494" t="s">
        <v>28</v>
      </c>
      <c r="B62" s="800" t="s">
        <v>302</v>
      </c>
      <c r="C62" s="800"/>
      <c r="D62" s="800"/>
      <c r="E62" s="800"/>
      <c r="F62" s="507">
        <v>0.01</v>
      </c>
      <c r="G62" s="508">
        <f>F34*0.01</f>
        <v>14.766400000000001</v>
      </c>
    </row>
    <row r="63" spans="1:7" x14ac:dyDescent="0.2">
      <c r="A63" s="494" t="s">
        <v>94</v>
      </c>
      <c r="B63" s="800" t="s">
        <v>303</v>
      </c>
      <c r="C63" s="800"/>
      <c r="D63" s="800"/>
      <c r="E63" s="800"/>
      <c r="F63" s="507">
        <v>2E-3</v>
      </c>
      <c r="G63" s="508">
        <f>F34*0.002</f>
        <v>2.9532800000000003</v>
      </c>
    </row>
    <row r="64" spans="1:7" x14ac:dyDescent="0.2">
      <c r="A64" s="494" t="s">
        <v>284</v>
      </c>
      <c r="B64" s="800" t="s">
        <v>304</v>
      </c>
      <c r="C64" s="800"/>
      <c r="D64" s="800"/>
      <c r="E64" s="800"/>
      <c r="F64" s="507">
        <v>2.5000000000000001E-2</v>
      </c>
      <c r="G64" s="508">
        <f>F34*0.025</f>
        <v>36.916000000000004</v>
      </c>
    </row>
    <row r="65" spans="1:7" x14ac:dyDescent="0.2">
      <c r="A65" s="494" t="s">
        <v>286</v>
      </c>
      <c r="B65" s="800" t="s">
        <v>73</v>
      </c>
      <c r="C65" s="800"/>
      <c r="D65" s="800"/>
      <c r="E65" s="800"/>
      <c r="F65" s="507">
        <v>0.08</v>
      </c>
      <c r="G65" s="508">
        <f>F34*0.08</f>
        <v>118.13120000000001</v>
      </c>
    </row>
    <row r="66" spans="1:7" x14ac:dyDescent="0.2">
      <c r="A66" s="494" t="s">
        <v>288</v>
      </c>
      <c r="B66" s="800" t="s">
        <v>305</v>
      </c>
      <c r="C66" s="800"/>
      <c r="D66" s="800"/>
      <c r="E66" s="800"/>
      <c r="F66" s="507">
        <v>0.03</v>
      </c>
      <c r="G66" s="508">
        <f>F34*0.03</f>
        <v>44.299199999999999</v>
      </c>
    </row>
    <row r="67" spans="1:7" x14ac:dyDescent="0.2">
      <c r="A67" s="494" t="s">
        <v>306</v>
      </c>
      <c r="B67" s="800" t="s">
        <v>307</v>
      </c>
      <c r="C67" s="800"/>
      <c r="D67" s="800"/>
      <c r="E67" s="800"/>
      <c r="F67" s="507">
        <v>6.0000000000000001E-3</v>
      </c>
      <c r="G67" s="508">
        <f>F34*0.006</f>
        <v>8.8598400000000002</v>
      </c>
    </row>
    <row r="68" spans="1:7" x14ac:dyDescent="0.2">
      <c r="A68" s="803" t="s">
        <v>35</v>
      </c>
      <c r="B68" s="803"/>
      <c r="C68" s="803"/>
      <c r="D68" s="803"/>
      <c r="E68" s="803"/>
      <c r="F68" s="509">
        <f>SUM(F60:F67)</f>
        <v>0.3680000000000001</v>
      </c>
      <c r="G68" s="510">
        <f>SUM(G60:G67)</f>
        <v>543.40552000000002</v>
      </c>
    </row>
    <row r="70" spans="1:7" x14ac:dyDescent="0.2">
      <c r="A70" s="810" t="s">
        <v>308</v>
      </c>
      <c r="B70" s="810"/>
      <c r="C70" s="810"/>
      <c r="D70" s="810"/>
      <c r="E70" s="810"/>
      <c r="F70" s="810"/>
      <c r="G70" s="810"/>
    </row>
    <row r="72" spans="1:7" x14ac:dyDescent="0.2">
      <c r="A72" s="496" t="s">
        <v>186</v>
      </c>
      <c r="B72" s="803" t="s">
        <v>309</v>
      </c>
      <c r="C72" s="803"/>
      <c r="D72" s="803"/>
      <c r="E72" s="803"/>
      <c r="F72" s="505" t="s">
        <v>24</v>
      </c>
      <c r="G72" s="506" t="s">
        <v>272</v>
      </c>
    </row>
    <row r="73" spans="1:7" x14ac:dyDescent="0.2">
      <c r="A73" s="495" t="s">
        <v>70</v>
      </c>
      <c r="B73" s="800" t="s">
        <v>310</v>
      </c>
      <c r="C73" s="800"/>
      <c r="D73" s="800"/>
      <c r="E73" s="800"/>
      <c r="F73" s="511">
        <v>8.3299999999999999E-2</v>
      </c>
      <c r="G73" s="512">
        <f>$F$34*F73</f>
        <v>123.00411200000001</v>
      </c>
    </row>
    <row r="74" spans="1:7" x14ac:dyDescent="0.2">
      <c r="A74" s="495" t="s">
        <v>85</v>
      </c>
      <c r="B74" s="819" t="s">
        <v>127</v>
      </c>
      <c r="C74" s="800"/>
      <c r="D74" s="800"/>
      <c r="E74" s="800"/>
      <c r="F74" s="511">
        <v>9.8199999999999996E-2</v>
      </c>
      <c r="G74" s="512">
        <f>($F$34*F74)</f>
        <v>145.00604799999999</v>
      </c>
    </row>
    <row r="75" spans="1:7" x14ac:dyDescent="0.2">
      <c r="A75" s="513" t="s">
        <v>28</v>
      </c>
      <c r="B75" s="820" t="s">
        <v>128</v>
      </c>
      <c r="C75" s="821"/>
      <c r="D75" s="821"/>
      <c r="E75" s="822"/>
      <c r="F75" s="511">
        <v>6.8999999999999999E-3</v>
      </c>
      <c r="G75" s="512">
        <f>$F$34*F75</f>
        <v>10.188816000000001</v>
      </c>
    </row>
    <row r="76" spans="1:7" x14ac:dyDescent="0.2">
      <c r="A76" s="513" t="s">
        <v>94</v>
      </c>
      <c r="B76" s="820" t="s">
        <v>129</v>
      </c>
      <c r="C76" s="821"/>
      <c r="D76" s="821"/>
      <c r="E76" s="822"/>
      <c r="F76" s="511">
        <v>5.9999999999999995E-4</v>
      </c>
      <c r="G76" s="512">
        <f>$F$34*F76</f>
        <v>0.88598399999999999</v>
      </c>
    </row>
    <row r="77" spans="1:7" x14ac:dyDescent="0.2">
      <c r="A77" s="513" t="s">
        <v>284</v>
      </c>
      <c r="B77" s="820" t="s">
        <v>130</v>
      </c>
      <c r="C77" s="821"/>
      <c r="D77" s="821"/>
      <c r="E77" s="822"/>
      <c r="F77" s="511">
        <v>5.5999999999999999E-3</v>
      </c>
      <c r="G77" s="512">
        <f>$F$34*F77</f>
        <v>8.269184000000001</v>
      </c>
    </row>
    <row r="78" spans="1:7" x14ac:dyDescent="0.2">
      <c r="A78" s="513" t="s">
        <v>286</v>
      </c>
      <c r="B78" s="820" t="s">
        <v>131</v>
      </c>
      <c r="C78" s="821"/>
      <c r="D78" s="821"/>
      <c r="E78" s="822"/>
      <c r="F78" s="511">
        <v>8.9999999999999998E-4</v>
      </c>
      <c r="G78" s="512">
        <f>$F$34*F78</f>
        <v>1.3289760000000002</v>
      </c>
    </row>
    <row r="79" spans="1:7" x14ac:dyDescent="0.2">
      <c r="A79" s="513" t="s">
        <v>288</v>
      </c>
      <c r="B79" s="820" t="s">
        <v>132</v>
      </c>
      <c r="C79" s="821"/>
      <c r="D79" s="821"/>
      <c r="E79" s="822"/>
      <c r="F79" s="511">
        <v>2.9999999999999997E-4</v>
      </c>
      <c r="G79" s="512">
        <f>$F$34*F79</f>
        <v>0.442992</v>
      </c>
    </row>
    <row r="80" spans="1:7" x14ac:dyDescent="0.2">
      <c r="A80" s="803" t="s">
        <v>35</v>
      </c>
      <c r="B80" s="803"/>
      <c r="C80" s="803"/>
      <c r="D80" s="803"/>
      <c r="E80" s="803"/>
      <c r="F80" s="509">
        <f>SUM(F73:F79)</f>
        <v>0.19579999999999997</v>
      </c>
      <c r="G80" s="514">
        <f>SUM(G73:G79)</f>
        <v>289.12611199999998</v>
      </c>
    </row>
    <row r="82" spans="1:7" x14ac:dyDescent="0.2">
      <c r="A82" s="810" t="s">
        <v>311</v>
      </c>
      <c r="B82" s="810"/>
      <c r="C82" s="810"/>
      <c r="D82" s="810"/>
      <c r="E82" s="810"/>
      <c r="F82" s="810"/>
      <c r="G82" s="810"/>
    </row>
    <row r="83" spans="1:7" x14ac:dyDescent="0.2">
      <c r="A83" s="515"/>
      <c r="B83" s="515"/>
      <c r="C83" s="515"/>
      <c r="D83" s="515"/>
      <c r="E83" s="515"/>
      <c r="F83" s="515"/>
      <c r="G83" s="515"/>
    </row>
    <row r="84" spans="1:7" x14ac:dyDescent="0.2">
      <c r="A84" s="496" t="s">
        <v>187</v>
      </c>
      <c r="B84" s="803" t="s">
        <v>312</v>
      </c>
      <c r="C84" s="803"/>
      <c r="D84" s="803"/>
      <c r="E84" s="803"/>
      <c r="F84" s="505" t="s">
        <v>24</v>
      </c>
      <c r="G84" s="504" t="s">
        <v>272</v>
      </c>
    </row>
    <row r="85" spans="1:7" x14ac:dyDescent="0.2">
      <c r="A85" s="495" t="s">
        <v>70</v>
      </c>
      <c r="B85" s="800" t="s">
        <v>137</v>
      </c>
      <c r="C85" s="800"/>
      <c r="D85" s="800"/>
      <c r="E85" s="800"/>
      <c r="F85" s="511">
        <v>2.9899999999999999E-2</v>
      </c>
      <c r="G85" s="516">
        <f>$F$34*F85</f>
        <v>44.151536</v>
      </c>
    </row>
    <row r="86" spans="1:7" x14ac:dyDescent="0.2">
      <c r="A86" s="495" t="s">
        <v>85</v>
      </c>
      <c r="B86" s="800" t="s">
        <v>138</v>
      </c>
      <c r="C86" s="800"/>
      <c r="D86" s="800"/>
      <c r="E86" s="800"/>
      <c r="F86" s="511">
        <v>6.9999999999999999E-4</v>
      </c>
      <c r="G86" s="516">
        <f>$F$34*F86</f>
        <v>1.0336480000000001</v>
      </c>
    </row>
    <row r="87" spans="1:7" x14ac:dyDescent="0.2">
      <c r="A87" s="495" t="s">
        <v>28</v>
      </c>
      <c r="B87" s="819" t="s">
        <v>139</v>
      </c>
      <c r="C87" s="800"/>
      <c r="D87" s="800"/>
      <c r="E87" s="800"/>
      <c r="F87" s="511">
        <v>1.01E-2</v>
      </c>
      <c r="G87" s="516">
        <f>$F$34*F87</f>
        <v>14.914064</v>
      </c>
    </row>
    <row r="88" spans="1:7" x14ac:dyDescent="0.2">
      <c r="A88" s="495" t="s">
        <v>94</v>
      </c>
      <c r="B88" s="819" t="s">
        <v>140</v>
      </c>
      <c r="C88" s="800"/>
      <c r="D88" s="800"/>
      <c r="E88" s="800"/>
      <c r="F88" s="511">
        <v>3.6999999999999998E-2</v>
      </c>
      <c r="G88" s="516">
        <f>$F$34*F88</f>
        <v>54.635680000000001</v>
      </c>
    </row>
    <row r="89" spans="1:7" x14ac:dyDescent="0.2">
      <c r="A89" s="495" t="s">
        <v>284</v>
      </c>
      <c r="B89" s="819" t="s">
        <v>141</v>
      </c>
      <c r="C89" s="800"/>
      <c r="D89" s="800"/>
      <c r="E89" s="800"/>
      <c r="F89" s="507">
        <v>2.5000000000000001E-3</v>
      </c>
      <c r="G89" s="516">
        <f>$F$34*F89</f>
        <v>3.6916000000000002</v>
      </c>
    </row>
    <row r="90" spans="1:7" x14ac:dyDescent="0.2">
      <c r="A90" s="811" t="s">
        <v>35</v>
      </c>
      <c r="B90" s="812"/>
      <c r="C90" s="812"/>
      <c r="D90" s="812"/>
      <c r="E90" s="813"/>
      <c r="F90" s="509">
        <f>SUM(F85:F89)</f>
        <v>8.0199999999999994E-2</v>
      </c>
      <c r="G90" s="517">
        <f>SUM(G85:G89)</f>
        <v>118.42652799999999</v>
      </c>
    </row>
    <row r="92" spans="1:7" x14ac:dyDescent="0.2">
      <c r="A92" s="810" t="s">
        <v>313</v>
      </c>
      <c r="B92" s="810"/>
      <c r="C92" s="810"/>
      <c r="D92" s="810"/>
      <c r="E92" s="810"/>
      <c r="F92" s="810"/>
      <c r="G92" s="810"/>
    </row>
    <row r="94" spans="1:7" x14ac:dyDescent="0.2">
      <c r="A94" s="496" t="s">
        <v>188</v>
      </c>
      <c r="B94" s="803" t="s">
        <v>314</v>
      </c>
      <c r="C94" s="803"/>
      <c r="D94" s="803"/>
      <c r="E94" s="803"/>
      <c r="F94" s="505" t="s">
        <v>24</v>
      </c>
      <c r="G94" s="506" t="s">
        <v>272</v>
      </c>
    </row>
    <row r="95" spans="1:7" x14ac:dyDescent="0.2">
      <c r="A95" s="495" t="s">
        <v>70</v>
      </c>
      <c r="B95" s="820" t="s">
        <v>315</v>
      </c>
      <c r="C95" s="821"/>
      <c r="D95" s="821"/>
      <c r="E95" s="822"/>
      <c r="F95" s="511">
        <v>7.2099999999999997E-2</v>
      </c>
      <c r="G95" s="516">
        <f>F34*F95</f>
        <v>106.465744</v>
      </c>
    </row>
    <row r="96" spans="1:7" ht="25.5" customHeight="1" x14ac:dyDescent="0.2">
      <c r="A96" s="495" t="s">
        <v>85</v>
      </c>
      <c r="B96" s="823" t="s">
        <v>316</v>
      </c>
      <c r="C96" s="824"/>
      <c r="D96" s="824"/>
      <c r="E96" s="825"/>
      <c r="F96" s="511">
        <v>2.5999999999999999E-3</v>
      </c>
      <c r="G96" s="516">
        <f>F34*F96</f>
        <v>3.839264</v>
      </c>
    </row>
    <row r="97" spans="1:14" x14ac:dyDescent="0.2">
      <c r="A97" s="803" t="s">
        <v>35</v>
      </c>
      <c r="B97" s="803"/>
      <c r="C97" s="803"/>
      <c r="D97" s="803"/>
      <c r="E97" s="803"/>
      <c r="F97" s="509">
        <f>SUM(F95:F96)</f>
        <v>7.4700000000000003E-2</v>
      </c>
      <c r="G97" s="517">
        <f>SUM(G95:G96)</f>
        <v>110.305008</v>
      </c>
    </row>
    <row r="98" spans="1:14" x14ac:dyDescent="0.2">
      <c r="A98" s="502"/>
      <c r="B98" s="502"/>
      <c r="C98" s="502"/>
      <c r="D98" s="502"/>
      <c r="E98" s="502"/>
      <c r="F98" s="518"/>
      <c r="G98" s="519"/>
    </row>
    <row r="99" spans="1:14" x14ac:dyDescent="0.2">
      <c r="A99" s="810" t="s">
        <v>317</v>
      </c>
      <c r="B99" s="810"/>
      <c r="C99" s="810"/>
      <c r="D99" s="810"/>
      <c r="E99" s="810"/>
      <c r="F99" s="810"/>
      <c r="G99" s="810"/>
    </row>
    <row r="101" spans="1:14" x14ac:dyDescent="0.2">
      <c r="A101" s="496">
        <v>4</v>
      </c>
      <c r="B101" s="803" t="s">
        <v>318</v>
      </c>
      <c r="C101" s="803"/>
      <c r="D101" s="803"/>
      <c r="E101" s="803"/>
      <c r="F101" s="505" t="s">
        <v>24</v>
      </c>
      <c r="G101" s="506" t="s">
        <v>272</v>
      </c>
    </row>
    <row r="102" spans="1:14" x14ac:dyDescent="0.2">
      <c r="A102" s="495" t="s">
        <v>185</v>
      </c>
      <c r="B102" s="819" t="s">
        <v>300</v>
      </c>
      <c r="C102" s="819"/>
      <c r="D102" s="819"/>
      <c r="E102" s="819"/>
      <c r="F102" s="507">
        <f>F68</f>
        <v>0.3680000000000001</v>
      </c>
      <c r="G102" s="516">
        <f>F34*F102</f>
        <v>543.40352000000019</v>
      </c>
    </row>
    <row r="103" spans="1:14" x14ac:dyDescent="0.2">
      <c r="A103" s="495" t="s">
        <v>186</v>
      </c>
      <c r="B103" s="819" t="s">
        <v>309</v>
      </c>
      <c r="C103" s="819"/>
      <c r="D103" s="819"/>
      <c r="E103" s="819"/>
      <c r="F103" s="507">
        <f>F80</f>
        <v>0.19579999999999997</v>
      </c>
      <c r="G103" s="516">
        <f>F34*F103</f>
        <v>289.12611199999998</v>
      </c>
    </row>
    <row r="104" spans="1:14" x14ac:dyDescent="0.2">
      <c r="A104" s="495" t="s">
        <v>187</v>
      </c>
      <c r="B104" s="819" t="s">
        <v>312</v>
      </c>
      <c r="C104" s="819"/>
      <c r="D104" s="819"/>
      <c r="E104" s="819"/>
      <c r="F104" s="507">
        <f>F90</f>
        <v>8.0199999999999994E-2</v>
      </c>
      <c r="G104" s="516">
        <f>F104*F34</f>
        <v>118.426528</v>
      </c>
    </row>
    <row r="105" spans="1:14" x14ac:dyDescent="0.2">
      <c r="A105" s="495" t="s">
        <v>188</v>
      </c>
      <c r="B105" s="819" t="s">
        <v>314</v>
      </c>
      <c r="C105" s="819"/>
      <c r="D105" s="819"/>
      <c r="E105" s="819"/>
      <c r="F105" s="507">
        <f>F97</f>
        <v>7.4700000000000003E-2</v>
      </c>
      <c r="G105" s="516">
        <f>F105*F34</f>
        <v>110.30500800000002</v>
      </c>
    </row>
    <row r="106" spans="1:14" x14ac:dyDescent="0.2">
      <c r="A106" s="803" t="s">
        <v>35</v>
      </c>
      <c r="B106" s="803"/>
      <c r="C106" s="803"/>
      <c r="D106" s="803"/>
      <c r="E106" s="803"/>
      <c r="F106" s="509">
        <f>SUM(F102:F105)</f>
        <v>0.71870000000000012</v>
      </c>
      <c r="G106" s="517">
        <f>SUM(G102:G105)</f>
        <v>1061.2611680000002</v>
      </c>
      <c r="I106" s="493">
        <f>G106*12</f>
        <v>12735.134016000004</v>
      </c>
    </row>
    <row r="108" spans="1:14" x14ac:dyDescent="0.2">
      <c r="A108" s="810" t="s">
        <v>319</v>
      </c>
      <c r="B108" s="810"/>
      <c r="C108" s="810"/>
      <c r="D108" s="810"/>
      <c r="E108" s="810"/>
      <c r="F108" s="810"/>
      <c r="G108" s="810"/>
    </row>
    <row r="110" spans="1:14" x14ac:dyDescent="0.2">
      <c r="A110" s="496">
        <v>5</v>
      </c>
      <c r="B110" s="803" t="s">
        <v>320</v>
      </c>
      <c r="C110" s="803"/>
      <c r="D110" s="803"/>
      <c r="E110" s="803"/>
      <c r="F110" s="505" t="s">
        <v>24</v>
      </c>
      <c r="G110" s="506" t="s">
        <v>272</v>
      </c>
      <c r="J110" s="497"/>
      <c r="K110" s="520"/>
      <c r="L110" s="521"/>
      <c r="M110" s="521"/>
      <c r="N110" s="522"/>
    </row>
    <row r="111" spans="1:14" x14ac:dyDescent="0.2">
      <c r="A111" s="495" t="s">
        <v>70</v>
      </c>
      <c r="B111" s="800" t="s">
        <v>321</v>
      </c>
      <c r="C111" s="800"/>
      <c r="D111" s="800"/>
      <c r="E111" s="800"/>
      <c r="F111" s="507">
        <v>0.2</v>
      </c>
      <c r="G111" s="516">
        <f>ROUND((F126*0.2),)</f>
        <v>644</v>
      </c>
      <c r="J111" s="497"/>
      <c r="K111" s="521"/>
      <c r="L111" s="521"/>
      <c r="M111" s="521"/>
      <c r="N111" s="522"/>
    </row>
    <row r="112" spans="1:14" x14ac:dyDescent="0.2">
      <c r="A112" s="513" t="s">
        <v>322</v>
      </c>
      <c r="B112" s="800" t="s">
        <v>169</v>
      </c>
      <c r="C112" s="800"/>
      <c r="D112" s="800"/>
      <c r="E112" s="800"/>
      <c r="F112" s="509">
        <v>0.16619999999999999</v>
      </c>
      <c r="G112" s="537">
        <f>ROUND(SUM(G113:G115),2)</f>
        <v>706.59</v>
      </c>
      <c r="J112" s="497"/>
      <c r="K112" s="521"/>
      <c r="L112" s="521"/>
      <c r="M112" s="521"/>
      <c r="N112" s="522"/>
    </row>
    <row r="113" spans="1:14" x14ac:dyDescent="0.2">
      <c r="A113" s="495"/>
      <c r="B113" s="819" t="s">
        <v>323</v>
      </c>
      <c r="C113" s="800"/>
      <c r="D113" s="800"/>
      <c r="E113" s="800"/>
      <c r="F113" s="507">
        <v>0.1079</v>
      </c>
      <c r="G113" s="538">
        <f>ROUND((F113*(F126+G111+G116)),2)</f>
        <v>458.73</v>
      </c>
      <c r="K113" s="521"/>
      <c r="L113" s="521"/>
      <c r="N113" s="524"/>
    </row>
    <row r="114" spans="1:14" x14ac:dyDescent="0.2">
      <c r="A114" s="495"/>
      <c r="B114" s="800" t="s">
        <v>324</v>
      </c>
      <c r="C114" s="800"/>
      <c r="D114" s="800"/>
      <c r="E114" s="800"/>
      <c r="F114" s="525" t="s">
        <v>325</v>
      </c>
      <c r="G114" s="538">
        <v>0</v>
      </c>
    </row>
    <row r="115" spans="1:14" x14ac:dyDescent="0.2">
      <c r="A115" s="495"/>
      <c r="B115" s="800" t="s">
        <v>326</v>
      </c>
      <c r="C115" s="800"/>
      <c r="D115" s="800"/>
      <c r="E115" s="800"/>
      <c r="F115" s="526">
        <v>5.8299999999999998E-2</v>
      </c>
      <c r="G115" s="538">
        <f>ROUND((F115*(F126+G111+G116)),2)</f>
        <v>247.86</v>
      </c>
      <c r="L115" s="521"/>
    </row>
    <row r="116" spans="1:14" x14ac:dyDescent="0.2">
      <c r="A116" s="495" t="s">
        <v>28</v>
      </c>
      <c r="B116" s="800" t="s">
        <v>168</v>
      </c>
      <c r="C116" s="800"/>
      <c r="D116" s="800"/>
      <c r="E116" s="800"/>
      <c r="F116" s="507">
        <v>0.1</v>
      </c>
      <c r="G116" s="516">
        <f>(G111+F126)*0.1</f>
        <v>386.49411680000003</v>
      </c>
    </row>
    <row r="117" spans="1:14" x14ac:dyDescent="0.2">
      <c r="A117" s="803" t="s">
        <v>35</v>
      </c>
      <c r="B117" s="803"/>
      <c r="C117" s="803"/>
      <c r="D117" s="803"/>
      <c r="E117" s="803"/>
      <c r="F117" s="527" t="s">
        <v>327</v>
      </c>
      <c r="G117" s="517">
        <f>G111+G112+G116</f>
        <v>1737.0841168000002</v>
      </c>
    </row>
    <row r="119" spans="1:14" x14ac:dyDescent="0.2">
      <c r="A119" s="810" t="s">
        <v>328</v>
      </c>
      <c r="B119" s="810"/>
      <c r="C119" s="810"/>
      <c r="D119" s="810"/>
      <c r="E119" s="810"/>
      <c r="F119" s="810"/>
      <c r="G119" s="810"/>
    </row>
    <row r="121" spans="1:14" x14ac:dyDescent="0.2">
      <c r="A121" s="811" t="s">
        <v>329</v>
      </c>
      <c r="B121" s="812"/>
      <c r="C121" s="812"/>
      <c r="D121" s="812"/>
      <c r="E121" s="813"/>
      <c r="F121" s="805" t="s">
        <v>272</v>
      </c>
      <c r="G121" s="805"/>
    </row>
    <row r="122" spans="1:14" x14ac:dyDescent="0.2">
      <c r="A122" s="495" t="s">
        <v>70</v>
      </c>
      <c r="B122" s="800" t="s">
        <v>330</v>
      </c>
      <c r="C122" s="800"/>
      <c r="D122" s="800"/>
      <c r="E122" s="800"/>
      <c r="F122" s="818">
        <f>F34</f>
        <v>1476.64</v>
      </c>
      <c r="G122" s="802"/>
    </row>
    <row r="123" spans="1:14" x14ac:dyDescent="0.2">
      <c r="A123" s="495" t="s">
        <v>85</v>
      </c>
      <c r="B123" s="800" t="s">
        <v>331</v>
      </c>
      <c r="C123" s="800"/>
      <c r="D123" s="800"/>
      <c r="E123" s="800"/>
      <c r="F123" s="818">
        <f>F45</f>
        <v>634.74</v>
      </c>
      <c r="G123" s="802"/>
    </row>
    <row r="124" spans="1:14" x14ac:dyDescent="0.2">
      <c r="A124" s="495" t="s">
        <v>28</v>
      </c>
      <c r="B124" s="800" t="s">
        <v>332</v>
      </c>
      <c r="C124" s="800"/>
      <c r="D124" s="800"/>
      <c r="E124" s="800"/>
      <c r="F124" s="818">
        <f>F53</f>
        <v>48.3</v>
      </c>
      <c r="G124" s="802"/>
      <c r="I124" s="528">
        <f>F122+F125</f>
        <v>2537.9011680000003</v>
      </c>
    </row>
    <row r="125" spans="1:14" x14ac:dyDescent="0.2">
      <c r="A125" s="495" t="s">
        <v>94</v>
      </c>
      <c r="B125" s="800" t="s">
        <v>333</v>
      </c>
      <c r="C125" s="800"/>
      <c r="D125" s="800"/>
      <c r="E125" s="800"/>
      <c r="F125" s="814">
        <f>G106</f>
        <v>1061.2611680000002</v>
      </c>
      <c r="G125" s="802"/>
    </row>
    <row r="126" spans="1:14" x14ac:dyDescent="0.2">
      <c r="A126" s="495"/>
      <c r="B126" s="800" t="s">
        <v>334</v>
      </c>
      <c r="C126" s="800"/>
      <c r="D126" s="800"/>
      <c r="E126" s="800"/>
      <c r="F126" s="818">
        <f>SUM(F122:G125)</f>
        <v>3220.9411680000003</v>
      </c>
      <c r="G126" s="802"/>
    </row>
    <row r="127" spans="1:14" x14ac:dyDescent="0.2">
      <c r="A127" s="495" t="s">
        <v>284</v>
      </c>
      <c r="B127" s="800" t="s">
        <v>335</v>
      </c>
      <c r="C127" s="800"/>
      <c r="D127" s="800"/>
      <c r="E127" s="800"/>
      <c r="F127" s="814">
        <f>G117</f>
        <v>1737.0841168000002</v>
      </c>
      <c r="G127" s="802"/>
    </row>
    <row r="128" spans="1:14" x14ac:dyDescent="0.2">
      <c r="A128" s="803" t="s">
        <v>336</v>
      </c>
      <c r="B128" s="803"/>
      <c r="C128" s="803"/>
      <c r="D128" s="803"/>
      <c r="E128" s="803"/>
      <c r="F128" s="815">
        <f>F126+F127</f>
        <v>4958.0252848</v>
      </c>
      <c r="G128" s="805"/>
    </row>
    <row r="130" spans="1:7" x14ac:dyDescent="0.2">
      <c r="A130" s="810" t="s">
        <v>337</v>
      </c>
      <c r="B130" s="810"/>
      <c r="C130" s="810"/>
      <c r="D130" s="810"/>
      <c r="E130" s="810"/>
      <c r="F130" s="810"/>
      <c r="G130" s="810"/>
    </row>
    <row r="132" spans="1:7" x14ac:dyDescent="0.2">
      <c r="A132" s="816" t="s">
        <v>338</v>
      </c>
      <c r="B132" s="817"/>
      <c r="C132" s="529" t="s">
        <v>339</v>
      </c>
      <c r="D132" s="529" t="s">
        <v>340</v>
      </c>
      <c r="E132" s="529" t="s">
        <v>341</v>
      </c>
      <c r="F132" s="529" t="s">
        <v>342</v>
      </c>
      <c r="G132" s="529" t="s">
        <v>343</v>
      </c>
    </row>
    <row r="133" spans="1:7" x14ac:dyDescent="0.2">
      <c r="A133" s="806" t="s">
        <v>344</v>
      </c>
      <c r="B133" s="807"/>
      <c r="C133" s="530" t="s">
        <v>345</v>
      </c>
      <c r="D133" s="530" t="s">
        <v>346</v>
      </c>
      <c r="E133" s="530" t="s">
        <v>347</v>
      </c>
      <c r="F133" s="530" t="s">
        <v>346</v>
      </c>
      <c r="G133" s="530" t="s">
        <v>348</v>
      </c>
    </row>
    <row r="134" spans="1:7" x14ac:dyDescent="0.2">
      <c r="A134" s="808" t="s">
        <v>349</v>
      </c>
      <c r="B134" s="809"/>
      <c r="C134" s="531" t="s">
        <v>350</v>
      </c>
      <c r="D134" s="531"/>
      <c r="E134" s="531" t="s">
        <v>351</v>
      </c>
      <c r="F134" s="531" t="s">
        <v>352</v>
      </c>
      <c r="G134" s="531" t="s">
        <v>353</v>
      </c>
    </row>
    <row r="135" spans="1:7" x14ac:dyDescent="0.2">
      <c r="A135" s="494" t="s">
        <v>259</v>
      </c>
      <c r="B135" s="532" t="s">
        <v>367</v>
      </c>
      <c r="C135" s="533">
        <f>F128</f>
        <v>4958.0252848</v>
      </c>
      <c r="D135" s="534">
        <v>1</v>
      </c>
      <c r="E135" s="533">
        <f>C135</f>
        <v>4958.0252848</v>
      </c>
      <c r="F135" s="534">
        <v>1</v>
      </c>
      <c r="G135" s="533">
        <f>E135*F135</f>
        <v>4958.0252848</v>
      </c>
    </row>
    <row r="136" spans="1:7" x14ac:dyDescent="0.2">
      <c r="A136" s="803" t="s">
        <v>354</v>
      </c>
      <c r="B136" s="803"/>
      <c r="C136" s="803"/>
      <c r="D136" s="803"/>
      <c r="E136" s="803"/>
      <c r="F136" s="803"/>
      <c r="G136" s="535">
        <f>G135</f>
        <v>4958.0252848</v>
      </c>
    </row>
    <row r="138" spans="1:7" x14ac:dyDescent="0.2">
      <c r="A138" s="810" t="s">
        <v>355</v>
      </c>
      <c r="B138" s="810"/>
      <c r="C138" s="810"/>
      <c r="D138" s="810"/>
      <c r="E138" s="810"/>
      <c r="F138" s="810"/>
      <c r="G138" s="810"/>
    </row>
    <row r="140" spans="1:7" x14ac:dyDescent="0.2">
      <c r="A140" s="811" t="s">
        <v>356</v>
      </c>
      <c r="B140" s="812"/>
      <c r="C140" s="812"/>
      <c r="D140" s="812"/>
      <c r="E140" s="812"/>
      <c r="F140" s="812"/>
      <c r="G140" s="813"/>
    </row>
    <row r="141" spans="1:7" x14ac:dyDescent="0.2">
      <c r="A141" s="494"/>
      <c r="B141" s="803" t="s">
        <v>357</v>
      </c>
      <c r="C141" s="803"/>
      <c r="D141" s="803"/>
      <c r="E141" s="803"/>
      <c r="F141" s="805" t="s">
        <v>272</v>
      </c>
      <c r="G141" s="805"/>
    </row>
    <row r="142" spans="1:7" x14ac:dyDescent="0.2">
      <c r="A142" s="494" t="s">
        <v>70</v>
      </c>
      <c r="B142" s="800" t="s">
        <v>358</v>
      </c>
      <c r="C142" s="800"/>
      <c r="D142" s="800"/>
      <c r="E142" s="800"/>
      <c r="F142" s="801">
        <f>E135</f>
        <v>4958.0252848</v>
      </c>
      <c r="G142" s="802"/>
    </row>
    <row r="143" spans="1:7" x14ac:dyDescent="0.2">
      <c r="A143" s="494" t="s">
        <v>85</v>
      </c>
      <c r="B143" s="800" t="s">
        <v>359</v>
      </c>
      <c r="C143" s="800"/>
      <c r="D143" s="800"/>
      <c r="E143" s="800"/>
      <c r="F143" s="801">
        <f>G136</f>
        <v>4958.0252848</v>
      </c>
      <c r="G143" s="802"/>
    </row>
    <row r="144" spans="1:7" x14ac:dyDescent="0.2">
      <c r="A144" s="504" t="s">
        <v>28</v>
      </c>
      <c r="B144" s="803" t="s">
        <v>360</v>
      </c>
      <c r="C144" s="803"/>
      <c r="D144" s="803"/>
      <c r="E144" s="803"/>
      <c r="F144" s="804">
        <f>F143*12</f>
        <v>59496.3034176</v>
      </c>
      <c r="G144" s="805"/>
    </row>
    <row r="147" spans="1:1" x14ac:dyDescent="0.2">
      <c r="A147" s="536" t="s">
        <v>361</v>
      </c>
    </row>
  </sheetData>
  <mergeCells count="161">
    <mergeCell ref="A6:G6"/>
    <mergeCell ref="A8:G10"/>
    <mergeCell ref="B12:E12"/>
    <mergeCell ref="F12:G12"/>
    <mergeCell ref="B13:E13"/>
    <mergeCell ref="F13:G13"/>
    <mergeCell ref="A1:G1"/>
    <mergeCell ref="A2:G2"/>
    <mergeCell ref="A4:D4"/>
    <mergeCell ref="E4:G4"/>
    <mergeCell ref="A5:D5"/>
    <mergeCell ref="E5:G5"/>
    <mergeCell ref="B18:C18"/>
    <mergeCell ref="D18:E18"/>
    <mergeCell ref="F18:G18"/>
    <mergeCell ref="A20:G20"/>
    <mergeCell ref="A21:G21"/>
    <mergeCell ref="A22:G22"/>
    <mergeCell ref="B14:E14"/>
    <mergeCell ref="F14:G14"/>
    <mergeCell ref="B15:E15"/>
    <mergeCell ref="F15:G15"/>
    <mergeCell ref="A17:C17"/>
    <mergeCell ref="D17:E17"/>
    <mergeCell ref="F17:G17"/>
    <mergeCell ref="B26:E26"/>
    <mergeCell ref="F26:G26"/>
    <mergeCell ref="A28:G28"/>
    <mergeCell ref="B29:E29"/>
    <mergeCell ref="F29:G29"/>
    <mergeCell ref="B30:E30"/>
    <mergeCell ref="F30:G30"/>
    <mergeCell ref="B23:E23"/>
    <mergeCell ref="F23:G23"/>
    <mergeCell ref="B24:E24"/>
    <mergeCell ref="F24:G24"/>
    <mergeCell ref="B25:E25"/>
    <mergeCell ref="F25:G25"/>
    <mergeCell ref="A34:E34"/>
    <mergeCell ref="F34:G34"/>
    <mergeCell ref="A36:G36"/>
    <mergeCell ref="B37:E37"/>
    <mergeCell ref="F37:G37"/>
    <mergeCell ref="B38:E38"/>
    <mergeCell ref="F38:G38"/>
    <mergeCell ref="B31:E31"/>
    <mergeCell ref="F31:G31"/>
    <mergeCell ref="B32:E32"/>
    <mergeCell ref="F32:G32"/>
    <mergeCell ref="B33:E33"/>
    <mergeCell ref="F33:G33"/>
    <mergeCell ref="B42:E42"/>
    <mergeCell ref="F42:G42"/>
    <mergeCell ref="B43:E43"/>
    <mergeCell ref="F43:G43"/>
    <mergeCell ref="B44:E44"/>
    <mergeCell ref="F44:G44"/>
    <mergeCell ref="B39:E39"/>
    <mergeCell ref="F39:G39"/>
    <mergeCell ref="B40:E40"/>
    <mergeCell ref="F40:G40"/>
    <mergeCell ref="B41:E41"/>
    <mergeCell ref="F41:G41"/>
    <mergeCell ref="B50:E50"/>
    <mergeCell ref="F50:G50"/>
    <mergeCell ref="B51:E51"/>
    <mergeCell ref="F51:G51"/>
    <mergeCell ref="B52:E52"/>
    <mergeCell ref="F52:G52"/>
    <mergeCell ref="A45:E45"/>
    <mergeCell ref="F45:G45"/>
    <mergeCell ref="A47:G47"/>
    <mergeCell ref="B48:E48"/>
    <mergeCell ref="F48:G48"/>
    <mergeCell ref="B49:E49"/>
    <mergeCell ref="F49:G49"/>
    <mergeCell ref="B61:E61"/>
    <mergeCell ref="B62:E62"/>
    <mergeCell ref="B63:E63"/>
    <mergeCell ref="B64:E64"/>
    <mergeCell ref="B65:E65"/>
    <mergeCell ref="B66:E66"/>
    <mergeCell ref="A53:E53"/>
    <mergeCell ref="F53:G53"/>
    <mergeCell ref="A55:G55"/>
    <mergeCell ref="A57:G57"/>
    <mergeCell ref="B59:E59"/>
    <mergeCell ref="B60:E60"/>
    <mergeCell ref="B75:E75"/>
    <mergeCell ref="B76:E76"/>
    <mergeCell ref="B77:E77"/>
    <mergeCell ref="B78:E78"/>
    <mergeCell ref="B79:E79"/>
    <mergeCell ref="A80:E80"/>
    <mergeCell ref="B67:E67"/>
    <mergeCell ref="A68:E68"/>
    <mergeCell ref="A70:G70"/>
    <mergeCell ref="B72:E72"/>
    <mergeCell ref="B73:E73"/>
    <mergeCell ref="B74:E74"/>
    <mergeCell ref="B89:E89"/>
    <mergeCell ref="A90:E90"/>
    <mergeCell ref="A92:G92"/>
    <mergeCell ref="B94:E94"/>
    <mergeCell ref="B95:E95"/>
    <mergeCell ref="B96:E96"/>
    <mergeCell ref="A82:G82"/>
    <mergeCell ref="B84:E84"/>
    <mergeCell ref="B85:E85"/>
    <mergeCell ref="B86:E86"/>
    <mergeCell ref="B87:E87"/>
    <mergeCell ref="B88:E88"/>
    <mergeCell ref="B105:E105"/>
    <mergeCell ref="A106:E106"/>
    <mergeCell ref="A108:G108"/>
    <mergeCell ref="B110:E110"/>
    <mergeCell ref="B111:E111"/>
    <mergeCell ref="B112:E112"/>
    <mergeCell ref="A97:E97"/>
    <mergeCell ref="A99:G99"/>
    <mergeCell ref="B101:E101"/>
    <mergeCell ref="B102:E102"/>
    <mergeCell ref="B103:E103"/>
    <mergeCell ref="B104:E104"/>
    <mergeCell ref="A121:E121"/>
    <mergeCell ref="F121:G121"/>
    <mergeCell ref="B122:E122"/>
    <mergeCell ref="F122:G122"/>
    <mergeCell ref="B123:E123"/>
    <mergeCell ref="F123:G123"/>
    <mergeCell ref="B113:E113"/>
    <mergeCell ref="B114:E114"/>
    <mergeCell ref="B115:E115"/>
    <mergeCell ref="B116:E116"/>
    <mergeCell ref="A117:E117"/>
    <mergeCell ref="A119:G119"/>
    <mergeCell ref="B127:E127"/>
    <mergeCell ref="F127:G127"/>
    <mergeCell ref="A128:E128"/>
    <mergeCell ref="F128:G128"/>
    <mergeCell ref="A130:G130"/>
    <mergeCell ref="A132:B132"/>
    <mergeCell ref="B124:E124"/>
    <mergeCell ref="F124:G124"/>
    <mergeCell ref="B125:E125"/>
    <mergeCell ref="F125:G125"/>
    <mergeCell ref="B126:E126"/>
    <mergeCell ref="F126:G126"/>
    <mergeCell ref="B142:E142"/>
    <mergeCell ref="F142:G142"/>
    <mergeCell ref="B143:E143"/>
    <mergeCell ref="F143:G143"/>
    <mergeCell ref="B144:E144"/>
    <mergeCell ref="F144:G144"/>
    <mergeCell ref="A133:B133"/>
    <mergeCell ref="A134:B134"/>
    <mergeCell ref="A136:F136"/>
    <mergeCell ref="A138:G138"/>
    <mergeCell ref="A140:G140"/>
    <mergeCell ref="B141:E141"/>
    <mergeCell ref="F141:G141"/>
  </mergeCells>
  <pageMargins left="0.57999999999999996" right="0.39370078740157483" top="0.89" bottom="0.98425196850393704" header="0.51181102362204722" footer="0.51181102362204722"/>
  <pageSetup paperSize="9" orientation="portrait" r:id="rId1"/>
  <headerFooter alignWithMargins="0"/>
  <rowBreaks count="2" manualBreakCount="2">
    <brk id="53" max="16383" man="1"/>
    <brk id="10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A3CA6-60A5-4A90-A3F6-830298FAB95A}">
  <dimension ref="A1:F55"/>
  <sheetViews>
    <sheetView view="pageBreakPreview" topLeftCell="A4" zoomScaleNormal="120" workbookViewId="0">
      <selection activeCell="F26" sqref="F26"/>
    </sheetView>
  </sheetViews>
  <sheetFormatPr defaultRowHeight="12.75" x14ac:dyDescent="0.2"/>
  <cols>
    <col min="1" max="1" width="6" style="544" customWidth="1"/>
    <col min="2" max="2" width="43.28515625" style="539" customWidth="1"/>
    <col min="3" max="3" width="9.140625" style="539"/>
    <col min="4" max="4" width="8.5703125" style="539" customWidth="1"/>
    <col min="5" max="5" width="7.85546875" style="539" customWidth="1"/>
    <col min="6" max="6" width="12.140625" style="539" customWidth="1"/>
    <col min="7" max="16384" width="9.140625" style="539"/>
  </cols>
  <sheetData>
    <row r="1" spans="1:6" x14ac:dyDescent="0.2">
      <c r="A1" s="856" t="s">
        <v>370</v>
      </c>
      <c r="B1" s="856"/>
      <c r="C1" s="856"/>
      <c r="D1" s="856"/>
      <c r="E1" s="856"/>
      <c r="F1" s="856"/>
    </row>
    <row r="3" spans="1:6" x14ac:dyDescent="0.2">
      <c r="A3" s="540"/>
      <c r="B3" s="541"/>
      <c r="C3" s="541"/>
      <c r="D3" s="542"/>
      <c r="E3" s="541"/>
      <c r="F3" s="541"/>
    </row>
    <row r="4" spans="1:6" s="544" customFormat="1" x14ac:dyDescent="0.2">
      <c r="A4" s="540"/>
      <c r="B4" s="543" t="s">
        <v>371</v>
      </c>
      <c r="C4" s="543"/>
      <c r="D4" s="543"/>
      <c r="E4" s="543"/>
      <c r="F4" s="540"/>
    </row>
    <row r="5" spans="1:6" x14ac:dyDescent="0.2">
      <c r="A5" s="540"/>
      <c r="B5" s="541"/>
      <c r="C5" s="541"/>
      <c r="D5" s="541"/>
      <c r="E5" s="541"/>
      <c r="F5" s="541"/>
    </row>
    <row r="6" spans="1:6" x14ac:dyDescent="0.2">
      <c r="A6" s="545" t="s">
        <v>70</v>
      </c>
      <c r="B6" s="546" t="s">
        <v>372</v>
      </c>
      <c r="C6" s="546"/>
      <c r="D6" s="547"/>
      <c r="E6" s="548"/>
      <c r="F6" s="549"/>
    </row>
    <row r="7" spans="1:6" x14ac:dyDescent="0.2">
      <c r="A7" s="550" t="s">
        <v>133</v>
      </c>
      <c r="B7" s="551" t="s">
        <v>373</v>
      </c>
      <c r="C7" s="551"/>
      <c r="D7" s="551"/>
      <c r="E7" s="552"/>
      <c r="F7" s="553">
        <f>(56679+66885)/2</f>
        <v>61782</v>
      </c>
    </row>
    <row r="8" spans="1:6" x14ac:dyDescent="0.2">
      <c r="A8" s="550" t="s">
        <v>26</v>
      </c>
      <c r="B8" s="554" t="s">
        <v>374</v>
      </c>
      <c r="C8" s="554"/>
      <c r="D8" s="554"/>
      <c r="E8" s="555"/>
      <c r="F8" s="556">
        <v>36</v>
      </c>
    </row>
    <row r="9" spans="1:6" x14ac:dyDescent="0.2">
      <c r="A9" s="550" t="s">
        <v>27</v>
      </c>
      <c r="B9" s="554" t="s">
        <v>375</v>
      </c>
      <c r="C9" s="554"/>
      <c r="D9" s="554"/>
      <c r="E9" s="555"/>
      <c r="F9" s="557">
        <v>0.3</v>
      </c>
    </row>
    <row r="10" spans="1:6" x14ac:dyDescent="0.2">
      <c r="A10" s="550" t="s">
        <v>74</v>
      </c>
      <c r="B10" s="543" t="s">
        <v>376</v>
      </c>
      <c r="C10" s="543"/>
      <c r="D10" s="543"/>
      <c r="E10" s="558"/>
      <c r="F10" s="559">
        <f>(F7-(F9*F7))/F8</f>
        <v>1201.3166666666666</v>
      </c>
    </row>
    <row r="11" spans="1:6" x14ac:dyDescent="0.2">
      <c r="A11" s="560"/>
      <c r="B11" s="561"/>
      <c r="C11" s="561"/>
      <c r="D11" s="561"/>
      <c r="E11" s="562"/>
      <c r="F11" s="563"/>
    </row>
    <row r="12" spans="1:6" x14ac:dyDescent="0.2">
      <c r="A12" s="540"/>
      <c r="B12" s="541"/>
      <c r="C12" s="541"/>
      <c r="D12" s="541"/>
      <c r="E12" s="541"/>
      <c r="F12" s="564"/>
    </row>
    <row r="13" spans="1:6" s="544" customFormat="1" x14ac:dyDescent="0.2">
      <c r="D13" s="540"/>
      <c r="E13" s="540"/>
      <c r="F13" s="565"/>
    </row>
    <row r="14" spans="1:6" x14ac:dyDescent="0.2">
      <c r="A14" s="545" t="s">
        <v>85</v>
      </c>
      <c r="B14" s="566" t="s">
        <v>377</v>
      </c>
      <c r="C14" s="566"/>
      <c r="D14" s="567"/>
      <c r="E14" s="567"/>
      <c r="F14" s="568"/>
    </row>
    <row r="15" spans="1:6" x14ac:dyDescent="0.2">
      <c r="A15" s="550" t="s">
        <v>121</v>
      </c>
      <c r="B15" s="554" t="s">
        <v>378</v>
      </c>
      <c r="C15" s="554"/>
      <c r="D15" s="551"/>
      <c r="E15" s="551"/>
      <c r="F15" s="569">
        <v>0.05</v>
      </c>
    </row>
    <row r="16" spans="1:6" x14ac:dyDescent="0.2">
      <c r="A16" s="550" t="s">
        <v>120</v>
      </c>
      <c r="B16" s="543" t="s">
        <v>379</v>
      </c>
      <c r="C16" s="543"/>
      <c r="D16" s="543"/>
      <c r="E16" s="543"/>
      <c r="F16" s="570">
        <f>F15*F10</f>
        <v>60.06583333333333</v>
      </c>
    </row>
    <row r="17" spans="1:6" x14ac:dyDescent="0.2">
      <c r="A17" s="571"/>
      <c r="B17" s="561"/>
      <c r="C17" s="572"/>
      <c r="D17" s="572"/>
      <c r="E17" s="572"/>
      <c r="F17" s="573"/>
    </row>
    <row r="18" spans="1:6" x14ac:dyDescent="0.2">
      <c r="A18" s="574"/>
      <c r="B18" s="575"/>
      <c r="C18" s="575"/>
      <c r="D18" s="541"/>
      <c r="E18" s="541"/>
      <c r="F18" s="576"/>
    </row>
    <row r="19" spans="1:6" s="544" customFormat="1" x14ac:dyDescent="0.2">
      <c r="A19" s="545" t="s">
        <v>28</v>
      </c>
      <c r="B19" s="566" t="s">
        <v>380</v>
      </c>
      <c r="C19" s="566"/>
      <c r="D19" s="567"/>
      <c r="E19" s="567"/>
      <c r="F19" s="568"/>
    </row>
    <row r="20" spans="1:6" x14ac:dyDescent="0.2">
      <c r="A20" s="550" t="s">
        <v>90</v>
      </c>
      <c r="B20" s="554" t="s">
        <v>381</v>
      </c>
      <c r="C20" s="554"/>
      <c r="D20" s="551"/>
      <c r="E20" s="551"/>
      <c r="F20" s="569">
        <v>1</v>
      </c>
    </row>
    <row r="21" spans="1:6" x14ac:dyDescent="0.2">
      <c r="A21" s="550" t="s">
        <v>91</v>
      </c>
      <c r="B21" s="543" t="s">
        <v>382</v>
      </c>
      <c r="C21" s="543"/>
      <c r="D21" s="543"/>
      <c r="E21" s="543"/>
      <c r="F21" s="559">
        <f>(F20*F10)</f>
        <v>1201.3166666666666</v>
      </c>
    </row>
    <row r="22" spans="1:6" x14ac:dyDescent="0.2">
      <c r="A22" s="571"/>
      <c r="B22" s="561"/>
      <c r="C22" s="572"/>
      <c r="D22" s="572"/>
      <c r="E22" s="572"/>
      <c r="F22" s="573"/>
    </row>
    <row r="23" spans="1:6" x14ac:dyDescent="0.2">
      <c r="A23" s="540"/>
      <c r="B23" s="541"/>
      <c r="C23" s="541"/>
      <c r="D23" s="541"/>
      <c r="E23" s="541"/>
      <c r="F23" s="541"/>
    </row>
    <row r="24" spans="1:6" x14ac:dyDescent="0.2">
      <c r="A24" s="545" t="s">
        <v>94</v>
      </c>
      <c r="B24" s="546" t="s">
        <v>383</v>
      </c>
      <c r="C24" s="546"/>
      <c r="D24" s="547"/>
      <c r="E24" s="548"/>
      <c r="F24" s="568"/>
    </row>
    <row r="25" spans="1:6" x14ac:dyDescent="0.2">
      <c r="A25" s="550" t="s">
        <v>96</v>
      </c>
      <c r="B25" s="551" t="s">
        <v>384</v>
      </c>
      <c r="C25" s="551"/>
      <c r="D25" s="551"/>
      <c r="E25" s="552"/>
      <c r="F25" s="553">
        <v>2600</v>
      </c>
    </row>
    <row r="26" spans="1:6" x14ac:dyDescent="0.2">
      <c r="A26" s="550" t="s">
        <v>98</v>
      </c>
      <c r="B26" s="554" t="s">
        <v>385</v>
      </c>
      <c r="C26" s="554"/>
      <c r="D26" s="554"/>
      <c r="E26" s="555"/>
      <c r="F26" s="556">
        <v>4.2</v>
      </c>
    </row>
    <row r="27" spans="1:6" x14ac:dyDescent="0.2">
      <c r="A27" s="550" t="s">
        <v>386</v>
      </c>
      <c r="B27" s="554" t="s">
        <v>387</v>
      </c>
      <c r="C27" s="554"/>
      <c r="D27" s="554"/>
      <c r="E27" s="555"/>
      <c r="F27" s="556">
        <v>10</v>
      </c>
    </row>
    <row r="28" spans="1:6" x14ac:dyDescent="0.2">
      <c r="A28" s="550" t="s">
        <v>388</v>
      </c>
      <c r="B28" s="543" t="s">
        <v>389</v>
      </c>
      <c r="C28" s="543"/>
      <c r="D28" s="543"/>
      <c r="E28" s="558"/>
      <c r="F28" s="559">
        <f>(F25/F27)*F26</f>
        <v>1092</v>
      </c>
    </row>
    <row r="29" spans="1:6" x14ac:dyDescent="0.2">
      <c r="A29" s="577"/>
      <c r="B29" s="554"/>
      <c r="C29" s="554"/>
      <c r="D29" s="554"/>
      <c r="E29" s="555"/>
      <c r="F29" s="553"/>
    </row>
    <row r="30" spans="1:6" x14ac:dyDescent="0.2">
      <c r="A30" s="545"/>
      <c r="B30" s="578"/>
      <c r="C30" s="578"/>
      <c r="D30" s="579"/>
      <c r="E30" s="580"/>
      <c r="F30" s="581"/>
    </row>
    <row r="31" spans="1:6" x14ac:dyDescent="0.2">
      <c r="A31" s="582" t="s">
        <v>284</v>
      </c>
      <c r="B31" s="543" t="s">
        <v>390</v>
      </c>
      <c r="C31" s="543"/>
      <c r="D31" s="583"/>
      <c r="E31" s="584"/>
      <c r="F31" s="585"/>
    </row>
    <row r="32" spans="1:6" x14ac:dyDescent="0.2">
      <c r="A32" s="550" t="s">
        <v>391</v>
      </c>
      <c r="B32" s="551" t="s">
        <v>392</v>
      </c>
      <c r="C32" s="551"/>
      <c r="D32" s="551"/>
      <c r="E32" s="552"/>
      <c r="F32" s="553">
        <f>F25*12</f>
        <v>31200</v>
      </c>
    </row>
    <row r="33" spans="1:6" x14ac:dyDescent="0.2">
      <c r="A33" s="550" t="s">
        <v>393</v>
      </c>
      <c r="B33" s="554" t="s">
        <v>394</v>
      </c>
      <c r="C33" s="554"/>
      <c r="D33" s="554"/>
      <c r="E33" s="555"/>
      <c r="F33" s="556">
        <v>10000</v>
      </c>
    </row>
    <row r="34" spans="1:6" s="544" customFormat="1" x14ac:dyDescent="0.2">
      <c r="A34" s="550" t="s">
        <v>395</v>
      </c>
      <c r="B34" s="554" t="s">
        <v>396</v>
      </c>
      <c r="C34" s="554"/>
      <c r="D34" s="554"/>
      <c r="E34" s="555"/>
      <c r="F34" s="556">
        <f>'[5]Tubos e Conexões'!M48</f>
        <v>30.033333333333331</v>
      </c>
    </row>
    <row r="35" spans="1:6" s="544" customFormat="1" x14ac:dyDescent="0.2">
      <c r="A35" s="550" t="s">
        <v>397</v>
      </c>
      <c r="B35" s="554" t="s">
        <v>398</v>
      </c>
      <c r="C35" s="554"/>
      <c r="D35" s="554"/>
      <c r="E35" s="555"/>
      <c r="F35" s="556">
        <v>4</v>
      </c>
    </row>
    <row r="36" spans="1:6" s="544" customFormat="1" x14ac:dyDescent="0.2">
      <c r="A36" s="550" t="s">
        <v>399</v>
      </c>
      <c r="B36" s="554" t="s">
        <v>400</v>
      </c>
      <c r="C36" s="554"/>
      <c r="D36" s="554"/>
      <c r="E36" s="555"/>
      <c r="F36" s="556">
        <v>730</v>
      </c>
    </row>
    <row r="37" spans="1:6" s="544" customFormat="1" x14ac:dyDescent="0.2">
      <c r="A37" s="550" t="s">
        <v>401</v>
      </c>
      <c r="B37" s="543" t="s">
        <v>402</v>
      </c>
      <c r="C37" s="543"/>
      <c r="D37" s="543"/>
      <c r="E37" s="558"/>
      <c r="F37" s="559">
        <f>(F32*F34*F35*30)/(F33*F36)</f>
        <v>15.403397260273971</v>
      </c>
    </row>
    <row r="38" spans="1:6" s="544" customFormat="1" x14ac:dyDescent="0.2">
      <c r="A38" s="560"/>
      <c r="B38" s="561"/>
      <c r="C38" s="561"/>
      <c r="D38" s="561"/>
      <c r="E38" s="562"/>
      <c r="F38" s="563"/>
    </row>
    <row r="40" spans="1:6" x14ac:dyDescent="0.2">
      <c r="A40" s="586" t="s">
        <v>286</v>
      </c>
      <c r="B40" s="566" t="s">
        <v>403</v>
      </c>
      <c r="C40" s="566"/>
      <c r="D40" s="547"/>
      <c r="E40" s="548"/>
      <c r="F40" s="568"/>
    </row>
    <row r="41" spans="1:6" x14ac:dyDescent="0.2">
      <c r="A41" s="550" t="s">
        <v>404</v>
      </c>
      <c r="B41" s="551" t="s">
        <v>392</v>
      </c>
      <c r="C41" s="551"/>
      <c r="D41" s="551"/>
      <c r="E41" s="552"/>
      <c r="F41" s="553">
        <f>F25*12</f>
        <v>31200</v>
      </c>
    </row>
    <row r="42" spans="1:6" x14ac:dyDescent="0.2">
      <c r="A42" s="550" t="s">
        <v>405</v>
      </c>
      <c r="B42" s="554" t="s">
        <v>406</v>
      </c>
      <c r="C42" s="554"/>
      <c r="D42" s="554"/>
      <c r="E42" s="555"/>
      <c r="F42" s="556">
        <v>30000</v>
      </c>
    </row>
    <row r="43" spans="1:6" x14ac:dyDescent="0.2">
      <c r="A43" s="550" t="s">
        <v>407</v>
      </c>
      <c r="B43" s="554" t="s">
        <v>408</v>
      </c>
      <c r="C43" s="554"/>
      <c r="D43" s="554"/>
      <c r="E43" s="555"/>
      <c r="F43" s="556">
        <v>4</v>
      </c>
    </row>
    <row r="44" spans="1:6" x14ac:dyDescent="0.2">
      <c r="A44" s="550" t="s">
        <v>409</v>
      </c>
      <c r="B44" s="554" t="s">
        <v>410</v>
      </c>
      <c r="C44" s="554"/>
      <c r="D44" s="554"/>
      <c r="E44" s="555"/>
      <c r="F44" s="556">
        <v>467.4</v>
      </c>
    </row>
    <row r="45" spans="1:6" x14ac:dyDescent="0.2">
      <c r="A45" s="550" t="s">
        <v>411</v>
      </c>
      <c r="B45" s="554" t="s">
        <v>400</v>
      </c>
      <c r="C45" s="554"/>
      <c r="D45" s="554"/>
      <c r="E45" s="555"/>
      <c r="F45" s="556">
        <v>730</v>
      </c>
    </row>
    <row r="46" spans="1:6" x14ac:dyDescent="0.2">
      <c r="A46" s="550" t="s">
        <v>412</v>
      </c>
      <c r="B46" s="543" t="s">
        <v>413</v>
      </c>
      <c r="C46" s="543"/>
      <c r="D46" s="543"/>
      <c r="E46" s="558"/>
      <c r="F46" s="559">
        <f>(F41*F43*F44*30)/(F42*F45)</f>
        <v>79.906191780821914</v>
      </c>
    </row>
    <row r="47" spans="1:6" x14ac:dyDescent="0.2">
      <c r="A47" s="560"/>
      <c r="B47" s="561"/>
      <c r="C47" s="561"/>
      <c r="D47" s="561"/>
      <c r="E47" s="562"/>
      <c r="F47" s="563"/>
    </row>
    <row r="49" spans="1:6" x14ac:dyDescent="0.2">
      <c r="A49" s="545" t="s">
        <v>288</v>
      </c>
      <c r="B49" s="566" t="s">
        <v>414</v>
      </c>
      <c r="C49" s="566"/>
      <c r="D49" s="567"/>
      <c r="E49" s="567"/>
      <c r="F49" s="568"/>
    </row>
    <row r="50" spans="1:6" x14ac:dyDescent="0.2">
      <c r="A50" s="550" t="s">
        <v>415</v>
      </c>
      <c r="B50" s="543" t="s">
        <v>416</v>
      </c>
      <c r="C50" s="543"/>
      <c r="D50" s="546"/>
      <c r="E50" s="546"/>
      <c r="F50" s="587">
        <f>F46+F37+F28+F21+F16+F10</f>
        <v>3650.0087557077622</v>
      </c>
    </row>
    <row r="51" spans="1:6" x14ac:dyDescent="0.2">
      <c r="A51" s="571"/>
      <c r="B51" s="561"/>
      <c r="C51" s="572"/>
      <c r="D51" s="572"/>
      <c r="E51" s="572"/>
      <c r="F51" s="573"/>
    </row>
    <row r="53" spans="1:6" x14ac:dyDescent="0.2">
      <c r="A53" s="545" t="s">
        <v>306</v>
      </c>
      <c r="B53" s="566" t="s">
        <v>417</v>
      </c>
      <c r="C53" s="566"/>
      <c r="D53" s="567"/>
      <c r="E53" s="567"/>
      <c r="F53" s="568"/>
    </row>
    <row r="54" spans="1:6" x14ac:dyDescent="0.2">
      <c r="A54" s="550" t="s">
        <v>418</v>
      </c>
      <c r="B54" s="543" t="s">
        <v>416</v>
      </c>
      <c r="C54" s="543"/>
      <c r="D54" s="546"/>
      <c r="E54" s="546"/>
      <c r="F54" s="587">
        <f>F50/F25</f>
        <v>1.4038495214260625</v>
      </c>
    </row>
    <row r="55" spans="1:6" x14ac:dyDescent="0.2">
      <c r="A55" s="571"/>
      <c r="B55" s="561"/>
      <c r="C55" s="572"/>
      <c r="D55" s="572"/>
      <c r="E55" s="572"/>
      <c r="F55" s="573"/>
    </row>
  </sheetData>
  <mergeCells count="1">
    <mergeCell ref="A1:F1"/>
  </mergeCells>
  <pageMargins left="0.75" right="0.75" top="1" bottom="1" header="0.5" footer="0.5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359D2-CA64-4E56-9004-F93A1892F1FB}">
  <dimension ref="A1:F55"/>
  <sheetViews>
    <sheetView view="pageBreakPreview" topLeftCell="A13" zoomScaleNormal="120" workbookViewId="0">
      <selection activeCell="B4" sqref="B4"/>
    </sheetView>
  </sheetViews>
  <sheetFormatPr defaultRowHeight="12.75" x14ac:dyDescent="0.2"/>
  <cols>
    <col min="1" max="1" width="6" style="544" customWidth="1"/>
    <col min="2" max="2" width="43.28515625" style="539" customWidth="1"/>
    <col min="3" max="3" width="9.140625" style="539"/>
    <col min="4" max="4" width="8.5703125" style="539" customWidth="1"/>
    <col min="5" max="5" width="7.85546875" style="539" customWidth="1"/>
    <col min="6" max="6" width="12.140625" style="539" customWidth="1"/>
    <col min="7" max="16384" width="9.140625" style="539"/>
  </cols>
  <sheetData>
    <row r="1" spans="1:6" x14ac:dyDescent="0.2">
      <c r="A1" s="856" t="s">
        <v>419</v>
      </c>
      <c r="B1" s="856"/>
      <c r="C1" s="856"/>
      <c r="D1" s="856"/>
      <c r="E1" s="856"/>
      <c r="F1" s="856"/>
    </row>
    <row r="3" spans="1:6" x14ac:dyDescent="0.2">
      <c r="A3" s="540"/>
      <c r="B3" s="541"/>
      <c r="C3" s="541"/>
      <c r="D3" s="542"/>
      <c r="E3" s="541"/>
      <c r="F3" s="541"/>
    </row>
    <row r="4" spans="1:6" s="544" customFormat="1" x14ac:dyDescent="0.2">
      <c r="A4" s="540"/>
      <c r="B4" s="543" t="s">
        <v>420</v>
      </c>
      <c r="C4" s="543"/>
      <c r="D4" s="543"/>
      <c r="E4" s="543"/>
      <c r="F4" s="540"/>
    </row>
    <row r="5" spans="1:6" x14ac:dyDescent="0.2">
      <c r="A5" s="540"/>
      <c r="B5" s="541"/>
      <c r="C5" s="541"/>
      <c r="D5" s="541"/>
      <c r="E5" s="541"/>
      <c r="F5" s="541"/>
    </row>
    <row r="6" spans="1:6" x14ac:dyDescent="0.2">
      <c r="A6" s="545" t="s">
        <v>70</v>
      </c>
      <c r="B6" s="546" t="s">
        <v>372</v>
      </c>
      <c r="C6" s="546"/>
      <c r="D6" s="547"/>
      <c r="E6" s="548"/>
      <c r="F6" s="549"/>
    </row>
    <row r="7" spans="1:6" x14ac:dyDescent="0.2">
      <c r="A7" s="550" t="s">
        <v>133</v>
      </c>
      <c r="B7" s="551" t="s">
        <v>421</v>
      </c>
      <c r="C7" s="551"/>
      <c r="D7" s="551"/>
      <c r="E7" s="552"/>
      <c r="F7" s="553">
        <v>14000</v>
      </c>
    </row>
    <row r="8" spans="1:6" x14ac:dyDescent="0.2">
      <c r="A8" s="550" t="s">
        <v>26</v>
      </c>
      <c r="B8" s="554" t="s">
        <v>374</v>
      </c>
      <c r="C8" s="554"/>
      <c r="D8" s="554"/>
      <c r="E8" s="555"/>
      <c r="F8" s="556">
        <v>36</v>
      </c>
    </row>
    <row r="9" spans="1:6" x14ac:dyDescent="0.2">
      <c r="A9" s="550" t="s">
        <v>27</v>
      </c>
      <c r="B9" s="554" t="s">
        <v>375</v>
      </c>
      <c r="C9" s="554"/>
      <c r="D9" s="554"/>
      <c r="E9" s="555"/>
      <c r="F9" s="557">
        <v>0.3</v>
      </c>
    </row>
    <row r="10" spans="1:6" x14ac:dyDescent="0.2">
      <c r="A10" s="550" t="s">
        <v>74</v>
      </c>
      <c r="B10" s="543" t="s">
        <v>376</v>
      </c>
      <c r="C10" s="543"/>
      <c r="D10" s="543"/>
      <c r="E10" s="558"/>
      <c r="F10" s="559">
        <f>(F7-(F9*F7))/F8</f>
        <v>272.22222222222223</v>
      </c>
    </row>
    <row r="11" spans="1:6" x14ac:dyDescent="0.2">
      <c r="A11" s="560"/>
      <c r="B11" s="561"/>
      <c r="C11" s="561"/>
      <c r="D11" s="561"/>
      <c r="E11" s="562"/>
      <c r="F11" s="563"/>
    </row>
    <row r="12" spans="1:6" x14ac:dyDescent="0.2">
      <c r="A12" s="540"/>
      <c r="B12" s="541"/>
      <c r="C12" s="541"/>
      <c r="D12" s="541"/>
      <c r="E12" s="541"/>
      <c r="F12" s="564"/>
    </row>
    <row r="13" spans="1:6" s="544" customFormat="1" x14ac:dyDescent="0.2">
      <c r="D13" s="540"/>
      <c r="E13" s="540"/>
      <c r="F13" s="565"/>
    </row>
    <row r="14" spans="1:6" x14ac:dyDescent="0.2">
      <c r="A14" s="545" t="s">
        <v>85</v>
      </c>
      <c r="B14" s="566" t="s">
        <v>377</v>
      </c>
      <c r="C14" s="566"/>
      <c r="D14" s="567"/>
      <c r="E14" s="567"/>
      <c r="F14" s="568"/>
    </row>
    <row r="15" spans="1:6" x14ac:dyDescent="0.2">
      <c r="A15" s="550" t="s">
        <v>121</v>
      </c>
      <c r="B15" s="554" t="s">
        <v>378</v>
      </c>
      <c r="C15" s="554"/>
      <c r="D15" s="551"/>
      <c r="E15" s="551"/>
      <c r="F15" s="569">
        <v>0.05</v>
      </c>
    </row>
    <row r="16" spans="1:6" x14ac:dyDescent="0.2">
      <c r="A16" s="550" t="s">
        <v>120</v>
      </c>
      <c r="B16" s="543" t="s">
        <v>379</v>
      </c>
      <c r="C16" s="543"/>
      <c r="D16" s="543"/>
      <c r="E16" s="543"/>
      <c r="F16" s="570">
        <f>F15*F10</f>
        <v>13.611111111111112</v>
      </c>
    </row>
    <row r="17" spans="1:6" x14ac:dyDescent="0.2">
      <c r="A17" s="571"/>
      <c r="B17" s="561"/>
      <c r="C17" s="572"/>
      <c r="D17" s="572"/>
      <c r="E17" s="572"/>
      <c r="F17" s="573"/>
    </row>
    <row r="18" spans="1:6" x14ac:dyDescent="0.2">
      <c r="A18" s="574"/>
      <c r="B18" s="575"/>
      <c r="C18" s="575"/>
      <c r="D18" s="541"/>
      <c r="E18" s="541"/>
      <c r="F18" s="576"/>
    </row>
    <row r="19" spans="1:6" s="544" customFormat="1" x14ac:dyDescent="0.2">
      <c r="A19" s="545" t="s">
        <v>28</v>
      </c>
      <c r="B19" s="566" t="s">
        <v>380</v>
      </c>
      <c r="C19" s="566"/>
      <c r="D19" s="567"/>
      <c r="E19" s="567"/>
      <c r="F19" s="568"/>
    </row>
    <row r="20" spans="1:6" x14ac:dyDescent="0.2">
      <c r="A20" s="550" t="s">
        <v>90</v>
      </c>
      <c r="B20" s="554" t="s">
        <v>381</v>
      </c>
      <c r="C20" s="554"/>
      <c r="D20" s="551"/>
      <c r="E20" s="551"/>
      <c r="F20" s="569">
        <v>1</v>
      </c>
    </row>
    <row r="21" spans="1:6" x14ac:dyDescent="0.2">
      <c r="A21" s="550" t="s">
        <v>91</v>
      </c>
      <c r="B21" s="543" t="s">
        <v>382</v>
      </c>
      <c r="C21" s="543"/>
      <c r="D21" s="543"/>
      <c r="E21" s="543"/>
      <c r="F21" s="559">
        <f>(F20*F10)</f>
        <v>272.22222222222223</v>
      </c>
    </row>
    <row r="22" spans="1:6" x14ac:dyDescent="0.2">
      <c r="A22" s="571"/>
      <c r="B22" s="561"/>
      <c r="C22" s="572"/>
      <c r="D22" s="572"/>
      <c r="E22" s="572"/>
      <c r="F22" s="573"/>
    </row>
    <row r="23" spans="1:6" x14ac:dyDescent="0.2">
      <c r="A23" s="540"/>
      <c r="B23" s="541"/>
      <c r="C23" s="541"/>
      <c r="D23" s="541"/>
      <c r="E23" s="541"/>
      <c r="F23" s="541"/>
    </row>
    <row r="24" spans="1:6" x14ac:dyDescent="0.2">
      <c r="A24" s="545" t="s">
        <v>94</v>
      </c>
      <c r="B24" s="546" t="s">
        <v>383</v>
      </c>
      <c r="C24" s="546"/>
      <c r="D24" s="547"/>
      <c r="E24" s="548"/>
      <c r="F24" s="568"/>
    </row>
    <row r="25" spans="1:6" x14ac:dyDescent="0.2">
      <c r="A25" s="550" t="s">
        <v>96</v>
      </c>
      <c r="B25" s="551" t="s">
        <v>384</v>
      </c>
      <c r="C25" s="551"/>
      <c r="D25" s="551"/>
      <c r="E25" s="552"/>
      <c r="F25" s="553">
        <v>2500</v>
      </c>
    </row>
    <row r="26" spans="1:6" x14ac:dyDescent="0.2">
      <c r="A26" s="550" t="s">
        <v>98</v>
      </c>
      <c r="B26" s="554" t="s">
        <v>385</v>
      </c>
      <c r="C26" s="554"/>
      <c r="D26" s="554"/>
      <c r="E26" s="555"/>
      <c r="F26" s="556">
        <v>4.2</v>
      </c>
    </row>
    <row r="27" spans="1:6" x14ac:dyDescent="0.2">
      <c r="A27" s="550" t="s">
        <v>386</v>
      </c>
      <c r="B27" s="554" t="s">
        <v>387</v>
      </c>
      <c r="C27" s="554"/>
      <c r="D27" s="554"/>
      <c r="E27" s="555"/>
      <c r="F27" s="556">
        <v>30</v>
      </c>
    </row>
    <row r="28" spans="1:6" x14ac:dyDescent="0.2">
      <c r="A28" s="550" t="s">
        <v>388</v>
      </c>
      <c r="B28" s="543" t="s">
        <v>389</v>
      </c>
      <c r="C28" s="543"/>
      <c r="D28" s="543"/>
      <c r="E28" s="558"/>
      <c r="F28" s="559">
        <f>(F25/F27)*F26</f>
        <v>350</v>
      </c>
    </row>
    <row r="29" spans="1:6" x14ac:dyDescent="0.2">
      <c r="A29" s="577"/>
      <c r="B29" s="554"/>
      <c r="C29" s="554"/>
      <c r="D29" s="554"/>
      <c r="E29" s="555"/>
      <c r="F29" s="553"/>
    </row>
    <row r="30" spans="1:6" x14ac:dyDescent="0.2">
      <c r="A30" s="545"/>
      <c r="B30" s="578"/>
      <c r="C30" s="578"/>
      <c r="D30" s="579"/>
      <c r="E30" s="580"/>
      <c r="F30" s="581"/>
    </row>
    <row r="31" spans="1:6" x14ac:dyDescent="0.2">
      <c r="A31" s="582" t="s">
        <v>284</v>
      </c>
      <c r="B31" s="543" t="s">
        <v>390</v>
      </c>
      <c r="C31" s="543"/>
      <c r="D31" s="583"/>
      <c r="E31" s="584"/>
      <c r="F31" s="585"/>
    </row>
    <row r="32" spans="1:6" x14ac:dyDescent="0.2">
      <c r="A32" s="550" t="s">
        <v>391</v>
      </c>
      <c r="B32" s="551" t="s">
        <v>392</v>
      </c>
      <c r="C32" s="551"/>
      <c r="D32" s="551"/>
      <c r="E32" s="552"/>
      <c r="F32" s="553">
        <f>F25*12</f>
        <v>30000</v>
      </c>
    </row>
    <row r="33" spans="1:6" x14ac:dyDescent="0.2">
      <c r="A33" s="550" t="s">
        <v>393</v>
      </c>
      <c r="B33" s="554" t="s">
        <v>422</v>
      </c>
      <c r="C33" s="554"/>
      <c r="D33" s="554"/>
      <c r="E33" s="555"/>
      <c r="F33" s="556">
        <v>4000</v>
      </c>
    </row>
    <row r="34" spans="1:6" s="544" customFormat="1" x14ac:dyDescent="0.2">
      <c r="A34" s="550" t="s">
        <v>395</v>
      </c>
      <c r="B34" s="554" t="s">
        <v>396</v>
      </c>
      <c r="C34" s="554"/>
      <c r="D34" s="554"/>
      <c r="E34" s="555"/>
      <c r="F34" s="556">
        <f>'[5]Tubos e Conexões'!M48</f>
        <v>30.033333333333331</v>
      </c>
    </row>
    <row r="35" spans="1:6" s="544" customFormat="1" x14ac:dyDescent="0.2">
      <c r="A35" s="550" t="s">
        <v>397</v>
      </c>
      <c r="B35" s="554" t="s">
        <v>398</v>
      </c>
      <c r="C35" s="554"/>
      <c r="D35" s="554"/>
      <c r="E35" s="555"/>
      <c r="F35" s="556">
        <v>1.2</v>
      </c>
    </row>
    <row r="36" spans="1:6" s="544" customFormat="1" x14ac:dyDescent="0.2">
      <c r="A36" s="550" t="s">
        <v>399</v>
      </c>
      <c r="B36" s="554" t="s">
        <v>400</v>
      </c>
      <c r="C36" s="554"/>
      <c r="D36" s="554"/>
      <c r="E36" s="555"/>
      <c r="F36" s="556">
        <v>730</v>
      </c>
    </row>
    <row r="37" spans="1:6" s="544" customFormat="1" x14ac:dyDescent="0.2">
      <c r="A37" s="550" t="s">
        <v>401</v>
      </c>
      <c r="B37" s="543" t="s">
        <v>402</v>
      </c>
      <c r="C37" s="543"/>
      <c r="D37" s="543"/>
      <c r="E37" s="558"/>
      <c r="F37" s="559">
        <f>(F32*F34*F35*30)/(F33*F36)</f>
        <v>11.108219178082193</v>
      </c>
    </row>
    <row r="38" spans="1:6" s="544" customFormat="1" x14ac:dyDescent="0.2">
      <c r="A38" s="560"/>
      <c r="B38" s="561"/>
      <c r="C38" s="561"/>
      <c r="D38" s="561"/>
      <c r="E38" s="562"/>
      <c r="F38" s="563"/>
    </row>
    <row r="40" spans="1:6" x14ac:dyDescent="0.2">
      <c r="A40" s="586" t="s">
        <v>286</v>
      </c>
      <c r="B40" s="566" t="s">
        <v>403</v>
      </c>
      <c r="C40" s="566"/>
      <c r="D40" s="547"/>
      <c r="E40" s="548"/>
      <c r="F40" s="568"/>
    </row>
    <row r="41" spans="1:6" x14ac:dyDescent="0.2">
      <c r="A41" s="550" t="s">
        <v>404</v>
      </c>
      <c r="B41" s="551" t="s">
        <v>392</v>
      </c>
      <c r="C41" s="551"/>
      <c r="D41" s="551"/>
      <c r="E41" s="552"/>
      <c r="F41" s="553">
        <f>F25*12</f>
        <v>30000</v>
      </c>
    </row>
    <row r="42" spans="1:6" x14ac:dyDescent="0.2">
      <c r="A42" s="550" t="s">
        <v>405</v>
      </c>
      <c r="B42" s="554" t="s">
        <v>406</v>
      </c>
      <c r="C42" s="554"/>
      <c r="D42" s="554"/>
      <c r="E42" s="555"/>
      <c r="F42" s="556">
        <v>10000</v>
      </c>
    </row>
    <row r="43" spans="1:6" x14ac:dyDescent="0.2">
      <c r="A43" s="550" t="s">
        <v>407</v>
      </c>
      <c r="B43" s="554" t="s">
        <v>408</v>
      </c>
      <c r="C43" s="554"/>
      <c r="D43" s="554"/>
      <c r="E43" s="555"/>
      <c r="F43" s="556">
        <v>2</v>
      </c>
    </row>
    <row r="44" spans="1:6" x14ac:dyDescent="0.2">
      <c r="A44" s="550" t="s">
        <v>409</v>
      </c>
      <c r="B44" s="554" t="s">
        <v>410</v>
      </c>
      <c r="C44" s="554"/>
      <c r="D44" s="554"/>
      <c r="E44" s="555"/>
      <c r="F44" s="556">
        <v>234.56</v>
      </c>
    </row>
    <row r="45" spans="1:6" x14ac:dyDescent="0.2">
      <c r="A45" s="550" t="s">
        <v>411</v>
      </c>
      <c r="B45" s="554" t="s">
        <v>400</v>
      </c>
      <c r="C45" s="554"/>
      <c r="D45" s="554"/>
      <c r="E45" s="555"/>
      <c r="F45" s="556">
        <v>730</v>
      </c>
    </row>
    <row r="46" spans="1:6" x14ac:dyDescent="0.2">
      <c r="A46" s="550" t="s">
        <v>412</v>
      </c>
      <c r="B46" s="543" t="s">
        <v>413</v>
      </c>
      <c r="C46" s="543"/>
      <c r="D46" s="543"/>
      <c r="E46" s="558"/>
      <c r="F46" s="559">
        <f>(F41*F43*F44*30)/(F42*F45)</f>
        <v>57.836712328767121</v>
      </c>
    </row>
    <row r="47" spans="1:6" x14ac:dyDescent="0.2">
      <c r="A47" s="560"/>
      <c r="B47" s="561"/>
      <c r="C47" s="561"/>
      <c r="D47" s="561"/>
      <c r="E47" s="562"/>
      <c r="F47" s="563"/>
    </row>
    <row r="49" spans="1:6" x14ac:dyDescent="0.2">
      <c r="A49" s="545" t="s">
        <v>288</v>
      </c>
      <c r="B49" s="566" t="s">
        <v>414</v>
      </c>
      <c r="C49" s="566"/>
      <c r="D49" s="567"/>
      <c r="E49" s="567"/>
      <c r="F49" s="568"/>
    </row>
    <row r="50" spans="1:6" x14ac:dyDescent="0.2">
      <c r="A50" s="550" t="s">
        <v>415</v>
      </c>
      <c r="B50" s="543" t="s">
        <v>416</v>
      </c>
      <c r="C50" s="543"/>
      <c r="D50" s="546"/>
      <c r="E50" s="546"/>
      <c r="F50" s="587">
        <f>F46+F37+F28+F21+F16+F10</f>
        <v>977.00048706240477</v>
      </c>
    </row>
    <row r="51" spans="1:6" x14ac:dyDescent="0.2">
      <c r="A51" s="571"/>
      <c r="B51" s="561"/>
      <c r="C51" s="572"/>
      <c r="D51" s="572"/>
      <c r="E51" s="572"/>
      <c r="F51" s="573"/>
    </row>
    <row r="53" spans="1:6" x14ac:dyDescent="0.2">
      <c r="A53" s="545" t="s">
        <v>306</v>
      </c>
      <c r="B53" s="566" t="s">
        <v>417</v>
      </c>
      <c r="C53" s="566"/>
      <c r="D53" s="567"/>
      <c r="E53" s="567"/>
      <c r="F53" s="568"/>
    </row>
    <row r="54" spans="1:6" x14ac:dyDescent="0.2">
      <c r="A54" s="550" t="s">
        <v>418</v>
      </c>
      <c r="B54" s="543" t="s">
        <v>416</v>
      </c>
      <c r="C54" s="543"/>
      <c r="D54" s="546"/>
      <c r="E54" s="546"/>
      <c r="F54" s="587">
        <f>F50/F25</f>
        <v>0.39080019482496192</v>
      </c>
    </row>
    <row r="55" spans="1:6" x14ac:dyDescent="0.2">
      <c r="A55" s="571"/>
      <c r="B55" s="561"/>
      <c r="C55" s="572"/>
      <c r="D55" s="572"/>
      <c r="E55" s="572"/>
      <c r="F55" s="573"/>
    </row>
  </sheetData>
  <mergeCells count="1">
    <mergeCell ref="A1:F1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8"/>
  <sheetViews>
    <sheetView showGridLines="0" topLeftCell="B1" zoomScale="110" zoomScaleNormal="110" zoomScaleSheetLayoutView="100" workbookViewId="0">
      <selection activeCell="Q25" sqref="Q25"/>
    </sheetView>
  </sheetViews>
  <sheetFormatPr defaultColWidth="11.42578125" defaultRowHeight="15" customHeight="1" x14ac:dyDescent="0.2"/>
  <cols>
    <col min="1" max="1" width="52.42578125" style="26" bestFit="1" customWidth="1"/>
    <col min="2" max="2" width="7.7109375" style="27" customWidth="1"/>
    <col min="3" max="3" width="10.7109375" style="164" customWidth="1"/>
    <col min="4" max="4" width="13.140625" style="28" bestFit="1" customWidth="1"/>
    <col min="5" max="6" width="12.7109375" style="28" customWidth="1"/>
    <col min="7" max="9" width="10.7109375" style="28" customWidth="1"/>
    <col min="10" max="10" width="11.42578125" style="28"/>
    <col min="11" max="11" width="0" style="28" hidden="1" customWidth="1"/>
    <col min="12" max="12" width="11.85546875" style="28" hidden="1" customWidth="1"/>
    <col min="13" max="14" width="0" style="28" hidden="1" customWidth="1"/>
    <col min="15" max="17" width="11.42578125" style="28"/>
    <col min="18" max="18" width="12" style="28" bestFit="1" customWidth="1"/>
    <col min="19" max="16384" width="11.42578125" style="28"/>
  </cols>
  <sheetData>
    <row r="1" spans="1:13" s="187" customFormat="1" ht="15" customHeight="1" x14ac:dyDescent="0.2">
      <c r="A1" s="185"/>
      <c r="B1" s="186"/>
      <c r="C1" s="163"/>
      <c r="D1" s="29"/>
    </row>
    <row r="2" spans="1:13" s="187" customFormat="1" ht="15" customHeight="1" x14ac:dyDescent="0.2">
      <c r="A2" s="185"/>
      <c r="B2" s="186"/>
      <c r="C2" s="163"/>
      <c r="D2" s="29"/>
    </row>
    <row r="3" spans="1:13" s="188" customFormat="1" ht="9.75" customHeight="1" thickBot="1" x14ac:dyDescent="0.25">
      <c r="A3" s="634" t="s">
        <v>20</v>
      </c>
      <c r="B3" s="635"/>
      <c r="C3" s="635"/>
      <c r="D3" s="635"/>
      <c r="E3" s="635"/>
      <c r="F3" s="635"/>
      <c r="G3" s="635"/>
      <c r="H3" s="636"/>
      <c r="I3" s="336" t="s">
        <v>0</v>
      </c>
    </row>
    <row r="4" spans="1:13" s="188" customFormat="1" ht="20.100000000000001" customHeight="1" thickTop="1" x14ac:dyDescent="0.2">
      <c r="A4" s="637"/>
      <c r="B4" s="638"/>
      <c r="C4" s="638"/>
      <c r="D4" s="638"/>
      <c r="E4" s="638"/>
      <c r="F4" s="638"/>
      <c r="G4" s="638"/>
      <c r="H4" s="639"/>
      <c r="I4" s="337" t="s">
        <v>21</v>
      </c>
    </row>
    <row r="5" spans="1:13" s="35" customFormat="1" ht="12.6" customHeight="1" x14ac:dyDescent="0.2">
      <c r="A5" s="640" t="s">
        <v>2</v>
      </c>
      <c r="B5" s="641"/>
      <c r="C5" s="641"/>
      <c r="D5" s="641"/>
      <c r="E5" s="641"/>
      <c r="F5" s="641"/>
      <c r="G5" s="641"/>
      <c r="H5" s="641"/>
      <c r="I5" s="316"/>
    </row>
    <row r="6" spans="1:13" s="35" customFormat="1" ht="12.6" customHeight="1" x14ac:dyDescent="0.2">
      <c r="A6" s="315"/>
      <c r="B6" s="40"/>
      <c r="C6" s="189"/>
      <c r="D6" s="37"/>
      <c r="E6" s="37"/>
      <c r="F6" s="37"/>
      <c r="G6" s="37"/>
      <c r="H6" s="190"/>
      <c r="I6" s="316"/>
    </row>
    <row r="7" spans="1:13" s="35" customFormat="1" ht="12.6" customHeight="1" x14ac:dyDescent="0.2">
      <c r="A7" s="317" t="s">
        <v>3</v>
      </c>
      <c r="B7" s="34"/>
      <c r="C7" s="191"/>
      <c r="D7" s="642" t="s">
        <v>4</v>
      </c>
      <c r="E7" s="642"/>
      <c r="F7" s="642"/>
      <c r="G7" s="642"/>
      <c r="H7" s="642"/>
      <c r="I7" s="318" t="s">
        <v>5</v>
      </c>
    </row>
    <row r="8" spans="1:13" s="35" customFormat="1" ht="12.6" customHeight="1" x14ac:dyDescent="0.2">
      <c r="A8" s="319" t="s">
        <v>236</v>
      </c>
      <c r="B8" s="468"/>
      <c r="C8" s="192"/>
      <c r="D8" s="643" t="s">
        <v>237</v>
      </c>
      <c r="E8" s="643"/>
      <c r="F8" s="643"/>
      <c r="G8" s="643"/>
      <c r="H8" s="643"/>
      <c r="I8" s="320"/>
    </row>
    <row r="9" spans="1:13" s="193" customFormat="1" ht="45" x14ac:dyDescent="0.2">
      <c r="A9" s="205" t="s">
        <v>22</v>
      </c>
      <c r="B9" s="205" t="s">
        <v>23</v>
      </c>
      <c r="C9" s="467" t="s">
        <v>106</v>
      </c>
      <c r="D9" s="363" t="s">
        <v>173</v>
      </c>
      <c r="E9" s="194" t="s">
        <v>105</v>
      </c>
      <c r="F9" s="194" t="s">
        <v>146</v>
      </c>
      <c r="G9" s="194" t="s">
        <v>104</v>
      </c>
      <c r="H9" s="194" t="s">
        <v>103</v>
      </c>
      <c r="I9" s="321" t="s">
        <v>102</v>
      </c>
    </row>
    <row r="10" spans="1:13" s="193" customFormat="1" ht="11.25" x14ac:dyDescent="0.2">
      <c r="A10" s="462"/>
      <c r="B10" s="469"/>
      <c r="C10" s="464"/>
      <c r="D10" s="168"/>
      <c r="E10" s="168"/>
      <c r="F10" s="407"/>
      <c r="G10" s="169"/>
      <c r="H10" s="390"/>
      <c r="I10" s="392"/>
    </row>
    <row r="11" spans="1:13" ht="13.5" customHeight="1" x14ac:dyDescent="0.2">
      <c r="A11" s="462"/>
      <c r="B11" s="463"/>
      <c r="C11" s="464"/>
      <c r="D11" s="168"/>
      <c r="E11" s="168"/>
      <c r="F11" s="407"/>
      <c r="G11" s="169"/>
      <c r="H11" s="390"/>
      <c r="I11" s="392"/>
    </row>
    <row r="12" spans="1:13" s="364" customFormat="1" ht="13.5" customHeight="1" x14ac:dyDescent="0.2">
      <c r="A12" s="462" t="s">
        <v>225</v>
      </c>
      <c r="B12" s="463"/>
      <c r="C12" s="464">
        <v>4</v>
      </c>
      <c r="D12" s="168">
        <f>'[4]TÉCNICO AGRÍCOLA'!$F$34</f>
        <v>3257.75</v>
      </c>
      <c r="E12" s="457">
        <f>ROUND((C12*D12*12),2)</f>
        <v>156372</v>
      </c>
      <c r="F12" s="458"/>
      <c r="G12" s="169">
        <f>ROUND(('[4]TÉCNICO AGRÍCOLA'!$G$106*12*C12),2)</f>
        <v>112384.56</v>
      </c>
      <c r="H12" s="459" t="s">
        <v>25</v>
      </c>
      <c r="I12" s="392">
        <f>G12/E12</f>
        <v>0.7187000230220244</v>
      </c>
      <c r="K12" s="364">
        <f>C12/12</f>
        <v>0.33333333333333331</v>
      </c>
      <c r="M12" s="364">
        <f>8.5*545</f>
        <v>4632.5</v>
      </c>
    </row>
    <row r="13" spans="1:13" ht="13.5" customHeight="1" x14ac:dyDescent="0.2">
      <c r="A13" s="462" t="s">
        <v>226</v>
      </c>
      <c r="B13" s="463"/>
      <c r="C13" s="464">
        <v>1</v>
      </c>
      <c r="D13" s="168">
        <f>'[4]ASSISTENTE SOCIAL'!$F$34</f>
        <v>4108.53</v>
      </c>
      <c r="E13" s="168">
        <f>ROUND((C13*D13*12),2)</f>
        <v>49302.36</v>
      </c>
      <c r="F13" s="170"/>
      <c r="G13" s="169">
        <f>ROUND(('[4]ASSISTENTE SOCIAL'!$G$106*12*C13),2)</f>
        <v>35433.61</v>
      </c>
      <c r="H13" s="390" t="s">
        <v>25</v>
      </c>
      <c r="I13" s="392">
        <f>G13/E13</f>
        <v>0.71870007845466222</v>
      </c>
      <c r="K13" s="28">
        <f>C13/12</f>
        <v>8.3333333333333329E-2</v>
      </c>
    </row>
    <row r="14" spans="1:13" s="364" customFormat="1" ht="13.5" customHeight="1" x14ac:dyDescent="0.2">
      <c r="A14" s="462" t="s">
        <v>234</v>
      </c>
      <c r="B14" s="360"/>
      <c r="C14" s="406">
        <v>1</v>
      </c>
      <c r="D14" s="168">
        <f>'[4]SERVIÇOS GERAIS'!$F$34</f>
        <v>1476.64</v>
      </c>
      <c r="E14" s="168">
        <f>ROUND((C14*D14*12),2)</f>
        <v>17719.68</v>
      </c>
      <c r="F14" s="361"/>
      <c r="G14" s="169">
        <f>ROUND(('[4]SERVIÇOS GERAIS'!$G$106*12*C14),2)</f>
        <v>12735.13</v>
      </c>
      <c r="H14" s="389"/>
      <c r="I14" s="392">
        <f>G14/E14</f>
        <v>0.71869977335933821</v>
      </c>
      <c r="K14" s="364">
        <f>C14/12</f>
        <v>8.3333333333333329E-2</v>
      </c>
    </row>
    <row r="15" spans="1:13" ht="12.75" x14ac:dyDescent="0.2">
      <c r="A15" s="447"/>
      <c r="B15" s="443"/>
      <c r="C15" s="450"/>
      <c r="D15" s="452"/>
      <c r="E15" s="444"/>
      <c r="F15" s="445"/>
      <c r="G15" s="446"/>
      <c r="H15" s="389"/>
      <c r="I15" s="392"/>
    </row>
    <row r="16" spans="1:13" ht="13.5" customHeight="1" x14ac:dyDescent="0.2">
      <c r="A16" s="447"/>
      <c r="B16" s="443"/>
      <c r="C16" s="450"/>
      <c r="D16" s="452"/>
      <c r="E16" s="444"/>
      <c r="F16" s="445"/>
      <c r="G16" s="446"/>
      <c r="H16" s="389"/>
      <c r="I16" s="392"/>
      <c r="K16" s="28">
        <f>C16/12</f>
        <v>0</v>
      </c>
    </row>
    <row r="17" spans="1:18" ht="13.5" customHeight="1" x14ac:dyDescent="0.2">
      <c r="A17" s="448"/>
      <c r="B17" s="443"/>
      <c r="C17" s="450"/>
      <c r="D17" s="452"/>
      <c r="E17" s="444"/>
      <c r="F17" s="445"/>
      <c r="G17" s="446"/>
      <c r="H17" s="389"/>
      <c r="I17" s="392"/>
      <c r="K17" s="28">
        <f>C17/12</f>
        <v>0</v>
      </c>
    </row>
    <row r="18" spans="1:18" ht="13.5" customHeight="1" x14ac:dyDescent="0.2">
      <c r="A18" s="208"/>
      <c r="B18" s="207"/>
      <c r="C18" s="449"/>
      <c r="D18" s="405"/>
      <c r="E18" s="168"/>
      <c r="F18" s="407"/>
      <c r="G18" s="169"/>
      <c r="H18" s="390"/>
      <c r="I18" s="392"/>
      <c r="K18" s="28">
        <v>6</v>
      </c>
    </row>
    <row r="19" spans="1:18" ht="13.5" customHeight="1" x14ac:dyDescent="0.2">
      <c r="A19" s="209"/>
      <c r="B19" s="206"/>
      <c r="C19" s="449"/>
      <c r="D19" s="405"/>
      <c r="E19" s="168"/>
      <c r="F19" s="170"/>
      <c r="G19" s="169"/>
      <c r="H19" s="390"/>
      <c r="I19" s="392"/>
    </row>
    <row r="20" spans="1:18" ht="13.5" customHeight="1" x14ac:dyDescent="0.2">
      <c r="A20" s="351"/>
      <c r="B20" s="360"/>
      <c r="C20" s="406"/>
      <c r="D20" s="453"/>
      <c r="E20" s="451"/>
      <c r="F20" s="361"/>
      <c r="G20" s="455"/>
      <c r="H20" s="391"/>
      <c r="I20" s="456"/>
      <c r="O20" s="364"/>
      <c r="P20" s="381"/>
      <c r="Q20" s="364"/>
      <c r="R20" s="382"/>
    </row>
    <row r="21" spans="1:18" ht="13.5" customHeight="1" x14ac:dyDescent="0.2">
      <c r="A21" s="352"/>
      <c r="B21" s="362"/>
      <c r="C21" s="406"/>
      <c r="D21" s="454"/>
      <c r="E21" s="451"/>
      <c r="F21" s="361"/>
      <c r="G21" s="455"/>
      <c r="H21" s="391"/>
      <c r="I21" s="456"/>
      <c r="O21" s="364"/>
      <c r="P21" s="364"/>
      <c r="Q21" s="364"/>
      <c r="R21" s="364"/>
    </row>
    <row r="22" spans="1:18" s="33" customFormat="1" ht="20.25" customHeight="1" thickBot="1" x14ac:dyDescent="0.25">
      <c r="A22" s="322" t="s">
        <v>29</v>
      </c>
      <c r="B22" s="472"/>
      <c r="C22" s="471">
        <f>SUM(C10:C21)</f>
        <v>6</v>
      </c>
      <c r="D22" s="195"/>
      <c r="E22" s="36">
        <f>SUM(E10:E21)</f>
        <v>223394.03999999998</v>
      </c>
      <c r="F22" s="36"/>
      <c r="G22" s="196">
        <f>ROUND(SUM(G10:G21),2)</f>
        <v>160553.29999999999</v>
      </c>
      <c r="H22" s="36">
        <v>0</v>
      </c>
      <c r="I22" s="323"/>
      <c r="L22" s="202">
        <f>E22+G22</f>
        <v>383947.33999999997</v>
      </c>
      <c r="O22" s="383"/>
      <c r="P22" s="381"/>
      <c r="Q22" s="384"/>
      <c r="R22" s="382"/>
    </row>
    <row r="23" spans="1:18" ht="12.6" customHeight="1" thickTop="1" x14ac:dyDescent="0.2">
      <c r="A23" s="324" t="s">
        <v>14</v>
      </c>
      <c r="B23" s="171"/>
      <c r="C23" s="183"/>
      <c r="D23" s="172"/>
      <c r="E23" s="172"/>
      <c r="F23" s="173"/>
      <c r="G23" s="174" t="s">
        <v>15</v>
      </c>
      <c r="H23" s="33"/>
      <c r="I23" s="325"/>
      <c r="O23" s="364"/>
      <c r="P23" s="385"/>
      <c r="Q23" s="384"/>
      <c r="R23" s="385"/>
    </row>
    <row r="24" spans="1:18" ht="12.6" customHeight="1" x14ac:dyDescent="0.2">
      <c r="A24" s="326"/>
      <c r="B24" s="32"/>
      <c r="C24" s="165"/>
      <c r="D24" s="33"/>
      <c r="E24" s="33"/>
      <c r="F24" s="38"/>
      <c r="G24" s="33"/>
      <c r="H24" s="39"/>
      <c r="I24" s="327"/>
      <c r="L24" s="203"/>
      <c r="O24" s="364"/>
      <c r="P24" s="381"/>
      <c r="Q24" s="384"/>
      <c r="R24" s="382"/>
    </row>
    <row r="25" spans="1:18" ht="12.6" customHeight="1" x14ac:dyDescent="0.2">
      <c r="A25" s="328" t="s">
        <v>16</v>
      </c>
      <c r="B25" s="175"/>
      <c r="C25" s="166"/>
      <c r="D25" s="176"/>
      <c r="E25" s="176"/>
      <c r="F25" s="176"/>
      <c r="G25" s="177"/>
      <c r="H25" s="178" t="s">
        <v>17</v>
      </c>
      <c r="I25" s="329"/>
      <c r="O25" s="364"/>
      <c r="P25" s="381"/>
      <c r="Q25" s="384"/>
      <c r="R25" s="382"/>
    </row>
    <row r="26" spans="1:18" ht="12.6" customHeight="1" x14ac:dyDescent="0.2">
      <c r="A26" s="330"/>
      <c r="B26" s="179"/>
      <c r="C26" s="167"/>
      <c r="D26" s="180"/>
      <c r="E26" s="180"/>
      <c r="F26" s="180"/>
      <c r="G26" s="181"/>
      <c r="H26" s="182"/>
      <c r="I26" s="327"/>
      <c r="O26" s="364"/>
      <c r="P26" s="381"/>
      <c r="Q26" s="384"/>
      <c r="R26" s="382"/>
    </row>
    <row r="27" spans="1:18" ht="12" customHeight="1" x14ac:dyDescent="0.2">
      <c r="A27" s="326" t="s">
        <v>30</v>
      </c>
      <c r="B27" s="32"/>
      <c r="C27" s="183"/>
      <c r="D27" s="184"/>
      <c r="E27" s="184"/>
      <c r="F27" s="184"/>
      <c r="G27" s="184"/>
      <c r="H27" s="184"/>
      <c r="I27" s="325"/>
      <c r="O27" s="364"/>
      <c r="P27" s="364"/>
      <c r="Q27" s="383"/>
      <c r="R27" s="383"/>
    </row>
    <row r="28" spans="1:18" ht="12" customHeight="1" x14ac:dyDescent="0.2">
      <c r="A28" s="326"/>
      <c r="B28" s="32"/>
      <c r="C28" s="183"/>
      <c r="D28" s="184"/>
      <c r="E28" s="184"/>
      <c r="F28" s="184"/>
      <c r="G28" s="184"/>
      <c r="H28" s="184"/>
      <c r="I28" s="325"/>
      <c r="O28" s="364"/>
      <c r="P28" s="364"/>
      <c r="Q28" s="364"/>
      <c r="R28" s="386"/>
    </row>
    <row r="29" spans="1:18" ht="12" customHeight="1" x14ac:dyDescent="0.2">
      <c r="A29" s="330"/>
      <c r="B29" s="179"/>
      <c r="C29" s="167"/>
      <c r="D29" s="180"/>
      <c r="E29" s="180"/>
      <c r="F29" s="180"/>
      <c r="G29" s="180"/>
      <c r="H29" s="180"/>
      <c r="I29" s="327"/>
      <c r="O29" s="364"/>
      <c r="P29" s="364"/>
      <c r="Q29" s="364"/>
      <c r="R29" s="382"/>
    </row>
    <row r="30" spans="1:18" ht="12" customHeight="1" x14ac:dyDescent="0.2">
      <c r="A30" s="328" t="s">
        <v>18</v>
      </c>
      <c r="B30" s="175"/>
      <c r="C30" s="166"/>
      <c r="D30" s="176"/>
      <c r="E30" s="176"/>
      <c r="F30" s="176"/>
      <c r="G30" s="176"/>
      <c r="H30" s="184"/>
      <c r="I30" s="325"/>
      <c r="O30" s="364"/>
      <c r="P30" s="364"/>
    </row>
    <row r="31" spans="1:18" ht="12" customHeight="1" x14ac:dyDescent="0.2">
      <c r="A31" s="326" t="s">
        <v>235</v>
      </c>
      <c r="B31" s="32"/>
      <c r="C31" s="183"/>
      <c r="D31" s="184"/>
      <c r="E31" s="184"/>
      <c r="F31" s="184"/>
      <c r="G31" s="184"/>
      <c r="H31" s="184"/>
      <c r="I31" s="325"/>
      <c r="O31" s="364"/>
      <c r="P31" s="364"/>
      <c r="Q31" s="364"/>
      <c r="R31" s="364"/>
    </row>
    <row r="32" spans="1:18" ht="12" customHeight="1" x14ac:dyDescent="0.2">
      <c r="A32" s="331"/>
      <c r="B32" s="332"/>
      <c r="C32" s="333"/>
      <c r="D32" s="334"/>
      <c r="E32" s="334"/>
      <c r="F32" s="334"/>
      <c r="G32" s="334"/>
      <c r="H32" s="334"/>
      <c r="I32" s="335"/>
    </row>
    <row r="33" spans="1:18" ht="12" customHeight="1" x14ac:dyDescent="0.2">
      <c r="A33" s="184"/>
      <c r="B33" s="32"/>
      <c r="C33" s="183"/>
      <c r="D33" s="184"/>
      <c r="E33" s="184"/>
      <c r="F33" s="184"/>
      <c r="G33" s="184"/>
      <c r="H33" s="184"/>
      <c r="I33" s="33"/>
    </row>
    <row r="34" spans="1:18" ht="15" customHeight="1" x14ac:dyDescent="0.2">
      <c r="P34" s="379"/>
      <c r="R34" s="380"/>
    </row>
    <row r="36" spans="1:18" ht="15" customHeight="1" x14ac:dyDescent="0.2">
      <c r="P36" s="388"/>
      <c r="R36" s="387"/>
    </row>
    <row r="37" spans="1:18" ht="15" customHeight="1" x14ac:dyDescent="0.2">
      <c r="Q37" s="383"/>
      <c r="R37" s="383"/>
    </row>
    <row r="38" spans="1:18" ht="15" customHeight="1" x14ac:dyDescent="0.2">
      <c r="Q38" s="364"/>
      <c r="R38" s="386"/>
    </row>
  </sheetData>
  <mergeCells count="4">
    <mergeCell ref="A3:H4"/>
    <mergeCell ref="A5:H5"/>
    <mergeCell ref="D7:H7"/>
    <mergeCell ref="D8:H8"/>
  </mergeCells>
  <printOptions horizontalCentered="1"/>
  <pageMargins left="0.98425196850393704" right="0.39370078740157483" top="0.78740157480314965" bottom="0.39370078740157483" header="0.51181102362204722" footer="0.51181102362204722"/>
  <pageSetup paperSize="9" scale="96" firstPageNumber="0" orientation="landscape" r:id="rId1"/>
  <headerFooter alignWithMargins="0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44"/>
  <sheetViews>
    <sheetView showGridLines="0" zoomScaleNormal="100" zoomScaleSheetLayoutView="110" workbookViewId="0"/>
  </sheetViews>
  <sheetFormatPr defaultColWidth="10.7109375" defaultRowHeight="15" customHeight="1" x14ac:dyDescent="0.2"/>
  <cols>
    <col min="1" max="1" width="5.28515625" style="41" customWidth="1"/>
    <col min="2" max="2" width="9.85546875" style="41" customWidth="1"/>
    <col min="3" max="3" width="23.5703125" style="41" customWidth="1"/>
    <col min="4" max="4" width="6.85546875" style="41" customWidth="1"/>
    <col min="5" max="5" width="21.42578125" style="41" customWidth="1"/>
    <col min="6" max="6" width="9.42578125" style="41" customWidth="1"/>
    <col min="7" max="7" width="7.28515625" style="158" customWidth="1"/>
    <col min="8" max="8" width="9.85546875" style="41" customWidth="1"/>
    <col min="9" max="9" width="11.7109375" style="41" customWidth="1"/>
    <col min="10" max="10" width="6.85546875" style="41" customWidth="1"/>
    <col min="11" max="11" width="5.7109375" style="198" customWidth="1"/>
    <col min="12" max="14" width="7.28515625" style="41" customWidth="1"/>
    <col min="15" max="15" width="15.5703125" style="41" customWidth="1"/>
    <col min="16" max="16" width="6.42578125" style="41" customWidth="1"/>
    <col min="17" max="17" width="7.140625" style="41" customWidth="1"/>
    <col min="18" max="16384" width="10.7109375" style="41"/>
  </cols>
  <sheetData>
    <row r="1" spans="1:19" ht="15" customHeight="1" x14ac:dyDescent="0.2">
      <c r="D1" s="1"/>
    </row>
    <row r="2" spans="1:19" ht="9.9499999999999993" customHeight="1" thickBot="1" x14ac:dyDescent="0.25">
      <c r="A2" s="655" t="s">
        <v>36</v>
      </c>
      <c r="B2" s="656"/>
      <c r="C2" s="656"/>
      <c r="D2" s="656"/>
      <c r="E2" s="656"/>
      <c r="F2" s="656"/>
      <c r="G2" s="656"/>
      <c r="H2" s="656"/>
      <c r="I2" s="129" t="s">
        <v>0</v>
      </c>
    </row>
    <row r="3" spans="1:19" ht="20.100000000000001" customHeight="1" thickTop="1" thickBot="1" x14ac:dyDescent="0.25">
      <c r="A3" s="657"/>
      <c r="B3" s="658"/>
      <c r="C3" s="658"/>
      <c r="D3" s="658"/>
      <c r="E3" s="658"/>
      <c r="F3" s="658"/>
      <c r="G3" s="658"/>
      <c r="H3" s="658"/>
      <c r="I3" s="99" t="s">
        <v>155</v>
      </c>
    </row>
    <row r="4" spans="1:19" ht="12.6" customHeight="1" thickTop="1" x14ac:dyDescent="0.2">
      <c r="A4" s="199" t="s">
        <v>2</v>
      </c>
      <c r="B4" s="43"/>
      <c r="C4" s="43"/>
      <c r="D4" s="43"/>
      <c r="E4" s="43"/>
      <c r="F4" s="43"/>
      <c r="G4" s="159"/>
      <c r="H4" s="43"/>
      <c r="I4" s="44"/>
    </row>
    <row r="5" spans="1:19" ht="12.6" customHeight="1" x14ac:dyDescent="0.2">
      <c r="A5" s="200"/>
      <c r="B5" s="45"/>
      <c r="C5" s="45"/>
      <c r="D5" s="45"/>
      <c r="E5" s="45"/>
      <c r="F5" s="45"/>
      <c r="G5" s="160"/>
      <c r="H5" s="45"/>
      <c r="I5" s="46"/>
    </row>
    <row r="6" spans="1:19" ht="12.6" customHeight="1" x14ac:dyDescent="0.2">
      <c r="A6" s="201" t="s">
        <v>3</v>
      </c>
      <c r="B6" s="47"/>
      <c r="C6" s="48"/>
      <c r="D6" s="49" t="s">
        <v>4</v>
      </c>
      <c r="E6" s="50"/>
      <c r="F6" s="50"/>
      <c r="G6" s="161"/>
      <c r="H6" s="51"/>
      <c r="I6" s="52" t="s">
        <v>5</v>
      </c>
    </row>
    <row r="7" spans="1:19" ht="12.6" customHeight="1" thickBot="1" x14ac:dyDescent="0.25">
      <c r="A7" s="319" t="s">
        <v>236</v>
      </c>
      <c r="B7" s="53"/>
      <c r="C7" s="54"/>
      <c r="D7" s="659" t="s">
        <v>237</v>
      </c>
      <c r="E7" s="660"/>
      <c r="F7" s="660"/>
      <c r="G7" s="660"/>
      <c r="H7" s="661"/>
      <c r="I7" s="55"/>
    </row>
    <row r="8" spans="1:19" ht="12.6" customHeight="1" thickTop="1" thickBot="1" x14ac:dyDescent="0.25">
      <c r="A8" s="662" t="s">
        <v>38</v>
      </c>
      <c r="B8" s="663" t="s">
        <v>32</v>
      </c>
      <c r="C8" s="663"/>
      <c r="D8" s="663"/>
      <c r="E8" s="663"/>
      <c r="F8" s="664" t="s">
        <v>39</v>
      </c>
      <c r="G8" s="665" t="s">
        <v>31</v>
      </c>
      <c r="H8" s="664" t="s">
        <v>33</v>
      </c>
      <c r="I8" s="664"/>
    </row>
    <row r="9" spans="1:19" ht="12.6" customHeight="1" thickTop="1" x14ac:dyDescent="0.2">
      <c r="A9" s="662"/>
      <c r="B9" s="663"/>
      <c r="C9" s="663"/>
      <c r="D9" s="663"/>
      <c r="E9" s="663"/>
      <c r="F9" s="664"/>
      <c r="G9" s="665"/>
      <c r="H9" s="56" t="s">
        <v>34</v>
      </c>
      <c r="I9" s="57" t="s">
        <v>35</v>
      </c>
    </row>
    <row r="10" spans="1:19" ht="15" customHeight="1" x14ac:dyDescent="0.2">
      <c r="A10" s="368" t="s">
        <v>107</v>
      </c>
      <c r="B10" s="666" t="s">
        <v>108</v>
      </c>
      <c r="C10" s="667"/>
      <c r="D10" s="667"/>
      <c r="E10" s="667"/>
      <c r="F10" s="667"/>
      <c r="G10" s="667"/>
      <c r="H10" s="667"/>
      <c r="I10" s="668"/>
    </row>
    <row r="11" spans="1:19" ht="75.75" customHeight="1" x14ac:dyDescent="0.2">
      <c r="A11" s="365" t="s">
        <v>109</v>
      </c>
      <c r="B11" s="669" t="s">
        <v>242</v>
      </c>
      <c r="C11" s="670"/>
      <c r="D11" s="670"/>
      <c r="E11" s="671"/>
      <c r="F11" s="366" t="s">
        <v>40</v>
      </c>
      <c r="G11" s="367">
        <v>12</v>
      </c>
      <c r="H11" s="353">
        <f>'[4]LOC. VEÍCULOS'!$F$50</f>
        <v>3650.0087557077622</v>
      </c>
      <c r="I11" s="354">
        <f>ROUND((G11*H11),2)</f>
        <v>43800.11</v>
      </c>
    </row>
    <row r="12" spans="1:19" ht="30" customHeight="1" x14ac:dyDescent="0.2">
      <c r="A12" s="365" t="s">
        <v>110</v>
      </c>
      <c r="B12" s="669" t="s">
        <v>224</v>
      </c>
      <c r="C12" s="670"/>
      <c r="D12" s="670"/>
      <c r="E12" s="671"/>
      <c r="F12" s="366" t="s">
        <v>40</v>
      </c>
      <c r="G12" s="367">
        <v>48</v>
      </c>
      <c r="H12" s="353">
        <f>'[4]LOC. MOTOCICLETA'!$F$50</f>
        <v>977.00048706240477</v>
      </c>
      <c r="I12" s="354">
        <f>ROUND((G12*H12),2)</f>
        <v>46896.02</v>
      </c>
    </row>
    <row r="13" spans="1:19" ht="17.25" customHeight="1" x14ac:dyDescent="0.2">
      <c r="A13" s="672" t="s">
        <v>114</v>
      </c>
      <c r="B13" s="673"/>
      <c r="C13" s="673"/>
      <c r="D13" s="673"/>
      <c r="E13" s="673"/>
      <c r="F13" s="673"/>
      <c r="G13" s="673"/>
      <c r="H13" s="674"/>
      <c r="I13" s="355">
        <f>SUM(I11:I12)</f>
        <v>90696.13</v>
      </c>
      <c r="K13" s="678"/>
      <c r="L13" s="678"/>
    </row>
    <row r="14" spans="1:19" ht="17.25" customHeight="1" x14ac:dyDescent="0.2">
      <c r="A14" s="338"/>
      <c r="B14" s="339"/>
      <c r="C14" s="339"/>
      <c r="D14" s="339"/>
      <c r="E14" s="339"/>
      <c r="F14" s="339"/>
      <c r="G14" s="339"/>
      <c r="H14" s="339"/>
      <c r="I14" s="340"/>
    </row>
    <row r="15" spans="1:19" ht="15" customHeight="1" x14ac:dyDescent="0.2">
      <c r="A15" s="371" t="s">
        <v>111</v>
      </c>
      <c r="B15" s="675" t="s">
        <v>183</v>
      </c>
      <c r="C15" s="676"/>
      <c r="D15" s="676"/>
      <c r="E15" s="676"/>
      <c r="F15" s="676"/>
      <c r="G15" s="676"/>
      <c r="H15" s="676"/>
      <c r="I15" s="677"/>
      <c r="K15" s="41"/>
    </row>
    <row r="16" spans="1:19" ht="15" customHeight="1" x14ac:dyDescent="0.2">
      <c r="A16" s="372" t="s">
        <v>113</v>
      </c>
      <c r="B16" s="692" t="s">
        <v>183</v>
      </c>
      <c r="C16" s="693"/>
      <c r="D16" s="693"/>
      <c r="E16" s="694"/>
      <c r="F16" s="373" t="s">
        <v>158</v>
      </c>
      <c r="G16" s="374">
        <v>0</v>
      </c>
      <c r="H16" s="354">
        <v>0</v>
      </c>
      <c r="I16" s="357">
        <f>G16*H16</f>
        <v>0</v>
      </c>
      <c r="K16" s="684"/>
      <c r="L16" s="684"/>
      <c r="M16" s="684"/>
      <c r="N16" s="684"/>
      <c r="O16" s="684"/>
      <c r="P16" s="684"/>
      <c r="Q16" s="684"/>
      <c r="R16" s="684"/>
      <c r="S16" s="425"/>
    </row>
    <row r="17" spans="1:20" ht="15" customHeight="1" x14ac:dyDescent="0.2">
      <c r="A17" s="688" t="s">
        <v>184</v>
      </c>
      <c r="B17" s="673"/>
      <c r="C17" s="673"/>
      <c r="D17" s="673"/>
      <c r="E17" s="673"/>
      <c r="F17" s="673"/>
      <c r="G17" s="673"/>
      <c r="H17" s="674"/>
      <c r="I17" s="355">
        <f>SUM(I16:I16)</f>
        <v>0</v>
      </c>
      <c r="K17" s="684"/>
      <c r="L17" s="684"/>
      <c r="M17" s="684"/>
      <c r="N17" s="684"/>
      <c r="O17" s="684"/>
      <c r="P17" s="684"/>
      <c r="Q17" s="684"/>
      <c r="R17" s="684"/>
      <c r="S17" s="424"/>
    </row>
    <row r="18" spans="1:20" ht="15" customHeight="1" x14ac:dyDescent="0.2">
      <c r="A18" s="369"/>
      <c r="B18" s="370"/>
      <c r="C18" s="370"/>
      <c r="D18" s="370"/>
      <c r="E18" s="370"/>
      <c r="F18" s="370"/>
      <c r="G18" s="370"/>
      <c r="H18" s="370"/>
      <c r="I18" s="340"/>
      <c r="K18" s="424"/>
      <c r="L18" s="424"/>
      <c r="M18" s="424"/>
      <c r="N18" s="424"/>
      <c r="O18" s="424"/>
      <c r="P18" s="424"/>
      <c r="Q18" s="424"/>
      <c r="R18" s="424"/>
      <c r="S18" s="424"/>
    </row>
    <row r="19" spans="1:20" ht="15" customHeight="1" x14ac:dyDescent="0.2">
      <c r="A19" s="267">
        <v>3</v>
      </c>
      <c r="B19" s="689" t="s">
        <v>153</v>
      </c>
      <c r="C19" s="690"/>
      <c r="D19" s="690"/>
      <c r="E19" s="690"/>
      <c r="F19" s="690"/>
      <c r="G19" s="690"/>
      <c r="H19" s="690"/>
      <c r="I19" s="691"/>
      <c r="K19" s="426"/>
      <c r="L19" s="699"/>
      <c r="M19" s="699"/>
      <c r="N19" s="699"/>
      <c r="O19" s="699"/>
      <c r="P19" s="699"/>
      <c r="Q19" s="699"/>
      <c r="R19" s="699"/>
      <c r="S19" s="699"/>
    </row>
    <row r="20" spans="1:20" ht="15" customHeight="1" x14ac:dyDescent="0.2">
      <c r="A20" s="268" t="s">
        <v>115</v>
      </c>
      <c r="B20" s="695" t="s">
        <v>174</v>
      </c>
      <c r="C20" s="696"/>
      <c r="D20" s="696"/>
      <c r="E20" s="697"/>
      <c r="F20" s="269" t="s">
        <v>145</v>
      </c>
      <c r="G20" s="270">
        <v>6</v>
      </c>
      <c r="H20" s="271">
        <f>ROUND((420.7*12),2)</f>
        <v>5048.3999999999996</v>
      </c>
      <c r="I20" s="271">
        <f>ROUND((G20*H20),2)</f>
        <v>30290.400000000001</v>
      </c>
      <c r="K20" s="427"/>
      <c r="L20" s="654"/>
      <c r="M20" s="654"/>
      <c r="N20" s="654"/>
      <c r="O20" s="654"/>
      <c r="P20" s="428"/>
      <c r="Q20" s="429"/>
      <c r="R20" s="430"/>
      <c r="S20" s="430"/>
    </row>
    <row r="21" spans="1:20" ht="15" customHeight="1" x14ac:dyDescent="0.2">
      <c r="A21" s="268" t="s">
        <v>116</v>
      </c>
      <c r="B21" s="695" t="s">
        <v>175</v>
      </c>
      <c r="C21" s="696"/>
      <c r="D21" s="696"/>
      <c r="E21" s="697"/>
      <c r="F21" s="269" t="s">
        <v>145</v>
      </c>
      <c r="G21" s="270">
        <v>6</v>
      </c>
      <c r="H21" s="271">
        <f>ROUND((13.07*12),2)</f>
        <v>156.84</v>
      </c>
      <c r="I21" s="271">
        <f>ROUND((G21*H21),2)</f>
        <v>941.04</v>
      </c>
      <c r="K21" s="427"/>
      <c r="L21" s="654"/>
      <c r="M21" s="654"/>
      <c r="N21" s="654"/>
      <c r="O21" s="654"/>
      <c r="P21" s="428"/>
      <c r="Q21" s="429"/>
      <c r="R21" s="430"/>
      <c r="S21" s="430"/>
    </row>
    <row r="22" spans="1:20" ht="15" customHeight="1" x14ac:dyDescent="0.2">
      <c r="A22" s="268" t="s">
        <v>117</v>
      </c>
      <c r="B22" s="687" t="s">
        <v>176</v>
      </c>
      <c r="C22" s="687"/>
      <c r="D22" s="687"/>
      <c r="E22" s="687"/>
      <c r="F22" s="269" t="s">
        <v>145</v>
      </c>
      <c r="G22" s="270">
        <v>6</v>
      </c>
      <c r="H22" s="271">
        <f>ROUND((65.94*12),2)</f>
        <v>791.28</v>
      </c>
      <c r="I22" s="271">
        <f>ROUND((G22*H22),2)</f>
        <v>4747.68</v>
      </c>
      <c r="K22" s="427"/>
      <c r="L22" s="654"/>
      <c r="M22" s="654"/>
      <c r="N22" s="654"/>
      <c r="O22" s="654"/>
      <c r="P22" s="428"/>
      <c r="Q22" s="429"/>
      <c r="R22" s="430"/>
      <c r="S22" s="430"/>
    </row>
    <row r="23" spans="1:20" ht="15" customHeight="1" x14ac:dyDescent="0.2">
      <c r="A23" s="268" t="s">
        <v>118</v>
      </c>
      <c r="B23" s="687"/>
      <c r="C23" s="687"/>
      <c r="D23" s="687"/>
      <c r="E23" s="687"/>
      <c r="F23" s="269"/>
      <c r="G23" s="270"/>
      <c r="H23" s="271"/>
      <c r="I23" s="271"/>
      <c r="K23" s="427"/>
      <c r="L23" s="654"/>
      <c r="M23" s="654"/>
      <c r="N23" s="654"/>
      <c r="O23" s="654"/>
      <c r="P23" s="428"/>
      <c r="Q23" s="429"/>
      <c r="R23" s="430"/>
      <c r="S23" s="430"/>
    </row>
    <row r="24" spans="1:20" ht="15" customHeight="1" x14ac:dyDescent="0.2">
      <c r="A24" s="268" t="s">
        <v>119</v>
      </c>
      <c r="B24" s="687"/>
      <c r="C24" s="687"/>
      <c r="D24" s="687"/>
      <c r="E24" s="687"/>
      <c r="F24" s="269"/>
      <c r="G24" s="270"/>
      <c r="H24" s="271"/>
      <c r="I24" s="271"/>
      <c r="K24" s="427"/>
      <c r="L24" s="460"/>
      <c r="M24" s="460"/>
      <c r="N24" s="460"/>
      <c r="O24" s="460"/>
      <c r="P24" s="428"/>
      <c r="Q24" s="429"/>
      <c r="R24" s="430"/>
      <c r="S24" s="430"/>
    </row>
    <row r="25" spans="1:20" ht="15" customHeight="1" x14ac:dyDescent="0.2">
      <c r="A25" s="645" t="s">
        <v>152</v>
      </c>
      <c r="B25" s="646"/>
      <c r="C25" s="646"/>
      <c r="D25" s="646"/>
      <c r="E25" s="646"/>
      <c r="F25" s="646"/>
      <c r="G25" s="646"/>
      <c r="H25" s="646"/>
      <c r="I25" s="359">
        <f>SUM(I20:I24)</f>
        <v>35979.120000000003</v>
      </c>
      <c r="K25" s="698"/>
      <c r="L25" s="698"/>
      <c r="M25" s="698"/>
      <c r="N25" s="698"/>
      <c r="O25" s="698"/>
      <c r="P25" s="698"/>
      <c r="Q25" s="698"/>
      <c r="R25" s="698"/>
      <c r="S25" s="431"/>
      <c r="T25" s="423"/>
    </row>
    <row r="26" spans="1:20" ht="11.25" x14ac:dyDescent="0.2">
      <c r="A26" s="473">
        <v>4</v>
      </c>
      <c r="B26" s="647" t="s">
        <v>198</v>
      </c>
      <c r="C26" s="648"/>
      <c r="D26" s="648"/>
      <c r="E26" s="648"/>
      <c r="F26" s="649"/>
      <c r="G26" s="649"/>
      <c r="H26" s="649"/>
      <c r="I26" s="650"/>
      <c r="K26" s="41"/>
    </row>
    <row r="27" spans="1:20" ht="11.25" x14ac:dyDescent="0.2">
      <c r="A27" s="474" t="s">
        <v>185</v>
      </c>
      <c r="B27" s="644" t="s">
        <v>193</v>
      </c>
      <c r="C27" s="644"/>
      <c r="D27" s="644"/>
      <c r="E27" s="644"/>
      <c r="F27" s="269" t="s">
        <v>145</v>
      </c>
      <c r="G27" s="197">
        <v>24</v>
      </c>
      <c r="H27" s="58">
        <v>19.25</v>
      </c>
      <c r="I27" s="271">
        <f t="shared" ref="I27:I33" si="0">ROUND((G27*H27),2)</f>
        <v>462</v>
      </c>
      <c r="K27" s="41"/>
    </row>
    <row r="28" spans="1:20" ht="11.25" x14ac:dyDescent="0.2">
      <c r="A28" s="474" t="s">
        <v>186</v>
      </c>
      <c r="B28" s="651" t="s">
        <v>194</v>
      </c>
      <c r="C28" s="652"/>
      <c r="D28" s="652"/>
      <c r="E28" s="653"/>
      <c r="F28" s="269" t="s">
        <v>145</v>
      </c>
      <c r="G28" s="197">
        <v>2</v>
      </c>
      <c r="H28" s="58">
        <v>36</v>
      </c>
      <c r="I28" s="271">
        <f t="shared" si="0"/>
        <v>72</v>
      </c>
      <c r="K28" s="41"/>
      <c r="R28" s="245"/>
    </row>
    <row r="29" spans="1:20" ht="12.75" x14ac:dyDescent="0.2">
      <c r="A29" s="474" t="s">
        <v>187</v>
      </c>
      <c r="B29" s="651" t="s">
        <v>195</v>
      </c>
      <c r="C29" s="652"/>
      <c r="D29" s="652"/>
      <c r="E29" s="653"/>
      <c r="F29" s="269" t="s">
        <v>145</v>
      </c>
      <c r="G29" s="197">
        <v>2</v>
      </c>
      <c r="H29" s="58">
        <v>36</v>
      </c>
      <c r="I29" s="271">
        <f t="shared" si="0"/>
        <v>72</v>
      </c>
      <c r="K29" s="41"/>
      <c r="Q29" s="243"/>
      <c r="R29" s="246"/>
      <c r="S29" s="244"/>
    </row>
    <row r="30" spans="1:20" ht="12.75" x14ac:dyDescent="0.2">
      <c r="A30" s="474" t="s">
        <v>188</v>
      </c>
      <c r="B30" s="651" t="s">
        <v>196</v>
      </c>
      <c r="C30" s="652"/>
      <c r="D30" s="652"/>
      <c r="E30" s="653"/>
      <c r="F30" s="269" t="s">
        <v>145</v>
      </c>
      <c r="G30" s="197">
        <v>2</v>
      </c>
      <c r="H30" s="58">
        <v>36</v>
      </c>
      <c r="I30" s="271">
        <f t="shared" si="0"/>
        <v>72</v>
      </c>
      <c r="K30" s="41"/>
      <c r="R30" s="246"/>
    </row>
    <row r="31" spans="1:20" ht="12.75" x14ac:dyDescent="0.2">
      <c r="A31" s="474" t="s">
        <v>189</v>
      </c>
      <c r="B31" s="651" t="s">
        <v>197</v>
      </c>
      <c r="C31" s="652"/>
      <c r="D31" s="652"/>
      <c r="E31" s="653"/>
      <c r="F31" s="269" t="s">
        <v>145</v>
      </c>
      <c r="G31" s="197">
        <v>2</v>
      </c>
      <c r="H31" s="58">
        <v>36</v>
      </c>
      <c r="I31" s="271">
        <f t="shared" si="0"/>
        <v>72</v>
      </c>
      <c r="K31" s="41"/>
      <c r="Q31" s="243"/>
      <c r="R31" s="246"/>
      <c r="S31" s="244"/>
    </row>
    <row r="32" spans="1:20" ht="12.75" x14ac:dyDescent="0.2">
      <c r="A32" s="474" t="s">
        <v>190</v>
      </c>
      <c r="B32" s="644" t="s">
        <v>191</v>
      </c>
      <c r="C32" s="644"/>
      <c r="D32" s="644"/>
      <c r="E32" s="644"/>
      <c r="F32" s="269" t="s">
        <v>145</v>
      </c>
      <c r="G32" s="197">
        <v>500</v>
      </c>
      <c r="H32" s="58">
        <v>3</v>
      </c>
      <c r="I32" s="271">
        <f t="shared" si="0"/>
        <v>1500</v>
      </c>
      <c r="K32" s="41"/>
      <c r="Q32" s="243"/>
      <c r="R32" s="246"/>
      <c r="S32" s="244"/>
    </row>
    <row r="33" spans="1:19" ht="12.75" x14ac:dyDescent="0.2">
      <c r="A33" s="474"/>
      <c r="B33" s="644"/>
      <c r="C33" s="644"/>
      <c r="D33" s="644"/>
      <c r="E33" s="644"/>
      <c r="F33" s="269"/>
      <c r="G33" s="197"/>
      <c r="H33" s="58"/>
      <c r="I33" s="271">
        <f t="shared" si="0"/>
        <v>0</v>
      </c>
      <c r="K33" s="41"/>
      <c r="Q33" s="480"/>
      <c r="R33" s="481"/>
      <c r="S33" s="482"/>
    </row>
    <row r="34" spans="1:19" ht="11.25" x14ac:dyDescent="0.2">
      <c r="A34" s="645" t="s">
        <v>192</v>
      </c>
      <c r="B34" s="646"/>
      <c r="C34" s="646"/>
      <c r="D34" s="646"/>
      <c r="E34" s="646"/>
      <c r="F34" s="646"/>
      <c r="G34" s="646"/>
      <c r="H34" s="646"/>
      <c r="I34" s="359">
        <f>SUM(I28:I33)</f>
        <v>1788</v>
      </c>
      <c r="K34" s="41"/>
      <c r="Q34" s="483"/>
      <c r="R34" s="483"/>
      <c r="S34" s="483"/>
    </row>
    <row r="35" spans="1:19" ht="12.75" x14ac:dyDescent="0.2">
      <c r="A35" s="474"/>
      <c r="B35" s="644"/>
      <c r="C35" s="644"/>
      <c r="D35" s="644"/>
      <c r="E35" s="644"/>
      <c r="F35" s="269"/>
      <c r="G35" s="197"/>
      <c r="H35" s="58"/>
      <c r="I35" s="58"/>
      <c r="K35" s="41"/>
      <c r="S35" s="350"/>
    </row>
    <row r="36" spans="1:19" ht="11.25" x14ac:dyDescent="0.2">
      <c r="A36" s="474"/>
      <c r="B36" s="644"/>
      <c r="C36" s="644"/>
      <c r="D36" s="644"/>
      <c r="E36" s="644"/>
      <c r="F36" s="269"/>
      <c r="G36" s="197"/>
      <c r="H36" s="58"/>
      <c r="I36" s="58"/>
      <c r="K36" s="41"/>
    </row>
    <row r="37" spans="1:19" ht="20.100000000000001" customHeight="1" x14ac:dyDescent="0.2">
      <c r="A37" s="293"/>
      <c r="B37" s="685" t="s">
        <v>41</v>
      </c>
      <c r="C37" s="685"/>
      <c r="D37" s="685"/>
      <c r="E37" s="685"/>
      <c r="F37" s="686"/>
      <c r="G37" s="686"/>
      <c r="H37" s="686"/>
      <c r="I37" s="356">
        <f>I13+I17+I25+I34</f>
        <v>128463.25</v>
      </c>
    </row>
    <row r="38" spans="1:19" ht="12.6" customHeight="1" x14ac:dyDescent="0.2">
      <c r="A38" s="304" t="s">
        <v>14</v>
      </c>
      <c r="B38" s="296"/>
      <c r="C38" s="307"/>
      <c r="D38" s="307"/>
      <c r="E38" s="307"/>
      <c r="F38" s="309"/>
      <c r="G38" s="310" t="s">
        <v>15</v>
      </c>
      <c r="H38" s="307"/>
      <c r="I38" s="308"/>
    </row>
    <row r="39" spans="1:19" ht="12.6" customHeight="1" x14ac:dyDescent="0.2">
      <c r="A39" s="300"/>
      <c r="B39" s="301"/>
      <c r="C39" s="301"/>
      <c r="D39" s="301"/>
      <c r="E39" s="301"/>
      <c r="F39" s="311"/>
      <c r="G39" s="302"/>
      <c r="H39" s="301"/>
      <c r="I39" s="303"/>
    </row>
    <row r="40" spans="1:19" ht="12.6" customHeight="1" x14ac:dyDescent="0.2">
      <c r="A40" s="304" t="s">
        <v>16</v>
      </c>
      <c r="B40" s="305"/>
      <c r="C40" s="305"/>
      <c r="D40" s="305"/>
      <c r="E40" s="305"/>
      <c r="F40" s="306"/>
      <c r="G40" s="679" t="s">
        <v>17</v>
      </c>
      <c r="H40" s="680"/>
      <c r="I40" s="681"/>
    </row>
    <row r="41" spans="1:19" ht="12" customHeight="1" x14ac:dyDescent="0.2">
      <c r="A41" s="300"/>
      <c r="B41" s="301"/>
      <c r="C41" s="301"/>
      <c r="D41" s="301"/>
      <c r="E41" s="301"/>
      <c r="F41" s="303"/>
      <c r="G41" s="682"/>
      <c r="H41" s="682"/>
      <c r="I41" s="683"/>
    </row>
    <row r="42" spans="1:19" ht="15" customHeight="1" x14ac:dyDescent="0.2">
      <c r="A42" s="295" t="s">
        <v>18</v>
      </c>
      <c r="B42" s="296"/>
      <c r="C42" s="296"/>
      <c r="D42" s="296"/>
      <c r="E42" s="296"/>
      <c r="F42" s="296"/>
      <c r="G42" s="297"/>
      <c r="H42" s="296"/>
      <c r="I42" s="298"/>
    </row>
    <row r="43" spans="1:19" ht="15" customHeight="1" x14ac:dyDescent="0.2">
      <c r="A43" s="299" t="s">
        <v>199</v>
      </c>
      <c r="B43" s="59"/>
      <c r="C43" s="59"/>
      <c r="D43" s="59"/>
      <c r="E43" s="59"/>
      <c r="F43" s="59"/>
      <c r="G43" s="162"/>
      <c r="H43" s="59"/>
      <c r="I43" s="294"/>
    </row>
    <row r="44" spans="1:19" ht="15" customHeight="1" x14ac:dyDescent="0.2">
      <c r="A44" s="300"/>
      <c r="B44" s="301"/>
      <c r="C44" s="301"/>
      <c r="D44" s="301"/>
      <c r="E44" s="301"/>
      <c r="F44" s="301"/>
      <c r="G44" s="302"/>
      <c r="H44" s="301"/>
      <c r="I44" s="303"/>
    </row>
  </sheetData>
  <mergeCells count="43">
    <mergeCell ref="G40:I40"/>
    <mergeCell ref="G41:I41"/>
    <mergeCell ref="K16:R17"/>
    <mergeCell ref="B37:H37"/>
    <mergeCell ref="B22:E22"/>
    <mergeCell ref="B23:E23"/>
    <mergeCell ref="A17:H17"/>
    <mergeCell ref="B19:I19"/>
    <mergeCell ref="B16:E16"/>
    <mergeCell ref="B31:E31"/>
    <mergeCell ref="B20:E20"/>
    <mergeCell ref="B21:E21"/>
    <mergeCell ref="B24:E24"/>
    <mergeCell ref="K25:R25"/>
    <mergeCell ref="L19:S19"/>
    <mergeCell ref="L20:O20"/>
    <mergeCell ref="L21:O21"/>
    <mergeCell ref="L22:O22"/>
    <mergeCell ref="A2:H3"/>
    <mergeCell ref="D7:H7"/>
    <mergeCell ref="A8:A9"/>
    <mergeCell ref="B8:E9"/>
    <mergeCell ref="F8:F9"/>
    <mergeCell ref="G8:G9"/>
    <mergeCell ref="H8:I8"/>
    <mergeCell ref="B10:I10"/>
    <mergeCell ref="B11:E11"/>
    <mergeCell ref="B12:E12"/>
    <mergeCell ref="A13:H13"/>
    <mergeCell ref="B15:I15"/>
    <mergeCell ref="K13:L13"/>
    <mergeCell ref="L23:O23"/>
    <mergeCell ref="A25:H25"/>
    <mergeCell ref="B32:E32"/>
    <mergeCell ref="B33:E33"/>
    <mergeCell ref="B35:E35"/>
    <mergeCell ref="B36:E36"/>
    <mergeCell ref="A34:H34"/>
    <mergeCell ref="B26:I26"/>
    <mergeCell ref="B27:E27"/>
    <mergeCell ref="B28:E28"/>
    <mergeCell ref="B29:E29"/>
    <mergeCell ref="B30:E30"/>
  </mergeCells>
  <phoneticPr fontId="25" type="noConversion"/>
  <printOptions horizontalCentered="1"/>
  <pageMargins left="0.78740157480314965" right="0.39370078740157483" top="0.78740157480314965" bottom="0.39370078740157483" header="0.51181102362204722" footer="0.51181102362204722"/>
  <pageSetup paperSize="9" scale="85" firstPageNumber="0" orientation="portrait" r:id="rId1"/>
  <headerFooter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46"/>
  <sheetViews>
    <sheetView showGridLines="0" zoomScaleNormal="100" zoomScaleSheetLayoutView="130" workbookViewId="0">
      <selection sqref="A1:I1"/>
    </sheetView>
  </sheetViews>
  <sheetFormatPr defaultColWidth="10.7109375" defaultRowHeight="15" customHeight="1" x14ac:dyDescent="0.2"/>
  <cols>
    <col min="1" max="1" width="7" style="41" customWidth="1"/>
    <col min="2" max="2" width="9.85546875" style="41" customWidth="1"/>
    <col min="3" max="3" width="22.7109375" style="41" customWidth="1"/>
    <col min="4" max="4" width="6.85546875" style="41" customWidth="1"/>
    <col min="5" max="5" width="4.42578125" style="41" customWidth="1"/>
    <col min="6" max="6" width="10" style="41" customWidth="1"/>
    <col min="7" max="7" width="7.28515625" style="158" customWidth="1"/>
    <col min="8" max="8" width="11.28515625" style="41" customWidth="1"/>
    <col min="9" max="9" width="12.7109375" style="41" customWidth="1"/>
    <col min="10" max="10" width="13.85546875" style="41" customWidth="1"/>
    <col min="11" max="11" width="7.28515625" style="198" customWidth="1"/>
    <col min="12" max="14" width="7.28515625" style="41" customWidth="1"/>
    <col min="15" max="16384" width="10.7109375" style="41"/>
  </cols>
  <sheetData>
    <row r="1" spans="1:20" ht="15" customHeight="1" x14ac:dyDescent="0.2">
      <c r="A1" s="700"/>
      <c r="B1" s="700"/>
      <c r="C1" s="700"/>
      <c r="D1" s="700"/>
      <c r="E1" s="700"/>
      <c r="F1" s="700"/>
      <c r="G1" s="700"/>
      <c r="H1" s="700"/>
      <c r="I1" s="700"/>
    </row>
    <row r="2" spans="1:20" ht="15" customHeight="1" x14ac:dyDescent="0.2">
      <c r="A2" s="701"/>
      <c r="B2" s="701"/>
      <c r="C2" s="701"/>
      <c r="D2" s="701"/>
      <c r="E2" s="701"/>
      <c r="F2" s="701"/>
      <c r="G2" s="701"/>
      <c r="H2" s="701"/>
      <c r="I2" s="701"/>
    </row>
    <row r="3" spans="1:20" ht="9.9499999999999993" customHeight="1" thickBot="1" x14ac:dyDescent="0.25">
      <c r="A3" s="655" t="s">
        <v>36</v>
      </c>
      <c r="B3" s="656"/>
      <c r="C3" s="656"/>
      <c r="D3" s="656"/>
      <c r="E3" s="656"/>
      <c r="F3" s="656"/>
      <c r="G3" s="656"/>
      <c r="H3" s="656"/>
      <c r="I3" s="129" t="s">
        <v>0</v>
      </c>
    </row>
    <row r="4" spans="1:20" ht="20.100000000000001" customHeight="1" thickTop="1" thickBot="1" x14ac:dyDescent="0.25">
      <c r="A4" s="657"/>
      <c r="B4" s="658"/>
      <c r="C4" s="658"/>
      <c r="D4" s="658"/>
      <c r="E4" s="658"/>
      <c r="F4" s="658"/>
      <c r="G4" s="658"/>
      <c r="H4" s="658"/>
      <c r="I4" s="99" t="s">
        <v>156</v>
      </c>
    </row>
    <row r="5" spans="1:20" ht="12.6" customHeight="1" thickTop="1" x14ac:dyDescent="0.2">
      <c r="A5" s="199" t="s">
        <v>2</v>
      </c>
      <c r="B5" s="43"/>
      <c r="C5" s="43"/>
      <c r="D5" s="43"/>
      <c r="E5" s="43"/>
      <c r="F5" s="43"/>
      <c r="G5" s="159"/>
      <c r="H5" s="43"/>
      <c r="I5" s="44"/>
    </row>
    <row r="6" spans="1:20" ht="12.6" customHeight="1" x14ac:dyDescent="0.2">
      <c r="A6" s="200"/>
      <c r="B6" s="45"/>
      <c r="C6" s="45"/>
      <c r="D6" s="45"/>
      <c r="E6" s="45"/>
      <c r="F6" s="45"/>
      <c r="G6" s="160"/>
      <c r="H6" s="45"/>
      <c r="I6" s="46"/>
    </row>
    <row r="7" spans="1:20" ht="12.6" customHeight="1" x14ac:dyDescent="0.2">
      <c r="A7" s="201" t="s">
        <v>3</v>
      </c>
      <c r="B7" s="47"/>
      <c r="C7" s="48"/>
      <c r="D7" s="49" t="s">
        <v>4</v>
      </c>
      <c r="E7" s="50"/>
      <c r="F7" s="50"/>
      <c r="G7" s="161"/>
      <c r="H7" s="51"/>
      <c r="I7" s="52" t="s">
        <v>5</v>
      </c>
    </row>
    <row r="8" spans="1:20" ht="12.6" customHeight="1" thickBot="1" x14ac:dyDescent="0.25">
      <c r="A8" s="478" t="s">
        <v>236</v>
      </c>
      <c r="B8" s="53"/>
      <c r="C8" s="54"/>
      <c r="D8" s="659" t="s">
        <v>237</v>
      </c>
      <c r="E8" s="660"/>
      <c r="F8" s="660"/>
      <c r="G8" s="660"/>
      <c r="H8" s="661"/>
      <c r="I8" s="55"/>
    </row>
    <row r="9" spans="1:20" ht="12.6" customHeight="1" thickTop="1" thickBot="1" x14ac:dyDescent="0.25">
      <c r="A9" s="662" t="s">
        <v>38</v>
      </c>
      <c r="B9" s="663" t="s">
        <v>32</v>
      </c>
      <c r="C9" s="663"/>
      <c r="D9" s="663"/>
      <c r="E9" s="663"/>
      <c r="F9" s="664" t="s">
        <v>39</v>
      </c>
      <c r="G9" s="665" t="s">
        <v>31</v>
      </c>
      <c r="H9" s="664" t="s">
        <v>33</v>
      </c>
      <c r="I9" s="664"/>
    </row>
    <row r="10" spans="1:20" ht="12.6" customHeight="1" thickTop="1" x14ac:dyDescent="0.2">
      <c r="A10" s="705"/>
      <c r="B10" s="723"/>
      <c r="C10" s="723"/>
      <c r="D10" s="723"/>
      <c r="E10" s="723"/>
      <c r="F10" s="724"/>
      <c r="G10" s="725"/>
      <c r="H10" s="348" t="s">
        <v>34</v>
      </c>
      <c r="I10" s="349" t="s">
        <v>35</v>
      </c>
      <c r="O10" s="726"/>
      <c r="P10" s="727"/>
      <c r="Q10" s="727"/>
      <c r="R10" s="727"/>
      <c r="S10" s="715"/>
      <c r="T10" s="715"/>
    </row>
    <row r="11" spans="1:20" ht="12.75" x14ac:dyDescent="0.2">
      <c r="A11" s="408">
        <v>1</v>
      </c>
      <c r="B11" s="716" t="s">
        <v>142</v>
      </c>
      <c r="C11" s="717"/>
      <c r="D11" s="717" t="s">
        <v>112</v>
      </c>
      <c r="E11" s="717"/>
      <c r="F11" s="717"/>
      <c r="G11" s="717"/>
      <c r="H11" s="717"/>
      <c r="I11" s="718"/>
      <c r="K11" s="41"/>
      <c r="O11" s="726"/>
      <c r="P11" s="727"/>
      <c r="Q11" s="727"/>
      <c r="R11" s="727"/>
      <c r="S11" s="722"/>
      <c r="T11" s="715"/>
    </row>
    <row r="12" spans="1:20" ht="12.75" customHeight="1" x14ac:dyDescent="0.2">
      <c r="A12" s="409" t="s">
        <v>109</v>
      </c>
      <c r="B12" s="706" t="s">
        <v>206</v>
      </c>
      <c r="C12" s="707"/>
      <c r="D12" s="707"/>
      <c r="E12" s="708"/>
      <c r="F12" s="410" t="s">
        <v>203</v>
      </c>
      <c r="G12" s="411">
        <v>10</v>
      </c>
      <c r="H12" s="412">
        <v>79.78</v>
      </c>
      <c r="I12" s="413">
        <f t="shared" ref="I12:I17" si="0">G12*H12</f>
        <v>797.8</v>
      </c>
      <c r="K12" s="41"/>
      <c r="O12" s="728"/>
      <c r="P12" s="728"/>
      <c r="Q12" s="728"/>
      <c r="R12" s="728"/>
      <c r="S12" s="715"/>
      <c r="T12" s="715"/>
    </row>
    <row r="13" spans="1:20" ht="11.25" x14ac:dyDescent="0.2">
      <c r="A13" s="409" t="s">
        <v>110</v>
      </c>
      <c r="B13" s="706" t="s">
        <v>223</v>
      </c>
      <c r="C13" s="707"/>
      <c r="D13" s="707"/>
      <c r="E13" s="708"/>
      <c r="F13" s="410" t="s">
        <v>203</v>
      </c>
      <c r="G13" s="411">
        <v>5</v>
      </c>
      <c r="H13" s="412">
        <v>272.29000000000002</v>
      </c>
      <c r="I13" s="413">
        <f t="shared" si="0"/>
        <v>1361.45</v>
      </c>
      <c r="K13" s="41"/>
    </row>
    <row r="14" spans="1:20" ht="11.25" x14ac:dyDescent="0.2">
      <c r="A14" s="409" t="s">
        <v>147</v>
      </c>
      <c r="B14" s="712" t="s">
        <v>213</v>
      </c>
      <c r="C14" s="713"/>
      <c r="D14" s="713"/>
      <c r="E14" s="714"/>
      <c r="F14" s="410" t="s">
        <v>203</v>
      </c>
      <c r="G14" s="411">
        <v>2</v>
      </c>
      <c r="H14" s="412">
        <v>448.61</v>
      </c>
      <c r="I14" s="413">
        <f t="shared" si="0"/>
        <v>897.22</v>
      </c>
      <c r="K14" s="41"/>
    </row>
    <row r="15" spans="1:20" ht="11.25" x14ac:dyDescent="0.2">
      <c r="A15" s="409" t="s">
        <v>148</v>
      </c>
      <c r="B15" s="706" t="s">
        <v>222</v>
      </c>
      <c r="C15" s="707"/>
      <c r="D15" s="707"/>
      <c r="E15" s="708"/>
      <c r="F15" s="410" t="s">
        <v>203</v>
      </c>
      <c r="G15" s="411">
        <v>1</v>
      </c>
      <c r="H15" s="412">
        <v>1168.72</v>
      </c>
      <c r="I15" s="413">
        <f>G15*H15</f>
        <v>1168.72</v>
      </c>
      <c r="K15" s="41"/>
    </row>
    <row r="16" spans="1:20" ht="11.25" x14ac:dyDescent="0.2">
      <c r="A16" s="409" t="s">
        <v>149</v>
      </c>
      <c r="B16" s="719" t="s">
        <v>204</v>
      </c>
      <c r="C16" s="720"/>
      <c r="D16" s="720"/>
      <c r="E16" s="721"/>
      <c r="F16" s="410" t="s">
        <v>203</v>
      </c>
      <c r="G16" s="411">
        <v>1</v>
      </c>
      <c r="H16" s="412">
        <v>514.51</v>
      </c>
      <c r="I16" s="413">
        <f t="shared" si="0"/>
        <v>514.51</v>
      </c>
      <c r="K16" s="41"/>
    </row>
    <row r="17" spans="1:21" ht="11.25" x14ac:dyDescent="0.2">
      <c r="A17" s="409" t="s">
        <v>200</v>
      </c>
      <c r="B17" s="706" t="s">
        <v>207</v>
      </c>
      <c r="C17" s="707"/>
      <c r="D17" s="707"/>
      <c r="E17" s="708"/>
      <c r="F17" s="410" t="s">
        <v>203</v>
      </c>
      <c r="G17" s="411">
        <v>1</v>
      </c>
      <c r="H17" s="412">
        <v>1445.3</v>
      </c>
      <c r="I17" s="413">
        <f t="shared" si="0"/>
        <v>1445.3</v>
      </c>
      <c r="K17" s="41"/>
    </row>
    <row r="18" spans="1:21" ht="24.75" customHeight="1" x14ac:dyDescent="0.2">
      <c r="A18" s="409" t="s">
        <v>201</v>
      </c>
      <c r="B18" s="702" t="s">
        <v>221</v>
      </c>
      <c r="C18" s="703"/>
      <c r="D18" s="703"/>
      <c r="E18" s="704"/>
      <c r="F18" s="410" t="s">
        <v>203</v>
      </c>
      <c r="G18" s="411">
        <v>5</v>
      </c>
      <c r="H18" s="412">
        <v>3822.84</v>
      </c>
      <c r="I18" s="413">
        <f t="shared" ref="I18:I23" si="1">G18*H18</f>
        <v>19114.2</v>
      </c>
      <c r="K18" s="41"/>
    </row>
    <row r="19" spans="1:21" ht="11.25" customHeight="1" x14ac:dyDescent="0.2">
      <c r="A19" s="409" t="s">
        <v>202</v>
      </c>
      <c r="B19" s="702" t="s">
        <v>214</v>
      </c>
      <c r="C19" s="703"/>
      <c r="D19" s="703"/>
      <c r="E19" s="704"/>
      <c r="F19" s="410" t="s">
        <v>205</v>
      </c>
      <c r="G19" s="411">
        <v>5</v>
      </c>
      <c r="H19" s="412">
        <v>288.60000000000002</v>
      </c>
      <c r="I19" s="413">
        <f t="shared" si="1"/>
        <v>1443</v>
      </c>
      <c r="K19" s="41"/>
    </row>
    <row r="20" spans="1:21" ht="16.5" customHeight="1" x14ac:dyDescent="0.2">
      <c r="A20" s="409"/>
      <c r="B20" s="709"/>
      <c r="C20" s="710"/>
      <c r="D20" s="710"/>
      <c r="E20" s="711"/>
      <c r="F20" s="410"/>
      <c r="G20" s="411"/>
      <c r="H20" s="412"/>
      <c r="I20" s="413">
        <f t="shared" si="1"/>
        <v>0</v>
      </c>
      <c r="J20" s="475"/>
      <c r="K20" s="41"/>
    </row>
    <row r="21" spans="1:21" ht="14.25" customHeight="1" x14ac:dyDescent="0.2">
      <c r="A21" s="409"/>
      <c r="B21" s="702"/>
      <c r="C21" s="703"/>
      <c r="D21" s="703"/>
      <c r="E21" s="704"/>
      <c r="F21" s="410"/>
      <c r="G21" s="411"/>
      <c r="H21" s="412"/>
      <c r="I21" s="413">
        <f t="shared" si="1"/>
        <v>0</v>
      </c>
      <c r="K21" s="41"/>
    </row>
    <row r="22" spans="1:21" ht="12" customHeight="1" x14ac:dyDescent="0.2">
      <c r="A22" s="409"/>
      <c r="B22" s="712"/>
      <c r="C22" s="713"/>
      <c r="D22" s="713"/>
      <c r="E22" s="714"/>
      <c r="F22" s="410"/>
      <c r="G22" s="411"/>
      <c r="H22" s="412"/>
      <c r="I22" s="413">
        <f t="shared" si="1"/>
        <v>0</v>
      </c>
      <c r="K22" s="41"/>
    </row>
    <row r="23" spans="1:21" ht="13.5" customHeight="1" x14ac:dyDescent="0.2">
      <c r="A23" s="409"/>
      <c r="B23" s="702"/>
      <c r="C23" s="703"/>
      <c r="D23" s="703"/>
      <c r="E23" s="704"/>
      <c r="F23" s="410"/>
      <c r="G23" s="411"/>
      <c r="H23" s="412"/>
      <c r="I23" s="413">
        <f t="shared" si="1"/>
        <v>0</v>
      </c>
      <c r="K23" s="41"/>
    </row>
    <row r="24" spans="1:21" ht="12.6" customHeight="1" x14ac:dyDescent="0.2">
      <c r="A24" s="736" t="s">
        <v>143</v>
      </c>
      <c r="B24" s="737"/>
      <c r="C24" s="737"/>
      <c r="D24" s="737"/>
      <c r="E24" s="737"/>
      <c r="F24" s="737"/>
      <c r="G24" s="737"/>
      <c r="H24" s="738"/>
      <c r="I24" s="358">
        <f>SUM(I12:I23)</f>
        <v>26742.2</v>
      </c>
      <c r="K24" s="684"/>
      <c r="L24" s="684"/>
      <c r="M24" s="684"/>
      <c r="N24" s="684"/>
      <c r="O24" s="684"/>
      <c r="P24" s="684"/>
      <c r="Q24" s="684"/>
      <c r="R24" s="684"/>
      <c r="S24" s="425"/>
      <c r="T24" s="375"/>
    </row>
    <row r="25" spans="1:21" ht="12.6" customHeight="1" x14ac:dyDescent="0.2">
      <c r="A25" s="341"/>
      <c r="B25" s="342"/>
      <c r="C25" s="342"/>
      <c r="D25" s="342"/>
      <c r="E25" s="342"/>
      <c r="F25" s="342"/>
      <c r="G25" s="343"/>
      <c r="H25" s="342"/>
      <c r="I25" s="344"/>
      <c r="K25" s="684"/>
      <c r="L25" s="684"/>
      <c r="M25" s="684"/>
      <c r="N25" s="684"/>
      <c r="O25" s="684"/>
      <c r="P25" s="684"/>
      <c r="Q25" s="684"/>
      <c r="R25" s="684"/>
      <c r="S25" s="424"/>
      <c r="T25" s="376"/>
    </row>
    <row r="26" spans="1:21" ht="12.75" customHeight="1" x14ac:dyDescent="0.2">
      <c r="A26" s="267">
        <v>2</v>
      </c>
      <c r="B26" s="689" t="s">
        <v>154</v>
      </c>
      <c r="C26" s="690"/>
      <c r="D26" s="690"/>
      <c r="E26" s="690"/>
      <c r="F26" s="690"/>
      <c r="G26" s="690"/>
      <c r="H26" s="690"/>
      <c r="I26" s="691"/>
      <c r="J26" s="242"/>
      <c r="K26" s="436"/>
      <c r="L26" s="729"/>
      <c r="M26" s="729"/>
      <c r="N26" s="729"/>
      <c r="O26" s="729"/>
      <c r="P26" s="729"/>
      <c r="Q26" s="729"/>
      <c r="R26" s="729"/>
      <c r="S26" s="729"/>
      <c r="T26" s="376"/>
    </row>
    <row r="27" spans="1:21" ht="12.75" customHeight="1" x14ac:dyDescent="0.2">
      <c r="A27" s="268" t="s">
        <v>113</v>
      </c>
      <c r="B27" s="731" t="s">
        <v>218</v>
      </c>
      <c r="C27" s="732"/>
      <c r="D27" s="732"/>
      <c r="E27" s="732"/>
      <c r="F27" s="269" t="s">
        <v>145</v>
      </c>
      <c r="G27" s="270">
        <v>6</v>
      </c>
      <c r="H27" s="271">
        <f>ROUND((4.32*24),2)</f>
        <v>103.68</v>
      </c>
      <c r="I27" s="271">
        <f>ROUND((G27*H27),4)</f>
        <v>622.08000000000004</v>
      </c>
      <c r="J27" s="242"/>
      <c r="K27" s="436"/>
      <c r="L27" s="461"/>
      <c r="M27" s="461"/>
      <c r="N27" s="461"/>
      <c r="O27" s="461"/>
      <c r="P27" s="461"/>
      <c r="Q27" s="461"/>
      <c r="R27" s="461"/>
      <c r="S27" s="461"/>
      <c r="T27" s="376"/>
    </row>
    <row r="28" spans="1:21" ht="12.75" customHeight="1" x14ac:dyDescent="0.2">
      <c r="A28" s="268" t="s">
        <v>180</v>
      </c>
      <c r="B28" s="731" t="s">
        <v>219</v>
      </c>
      <c r="C28" s="732"/>
      <c r="D28" s="732"/>
      <c r="E28" s="732"/>
      <c r="F28" s="269" t="s">
        <v>145</v>
      </c>
      <c r="G28" s="270">
        <v>6</v>
      </c>
      <c r="H28" s="271">
        <f>ROUND((19.25*24),2)</f>
        <v>462</v>
      </c>
      <c r="I28" s="271">
        <f>ROUND((G28*H28),4)</f>
        <v>2772</v>
      </c>
      <c r="J28" s="242"/>
      <c r="K28" s="436"/>
      <c r="L28" s="461"/>
      <c r="M28" s="461"/>
      <c r="N28" s="461"/>
      <c r="O28" s="461"/>
      <c r="P28" s="461"/>
      <c r="Q28" s="461"/>
      <c r="R28" s="461"/>
      <c r="S28" s="461"/>
      <c r="T28" s="376"/>
    </row>
    <row r="29" spans="1:21" ht="12.75" customHeight="1" x14ac:dyDescent="0.2">
      <c r="A29" s="268" t="s">
        <v>181</v>
      </c>
      <c r="B29" s="731" t="s">
        <v>179</v>
      </c>
      <c r="C29" s="731"/>
      <c r="D29" s="731"/>
      <c r="E29" s="731"/>
      <c r="F29" s="269" t="s">
        <v>145</v>
      </c>
      <c r="G29" s="270">
        <v>6</v>
      </c>
      <c r="H29" s="271">
        <f>ROUND((12.75*24),2)</f>
        <v>306</v>
      </c>
      <c r="I29" s="271">
        <f>ROUND((G29*H29),4)</f>
        <v>1836</v>
      </c>
      <c r="K29" s="437"/>
      <c r="L29" s="739"/>
      <c r="M29" s="739"/>
      <c r="N29" s="739"/>
      <c r="O29" s="739"/>
      <c r="P29" s="438"/>
      <c r="Q29" s="439"/>
      <c r="R29" s="440"/>
      <c r="S29" s="440"/>
      <c r="T29" s="377"/>
    </row>
    <row r="30" spans="1:21" ht="12.75" customHeight="1" x14ac:dyDescent="0.2">
      <c r="A30" s="268" t="s">
        <v>182</v>
      </c>
      <c r="B30" s="733" t="s">
        <v>220</v>
      </c>
      <c r="C30" s="734"/>
      <c r="D30" s="734"/>
      <c r="E30" s="735"/>
      <c r="F30" s="269" t="s">
        <v>145</v>
      </c>
      <c r="G30" s="270">
        <v>6</v>
      </c>
      <c r="H30" s="271">
        <f>ROUND((11.7*24),2)</f>
        <v>280.8</v>
      </c>
      <c r="I30" s="271">
        <f>ROUND((G30*H30),4)</f>
        <v>1684.8</v>
      </c>
      <c r="K30" s="437"/>
      <c r="L30" s="441"/>
      <c r="M30" s="441"/>
      <c r="N30" s="441"/>
      <c r="O30" s="484"/>
      <c r="P30" s="485"/>
      <c r="Q30" s="486"/>
      <c r="R30" s="487"/>
      <c r="S30" s="487"/>
      <c r="T30" s="488"/>
      <c r="U30" s="483"/>
    </row>
    <row r="31" spans="1:21" ht="12.75" customHeight="1" x14ac:dyDescent="0.2">
      <c r="A31" s="345" t="s">
        <v>152</v>
      </c>
      <c r="B31" s="346"/>
      <c r="C31" s="346"/>
      <c r="D31" s="346"/>
      <c r="E31" s="346"/>
      <c r="F31" s="346"/>
      <c r="G31" s="346"/>
      <c r="H31" s="347"/>
      <c r="I31" s="359">
        <f>SUM(I29:I30)</f>
        <v>3520.8</v>
      </c>
      <c r="K31" s="442"/>
      <c r="L31" s="442"/>
      <c r="M31" s="442"/>
      <c r="N31" s="442"/>
      <c r="O31" s="489"/>
      <c r="P31" s="489"/>
      <c r="Q31" s="489"/>
      <c r="R31" s="489"/>
      <c r="S31" s="490"/>
      <c r="T31" s="491"/>
      <c r="U31" s="483"/>
    </row>
    <row r="32" spans="1:21" ht="12.75" customHeight="1" x14ac:dyDescent="0.2">
      <c r="A32" s="226"/>
      <c r="B32" s="223"/>
      <c r="C32" s="224"/>
      <c r="D32" s="224"/>
      <c r="E32" s="225"/>
      <c r="F32" s="220"/>
      <c r="G32" s="221"/>
      <c r="H32" s="222"/>
      <c r="I32" s="222"/>
      <c r="K32" s="41"/>
      <c r="O32" s="483"/>
      <c r="P32" s="483"/>
      <c r="Q32" s="480"/>
      <c r="R32" s="481"/>
      <c r="S32" s="482"/>
      <c r="T32" s="483"/>
      <c r="U32" s="483"/>
    </row>
    <row r="33" spans="1:21" ht="12.75" customHeight="1" x14ac:dyDescent="0.2">
      <c r="A33" s="226"/>
      <c r="B33" s="223"/>
      <c r="C33" s="224"/>
      <c r="D33" s="224"/>
      <c r="E33" s="225"/>
      <c r="F33" s="220"/>
      <c r="G33" s="221"/>
      <c r="H33" s="222"/>
      <c r="I33" s="222"/>
      <c r="K33" s="41"/>
      <c r="O33" s="483"/>
      <c r="P33" s="483"/>
      <c r="Q33" s="483"/>
      <c r="R33" s="481"/>
      <c r="S33" s="483"/>
      <c r="T33" s="483"/>
      <c r="U33" s="483"/>
    </row>
    <row r="34" spans="1:21" ht="12.75" customHeight="1" x14ac:dyDescent="0.2">
      <c r="A34" s="226"/>
      <c r="B34" s="223"/>
      <c r="C34" s="224"/>
      <c r="D34" s="224"/>
      <c r="E34" s="225"/>
      <c r="F34" s="220"/>
      <c r="G34" s="221"/>
      <c r="H34" s="222"/>
      <c r="I34" s="222"/>
      <c r="K34" s="41"/>
      <c r="O34" s="483"/>
      <c r="P34" s="483"/>
      <c r="Q34" s="480"/>
      <c r="R34" s="481"/>
      <c r="S34" s="482"/>
      <c r="T34" s="483"/>
      <c r="U34" s="483"/>
    </row>
    <row r="35" spans="1:21" ht="12.75" customHeight="1" x14ac:dyDescent="0.2">
      <c r="A35" s="226"/>
      <c r="B35" s="223"/>
      <c r="C35" s="224"/>
      <c r="D35" s="224"/>
      <c r="E35" s="225"/>
      <c r="F35" s="220"/>
      <c r="G35" s="221"/>
      <c r="H35" s="222"/>
      <c r="I35" s="222"/>
      <c r="K35" s="41"/>
      <c r="O35" s="483"/>
      <c r="P35" s="483"/>
      <c r="Q35" s="480"/>
      <c r="R35" s="481"/>
      <c r="S35" s="482"/>
      <c r="T35" s="483"/>
      <c r="U35" s="483"/>
    </row>
    <row r="36" spans="1:21" ht="12.75" customHeight="1" x14ac:dyDescent="0.2">
      <c r="A36" s="226"/>
      <c r="B36" s="223"/>
      <c r="C36" s="224"/>
      <c r="D36" s="224"/>
      <c r="E36" s="225"/>
      <c r="F36" s="220"/>
      <c r="G36" s="221"/>
      <c r="H36" s="222"/>
      <c r="I36" s="222"/>
      <c r="K36" s="41"/>
      <c r="O36" s="483"/>
      <c r="P36" s="483"/>
      <c r="Q36" s="480"/>
      <c r="R36" s="481"/>
      <c r="S36" s="482"/>
      <c r="T36" s="483"/>
      <c r="U36" s="483"/>
    </row>
    <row r="37" spans="1:21" ht="12.75" customHeight="1" x14ac:dyDescent="0.2">
      <c r="A37" s="226"/>
      <c r="B37" s="223"/>
      <c r="C37" s="224"/>
      <c r="D37" s="224"/>
      <c r="E37" s="225"/>
      <c r="F37" s="220"/>
      <c r="G37" s="221"/>
      <c r="H37" s="222"/>
      <c r="I37" s="222"/>
      <c r="K37" s="41"/>
      <c r="O37" s="483"/>
      <c r="P37" s="483"/>
      <c r="Q37" s="483"/>
      <c r="R37" s="483"/>
      <c r="S37" s="483"/>
      <c r="T37" s="483"/>
      <c r="U37" s="483"/>
    </row>
    <row r="38" spans="1:21" ht="12.75" customHeight="1" x14ac:dyDescent="0.2">
      <c r="A38" s="226"/>
      <c r="B38" s="223"/>
      <c r="C38" s="224"/>
      <c r="D38" s="224"/>
      <c r="E38" s="225"/>
      <c r="F38" s="220"/>
      <c r="G38" s="221"/>
      <c r="H38" s="222"/>
      <c r="I38" s="222"/>
      <c r="K38" s="41"/>
      <c r="O38" s="483"/>
      <c r="P38" s="483"/>
      <c r="Q38" s="483"/>
      <c r="R38" s="483"/>
      <c r="S38" s="492"/>
      <c r="T38" s="483"/>
      <c r="U38" s="483"/>
    </row>
    <row r="39" spans="1:21" ht="20.100000000000001" customHeight="1" x14ac:dyDescent="0.2">
      <c r="A39" s="293"/>
      <c r="B39" s="730" t="s">
        <v>41</v>
      </c>
      <c r="C39" s="730"/>
      <c r="D39" s="730"/>
      <c r="E39" s="730"/>
      <c r="F39" s="730"/>
      <c r="G39" s="730"/>
      <c r="H39" s="730"/>
      <c r="I39" s="356">
        <f>I24+I31</f>
        <v>30263</v>
      </c>
      <c r="O39" s="483"/>
      <c r="P39" s="483"/>
      <c r="Q39" s="483"/>
      <c r="R39" s="483"/>
      <c r="S39" s="483"/>
      <c r="T39" s="483"/>
      <c r="U39" s="483"/>
    </row>
    <row r="40" spans="1:21" ht="17.25" customHeight="1" x14ac:dyDescent="0.2">
      <c r="A40" s="304" t="s">
        <v>14</v>
      </c>
      <c r="B40" s="296"/>
      <c r="C40" s="307"/>
      <c r="D40" s="307"/>
      <c r="E40" s="307"/>
      <c r="F40" s="309"/>
      <c r="G40" s="310" t="s">
        <v>15</v>
      </c>
      <c r="H40" s="307"/>
      <c r="I40" s="308"/>
    </row>
    <row r="41" spans="1:21" ht="12.75" customHeight="1" x14ac:dyDescent="0.2">
      <c r="A41" s="300"/>
      <c r="B41" s="301"/>
      <c r="C41" s="301"/>
      <c r="D41" s="301"/>
      <c r="E41" s="301"/>
      <c r="F41" s="311"/>
      <c r="G41" s="302"/>
      <c r="H41" s="301"/>
      <c r="I41" s="303"/>
    </row>
    <row r="42" spans="1:21" ht="12.6" customHeight="1" x14ac:dyDescent="0.2">
      <c r="A42" s="304" t="s">
        <v>16</v>
      </c>
      <c r="B42" s="305"/>
      <c r="C42" s="305"/>
      <c r="D42" s="305"/>
      <c r="E42" s="305"/>
      <c r="F42" s="306"/>
      <c r="G42" s="679" t="s">
        <v>17</v>
      </c>
      <c r="H42" s="680"/>
      <c r="I42" s="681"/>
    </row>
    <row r="43" spans="1:21" ht="18.75" customHeight="1" x14ac:dyDescent="0.2">
      <c r="A43" s="300"/>
      <c r="B43" s="301"/>
      <c r="C43" s="301"/>
      <c r="D43" s="301"/>
      <c r="E43" s="301"/>
      <c r="F43" s="303"/>
      <c r="G43" s="682"/>
      <c r="H43" s="682"/>
      <c r="I43" s="683"/>
    </row>
    <row r="44" spans="1:21" ht="15" customHeight="1" x14ac:dyDescent="0.2">
      <c r="A44" s="295" t="s">
        <v>18</v>
      </c>
      <c r="B44" s="296"/>
      <c r="C44" s="296"/>
      <c r="D44" s="296"/>
      <c r="E44" s="296"/>
      <c r="F44" s="296"/>
      <c r="G44" s="297"/>
      <c r="H44" s="296"/>
      <c r="I44" s="298"/>
    </row>
    <row r="45" spans="1:21" ht="15" customHeight="1" x14ac:dyDescent="0.2">
      <c r="A45" s="299"/>
      <c r="B45" s="59"/>
      <c r="C45" s="59"/>
      <c r="D45" s="59"/>
      <c r="E45" s="59"/>
      <c r="F45" s="59"/>
      <c r="G45" s="162"/>
      <c r="H45" s="59"/>
      <c r="I45" s="294"/>
    </row>
    <row r="46" spans="1:21" ht="13.5" customHeight="1" x14ac:dyDescent="0.2">
      <c r="A46" s="300"/>
      <c r="B46" s="301"/>
      <c r="C46" s="301"/>
      <c r="D46" s="301"/>
      <c r="E46" s="301"/>
      <c r="F46" s="301"/>
      <c r="G46" s="302"/>
      <c r="H46" s="301"/>
      <c r="I46" s="303"/>
    </row>
  </sheetData>
  <mergeCells count="40">
    <mergeCell ref="G43:I43"/>
    <mergeCell ref="K24:R25"/>
    <mergeCell ref="L26:S26"/>
    <mergeCell ref="B39:H39"/>
    <mergeCell ref="G42:I42"/>
    <mergeCell ref="B27:E27"/>
    <mergeCell ref="B28:E28"/>
    <mergeCell ref="B30:E30"/>
    <mergeCell ref="B26:I26"/>
    <mergeCell ref="A24:H24"/>
    <mergeCell ref="L29:O29"/>
    <mergeCell ref="B29:E29"/>
    <mergeCell ref="S10:T10"/>
    <mergeCell ref="B11:I11"/>
    <mergeCell ref="B16:E16"/>
    <mergeCell ref="B17:E17"/>
    <mergeCell ref="S11:T11"/>
    <mergeCell ref="B9:E10"/>
    <mergeCell ref="F9:F10"/>
    <mergeCell ref="G9:G10"/>
    <mergeCell ref="H9:I9"/>
    <mergeCell ref="O10:R10"/>
    <mergeCell ref="O12:R12"/>
    <mergeCell ref="S12:T12"/>
    <mergeCell ref="O11:R11"/>
    <mergeCell ref="B15:E15"/>
    <mergeCell ref="A1:I1"/>
    <mergeCell ref="A2:I2"/>
    <mergeCell ref="B23:E23"/>
    <mergeCell ref="A3:H4"/>
    <mergeCell ref="D8:H8"/>
    <mergeCell ref="A9:A10"/>
    <mergeCell ref="B18:E18"/>
    <mergeCell ref="B21:E21"/>
    <mergeCell ref="B19:E19"/>
    <mergeCell ref="B12:E12"/>
    <mergeCell ref="B20:E20"/>
    <mergeCell ref="B22:E22"/>
    <mergeCell ref="B13:E13"/>
    <mergeCell ref="B14:E14"/>
  </mergeCells>
  <phoneticPr fontId="25" type="noConversion"/>
  <printOptions horizontalCentered="1"/>
  <pageMargins left="0.78740157480314965" right="0.39370078740157483" top="0.78740157480314965" bottom="0.39370078740157483" header="0.51181102362204722" footer="0.51181102362204722"/>
  <pageSetup paperSize="9" firstPageNumber="0" orientation="portrait" r:id="rId1"/>
  <headerFooter alignWithMargins="0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I43"/>
  <sheetViews>
    <sheetView showGridLines="0" zoomScale="110" zoomScaleNormal="110" zoomScaleSheetLayoutView="130" workbookViewId="0"/>
  </sheetViews>
  <sheetFormatPr defaultRowHeight="15" customHeight="1" x14ac:dyDescent="0.2"/>
  <cols>
    <col min="1" max="1" width="2.85546875" style="60" customWidth="1"/>
    <col min="2" max="2" width="25.7109375" style="60" customWidth="1"/>
    <col min="3" max="3" width="15.140625" style="60" customWidth="1"/>
    <col min="4" max="4" width="7.140625" style="60" customWidth="1"/>
    <col min="5" max="5" width="4.28515625" style="60" customWidth="1"/>
    <col min="6" max="6" width="11.7109375" style="60" customWidth="1"/>
    <col min="7" max="7" width="0" style="60" hidden="1" customWidth="1"/>
    <col min="8" max="8" width="13.28515625" style="60" customWidth="1"/>
    <col min="9" max="9" width="12.28515625" style="61" customWidth="1"/>
    <col min="10" max="10" width="9.28515625" style="61" customWidth="1"/>
    <col min="11" max="12" width="9.140625" style="61"/>
    <col min="13" max="13" width="11" style="61" customWidth="1"/>
    <col min="14" max="16384" width="9.140625" style="61"/>
  </cols>
  <sheetData>
    <row r="2" spans="1:9" ht="15" customHeight="1" thickBot="1" x14ac:dyDescent="0.25">
      <c r="A2" s="435"/>
      <c r="B2" s="435"/>
      <c r="C2" s="435"/>
      <c r="D2" s="435"/>
      <c r="E2" s="435"/>
      <c r="F2" s="435"/>
      <c r="G2" s="435"/>
      <c r="H2" s="435"/>
    </row>
    <row r="3" spans="1:9" ht="9.9499999999999993" customHeight="1" thickBot="1" x14ac:dyDescent="0.25">
      <c r="A3" s="742" t="s">
        <v>42</v>
      </c>
      <c r="B3" s="742"/>
      <c r="C3" s="742"/>
      <c r="D3" s="742"/>
      <c r="E3" s="742"/>
      <c r="F3" s="742"/>
      <c r="G3" s="742"/>
      <c r="H3" s="30" t="s">
        <v>0</v>
      </c>
    </row>
    <row r="4" spans="1:9" s="60" customFormat="1" ht="20.100000000000001" customHeight="1" x14ac:dyDescent="0.2">
      <c r="A4" s="742"/>
      <c r="B4" s="742"/>
      <c r="C4" s="742"/>
      <c r="D4" s="742"/>
      <c r="E4" s="742"/>
      <c r="F4" s="742"/>
      <c r="G4" s="742"/>
      <c r="H4" s="31" t="s">
        <v>37</v>
      </c>
    </row>
    <row r="5" spans="1:9" s="60" customFormat="1" ht="12.6" customHeight="1" x14ac:dyDescent="0.2">
      <c r="A5" s="743" t="s">
        <v>2</v>
      </c>
      <c r="B5" s="743"/>
      <c r="C5" s="743"/>
      <c r="D5" s="743"/>
      <c r="E5" s="743"/>
      <c r="F5" s="743"/>
      <c r="G5" s="743"/>
      <c r="H5" s="743"/>
    </row>
    <row r="6" spans="1:9" s="60" customFormat="1" ht="12.6" customHeight="1" x14ac:dyDescent="0.2">
      <c r="A6" s="744" t="s">
        <v>44</v>
      </c>
      <c r="B6" s="744"/>
      <c r="C6" s="744"/>
      <c r="D6" s="744"/>
      <c r="E6" s="744"/>
      <c r="F6" s="744"/>
      <c r="G6" s="744"/>
      <c r="H6" s="744"/>
    </row>
    <row r="7" spans="1:9" s="60" customFormat="1" ht="12.6" customHeight="1" x14ac:dyDescent="0.2">
      <c r="A7" s="62" t="s">
        <v>3</v>
      </c>
      <c r="B7" s="63"/>
      <c r="C7" s="62" t="s">
        <v>4</v>
      </c>
      <c r="D7" s="64"/>
      <c r="E7" s="64"/>
      <c r="F7" s="64"/>
      <c r="G7" s="63"/>
      <c r="H7" s="65" t="s">
        <v>5</v>
      </c>
    </row>
    <row r="8" spans="1:9" s="60" customFormat="1" ht="12.6" customHeight="1" thickBot="1" x14ac:dyDescent="0.25">
      <c r="A8" s="745" t="s">
        <v>236</v>
      </c>
      <c r="B8" s="745"/>
      <c r="C8" s="659" t="s">
        <v>237</v>
      </c>
      <c r="D8" s="660"/>
      <c r="E8" s="660"/>
      <c r="F8" s="660"/>
      <c r="G8" s="661"/>
      <c r="H8" s="66"/>
    </row>
    <row r="9" spans="1:9" s="60" customFormat="1" ht="23.25" customHeight="1" thickTop="1" x14ac:dyDescent="0.2">
      <c r="A9" s="67" t="s">
        <v>45</v>
      </c>
      <c r="B9" s="67" t="s">
        <v>46</v>
      </c>
      <c r="C9" s="740" t="s">
        <v>47</v>
      </c>
      <c r="D9" s="740"/>
      <c r="E9" s="740"/>
      <c r="F9" s="68" t="s">
        <v>48</v>
      </c>
      <c r="G9" s="741" t="s">
        <v>49</v>
      </c>
      <c r="H9" s="741"/>
    </row>
    <row r="10" spans="1:9" ht="18" customHeight="1" x14ac:dyDescent="0.2">
      <c r="A10" s="69">
        <v>1</v>
      </c>
      <c r="B10" s="70"/>
      <c r="C10" s="287" t="s">
        <v>50</v>
      </c>
      <c r="D10" s="288"/>
      <c r="E10" s="289"/>
      <c r="F10" s="290">
        <v>1</v>
      </c>
      <c r="G10" s="291" t="e">
        <v>#REF!</v>
      </c>
      <c r="H10" s="291">
        <f>PFS!$N$30/12</f>
        <v>62467.880833333329</v>
      </c>
      <c r="I10" s="76"/>
    </row>
    <row r="11" spans="1:9" ht="18" customHeight="1" x14ac:dyDescent="0.2">
      <c r="A11" s="69">
        <v>2</v>
      </c>
      <c r="B11" s="70"/>
      <c r="C11" s="287" t="s">
        <v>51</v>
      </c>
      <c r="D11" s="288"/>
      <c r="E11" s="289"/>
      <c r="F11" s="290">
        <v>2</v>
      </c>
      <c r="G11" s="291" t="e">
        <v>#REF!</v>
      </c>
      <c r="H11" s="291">
        <f>PFS!$N$30/12</f>
        <v>62467.880833333329</v>
      </c>
      <c r="I11" s="76"/>
    </row>
    <row r="12" spans="1:9" ht="18" customHeight="1" x14ac:dyDescent="0.2">
      <c r="A12" s="69">
        <v>3</v>
      </c>
      <c r="B12" s="70"/>
      <c r="C12" s="287" t="s">
        <v>52</v>
      </c>
      <c r="D12" s="288"/>
      <c r="E12" s="289"/>
      <c r="F12" s="290">
        <v>3</v>
      </c>
      <c r="G12" s="291" t="e">
        <v>#REF!</v>
      </c>
      <c r="H12" s="291">
        <f>PFS!$N$30/12</f>
        <v>62467.880833333329</v>
      </c>
      <c r="I12" s="76"/>
    </row>
    <row r="13" spans="1:9" ht="18" customHeight="1" x14ac:dyDescent="0.2">
      <c r="A13" s="69">
        <v>4</v>
      </c>
      <c r="B13" s="70"/>
      <c r="C13" s="287" t="s">
        <v>53</v>
      </c>
      <c r="D13" s="288"/>
      <c r="E13" s="289"/>
      <c r="F13" s="290">
        <v>4</v>
      </c>
      <c r="G13" s="291" t="e">
        <v>#REF!</v>
      </c>
      <c r="H13" s="291">
        <f>PFS!$N$30/12</f>
        <v>62467.880833333329</v>
      </c>
      <c r="I13" s="76"/>
    </row>
    <row r="14" spans="1:9" ht="18" customHeight="1" x14ac:dyDescent="0.2">
      <c r="A14" s="69">
        <v>5</v>
      </c>
      <c r="B14" s="70"/>
      <c r="C14" s="287" t="s">
        <v>54</v>
      </c>
      <c r="D14" s="288"/>
      <c r="E14" s="289"/>
      <c r="F14" s="290">
        <v>5</v>
      </c>
      <c r="G14" s="291" t="e">
        <v>#REF!</v>
      </c>
      <c r="H14" s="291">
        <f>PFS!$N$30/12</f>
        <v>62467.880833333329</v>
      </c>
      <c r="I14" s="76"/>
    </row>
    <row r="15" spans="1:9" ht="18" customHeight="1" x14ac:dyDescent="0.2">
      <c r="A15" s="69">
        <v>6</v>
      </c>
      <c r="B15" s="70"/>
      <c r="C15" s="287" t="s">
        <v>55</v>
      </c>
      <c r="D15" s="288"/>
      <c r="E15" s="289"/>
      <c r="F15" s="290">
        <v>6</v>
      </c>
      <c r="G15" s="291" t="e">
        <v>#REF!</v>
      </c>
      <c r="H15" s="291">
        <f>PFS!$N$30/12</f>
        <v>62467.880833333329</v>
      </c>
      <c r="I15" s="76"/>
    </row>
    <row r="16" spans="1:9" ht="18" customHeight="1" x14ac:dyDescent="0.2">
      <c r="A16" s="69">
        <v>7</v>
      </c>
      <c r="B16" s="70"/>
      <c r="C16" s="287" t="s">
        <v>56</v>
      </c>
      <c r="D16" s="288"/>
      <c r="E16" s="289"/>
      <c r="F16" s="290">
        <v>7</v>
      </c>
      <c r="G16" s="291" t="e">
        <v>#REF!</v>
      </c>
      <c r="H16" s="291">
        <f>PFS!$N$30/12</f>
        <v>62467.880833333329</v>
      </c>
      <c r="I16" s="76"/>
    </row>
    <row r="17" spans="1:9" ht="18" customHeight="1" x14ac:dyDescent="0.2">
      <c r="A17" s="69">
        <v>8</v>
      </c>
      <c r="B17" s="70"/>
      <c r="C17" s="287" t="s">
        <v>57</v>
      </c>
      <c r="D17" s="288"/>
      <c r="E17" s="289"/>
      <c r="F17" s="290">
        <v>8</v>
      </c>
      <c r="G17" s="291" t="e">
        <v>#REF!</v>
      </c>
      <c r="H17" s="291">
        <f>PFS!$N$30/12</f>
        <v>62467.880833333329</v>
      </c>
      <c r="I17" s="76"/>
    </row>
    <row r="18" spans="1:9" ht="18" customHeight="1" x14ac:dyDescent="0.2">
      <c r="A18" s="69">
        <v>9</v>
      </c>
      <c r="B18" s="70"/>
      <c r="C18" s="287" t="s">
        <v>58</v>
      </c>
      <c r="D18" s="288"/>
      <c r="E18" s="289"/>
      <c r="F18" s="290">
        <v>9</v>
      </c>
      <c r="G18" s="291" t="e">
        <v>#REF!</v>
      </c>
      <c r="H18" s="291">
        <f>PFS!$N$30/12</f>
        <v>62467.880833333329</v>
      </c>
      <c r="I18" s="76"/>
    </row>
    <row r="19" spans="1:9" ht="18" customHeight="1" x14ac:dyDescent="0.2">
      <c r="A19" s="77">
        <v>10</v>
      </c>
      <c r="B19" s="70"/>
      <c r="C19" s="287" t="s">
        <v>59</v>
      </c>
      <c r="D19" s="288"/>
      <c r="E19" s="289"/>
      <c r="F19" s="290">
        <v>10</v>
      </c>
      <c r="G19" s="291" t="e">
        <v>#REF!</v>
      </c>
      <c r="H19" s="291">
        <f>PFS!$N$30/12</f>
        <v>62467.880833333329</v>
      </c>
      <c r="I19" s="76"/>
    </row>
    <row r="20" spans="1:9" ht="18" customHeight="1" x14ac:dyDescent="0.2">
      <c r="A20" s="69">
        <v>11</v>
      </c>
      <c r="B20" s="70"/>
      <c r="C20" s="287" t="s">
        <v>60</v>
      </c>
      <c r="D20" s="288"/>
      <c r="E20" s="289"/>
      <c r="F20" s="290">
        <v>11</v>
      </c>
      <c r="G20" s="291" t="e">
        <v>#REF!</v>
      </c>
      <c r="H20" s="291">
        <f>PFS!$N$30/12</f>
        <v>62467.880833333329</v>
      </c>
      <c r="I20" s="76"/>
    </row>
    <row r="21" spans="1:9" ht="18" customHeight="1" x14ac:dyDescent="0.2">
      <c r="A21" s="69">
        <v>12</v>
      </c>
      <c r="B21" s="78"/>
      <c r="C21" s="287" t="s">
        <v>61</v>
      </c>
      <c r="D21" s="288"/>
      <c r="E21" s="289"/>
      <c r="F21" s="290">
        <v>12</v>
      </c>
      <c r="G21" s="291"/>
      <c r="H21" s="291">
        <f>PFS!$N$30/12</f>
        <v>62467.880833333329</v>
      </c>
      <c r="I21" s="76"/>
    </row>
    <row r="22" spans="1:9" ht="18" customHeight="1" x14ac:dyDescent="0.2">
      <c r="A22" s="69">
        <v>13</v>
      </c>
      <c r="B22" s="80"/>
      <c r="C22" s="287"/>
      <c r="D22" s="72"/>
      <c r="E22" s="73"/>
      <c r="F22" s="290"/>
      <c r="G22" s="75"/>
      <c r="H22" s="291"/>
      <c r="I22" s="76"/>
    </row>
    <row r="23" spans="1:9" ht="18" customHeight="1" x14ac:dyDescent="0.2">
      <c r="A23" s="69">
        <v>14</v>
      </c>
      <c r="B23" s="80"/>
      <c r="C23" s="287"/>
      <c r="D23" s="72"/>
      <c r="E23" s="73"/>
      <c r="F23" s="290"/>
      <c r="G23" s="79"/>
      <c r="H23" s="291"/>
      <c r="I23" s="76"/>
    </row>
    <row r="24" spans="1:9" ht="18" customHeight="1" x14ac:dyDescent="0.2">
      <c r="A24" s="69">
        <v>15</v>
      </c>
      <c r="B24" s="80"/>
      <c r="C24" s="287"/>
      <c r="D24" s="72"/>
      <c r="E24" s="73"/>
      <c r="F24" s="290"/>
      <c r="G24" s="79"/>
      <c r="H24" s="291"/>
      <c r="I24" s="76"/>
    </row>
    <row r="25" spans="1:9" ht="18" customHeight="1" x14ac:dyDescent="0.2">
      <c r="A25" s="69">
        <v>16</v>
      </c>
      <c r="B25" s="80"/>
      <c r="C25" s="287"/>
      <c r="D25" s="72"/>
      <c r="E25" s="73"/>
      <c r="F25" s="290"/>
      <c r="G25" s="79"/>
      <c r="H25" s="291"/>
      <c r="I25" s="76"/>
    </row>
    <row r="26" spans="1:9" ht="18" customHeight="1" x14ac:dyDescent="0.2">
      <c r="A26" s="69">
        <v>17</v>
      </c>
      <c r="B26" s="80"/>
      <c r="C26" s="287"/>
      <c r="D26" s="72"/>
      <c r="E26" s="73"/>
      <c r="F26" s="290"/>
      <c r="G26" s="79"/>
      <c r="H26" s="291"/>
      <c r="I26" s="76"/>
    </row>
    <row r="27" spans="1:9" ht="18" customHeight="1" x14ac:dyDescent="0.2">
      <c r="A27" s="69">
        <v>18</v>
      </c>
      <c r="B27" s="80"/>
      <c r="C27" s="287"/>
      <c r="D27" s="72"/>
      <c r="E27" s="73"/>
      <c r="F27" s="290"/>
      <c r="G27" s="79"/>
      <c r="H27" s="291"/>
      <c r="I27" s="76"/>
    </row>
    <row r="28" spans="1:9" ht="18" customHeight="1" x14ac:dyDescent="0.2">
      <c r="A28" s="69">
        <v>19</v>
      </c>
      <c r="B28" s="80"/>
      <c r="C28" s="287"/>
      <c r="D28" s="72"/>
      <c r="E28" s="73"/>
      <c r="F28" s="290"/>
      <c r="G28" s="79"/>
      <c r="H28" s="291"/>
      <c r="I28" s="76"/>
    </row>
    <row r="29" spans="1:9" ht="18" customHeight="1" x14ac:dyDescent="0.2">
      <c r="A29" s="69">
        <v>20</v>
      </c>
      <c r="B29" s="80"/>
      <c r="C29" s="287"/>
      <c r="D29" s="72"/>
      <c r="E29" s="73"/>
      <c r="F29" s="290"/>
      <c r="G29" s="79"/>
      <c r="H29" s="291"/>
      <c r="I29" s="76"/>
    </row>
    <row r="30" spans="1:9" ht="18" customHeight="1" x14ac:dyDescent="0.2">
      <c r="A30" s="69">
        <v>21</v>
      </c>
      <c r="B30" s="80"/>
      <c r="C30" s="287"/>
      <c r="D30" s="72"/>
      <c r="E30" s="73"/>
      <c r="F30" s="290"/>
      <c r="G30" s="79"/>
      <c r="H30" s="291"/>
      <c r="I30" s="76"/>
    </row>
    <row r="31" spans="1:9" ht="18" customHeight="1" x14ac:dyDescent="0.2">
      <c r="A31" s="69">
        <v>22</v>
      </c>
      <c r="B31" s="80"/>
      <c r="C31" s="287"/>
      <c r="D31" s="72"/>
      <c r="E31" s="73"/>
      <c r="F31" s="290"/>
      <c r="G31" s="79"/>
      <c r="H31" s="291"/>
      <c r="I31" s="76"/>
    </row>
    <row r="32" spans="1:9" ht="18" customHeight="1" x14ac:dyDescent="0.2">
      <c r="A32" s="69">
        <v>23</v>
      </c>
      <c r="B32" s="80"/>
      <c r="C32" s="287"/>
      <c r="D32" s="72"/>
      <c r="E32" s="73"/>
      <c r="F32" s="290"/>
      <c r="G32" s="79"/>
      <c r="H32" s="291"/>
      <c r="I32" s="76"/>
    </row>
    <row r="33" spans="1:9" ht="18" customHeight="1" x14ac:dyDescent="0.2">
      <c r="A33" s="69">
        <v>24</v>
      </c>
      <c r="B33" s="80"/>
      <c r="C33" s="287"/>
      <c r="D33" s="72"/>
      <c r="E33" s="73"/>
      <c r="F33" s="290"/>
      <c r="G33" s="79"/>
      <c r="H33" s="291"/>
      <c r="I33" s="76"/>
    </row>
    <row r="34" spans="1:9" ht="18" customHeight="1" x14ac:dyDescent="0.2">
      <c r="A34" s="77"/>
      <c r="B34" s="80"/>
      <c r="C34" s="71"/>
      <c r="D34" s="72"/>
      <c r="E34" s="73"/>
      <c r="F34" s="74"/>
      <c r="G34" s="79"/>
      <c r="H34" s="75"/>
      <c r="I34" s="76"/>
    </row>
    <row r="35" spans="1:9" ht="20.25" customHeight="1" thickBot="1" x14ac:dyDescent="0.25">
      <c r="A35" s="748" t="s">
        <v>62</v>
      </c>
      <c r="B35" s="748"/>
      <c r="C35" s="748"/>
      <c r="D35" s="748"/>
      <c r="E35" s="748"/>
      <c r="F35" s="748"/>
      <c r="G35" s="292" t="e">
        <v>#REF!</v>
      </c>
      <c r="H35" s="292">
        <f>SUM(H10:H34)</f>
        <v>749614.57000000018</v>
      </c>
      <c r="I35" s="76"/>
    </row>
    <row r="36" spans="1:9" ht="12.6" customHeight="1" x14ac:dyDescent="0.2">
      <c r="A36" s="81" t="s">
        <v>14</v>
      </c>
      <c r="B36" s="82"/>
      <c r="C36" s="83"/>
      <c r="D36" s="749" t="s">
        <v>15</v>
      </c>
      <c r="E36" s="749"/>
      <c r="F36" s="749"/>
      <c r="G36" s="749"/>
      <c r="H36" s="749"/>
    </row>
    <row r="37" spans="1:9" ht="12.6" customHeight="1" x14ac:dyDescent="0.2">
      <c r="A37" s="746"/>
      <c r="B37" s="746"/>
      <c r="C37" s="746"/>
      <c r="D37" s="750"/>
      <c r="E37" s="750"/>
      <c r="F37" s="750"/>
      <c r="G37" s="750"/>
      <c r="H37" s="750"/>
    </row>
    <row r="38" spans="1:9" ht="12.6" customHeight="1" x14ac:dyDescent="0.2">
      <c r="A38" s="751" t="s">
        <v>16</v>
      </c>
      <c r="B38" s="751"/>
      <c r="C38" s="751"/>
      <c r="D38" s="751"/>
      <c r="E38" s="751"/>
      <c r="F38" s="749" t="s">
        <v>17</v>
      </c>
      <c r="G38" s="749"/>
      <c r="H38" s="749"/>
    </row>
    <row r="39" spans="1:9" ht="12.6" customHeight="1" x14ac:dyDescent="0.2">
      <c r="A39" s="746"/>
      <c r="B39" s="746"/>
      <c r="C39" s="746"/>
      <c r="D39" s="746"/>
      <c r="E39" s="746"/>
      <c r="F39" s="747"/>
      <c r="G39" s="747"/>
      <c r="H39" s="747"/>
    </row>
    <row r="40" spans="1:9" ht="15" customHeight="1" x14ac:dyDescent="0.2">
      <c r="A40" s="84" t="s">
        <v>18</v>
      </c>
      <c r="B40" s="85"/>
      <c r="C40" s="85"/>
      <c r="D40" s="85"/>
      <c r="E40" s="85"/>
      <c r="F40" s="85"/>
      <c r="G40" s="85"/>
      <c r="H40" s="86"/>
    </row>
    <row r="41" spans="1:9" ht="15" customHeight="1" x14ac:dyDescent="0.2">
      <c r="A41" s="87"/>
      <c r="B41" s="88"/>
      <c r="C41" s="88"/>
      <c r="D41" s="88"/>
      <c r="E41" s="88"/>
      <c r="F41" s="89"/>
      <c r="G41" s="89"/>
      <c r="H41" s="90"/>
    </row>
    <row r="42" spans="1:9" ht="15" customHeight="1" x14ac:dyDescent="0.2">
      <c r="A42" s="91"/>
      <c r="B42" s="92"/>
      <c r="C42" s="92"/>
      <c r="D42" s="92"/>
      <c r="E42" s="92"/>
      <c r="F42" s="92"/>
      <c r="G42" s="92"/>
      <c r="H42" s="93"/>
    </row>
    <row r="43" spans="1:9" ht="15" customHeight="1" x14ac:dyDescent="0.2">
      <c r="A43" s="94"/>
      <c r="B43" s="95"/>
      <c r="C43" s="95"/>
      <c r="D43" s="95"/>
      <c r="E43" s="95"/>
      <c r="F43" s="96"/>
      <c r="G43" s="96"/>
      <c r="H43" s="97"/>
    </row>
  </sheetData>
  <mergeCells count="15">
    <mergeCell ref="A39:E39"/>
    <mergeCell ref="F39:H39"/>
    <mergeCell ref="A35:F35"/>
    <mergeCell ref="D36:H36"/>
    <mergeCell ref="A37:C37"/>
    <mergeCell ref="D37:H37"/>
    <mergeCell ref="A38:E38"/>
    <mergeCell ref="F38:H38"/>
    <mergeCell ref="C9:E9"/>
    <mergeCell ref="G9:H9"/>
    <mergeCell ref="A3:G4"/>
    <mergeCell ref="A5:H5"/>
    <mergeCell ref="A6:H6"/>
    <mergeCell ref="A8:B8"/>
    <mergeCell ref="C8:G8"/>
  </mergeCells>
  <phoneticPr fontId="25" type="noConversion"/>
  <printOptions horizontalCentered="1"/>
  <pageMargins left="0.78740157480314965" right="0.39370078740157483" top="0.78740157480314965" bottom="0.39370078740157483" header="0.51181102362204722" footer="0.51181102362204722"/>
  <pageSetup paperSize="9" firstPageNumber="0" orientation="portrait" r:id="rId1"/>
  <headerFooter alignWithMargins="0"/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4"/>
  <sheetViews>
    <sheetView showGridLines="0" zoomScale="120" zoomScaleNormal="120" zoomScaleSheetLayoutView="100" workbookViewId="0"/>
  </sheetViews>
  <sheetFormatPr defaultColWidth="11.42578125" defaultRowHeight="15" customHeight="1" x14ac:dyDescent="0.2"/>
  <cols>
    <col min="1" max="1" width="3.85546875" style="98" customWidth="1"/>
    <col min="2" max="2" width="27.5703125" style="98" customWidth="1"/>
    <col min="3" max="3" width="16.140625" style="98" customWidth="1"/>
    <col min="4" max="4" width="6.7109375" style="98" customWidth="1"/>
    <col min="5" max="5" width="9" style="98" customWidth="1"/>
    <col min="6" max="7" width="13.42578125" style="98" customWidth="1"/>
    <col min="8" max="16384" width="11.42578125" style="98"/>
  </cols>
  <sheetData>
    <row r="1" spans="1:8" ht="15" customHeight="1" x14ac:dyDescent="0.2">
      <c r="C1" s="1"/>
    </row>
    <row r="2" spans="1:8" ht="15" customHeight="1" thickBot="1" x14ac:dyDescent="0.25">
      <c r="A2" s="433"/>
      <c r="B2" s="433"/>
      <c r="C2" s="433"/>
      <c r="D2" s="433"/>
      <c r="E2" s="433"/>
      <c r="F2" s="433"/>
      <c r="G2" s="433"/>
      <c r="H2" s="422"/>
    </row>
    <row r="3" spans="1:8" ht="9.9499999999999993" customHeight="1" thickBot="1" x14ac:dyDescent="0.25">
      <c r="A3" s="752" t="s">
        <v>63</v>
      </c>
      <c r="B3" s="752"/>
      <c r="C3" s="752"/>
      <c r="D3" s="752"/>
      <c r="E3" s="752"/>
      <c r="F3" s="752"/>
      <c r="G3" s="432" t="s">
        <v>0</v>
      </c>
    </row>
    <row r="4" spans="1:8" ht="20.100000000000001" customHeight="1" thickTop="1" thickBot="1" x14ac:dyDescent="0.25">
      <c r="A4" s="753"/>
      <c r="B4" s="753"/>
      <c r="C4" s="753"/>
      <c r="D4" s="753"/>
      <c r="E4" s="753"/>
      <c r="F4" s="753"/>
      <c r="G4" s="99" t="s">
        <v>43</v>
      </c>
    </row>
    <row r="5" spans="1:8" ht="12.6" customHeight="1" thickTop="1" x14ac:dyDescent="0.2">
      <c r="A5" s="754" t="s">
        <v>2</v>
      </c>
      <c r="B5" s="754"/>
      <c r="C5" s="754"/>
      <c r="D5" s="754"/>
      <c r="E5" s="754"/>
      <c r="F5" s="754"/>
      <c r="G5" s="754"/>
    </row>
    <row r="6" spans="1:8" ht="12.6" customHeight="1" x14ac:dyDescent="0.2">
      <c r="A6" s="100"/>
      <c r="B6" s="101"/>
      <c r="C6" s="101"/>
      <c r="D6" s="101"/>
      <c r="E6" s="101"/>
      <c r="F6" s="101"/>
      <c r="G6" s="102"/>
    </row>
    <row r="7" spans="1:8" ht="12.6" customHeight="1" x14ac:dyDescent="0.2">
      <c r="A7" s="103" t="s">
        <v>3</v>
      </c>
      <c r="B7" s="104"/>
      <c r="C7" s="103" t="s">
        <v>4</v>
      </c>
      <c r="D7" s="105"/>
      <c r="E7" s="105"/>
      <c r="F7" s="104"/>
      <c r="G7" s="106" t="s">
        <v>5</v>
      </c>
    </row>
    <row r="8" spans="1:8" ht="12.6" customHeight="1" thickBot="1" x14ac:dyDescent="0.25">
      <c r="A8" s="479" t="s">
        <v>236</v>
      </c>
      <c r="B8" s="107"/>
      <c r="C8" s="108" t="s">
        <v>238</v>
      </c>
      <c r="D8" s="109"/>
      <c r="E8" s="109"/>
      <c r="F8" s="110"/>
      <c r="G8" s="110"/>
    </row>
    <row r="9" spans="1:8" ht="12.6" customHeight="1" thickTop="1" x14ac:dyDescent="0.2">
      <c r="A9" s="755" t="s">
        <v>32</v>
      </c>
      <c r="B9" s="755"/>
      <c r="C9" s="755"/>
      <c r="D9" s="755"/>
      <c r="E9" s="755"/>
      <c r="F9" s="756" t="s">
        <v>64</v>
      </c>
      <c r="G9" s="756"/>
    </row>
    <row r="10" spans="1:8" ht="12.6" customHeight="1" x14ac:dyDescent="0.2">
      <c r="A10" s="755"/>
      <c r="B10" s="755"/>
      <c r="C10" s="755"/>
      <c r="D10" s="755"/>
      <c r="E10" s="755"/>
      <c r="F10" s="111" t="s">
        <v>24</v>
      </c>
      <c r="G10" s="111" t="s">
        <v>65</v>
      </c>
    </row>
    <row r="11" spans="1:8" s="101" customFormat="1" ht="30" customHeight="1" x14ac:dyDescent="0.2">
      <c r="A11" s="112">
        <v>1</v>
      </c>
      <c r="B11" s="759" t="s">
        <v>239</v>
      </c>
      <c r="C11" s="759"/>
      <c r="D11" s="759"/>
      <c r="E11" s="759"/>
      <c r="F11" s="272">
        <v>0.1</v>
      </c>
      <c r="G11" s="273">
        <f>ROUND((0.1* ('PFS_I Equipe (2)'!E22+'PFS_I Equipe (2)'!G22)),2)</f>
        <v>38394.730000000003</v>
      </c>
    </row>
    <row r="12" spans="1:8" s="101" customFormat="1" ht="30" customHeight="1" x14ac:dyDescent="0.2">
      <c r="A12" s="112">
        <v>2</v>
      </c>
      <c r="B12" s="760" t="s">
        <v>240</v>
      </c>
      <c r="C12" s="760"/>
      <c r="D12" s="760"/>
      <c r="E12" s="760"/>
      <c r="F12" s="272">
        <v>0.1</v>
      </c>
      <c r="G12" s="274">
        <f>ROUND(('PFS_II Desp Gerais - Serviços'!I37*0.1),2)</f>
        <v>12846.33</v>
      </c>
    </row>
    <row r="13" spans="1:8" s="101" customFormat="1" ht="30" customHeight="1" x14ac:dyDescent="0.2">
      <c r="A13" s="114">
        <v>3</v>
      </c>
      <c r="B13" s="760" t="s">
        <v>241</v>
      </c>
      <c r="C13" s="760"/>
      <c r="D13" s="760"/>
      <c r="E13" s="760"/>
      <c r="F13" s="272">
        <v>0.1</v>
      </c>
      <c r="G13" s="274">
        <f>ROUND(('PFS_III Desp Gerais - Forneci'!I39*0.1),2)</f>
        <v>3026.3</v>
      </c>
    </row>
    <row r="14" spans="1:8" s="101" customFormat="1" ht="15" customHeight="1" x14ac:dyDescent="0.2">
      <c r="A14" s="115"/>
      <c r="B14" s="116"/>
      <c r="C14" s="116"/>
      <c r="D14" s="116"/>
      <c r="E14" s="117"/>
      <c r="F14" s="118"/>
      <c r="G14" s="113"/>
    </row>
    <row r="15" spans="1:8" s="101" customFormat="1" ht="15" customHeight="1" x14ac:dyDescent="0.2">
      <c r="A15" s="119"/>
      <c r="B15" s="120"/>
      <c r="C15" s="120"/>
      <c r="D15" s="120"/>
      <c r="E15" s="121"/>
      <c r="F15" s="118"/>
      <c r="G15" s="113"/>
    </row>
    <row r="16" spans="1:8" s="101" customFormat="1" ht="15" customHeight="1" x14ac:dyDescent="0.2">
      <c r="A16" s="119"/>
      <c r="B16" s="120"/>
      <c r="C16" s="120"/>
      <c r="D16" s="120"/>
      <c r="E16" s="121"/>
      <c r="F16" s="118"/>
      <c r="G16" s="113"/>
    </row>
    <row r="17" spans="1:7" s="101" customFormat="1" ht="15" customHeight="1" x14ac:dyDescent="0.2">
      <c r="A17" s="115"/>
      <c r="B17" s="120"/>
      <c r="C17" s="120"/>
      <c r="D17" s="120"/>
      <c r="E17" s="121"/>
      <c r="F17" s="122"/>
      <c r="G17" s="113"/>
    </row>
    <row r="18" spans="1:7" s="101" customFormat="1" ht="15" customHeight="1" x14ac:dyDescent="0.2">
      <c r="A18" s="115"/>
      <c r="B18" s="120"/>
      <c r="C18" s="120"/>
      <c r="D18" s="120"/>
      <c r="E18" s="121"/>
      <c r="F18" s="122"/>
      <c r="G18" s="113"/>
    </row>
    <row r="19" spans="1:7" s="101" customFormat="1" ht="15" customHeight="1" x14ac:dyDescent="0.2">
      <c r="A19" s="119"/>
      <c r="B19" s="120"/>
      <c r="C19" s="120"/>
      <c r="D19" s="120"/>
      <c r="E19" s="121"/>
      <c r="F19" s="122"/>
      <c r="G19" s="113"/>
    </row>
    <row r="20" spans="1:7" s="101" customFormat="1" ht="15" customHeight="1" x14ac:dyDescent="0.2">
      <c r="A20" s="119"/>
      <c r="B20" s="120"/>
      <c r="C20" s="120"/>
      <c r="D20" s="120"/>
      <c r="E20" s="121"/>
      <c r="F20" s="122"/>
      <c r="G20" s="113"/>
    </row>
    <row r="21" spans="1:7" s="101" customFormat="1" ht="15" customHeight="1" x14ac:dyDescent="0.2">
      <c r="A21" s="119"/>
      <c r="B21" s="120"/>
      <c r="C21" s="120"/>
      <c r="D21" s="120"/>
      <c r="E21" s="121"/>
      <c r="F21" s="122"/>
      <c r="G21" s="113"/>
    </row>
    <row r="22" spans="1:7" s="101" customFormat="1" ht="15" customHeight="1" x14ac:dyDescent="0.2">
      <c r="A22" s="119"/>
      <c r="B22" s="120"/>
      <c r="C22" s="120"/>
      <c r="D22" s="120"/>
      <c r="E22" s="121"/>
      <c r="F22" s="122"/>
      <c r="G22" s="113"/>
    </row>
    <row r="23" spans="1:7" s="101" customFormat="1" ht="15" customHeight="1" x14ac:dyDescent="0.2">
      <c r="A23" s="115"/>
      <c r="B23" s="120"/>
      <c r="C23" s="120"/>
      <c r="D23" s="120"/>
      <c r="E23" s="121"/>
      <c r="F23" s="122"/>
      <c r="G23" s="113"/>
    </row>
    <row r="24" spans="1:7" s="101" customFormat="1" ht="15" customHeight="1" x14ac:dyDescent="0.2">
      <c r="A24" s="119"/>
      <c r="B24" s="120"/>
      <c r="C24" s="120"/>
      <c r="D24" s="120"/>
      <c r="E24" s="121"/>
      <c r="F24" s="122"/>
      <c r="G24" s="113"/>
    </row>
    <row r="25" spans="1:7" s="101" customFormat="1" ht="15" customHeight="1" x14ac:dyDescent="0.2">
      <c r="A25" s="119"/>
      <c r="B25" s="120"/>
      <c r="C25" s="120"/>
      <c r="D25" s="120"/>
      <c r="E25" s="121"/>
      <c r="F25" s="122"/>
      <c r="G25" s="113"/>
    </row>
    <row r="26" spans="1:7" s="101" customFormat="1" ht="15" customHeight="1" x14ac:dyDescent="0.2">
      <c r="A26" s="115"/>
      <c r="B26" s="120"/>
      <c r="C26" s="120"/>
      <c r="D26" s="120"/>
      <c r="E26" s="121"/>
      <c r="F26" s="122"/>
      <c r="G26" s="113"/>
    </row>
    <row r="27" spans="1:7" s="101" customFormat="1" ht="15" customHeight="1" x14ac:dyDescent="0.2">
      <c r="A27" s="115"/>
      <c r="B27" s="120"/>
      <c r="C27" s="120"/>
      <c r="D27" s="120"/>
      <c r="E27" s="121"/>
      <c r="F27" s="122"/>
      <c r="G27" s="113"/>
    </row>
    <row r="28" spans="1:7" s="101" customFormat="1" ht="15" customHeight="1" x14ac:dyDescent="0.2">
      <c r="A28" s="119"/>
      <c r="B28" s="120"/>
      <c r="C28" s="120"/>
      <c r="D28" s="120"/>
      <c r="E28" s="121"/>
      <c r="F28" s="122"/>
      <c r="G28" s="113"/>
    </row>
    <row r="29" spans="1:7" s="101" customFormat="1" ht="15" customHeight="1" x14ac:dyDescent="0.2">
      <c r="A29" s="119"/>
      <c r="B29" s="120"/>
      <c r="C29" s="120"/>
      <c r="D29" s="120"/>
      <c r="E29" s="121"/>
      <c r="F29" s="122"/>
      <c r="G29" s="113"/>
    </row>
    <row r="30" spans="1:7" s="101" customFormat="1" ht="15" customHeight="1" x14ac:dyDescent="0.2">
      <c r="A30" s="119"/>
      <c r="B30" s="120"/>
      <c r="C30" s="120"/>
      <c r="D30" s="120"/>
      <c r="E30" s="121"/>
      <c r="F30" s="122"/>
      <c r="G30" s="113"/>
    </row>
    <row r="31" spans="1:7" s="101" customFormat="1" ht="15" customHeight="1" x14ac:dyDescent="0.2">
      <c r="A31" s="119"/>
      <c r="B31" s="120"/>
      <c r="C31" s="120"/>
      <c r="D31" s="120"/>
      <c r="E31" s="121"/>
      <c r="F31" s="122"/>
      <c r="G31" s="113"/>
    </row>
    <row r="32" spans="1:7" s="101" customFormat="1" ht="15" customHeight="1" x14ac:dyDescent="0.2">
      <c r="A32" s="115"/>
      <c r="B32" s="120"/>
      <c r="C32" s="120"/>
      <c r="D32" s="120"/>
      <c r="E32" s="121"/>
      <c r="F32" s="122"/>
      <c r="G32" s="113"/>
    </row>
    <row r="33" spans="1:7" s="101" customFormat="1" ht="15" customHeight="1" x14ac:dyDescent="0.2">
      <c r="A33" s="119"/>
      <c r="B33" s="120"/>
      <c r="C33" s="120"/>
      <c r="D33" s="120"/>
      <c r="E33" s="121"/>
      <c r="F33" s="122"/>
      <c r="G33" s="113"/>
    </row>
    <row r="34" spans="1:7" s="101" customFormat="1" ht="15" customHeight="1" x14ac:dyDescent="0.2">
      <c r="A34" s="119"/>
      <c r="B34" s="120"/>
      <c r="C34" s="120"/>
      <c r="D34" s="120"/>
      <c r="E34" s="121"/>
      <c r="F34" s="122"/>
      <c r="G34" s="113"/>
    </row>
    <row r="35" spans="1:7" s="101" customFormat="1" ht="15" customHeight="1" x14ac:dyDescent="0.2">
      <c r="A35" s="115"/>
      <c r="B35" s="120"/>
      <c r="C35" s="120"/>
      <c r="D35" s="120"/>
      <c r="E35" s="121"/>
      <c r="F35" s="122"/>
      <c r="G35" s="113"/>
    </row>
    <row r="36" spans="1:7" s="101" customFormat="1" ht="15" customHeight="1" x14ac:dyDescent="0.2">
      <c r="A36" s="115"/>
      <c r="B36" s="120"/>
      <c r="C36" s="120"/>
      <c r="D36" s="120"/>
      <c r="E36" s="121"/>
      <c r="F36" s="122"/>
      <c r="G36" s="113"/>
    </row>
    <row r="37" spans="1:7" ht="20.100000000000001" customHeight="1" x14ac:dyDescent="0.2">
      <c r="A37" s="100"/>
      <c r="B37" s="761" t="s">
        <v>66</v>
      </c>
      <c r="C37" s="761"/>
      <c r="D37" s="761"/>
      <c r="E37" s="761"/>
      <c r="F37" s="275">
        <v>0.2</v>
      </c>
      <c r="G37" s="276">
        <f>ROUND((SUM(G11:G36)),2)</f>
        <v>54267.360000000001</v>
      </c>
    </row>
    <row r="38" spans="1:7" ht="1.5" customHeight="1" thickBot="1" x14ac:dyDescent="0.25">
      <c r="A38" s="123"/>
      <c r="B38" s="124"/>
      <c r="C38" s="124"/>
      <c r="D38" s="124"/>
      <c r="E38" s="124"/>
      <c r="F38" s="124"/>
      <c r="G38" s="125"/>
    </row>
    <row r="39" spans="1:7" ht="24.95" customHeight="1" thickTop="1" x14ac:dyDescent="0.2">
      <c r="A39" s="126" t="s">
        <v>14</v>
      </c>
      <c r="B39" s="127"/>
      <c r="C39" s="128"/>
      <c r="D39" s="126" t="s">
        <v>15</v>
      </c>
      <c r="E39" s="127"/>
      <c r="F39" s="127"/>
      <c r="G39" s="128"/>
    </row>
    <row r="40" spans="1:7" ht="24.95" customHeight="1" x14ac:dyDescent="0.2">
      <c r="A40" s="103" t="s">
        <v>16</v>
      </c>
      <c r="B40" s="105"/>
      <c r="C40" s="105"/>
      <c r="D40" s="105"/>
      <c r="E40" s="104"/>
      <c r="F40" s="103" t="s">
        <v>17</v>
      </c>
      <c r="G40" s="104"/>
    </row>
    <row r="41" spans="1:7" ht="15" customHeight="1" x14ac:dyDescent="0.2">
      <c r="A41" s="762" t="s">
        <v>67</v>
      </c>
      <c r="B41" s="762"/>
      <c r="C41" s="762"/>
      <c r="D41" s="762"/>
      <c r="E41" s="762"/>
      <c r="F41" s="762"/>
      <c r="G41" s="762"/>
    </row>
    <row r="42" spans="1:7" ht="15" customHeight="1" x14ac:dyDescent="0.2">
      <c r="A42" s="757"/>
      <c r="B42" s="757"/>
      <c r="C42" s="757"/>
      <c r="D42" s="757"/>
      <c r="E42" s="757"/>
      <c r="F42" s="757"/>
      <c r="G42" s="757"/>
    </row>
    <row r="43" spans="1:7" ht="15" customHeight="1" x14ac:dyDescent="0.2">
      <c r="A43" s="757"/>
      <c r="B43" s="757"/>
      <c r="C43" s="757"/>
      <c r="D43" s="757"/>
      <c r="E43" s="757"/>
      <c r="F43" s="757"/>
      <c r="G43" s="757"/>
    </row>
    <row r="44" spans="1:7" ht="15" customHeight="1" x14ac:dyDescent="0.2">
      <c r="A44" s="758"/>
      <c r="B44" s="758"/>
      <c r="C44" s="758"/>
      <c r="D44" s="758"/>
      <c r="E44" s="758"/>
      <c r="F44" s="758"/>
      <c r="G44" s="758"/>
    </row>
  </sheetData>
  <mergeCells count="12">
    <mergeCell ref="A44:G44"/>
    <mergeCell ref="B11:E11"/>
    <mergeCell ref="B12:E12"/>
    <mergeCell ref="B37:E37"/>
    <mergeCell ref="A41:G41"/>
    <mergeCell ref="B13:E13"/>
    <mergeCell ref="A43:G43"/>
    <mergeCell ref="A3:F4"/>
    <mergeCell ref="A5:G5"/>
    <mergeCell ref="A9:E10"/>
    <mergeCell ref="F9:G9"/>
    <mergeCell ref="A42:G42"/>
  </mergeCells>
  <printOptions horizontalCentered="1"/>
  <pageMargins left="0.78740157480314965" right="0.39370078740157483" top="0.78740157480314965" bottom="0.39370078740157483" header="0.51181102362204722" footer="0.51181102362204722"/>
  <pageSetup paperSize="9" firstPageNumber="0" orientation="portrait" r:id="rId1"/>
  <headerFooter alignWithMargins="0"/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0"/>
  <sheetViews>
    <sheetView showGridLines="0" zoomScale="130" zoomScaleNormal="130" zoomScaleSheetLayoutView="100" workbookViewId="0">
      <selection sqref="A1:G1"/>
    </sheetView>
  </sheetViews>
  <sheetFormatPr defaultColWidth="11.42578125" defaultRowHeight="15" customHeight="1" x14ac:dyDescent="0.2"/>
  <cols>
    <col min="1" max="1" width="3.85546875" style="98" customWidth="1"/>
    <col min="2" max="2" width="26" style="98" customWidth="1"/>
    <col min="3" max="3" width="18" style="98" customWidth="1"/>
    <col min="4" max="4" width="6.7109375" style="98" customWidth="1"/>
    <col min="5" max="5" width="7.7109375" style="98" customWidth="1"/>
    <col min="6" max="6" width="13.140625" style="98" customWidth="1"/>
    <col min="7" max="7" width="12.85546875" style="98" customWidth="1"/>
    <col min="8" max="16384" width="11.42578125" style="98"/>
  </cols>
  <sheetData>
    <row r="1" spans="1:7" ht="15" customHeight="1" thickBot="1" x14ac:dyDescent="0.25">
      <c r="A1" s="763"/>
      <c r="B1" s="763"/>
      <c r="C1" s="763"/>
      <c r="D1" s="763"/>
      <c r="E1" s="763"/>
      <c r="F1" s="763"/>
      <c r="G1" s="763"/>
    </row>
    <row r="2" spans="1:7" ht="9.9499999999999993" customHeight="1" thickBot="1" x14ac:dyDescent="0.25">
      <c r="A2" s="772" t="s">
        <v>69</v>
      </c>
      <c r="B2" s="772"/>
      <c r="C2" s="772"/>
      <c r="D2" s="772"/>
      <c r="E2" s="772"/>
      <c r="F2" s="772"/>
      <c r="G2" s="42" t="s">
        <v>0</v>
      </c>
    </row>
    <row r="3" spans="1:7" ht="20.100000000000001" customHeight="1" x14ac:dyDescent="0.2">
      <c r="A3" s="772"/>
      <c r="B3" s="772"/>
      <c r="C3" s="772"/>
      <c r="D3" s="772"/>
      <c r="E3" s="772"/>
      <c r="F3" s="772"/>
      <c r="G3" s="31" t="s">
        <v>157</v>
      </c>
    </row>
    <row r="4" spans="1:7" ht="12.6" customHeight="1" x14ac:dyDescent="0.2">
      <c r="A4" s="773" t="s">
        <v>2</v>
      </c>
      <c r="B4" s="773"/>
      <c r="C4" s="773"/>
      <c r="D4" s="773"/>
      <c r="E4" s="773"/>
      <c r="F4" s="773"/>
      <c r="G4" s="773"/>
    </row>
    <row r="5" spans="1:7" ht="12.6" customHeight="1" x14ac:dyDescent="0.2">
      <c r="A5" s="100"/>
      <c r="B5" s="101"/>
      <c r="C5" s="101"/>
      <c r="D5" s="101"/>
      <c r="E5" s="101"/>
      <c r="F5" s="101"/>
      <c r="G5" s="102"/>
    </row>
    <row r="6" spans="1:7" ht="12.6" customHeight="1" x14ac:dyDescent="0.2">
      <c r="A6" s="130" t="s">
        <v>3</v>
      </c>
      <c r="B6" s="131"/>
      <c r="C6" s="130" t="s">
        <v>4</v>
      </c>
      <c r="D6" s="132"/>
      <c r="E6" s="132"/>
      <c r="F6" s="131"/>
      <c r="G6" s="133" t="s">
        <v>5</v>
      </c>
    </row>
    <row r="7" spans="1:7" ht="12.6" customHeight="1" thickBot="1" x14ac:dyDescent="0.25">
      <c r="A7" s="478" t="s">
        <v>236</v>
      </c>
      <c r="B7" s="107"/>
      <c r="C7" s="108" t="s">
        <v>238</v>
      </c>
      <c r="D7" s="109"/>
      <c r="E7" s="109"/>
      <c r="F7" s="110"/>
      <c r="G7" s="140"/>
    </row>
    <row r="8" spans="1:7" ht="12.6" customHeight="1" thickTop="1" x14ac:dyDescent="0.2">
      <c r="A8" s="755" t="s">
        <v>32</v>
      </c>
      <c r="B8" s="755"/>
      <c r="C8" s="755"/>
      <c r="D8" s="755"/>
      <c r="E8" s="755"/>
      <c r="F8" s="756" t="s">
        <v>64</v>
      </c>
      <c r="G8" s="756"/>
    </row>
    <row r="9" spans="1:7" ht="12.6" customHeight="1" x14ac:dyDescent="0.15">
      <c r="A9" s="755"/>
      <c r="B9" s="755"/>
      <c r="C9" s="755"/>
      <c r="D9" s="755"/>
      <c r="E9" s="755"/>
      <c r="F9" s="134" t="s">
        <v>24</v>
      </c>
      <c r="G9" s="134" t="s">
        <v>65</v>
      </c>
    </row>
    <row r="10" spans="1:7" ht="15" customHeight="1" x14ac:dyDescent="0.2">
      <c r="A10" s="141" t="s">
        <v>70</v>
      </c>
      <c r="B10" s="765" t="s">
        <v>71</v>
      </c>
      <c r="C10" s="765"/>
      <c r="D10" s="765"/>
      <c r="E10" s="765"/>
      <c r="F10" s="141"/>
      <c r="G10" s="142"/>
    </row>
    <row r="11" spans="1:7" ht="15" customHeight="1" x14ac:dyDescent="0.2">
      <c r="A11" s="112" t="s">
        <v>133</v>
      </c>
      <c r="B11" s="210" t="s">
        <v>72</v>
      </c>
      <c r="C11" s="214"/>
      <c r="D11" s="214"/>
      <c r="E11" s="214"/>
      <c r="F11" s="215">
        <v>0.2</v>
      </c>
      <c r="G11" s="216">
        <f>ROUND(('PFS_I Equipe (2)'!$E$22*F11),2)</f>
        <v>44678.81</v>
      </c>
    </row>
    <row r="12" spans="1:7" ht="15" customHeight="1" x14ac:dyDescent="0.2">
      <c r="A12" s="112" t="s">
        <v>26</v>
      </c>
      <c r="B12" s="210" t="s">
        <v>73</v>
      </c>
      <c r="C12" s="214"/>
      <c r="D12" s="214"/>
      <c r="E12" s="214"/>
      <c r="F12" s="215">
        <v>0.08</v>
      </c>
      <c r="G12" s="216">
        <f>ROUND(('PFS_I Equipe (2)'!$E$22*F12),2)</f>
        <v>17871.52</v>
      </c>
    </row>
    <row r="13" spans="1:7" ht="15" customHeight="1" x14ac:dyDescent="0.2">
      <c r="A13" s="112" t="s">
        <v>27</v>
      </c>
      <c r="B13" s="210" t="s">
        <v>75</v>
      </c>
      <c r="C13" s="214"/>
      <c r="D13" s="214"/>
      <c r="E13" s="214"/>
      <c r="F13" s="215">
        <v>2E-3</v>
      </c>
      <c r="G13" s="216">
        <f>ROUND(('PFS_I Equipe (2)'!$E$22*F13),2)</f>
        <v>446.79</v>
      </c>
    </row>
    <row r="14" spans="1:7" ht="15" customHeight="1" x14ac:dyDescent="0.2">
      <c r="A14" s="112" t="s">
        <v>74</v>
      </c>
      <c r="B14" s="210" t="s">
        <v>77</v>
      </c>
      <c r="C14" s="214"/>
      <c r="D14" s="214"/>
      <c r="E14" s="214"/>
      <c r="F14" s="215">
        <v>2.5000000000000001E-2</v>
      </c>
      <c r="G14" s="216">
        <f>ROUND(('PFS_I Equipe (2)'!$E$22*F14),2)</f>
        <v>5584.85</v>
      </c>
    </row>
    <row r="15" spans="1:7" ht="15" customHeight="1" x14ac:dyDescent="0.2">
      <c r="A15" s="112" t="s">
        <v>76</v>
      </c>
      <c r="B15" s="210" t="s">
        <v>78</v>
      </c>
      <c r="C15" s="214"/>
      <c r="D15" s="214"/>
      <c r="E15" s="214"/>
      <c r="F15" s="215">
        <v>6.0000000000000001E-3</v>
      </c>
      <c r="G15" s="216">
        <f>ROUND(('PFS_I Equipe (2)'!$E$22*F15),2)</f>
        <v>1340.36</v>
      </c>
    </row>
    <row r="16" spans="1:7" ht="15" customHeight="1" x14ac:dyDescent="0.2">
      <c r="A16" s="112" t="s">
        <v>134</v>
      </c>
      <c r="B16" s="210" t="s">
        <v>80</v>
      </c>
      <c r="C16" s="214"/>
      <c r="D16" s="214"/>
      <c r="E16" s="214"/>
      <c r="F16" s="215">
        <v>0.03</v>
      </c>
      <c r="G16" s="216">
        <f>ROUND(('PFS_I Equipe (2)'!$E$22*F16),2)</f>
        <v>6701.82</v>
      </c>
    </row>
    <row r="17" spans="1:7" ht="15" customHeight="1" x14ac:dyDescent="0.2">
      <c r="A17" s="112" t="s">
        <v>79</v>
      </c>
      <c r="B17" s="210" t="s">
        <v>82</v>
      </c>
      <c r="C17" s="214"/>
      <c r="D17" s="214"/>
      <c r="E17" s="214"/>
      <c r="F17" s="215">
        <v>0.01</v>
      </c>
      <c r="G17" s="216">
        <f>ROUND(('PFS_I Equipe (2)'!$E$22*F17),2)</f>
        <v>2233.94</v>
      </c>
    </row>
    <row r="18" spans="1:7" ht="15" customHeight="1" x14ac:dyDescent="0.2">
      <c r="A18" s="112" t="s">
        <v>81</v>
      </c>
      <c r="B18" s="210" t="s">
        <v>83</v>
      </c>
      <c r="C18" s="214"/>
      <c r="D18" s="214"/>
      <c r="E18" s="214"/>
      <c r="F18" s="217">
        <v>1.4999999999999999E-2</v>
      </c>
      <c r="G18" s="216">
        <f>ROUND(('PFS_I Equipe (2)'!$E$22*F18),2)</f>
        <v>3350.91</v>
      </c>
    </row>
    <row r="19" spans="1:7" ht="15" customHeight="1" thickBot="1" x14ac:dyDescent="0.25">
      <c r="A19" s="766" t="s">
        <v>84</v>
      </c>
      <c r="B19" s="766"/>
      <c r="C19" s="766"/>
      <c r="D19" s="766"/>
      <c r="E19" s="766"/>
      <c r="F19" s="143">
        <v>0.36799999999999999</v>
      </c>
      <c r="G19" s="218">
        <f>ROUND(SUM(G11:G18),2)</f>
        <v>82209</v>
      </c>
    </row>
    <row r="20" spans="1:7" ht="20.100000000000001" customHeight="1" thickTop="1" thickBot="1" x14ac:dyDescent="0.25">
      <c r="A20" s="774"/>
      <c r="B20" s="775"/>
      <c r="C20" s="775"/>
      <c r="D20" s="775"/>
      <c r="E20" s="775"/>
      <c r="F20" s="775"/>
      <c r="G20" s="219"/>
    </row>
    <row r="21" spans="1:7" ht="15" customHeight="1" thickTop="1" x14ac:dyDescent="0.2">
      <c r="A21" s="212" t="s">
        <v>85</v>
      </c>
      <c r="B21" s="771" t="s">
        <v>86</v>
      </c>
      <c r="C21" s="771"/>
      <c r="D21" s="771"/>
      <c r="E21" s="771"/>
      <c r="F21" s="211"/>
      <c r="G21" s="213"/>
    </row>
    <row r="22" spans="1:7" ht="15" customHeight="1" x14ac:dyDescent="0.2">
      <c r="A22" s="393" t="s">
        <v>121</v>
      </c>
      <c r="B22" s="776" t="s">
        <v>87</v>
      </c>
      <c r="C22" s="777"/>
      <c r="D22" s="777"/>
      <c r="E22" s="778"/>
      <c r="F22" s="415">
        <v>8.3299999999999999E-2</v>
      </c>
      <c r="G22" s="466">
        <f>ROUND(('PFS_I Equipe (2)'!$E$22*F22),2)</f>
        <v>18608.72</v>
      </c>
    </row>
    <row r="23" spans="1:7" ht="15" customHeight="1" x14ac:dyDescent="0.2">
      <c r="A23" s="394" t="s">
        <v>120</v>
      </c>
      <c r="B23" s="764" t="s">
        <v>127</v>
      </c>
      <c r="C23" s="764"/>
      <c r="D23" s="764"/>
      <c r="E23" s="764"/>
      <c r="F23" s="416">
        <v>9.8199999999999996E-2</v>
      </c>
      <c r="G23" s="216">
        <f>ROUND(('PFS_I Equipe (2)'!$E$22*F23),2)</f>
        <v>21937.29</v>
      </c>
    </row>
    <row r="24" spans="1:7" ht="15" customHeight="1" x14ac:dyDescent="0.2">
      <c r="A24" s="394" t="s">
        <v>122</v>
      </c>
      <c r="B24" s="764" t="s">
        <v>128</v>
      </c>
      <c r="C24" s="764"/>
      <c r="D24" s="764"/>
      <c r="E24" s="764"/>
      <c r="F24" s="416">
        <v>6.8999999999999999E-3</v>
      </c>
      <c r="G24" s="216">
        <f>ROUND(('PFS_I Equipe (2)'!$E$22*F24),2)</f>
        <v>1541.42</v>
      </c>
    </row>
    <row r="25" spans="1:7" ht="15" customHeight="1" x14ac:dyDescent="0.2">
      <c r="A25" s="394" t="s">
        <v>123</v>
      </c>
      <c r="B25" s="764" t="s">
        <v>129</v>
      </c>
      <c r="C25" s="764"/>
      <c r="D25" s="764"/>
      <c r="E25" s="764"/>
      <c r="F25" s="416">
        <v>5.9999999999999995E-4</v>
      </c>
      <c r="G25" s="216">
        <f>ROUND(('PFS_I Equipe (2)'!$E$22*F25),2)</f>
        <v>134.04</v>
      </c>
    </row>
    <row r="26" spans="1:7" ht="15" customHeight="1" x14ac:dyDescent="0.2">
      <c r="A26" s="394" t="s">
        <v>124</v>
      </c>
      <c r="B26" s="764" t="s">
        <v>130</v>
      </c>
      <c r="C26" s="764"/>
      <c r="D26" s="764"/>
      <c r="E26" s="764"/>
      <c r="F26" s="416">
        <v>5.5999999999999999E-3</v>
      </c>
      <c r="G26" s="216">
        <f>ROUND(('PFS_I Equipe (2)'!$E$22*F26),2)</f>
        <v>1251.01</v>
      </c>
    </row>
    <row r="27" spans="1:7" ht="15" customHeight="1" x14ac:dyDescent="0.2">
      <c r="A27" s="394" t="s">
        <v>125</v>
      </c>
      <c r="B27" s="764" t="s">
        <v>131</v>
      </c>
      <c r="C27" s="764"/>
      <c r="D27" s="764"/>
      <c r="E27" s="764"/>
      <c r="F27" s="416">
        <v>8.9999999999999998E-4</v>
      </c>
      <c r="G27" s="216">
        <f>ROUND(('PFS_I Equipe (2)'!$E$22*F27),2)</f>
        <v>201.05</v>
      </c>
    </row>
    <row r="28" spans="1:7" ht="15" customHeight="1" x14ac:dyDescent="0.2">
      <c r="A28" s="394" t="s">
        <v>126</v>
      </c>
      <c r="B28" s="764" t="s">
        <v>132</v>
      </c>
      <c r="C28" s="764"/>
      <c r="D28" s="764"/>
      <c r="E28" s="764"/>
      <c r="F28" s="417">
        <v>2.9999999999999997E-4</v>
      </c>
      <c r="G28" s="216">
        <f>ROUND(('PFS_I Equipe (2)'!$E$22*F28),2)</f>
        <v>67.02</v>
      </c>
    </row>
    <row r="29" spans="1:7" ht="15" customHeight="1" thickBot="1" x14ac:dyDescent="0.25">
      <c r="A29" s="768" t="s">
        <v>88</v>
      </c>
      <c r="B29" s="768"/>
      <c r="C29" s="768"/>
      <c r="D29" s="768"/>
      <c r="E29" s="768"/>
      <c r="F29" s="418">
        <f>SUM(F22:F28)</f>
        <v>0.19579999999999997</v>
      </c>
      <c r="G29" s="414">
        <f>ROUND(SUM(G22:G28),2)</f>
        <v>43740.55</v>
      </c>
    </row>
    <row r="30" spans="1:7" ht="20.100000000000001" customHeight="1" thickTop="1" thickBot="1" x14ac:dyDescent="0.25">
      <c r="A30" s="146"/>
      <c r="B30" s="769"/>
      <c r="C30" s="769"/>
      <c r="D30" s="769"/>
      <c r="E30" s="769"/>
      <c r="F30" s="769"/>
      <c r="G30" s="770"/>
    </row>
    <row r="31" spans="1:7" ht="15" customHeight="1" thickTop="1" x14ac:dyDescent="0.2">
      <c r="A31" s="144" t="s">
        <v>28</v>
      </c>
      <c r="B31" s="767" t="s">
        <v>89</v>
      </c>
      <c r="C31" s="767"/>
      <c r="D31" s="767"/>
      <c r="E31" s="767"/>
      <c r="F31" s="144"/>
      <c r="G31" s="145"/>
    </row>
    <row r="32" spans="1:7" ht="11.25" customHeight="1" x14ac:dyDescent="0.2">
      <c r="A32" s="398" t="s">
        <v>90</v>
      </c>
      <c r="B32" s="764" t="s">
        <v>137</v>
      </c>
      <c r="C32" s="764"/>
      <c r="D32" s="764"/>
      <c r="E32" s="764"/>
      <c r="F32" s="395">
        <v>2.9899999999999999E-2</v>
      </c>
      <c r="G32" s="216">
        <f>ROUND(('PFS_I Equipe (2)'!$E$22*F32),2)</f>
        <v>6679.48</v>
      </c>
    </row>
    <row r="33" spans="1:7" ht="11.25" customHeight="1" x14ac:dyDescent="0.2">
      <c r="A33" s="398" t="s">
        <v>91</v>
      </c>
      <c r="B33" s="764" t="s">
        <v>138</v>
      </c>
      <c r="C33" s="764"/>
      <c r="D33" s="764"/>
      <c r="E33" s="764"/>
      <c r="F33" s="395">
        <v>6.9999999999999999E-4</v>
      </c>
      <c r="G33" s="216">
        <f>ROUND(('PFS_I Equipe (2)'!$E$22*F33),2)</f>
        <v>156.38</v>
      </c>
    </row>
    <row r="34" spans="1:7" ht="11.25" customHeight="1" x14ac:dyDescent="0.2">
      <c r="A34" s="398" t="s">
        <v>92</v>
      </c>
      <c r="B34" s="764" t="s">
        <v>139</v>
      </c>
      <c r="C34" s="764"/>
      <c r="D34" s="764"/>
      <c r="E34" s="764"/>
      <c r="F34" s="395">
        <v>1.01E-2</v>
      </c>
      <c r="G34" s="216">
        <f>ROUND(('PFS_I Equipe (2)'!$E$22*F34),2)</f>
        <v>2256.2800000000002</v>
      </c>
    </row>
    <row r="35" spans="1:7" ht="15" customHeight="1" x14ac:dyDescent="0.2">
      <c r="A35" s="398" t="s">
        <v>135</v>
      </c>
      <c r="B35" s="764" t="s">
        <v>140</v>
      </c>
      <c r="C35" s="764"/>
      <c r="D35" s="764"/>
      <c r="E35" s="764"/>
      <c r="F35" s="395">
        <v>3.6999999999999998E-2</v>
      </c>
      <c r="G35" s="216">
        <f>ROUND(('PFS_I Equipe (2)'!$E$22*F35),2)</f>
        <v>8265.58</v>
      </c>
    </row>
    <row r="36" spans="1:7" ht="15" customHeight="1" x14ac:dyDescent="0.2">
      <c r="A36" s="398" t="s">
        <v>136</v>
      </c>
      <c r="B36" s="764" t="s">
        <v>141</v>
      </c>
      <c r="C36" s="764"/>
      <c r="D36" s="764"/>
      <c r="E36" s="764"/>
      <c r="F36" s="396">
        <v>2.5000000000000001E-3</v>
      </c>
      <c r="G36" s="216">
        <f>ROUND(('PFS_I Equipe (2)'!$E$22*F36),2)</f>
        <v>558.49</v>
      </c>
    </row>
    <row r="37" spans="1:7" ht="15" customHeight="1" thickBot="1" x14ac:dyDescent="0.25">
      <c r="A37" s="780" t="s">
        <v>93</v>
      </c>
      <c r="B37" s="780"/>
      <c r="C37" s="780"/>
      <c r="D37" s="780"/>
      <c r="E37" s="780"/>
      <c r="F37" s="399">
        <f>SUM(F32:F36)</f>
        <v>8.0199999999999994E-2</v>
      </c>
      <c r="G37" s="397">
        <f>ROUND(SUM(G32:G36),2)</f>
        <v>17916.21</v>
      </c>
    </row>
    <row r="38" spans="1:7" ht="20.100000000000001" customHeight="1" x14ac:dyDescent="0.2">
      <c r="A38" s="782"/>
      <c r="B38" s="782"/>
      <c r="C38" s="782"/>
      <c r="D38" s="782"/>
      <c r="E38" s="782"/>
      <c r="F38" s="782"/>
      <c r="G38" s="782"/>
    </row>
    <row r="39" spans="1:7" ht="15" customHeight="1" x14ac:dyDescent="0.2">
      <c r="A39" s="144" t="s">
        <v>94</v>
      </c>
      <c r="B39" s="767" t="s">
        <v>95</v>
      </c>
      <c r="C39" s="767"/>
      <c r="D39" s="767"/>
      <c r="E39" s="767"/>
      <c r="F39" s="144"/>
      <c r="G39" s="145"/>
    </row>
    <row r="40" spans="1:7" ht="15" customHeight="1" x14ac:dyDescent="0.2">
      <c r="A40" s="398" t="s">
        <v>96</v>
      </c>
      <c r="B40" s="779" t="s">
        <v>97</v>
      </c>
      <c r="C40" s="779"/>
      <c r="D40" s="779"/>
      <c r="E40" s="779"/>
      <c r="F40" s="400">
        <v>7.2099999999999997E-2</v>
      </c>
      <c r="G40" s="216">
        <f>ROUND(('PFS_I Equipe (2)'!$E$22*F40),2)</f>
        <v>16106.71</v>
      </c>
    </row>
    <row r="41" spans="1:7" ht="15" customHeight="1" x14ac:dyDescent="0.2">
      <c r="A41" s="398" t="s">
        <v>98</v>
      </c>
      <c r="B41" s="779" t="s">
        <v>99</v>
      </c>
      <c r="C41" s="779"/>
      <c r="D41" s="779"/>
      <c r="E41" s="779"/>
      <c r="F41" s="401">
        <v>2.5999999999999999E-3</v>
      </c>
      <c r="G41" s="216">
        <f>ROUND(('PFS_I Equipe (2)'!$E$22*F41),2)</f>
        <v>580.82000000000005</v>
      </c>
    </row>
    <row r="42" spans="1:7" ht="15" customHeight="1" x14ac:dyDescent="0.2">
      <c r="A42" s="780" t="s">
        <v>100</v>
      </c>
      <c r="B42" s="780"/>
      <c r="C42" s="780"/>
      <c r="D42" s="780"/>
      <c r="E42" s="780"/>
      <c r="F42" s="399">
        <f>SUM(F40:F41)</f>
        <v>7.4700000000000003E-2</v>
      </c>
      <c r="G42" s="397">
        <f>ROUND(SUM(G40:G41),2)</f>
        <v>16687.53</v>
      </c>
    </row>
    <row r="43" spans="1:7" ht="20.100000000000001" customHeight="1" thickTop="1" thickBot="1" x14ac:dyDescent="0.25">
      <c r="A43" s="147"/>
      <c r="B43" s="148"/>
      <c r="C43" s="148"/>
      <c r="D43" s="148"/>
      <c r="E43" s="148"/>
      <c r="F43" s="149"/>
      <c r="G43" s="150"/>
    </row>
    <row r="44" spans="1:7" ht="20.100000000000001" customHeight="1" thickTop="1" thickBot="1" x14ac:dyDescent="0.25">
      <c r="A44" s="781" t="s">
        <v>101</v>
      </c>
      <c r="B44" s="781"/>
      <c r="C44" s="781"/>
      <c r="D44" s="781"/>
      <c r="E44" s="781"/>
      <c r="F44" s="402">
        <f>F42+F37+F29+F19</f>
        <v>0.71869999999999989</v>
      </c>
      <c r="G44" s="470">
        <f>ROUND((G19+G29+G37+G42),2)</f>
        <v>160553.29</v>
      </c>
    </row>
    <row r="45" spans="1:7" ht="24.95" customHeight="1" thickTop="1" x14ac:dyDescent="0.2">
      <c r="A45" s="135" t="s">
        <v>14</v>
      </c>
      <c r="B45" s="136"/>
      <c r="C45" s="137"/>
      <c r="D45" s="135" t="s">
        <v>15</v>
      </c>
      <c r="E45" s="136"/>
      <c r="F45" s="136"/>
      <c r="G45" s="137"/>
    </row>
    <row r="46" spans="1:7" ht="24.95" customHeight="1" x14ac:dyDescent="0.2">
      <c r="A46" s="151" t="s">
        <v>16</v>
      </c>
      <c r="B46" s="152"/>
      <c r="C46" s="152"/>
      <c r="D46" s="152"/>
      <c r="E46" s="153"/>
      <c r="F46" s="151" t="s">
        <v>17</v>
      </c>
      <c r="G46" s="153"/>
    </row>
    <row r="47" spans="1:7" ht="17.25" customHeight="1" x14ac:dyDescent="0.2">
      <c r="A47" s="100" t="s">
        <v>68</v>
      </c>
      <c r="B47" s="101"/>
      <c r="C47" s="101"/>
      <c r="D47" s="101"/>
      <c r="E47" s="101"/>
      <c r="F47" s="101"/>
      <c r="G47" s="154"/>
    </row>
    <row r="48" spans="1:7" ht="15" customHeight="1" x14ac:dyDescent="0.2">
      <c r="A48" s="155"/>
      <c r="B48" s="156"/>
      <c r="C48" s="156"/>
      <c r="D48" s="156"/>
      <c r="E48" s="156"/>
      <c r="F48" s="156"/>
      <c r="G48" s="157"/>
    </row>
    <row r="49" spans="1:7" ht="15" customHeight="1" x14ac:dyDescent="0.2">
      <c r="A49" s="100"/>
      <c r="B49" s="101"/>
      <c r="C49" s="101"/>
      <c r="D49" s="101"/>
      <c r="E49" s="101"/>
      <c r="F49" s="101"/>
      <c r="G49" s="154"/>
    </row>
    <row r="50" spans="1:7" ht="15" customHeight="1" x14ac:dyDescent="0.2">
      <c r="A50" s="138"/>
      <c r="B50" s="139"/>
      <c r="C50" s="139"/>
      <c r="D50" s="139"/>
      <c r="E50" s="139"/>
      <c r="F50" s="139"/>
      <c r="G50" s="102"/>
    </row>
  </sheetData>
  <mergeCells count="31">
    <mergeCell ref="B27:E27"/>
    <mergeCell ref="B41:E41"/>
    <mergeCell ref="A42:E42"/>
    <mergeCell ref="A44:E44"/>
    <mergeCell ref="B35:E35"/>
    <mergeCell ref="B36:E36"/>
    <mergeCell ref="A37:E37"/>
    <mergeCell ref="A38:G38"/>
    <mergeCell ref="B40:E40"/>
    <mergeCell ref="B39:E39"/>
    <mergeCell ref="A20:F20"/>
    <mergeCell ref="B25:E25"/>
    <mergeCell ref="B26:E26"/>
    <mergeCell ref="B22:E22"/>
    <mergeCell ref="B24:E24"/>
    <mergeCell ref="A1:G1"/>
    <mergeCell ref="B33:E33"/>
    <mergeCell ref="B34:E34"/>
    <mergeCell ref="B10:E10"/>
    <mergeCell ref="A19:E19"/>
    <mergeCell ref="B31:E31"/>
    <mergeCell ref="B32:E32"/>
    <mergeCell ref="B23:E23"/>
    <mergeCell ref="A29:E29"/>
    <mergeCell ref="B30:G30"/>
    <mergeCell ref="B21:E21"/>
    <mergeCell ref="B28:E28"/>
    <mergeCell ref="A2:F3"/>
    <mergeCell ref="A4:G4"/>
    <mergeCell ref="A8:E9"/>
    <mergeCell ref="F8:G8"/>
  </mergeCells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r:id="rId1"/>
  <headerFooter alignWithMargins="0"/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51"/>
  <sheetViews>
    <sheetView showGridLines="0" zoomScale="110" zoomScaleNormal="110" zoomScaleSheetLayoutView="100" workbookViewId="0">
      <selection activeCell="J11" sqref="J11:J18"/>
    </sheetView>
  </sheetViews>
  <sheetFormatPr defaultColWidth="11.42578125" defaultRowHeight="15" customHeight="1" x14ac:dyDescent="0.2"/>
  <cols>
    <col min="1" max="1" width="3.85546875" style="98" customWidth="1"/>
    <col min="2" max="2" width="23.28515625" style="98" customWidth="1"/>
    <col min="3" max="3" width="9.140625" style="98" customWidth="1"/>
    <col min="4" max="4" width="8.5703125" style="98" customWidth="1"/>
    <col min="5" max="5" width="10.140625" style="98" customWidth="1"/>
    <col min="6" max="6" width="9.140625" style="98" customWidth="1"/>
    <col min="7" max="7" width="9.42578125" style="98" customWidth="1"/>
    <col min="8" max="8" width="16.5703125" style="98" customWidth="1"/>
    <col min="9" max="9" width="11.42578125" style="98"/>
    <col min="10" max="10" width="11.42578125" style="98" customWidth="1"/>
    <col min="11" max="11" width="11.42578125" style="98"/>
    <col min="12" max="12" width="13.42578125" style="98" bestFit="1" customWidth="1"/>
    <col min="13" max="16384" width="11.42578125" style="98"/>
  </cols>
  <sheetData>
    <row r="1" spans="1:12" ht="15" customHeight="1" x14ac:dyDescent="0.2">
      <c r="C1" s="1"/>
    </row>
    <row r="2" spans="1:12" ht="15" customHeight="1" thickBot="1" x14ac:dyDescent="0.25">
      <c r="A2" s="433"/>
      <c r="B2" s="433"/>
      <c r="C2" s="433"/>
      <c r="D2" s="433"/>
      <c r="E2" s="433"/>
      <c r="F2" s="433"/>
      <c r="G2" s="433"/>
      <c r="H2" s="433"/>
    </row>
    <row r="3" spans="1:12" ht="9.9499999999999993" customHeight="1" thickBot="1" x14ac:dyDescent="0.25">
      <c r="A3" s="752" t="s">
        <v>159</v>
      </c>
      <c r="B3" s="752"/>
      <c r="C3" s="752"/>
      <c r="D3" s="752"/>
      <c r="E3" s="752"/>
      <c r="F3" s="752"/>
      <c r="G3" s="752"/>
      <c r="H3" s="434" t="s">
        <v>0</v>
      </c>
    </row>
    <row r="4" spans="1:12" ht="20.100000000000001" customHeight="1" thickTop="1" thickBot="1" x14ac:dyDescent="0.25">
      <c r="A4" s="753"/>
      <c r="B4" s="753"/>
      <c r="C4" s="753"/>
      <c r="D4" s="753"/>
      <c r="E4" s="753"/>
      <c r="F4" s="753"/>
      <c r="G4" s="753"/>
      <c r="H4" s="99" t="s">
        <v>165</v>
      </c>
    </row>
    <row r="5" spans="1:12" ht="12.6" customHeight="1" thickTop="1" x14ac:dyDescent="0.2">
      <c r="A5" s="773" t="s">
        <v>2</v>
      </c>
      <c r="B5" s="773"/>
      <c r="C5" s="773"/>
      <c r="D5" s="773"/>
      <c r="E5" s="773"/>
      <c r="F5" s="773"/>
      <c r="G5" s="773"/>
      <c r="H5" s="773"/>
    </row>
    <row r="6" spans="1:12" ht="12.6" customHeight="1" x14ac:dyDescent="0.2">
      <c r="A6" s="100"/>
      <c r="B6" s="101"/>
      <c r="C6" s="101"/>
      <c r="D6" s="101"/>
      <c r="E6" s="101"/>
      <c r="F6" s="101"/>
      <c r="G6" s="101"/>
      <c r="H6" s="102"/>
    </row>
    <row r="7" spans="1:12" ht="12.6" customHeight="1" x14ac:dyDescent="0.2">
      <c r="A7" s="130" t="s">
        <v>3</v>
      </c>
      <c r="B7" s="131"/>
      <c r="C7" s="130" t="s">
        <v>4</v>
      </c>
      <c r="D7" s="132"/>
      <c r="E7" s="132"/>
      <c r="F7" s="132"/>
      <c r="G7" s="131"/>
      <c r="H7" s="133" t="s">
        <v>5</v>
      </c>
    </row>
    <row r="8" spans="1:12" ht="12.6" customHeight="1" x14ac:dyDescent="0.2">
      <c r="A8" s="319" t="s">
        <v>236</v>
      </c>
      <c r="B8" s="102"/>
      <c r="C8" s="797" t="s">
        <v>237</v>
      </c>
      <c r="D8" s="798"/>
      <c r="E8" s="798"/>
      <c r="F8" s="798"/>
      <c r="G8" s="799"/>
      <c r="H8" s="102"/>
    </row>
    <row r="9" spans="1:12" ht="12.6" customHeight="1" x14ac:dyDescent="0.2">
      <c r="A9" s="755" t="s">
        <v>32</v>
      </c>
      <c r="B9" s="755"/>
      <c r="C9" s="755"/>
      <c r="D9" s="755"/>
      <c r="E9" s="755"/>
      <c r="F9" s="756" t="s">
        <v>64</v>
      </c>
      <c r="G9" s="756"/>
      <c r="H9" s="756"/>
    </row>
    <row r="10" spans="1:12" ht="12.6" customHeight="1" x14ac:dyDescent="0.15">
      <c r="A10" s="755"/>
      <c r="B10" s="755"/>
      <c r="C10" s="755"/>
      <c r="D10" s="755"/>
      <c r="E10" s="755"/>
      <c r="F10" s="134" t="s">
        <v>160</v>
      </c>
      <c r="G10" s="134" t="s">
        <v>161</v>
      </c>
      <c r="H10" s="134" t="s">
        <v>65</v>
      </c>
    </row>
    <row r="11" spans="1:12" s="101" customFormat="1" ht="15" customHeight="1" x14ac:dyDescent="0.2">
      <c r="A11" s="794" t="s">
        <v>171</v>
      </c>
      <c r="B11" s="795"/>
      <c r="C11" s="795"/>
      <c r="D11" s="795"/>
      <c r="E11" s="796"/>
      <c r="F11" s="277"/>
      <c r="G11" s="277"/>
      <c r="H11" s="277"/>
      <c r="J11" s="476"/>
    </row>
    <row r="12" spans="1:12" s="101" customFormat="1" ht="15" customHeight="1" x14ac:dyDescent="0.2">
      <c r="A12" s="790" t="s">
        <v>162</v>
      </c>
      <c r="B12" s="790"/>
      <c r="C12" s="790"/>
      <c r="D12" s="790"/>
      <c r="E12" s="790"/>
      <c r="F12" s="285">
        <v>5</v>
      </c>
      <c r="G12" s="465">
        <v>5.71</v>
      </c>
      <c r="H12" s="286">
        <f>ROUND(((G12/100)*(PFS!N11+PFS!N26+PFS!N27)),2)</f>
        <v>37493.86</v>
      </c>
      <c r="J12" s="476"/>
      <c r="L12" s="266"/>
    </row>
    <row r="13" spans="1:12" s="101" customFormat="1" ht="15" customHeight="1" x14ac:dyDescent="0.2">
      <c r="A13" s="791" t="s">
        <v>228</v>
      </c>
      <c r="B13" s="791"/>
      <c r="C13" s="791"/>
      <c r="D13" s="791"/>
      <c r="E13" s="791"/>
      <c r="F13" s="285">
        <v>1.32</v>
      </c>
      <c r="G13" s="465">
        <v>1.51</v>
      </c>
      <c r="H13" s="286">
        <f>ROUND(((G13/100)*(PFS!N11+PFS!N26+PFS!N27)),2)</f>
        <v>9915.19</v>
      </c>
      <c r="J13" s="476"/>
      <c r="L13" s="266"/>
    </row>
    <row r="14" spans="1:12" s="101" customFormat="1" ht="15" customHeight="1" x14ac:dyDescent="0.2">
      <c r="A14" s="791" t="s">
        <v>227</v>
      </c>
      <c r="B14" s="791"/>
      <c r="C14" s="791"/>
      <c r="D14" s="791"/>
      <c r="E14" s="791"/>
      <c r="F14" s="285">
        <v>6.08</v>
      </c>
      <c r="G14" s="465">
        <v>6.94</v>
      </c>
      <c r="H14" s="286">
        <f>ROUND(((G14/100)*(PFS!N11+PFS!N26+PFS!N27)),2)</f>
        <v>45570.47</v>
      </c>
      <c r="I14" s="230"/>
      <c r="J14" s="476"/>
      <c r="L14" s="266"/>
    </row>
    <row r="15" spans="1:12" s="101" customFormat="1" ht="15" customHeight="1" x14ac:dyDescent="0.2">
      <c r="A15" s="792"/>
      <c r="B15" s="792"/>
      <c r="C15" s="792"/>
      <c r="D15" s="792"/>
      <c r="E15" s="792"/>
      <c r="F15" s="278"/>
      <c r="G15" s="279"/>
      <c r="H15" s="277"/>
      <c r="J15" s="265"/>
      <c r="L15" s="264"/>
    </row>
    <row r="16" spans="1:12" s="101" customFormat="1" ht="15" customHeight="1" x14ac:dyDescent="0.2">
      <c r="A16" s="229"/>
      <c r="B16" s="231"/>
      <c r="C16" s="231"/>
      <c r="D16" s="231"/>
      <c r="E16" s="231"/>
      <c r="F16" s="228"/>
      <c r="G16" s="228"/>
      <c r="H16" s="227"/>
      <c r="J16" s="232"/>
    </row>
    <row r="17" spans="1:12" s="101" customFormat="1" ht="15" customHeight="1" x14ac:dyDescent="0.2">
      <c r="A17" s="229"/>
      <c r="B17" s="231"/>
      <c r="C17" s="231"/>
      <c r="D17" s="231"/>
      <c r="E17" s="231"/>
      <c r="F17" s="228"/>
      <c r="G17" s="228"/>
      <c r="H17" s="227"/>
    </row>
    <row r="18" spans="1:12" s="101" customFormat="1" ht="15" customHeight="1" x14ac:dyDescent="0.2">
      <c r="A18" s="229"/>
      <c r="B18" s="231"/>
      <c r="C18" s="231"/>
      <c r="D18" s="231"/>
      <c r="E18" s="231"/>
      <c r="F18" s="228"/>
      <c r="G18" s="228"/>
      <c r="H18" s="227"/>
      <c r="J18" s="314"/>
      <c r="K18" s="312"/>
      <c r="L18" s="313"/>
    </row>
    <row r="19" spans="1:12" s="101" customFormat="1" ht="15" customHeight="1" x14ac:dyDescent="0.2">
      <c r="A19" s="229"/>
      <c r="B19" s="231"/>
      <c r="C19" s="231"/>
      <c r="D19" s="231"/>
      <c r="E19" s="231"/>
      <c r="F19" s="228"/>
      <c r="G19" s="228"/>
      <c r="H19" s="227"/>
    </row>
    <row r="20" spans="1:12" s="101" customFormat="1" ht="15" customHeight="1" x14ac:dyDescent="0.2">
      <c r="A20" s="229"/>
      <c r="B20" s="231"/>
      <c r="C20" s="231"/>
      <c r="D20" s="231"/>
      <c r="E20" s="231"/>
      <c r="F20" s="228"/>
      <c r="G20" s="228"/>
      <c r="H20" s="227"/>
    </row>
    <row r="21" spans="1:12" s="101" customFormat="1" ht="15" customHeight="1" x14ac:dyDescent="0.2">
      <c r="A21" s="229"/>
      <c r="B21" s="231"/>
      <c r="C21" s="231"/>
      <c r="D21" s="231"/>
      <c r="E21" s="231"/>
      <c r="F21" s="228"/>
      <c r="G21" s="228"/>
      <c r="H21" s="227"/>
    </row>
    <row r="22" spans="1:12" s="101" customFormat="1" ht="15" customHeight="1" x14ac:dyDescent="0.2">
      <c r="A22" s="229"/>
      <c r="B22" s="231"/>
      <c r="C22" s="231"/>
      <c r="D22" s="231"/>
      <c r="E22" s="231"/>
      <c r="F22" s="228"/>
      <c r="G22" s="228"/>
      <c r="H22" s="227"/>
    </row>
    <row r="23" spans="1:12" s="101" customFormat="1" ht="15" customHeight="1" x14ac:dyDescent="0.2">
      <c r="A23" s="229"/>
      <c r="B23" s="231"/>
      <c r="C23" s="231"/>
      <c r="D23" s="231"/>
      <c r="E23" s="231"/>
      <c r="F23" s="228"/>
      <c r="G23" s="228"/>
      <c r="H23" s="227"/>
    </row>
    <row r="24" spans="1:12" s="101" customFormat="1" ht="15" customHeight="1" x14ac:dyDescent="0.15">
      <c r="A24" s="793"/>
      <c r="B24" s="793"/>
      <c r="C24" s="793"/>
      <c r="D24" s="793"/>
      <c r="E24" s="793"/>
      <c r="F24" s="233"/>
      <c r="G24" s="233"/>
      <c r="H24" s="227"/>
    </row>
    <row r="25" spans="1:12" s="101" customFormat="1" ht="15" customHeight="1" x14ac:dyDescent="0.15">
      <c r="A25" s="786"/>
      <c r="B25" s="786"/>
      <c r="C25" s="786"/>
      <c r="D25" s="786"/>
      <c r="E25" s="786"/>
      <c r="F25" s="233"/>
      <c r="G25" s="233"/>
      <c r="H25" s="227"/>
    </row>
    <row r="26" spans="1:12" s="101" customFormat="1" ht="15" customHeight="1" x14ac:dyDescent="0.15">
      <c r="A26" s="789"/>
      <c r="B26" s="789"/>
      <c r="C26" s="789"/>
      <c r="D26" s="789"/>
      <c r="E26" s="789"/>
      <c r="F26" s="233"/>
      <c r="G26" s="233"/>
      <c r="H26" s="227"/>
    </row>
    <row r="27" spans="1:12" s="101" customFormat="1" ht="15" customHeight="1" x14ac:dyDescent="0.2">
      <c r="A27" s="785"/>
      <c r="B27" s="785"/>
      <c r="C27" s="785"/>
      <c r="D27" s="785"/>
      <c r="E27" s="785"/>
      <c r="F27" s="227"/>
      <c r="G27" s="227"/>
      <c r="H27" s="227"/>
    </row>
    <row r="28" spans="1:12" s="101" customFormat="1" ht="15" customHeight="1" x14ac:dyDescent="0.2">
      <c r="A28" s="785"/>
      <c r="B28" s="785"/>
      <c r="C28" s="785"/>
      <c r="D28" s="785"/>
      <c r="E28" s="785"/>
      <c r="F28" s="227"/>
      <c r="G28" s="227"/>
      <c r="H28" s="227"/>
    </row>
    <row r="29" spans="1:12" s="101" customFormat="1" ht="15" customHeight="1" x14ac:dyDescent="0.2">
      <c r="A29" s="786"/>
      <c r="B29" s="786"/>
      <c r="C29" s="786"/>
      <c r="D29" s="786"/>
      <c r="E29" s="786"/>
      <c r="F29" s="227"/>
      <c r="G29" s="227"/>
      <c r="H29" s="227"/>
    </row>
    <row r="30" spans="1:12" s="101" customFormat="1" ht="15" customHeight="1" x14ac:dyDescent="0.2">
      <c r="A30" s="786"/>
      <c r="B30" s="786"/>
      <c r="C30" s="786"/>
      <c r="D30" s="786"/>
      <c r="E30" s="786"/>
      <c r="F30" s="227"/>
      <c r="G30" s="227"/>
      <c r="H30" s="227"/>
    </row>
    <row r="31" spans="1:12" s="101" customFormat="1" ht="15" customHeight="1" x14ac:dyDescent="0.2">
      <c r="A31" s="786"/>
      <c r="B31" s="786"/>
      <c r="C31" s="786"/>
      <c r="D31" s="786"/>
      <c r="E31" s="786"/>
      <c r="F31" s="227"/>
      <c r="G31" s="227"/>
      <c r="H31" s="227"/>
    </row>
    <row r="32" spans="1:12" s="101" customFormat="1" ht="15" customHeight="1" x14ac:dyDescent="0.2">
      <c r="A32" s="786"/>
      <c r="B32" s="786"/>
      <c r="C32" s="786"/>
      <c r="D32" s="786"/>
      <c r="E32" s="786"/>
      <c r="F32" s="227"/>
      <c r="G32" s="227"/>
      <c r="H32" s="227"/>
      <c r="I32" s="234"/>
    </row>
    <row r="33" spans="1:8" s="101" customFormat="1" ht="15" customHeight="1" x14ac:dyDescent="0.2">
      <c r="A33" s="785"/>
      <c r="B33" s="785"/>
      <c r="C33" s="785"/>
      <c r="D33" s="785"/>
      <c r="E33" s="785"/>
      <c r="F33" s="227"/>
      <c r="G33" s="227"/>
      <c r="H33" s="227"/>
    </row>
    <row r="34" spans="1:8" s="101" customFormat="1" ht="15" customHeight="1" x14ac:dyDescent="0.2">
      <c r="A34" s="786"/>
      <c r="B34" s="786"/>
      <c r="C34" s="786"/>
      <c r="D34" s="786"/>
      <c r="E34" s="786"/>
      <c r="F34" s="227"/>
      <c r="G34" s="227"/>
      <c r="H34" s="227"/>
    </row>
    <row r="35" spans="1:8" s="101" customFormat="1" ht="15" customHeight="1" x14ac:dyDescent="0.2">
      <c r="A35" s="786"/>
      <c r="B35" s="786"/>
      <c r="C35" s="786"/>
      <c r="D35" s="786"/>
      <c r="E35" s="786"/>
      <c r="F35" s="227"/>
      <c r="G35" s="227"/>
      <c r="H35" s="227"/>
    </row>
    <row r="36" spans="1:8" s="101" customFormat="1" ht="15" customHeight="1" x14ac:dyDescent="0.2">
      <c r="A36" s="786"/>
      <c r="B36" s="786"/>
      <c r="C36" s="786"/>
      <c r="D36" s="786"/>
      <c r="E36" s="786"/>
      <c r="F36" s="227"/>
      <c r="G36" s="227"/>
      <c r="H36" s="227"/>
    </row>
    <row r="37" spans="1:8" s="101" customFormat="1" ht="15" customHeight="1" x14ac:dyDescent="0.2">
      <c r="A37" s="785"/>
      <c r="B37" s="785"/>
      <c r="C37" s="785"/>
      <c r="D37" s="785"/>
      <c r="E37" s="785"/>
      <c r="F37" s="227"/>
      <c r="G37" s="227"/>
      <c r="H37" s="227"/>
    </row>
    <row r="38" spans="1:8" s="101" customFormat="1" ht="15" customHeight="1" x14ac:dyDescent="0.2">
      <c r="A38" s="785"/>
      <c r="B38" s="785"/>
      <c r="C38" s="785"/>
      <c r="D38" s="785"/>
      <c r="E38" s="785"/>
      <c r="F38" s="227"/>
      <c r="G38" s="227"/>
      <c r="H38" s="227"/>
    </row>
    <row r="39" spans="1:8" ht="22.5" customHeight="1" thickBot="1" x14ac:dyDescent="0.25">
      <c r="A39" s="787" t="s">
        <v>163</v>
      </c>
      <c r="B39" s="787"/>
      <c r="C39" s="787"/>
      <c r="D39" s="787"/>
      <c r="E39" s="787"/>
      <c r="F39" s="235">
        <f>ROUND((SUM(F11:F38)),2)</f>
        <v>12.4</v>
      </c>
      <c r="G39" s="235">
        <f>ROUND(((1/(1-F39/100))-1)*100,2)</f>
        <v>14.16</v>
      </c>
      <c r="H39" s="280">
        <f>SUM(H12:H38)</f>
        <v>92979.520000000004</v>
      </c>
    </row>
    <row r="40" spans="1:8" ht="12.6" customHeight="1" thickTop="1" x14ac:dyDescent="0.2">
      <c r="A40" s="135" t="s">
        <v>14</v>
      </c>
      <c r="B40" s="136"/>
      <c r="C40" s="137"/>
      <c r="D40" s="135" t="s">
        <v>15</v>
      </c>
      <c r="E40" s="136"/>
      <c r="F40" s="136"/>
      <c r="G40" s="136"/>
      <c r="H40" s="137"/>
    </row>
    <row r="41" spans="1:8" ht="12.6" customHeight="1" x14ac:dyDescent="0.2">
      <c r="A41" s="236"/>
      <c r="B41" s="237"/>
      <c r="C41" s="238"/>
      <c r="D41" s="237"/>
      <c r="E41" s="237"/>
      <c r="F41" s="237"/>
      <c r="G41" s="237"/>
      <c r="H41" s="238"/>
    </row>
    <row r="42" spans="1:8" ht="12.6" customHeight="1" x14ac:dyDescent="0.2">
      <c r="A42" s="130" t="s">
        <v>16</v>
      </c>
      <c r="B42" s="132"/>
      <c r="C42" s="132"/>
      <c r="D42" s="132"/>
      <c r="E42" s="131"/>
      <c r="F42" s="130" t="s">
        <v>17</v>
      </c>
      <c r="G42" s="132"/>
      <c r="H42" s="131"/>
    </row>
    <row r="43" spans="1:8" ht="12.6" customHeight="1" x14ac:dyDescent="0.2">
      <c r="A43" s="138"/>
      <c r="B43" s="139"/>
      <c r="C43" s="139"/>
      <c r="D43" s="139"/>
      <c r="E43" s="102"/>
      <c r="F43" s="139"/>
      <c r="G43" s="139"/>
      <c r="H43" s="102"/>
    </row>
    <row r="44" spans="1:8" ht="12" customHeight="1" x14ac:dyDescent="0.2">
      <c r="A44" s="788" t="s">
        <v>209</v>
      </c>
      <c r="B44" s="788"/>
      <c r="C44" s="788"/>
      <c r="D44" s="788"/>
      <c r="E44" s="788"/>
      <c r="F44" s="788"/>
      <c r="G44" s="788"/>
      <c r="H44" s="788"/>
    </row>
    <row r="45" spans="1:8" ht="24.75" customHeight="1" x14ac:dyDescent="0.2">
      <c r="A45" s="783" t="s">
        <v>170</v>
      </c>
      <c r="B45" s="783"/>
      <c r="C45" s="783"/>
      <c r="D45" s="783"/>
      <c r="E45" s="783"/>
      <c r="F45" s="783"/>
      <c r="G45" s="783"/>
      <c r="H45" s="783"/>
    </row>
    <row r="46" spans="1:8" ht="12" customHeight="1" x14ac:dyDescent="0.2">
      <c r="A46" s="239" t="s">
        <v>164</v>
      </c>
      <c r="B46" s="240"/>
      <c r="C46" s="240"/>
      <c r="D46" s="240"/>
      <c r="E46" s="240"/>
      <c r="F46" s="240"/>
      <c r="G46" s="240"/>
      <c r="H46" s="241"/>
    </row>
    <row r="47" spans="1:8" ht="12" customHeight="1" x14ac:dyDescent="0.2">
      <c r="A47" s="239" t="s">
        <v>229</v>
      </c>
      <c r="B47" s="240"/>
      <c r="C47" s="240"/>
      <c r="D47" s="240"/>
      <c r="E47" s="240"/>
      <c r="F47" s="240"/>
      <c r="G47" s="240"/>
      <c r="H47" s="241"/>
    </row>
    <row r="48" spans="1:8" ht="12" customHeight="1" x14ac:dyDescent="0.2">
      <c r="A48" s="239" t="s">
        <v>208</v>
      </c>
      <c r="B48" s="240"/>
      <c r="C48" s="240"/>
      <c r="D48" s="240"/>
      <c r="E48" s="240"/>
      <c r="F48" s="240"/>
      <c r="G48" s="240"/>
      <c r="H48" s="241"/>
    </row>
    <row r="49" spans="1:8" ht="12" customHeight="1" x14ac:dyDescent="0.2">
      <c r="A49" s="239" t="s">
        <v>230</v>
      </c>
      <c r="B49" s="240"/>
      <c r="C49" s="240"/>
      <c r="D49" s="240"/>
      <c r="E49" s="240"/>
      <c r="F49" s="240"/>
      <c r="G49" s="240"/>
      <c r="H49" s="241"/>
    </row>
    <row r="50" spans="1:8" ht="12" customHeight="1" x14ac:dyDescent="0.2">
      <c r="A50" s="784" t="s">
        <v>210</v>
      </c>
      <c r="B50" s="784"/>
      <c r="C50" s="784"/>
      <c r="D50" s="784"/>
      <c r="E50" s="784"/>
      <c r="F50" s="784"/>
      <c r="G50" s="784"/>
      <c r="H50" s="784"/>
    </row>
    <row r="51" spans="1:8" ht="12" customHeight="1" x14ac:dyDescent="0.2">
      <c r="A51" s="138"/>
      <c r="B51" s="139"/>
      <c r="C51" s="139"/>
      <c r="D51" s="139"/>
      <c r="E51" s="139"/>
      <c r="F51" s="139"/>
      <c r="G51" s="139"/>
      <c r="H51" s="102"/>
    </row>
  </sheetData>
  <mergeCells count="29">
    <mergeCell ref="A3:G4"/>
    <mergeCell ref="A5:H5"/>
    <mergeCell ref="A9:E10"/>
    <mergeCell ref="F9:H9"/>
    <mergeCell ref="A11:E11"/>
    <mergeCell ref="C8:G8"/>
    <mergeCell ref="A12:E12"/>
    <mergeCell ref="A13:E13"/>
    <mergeCell ref="A14:E14"/>
    <mergeCell ref="A15:E15"/>
    <mergeCell ref="A24:E24"/>
    <mergeCell ref="A25:E25"/>
    <mergeCell ref="A26:E26"/>
    <mergeCell ref="A27:E27"/>
    <mergeCell ref="A28:E28"/>
    <mergeCell ref="A29:E29"/>
    <mergeCell ref="A30:E30"/>
    <mergeCell ref="A31:E31"/>
    <mergeCell ref="A32:E32"/>
    <mergeCell ref="A39:E39"/>
    <mergeCell ref="A44:H44"/>
    <mergeCell ref="A45:H45"/>
    <mergeCell ref="A50:H50"/>
    <mergeCell ref="A33:E33"/>
    <mergeCell ref="A34:E34"/>
    <mergeCell ref="A35:E35"/>
    <mergeCell ref="A36:E36"/>
    <mergeCell ref="A37:E37"/>
    <mergeCell ref="A38:E38"/>
  </mergeCells>
  <printOptions horizontalCentered="1"/>
  <pageMargins left="0.78740157480314965" right="0.39370078740157483" top="0.78740157480314965" bottom="0.39370078740157483" header="0.51181102362204722" footer="0.51181102362204722"/>
  <pageSetup paperSize="9" firstPageNumber="0" orientation="portrait" r:id="rId1"/>
  <headerFooter alignWithMargins="0"/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2D474-72D1-45BF-AC42-D8F7CECEDAED}">
  <dimension ref="A1:N147"/>
  <sheetViews>
    <sheetView showGridLines="0" topLeftCell="A25" zoomScaleNormal="100" workbookViewId="0">
      <selection activeCell="E147" sqref="E147"/>
    </sheetView>
  </sheetViews>
  <sheetFormatPr defaultRowHeight="12.75" x14ac:dyDescent="0.2"/>
  <cols>
    <col min="1" max="1" width="3.5703125" style="493" customWidth="1"/>
    <col min="2" max="2" width="18" style="493" customWidth="1"/>
    <col min="3" max="3" width="15" style="493" customWidth="1"/>
    <col min="4" max="4" width="14.85546875" style="493" customWidth="1"/>
    <col min="5" max="5" width="14" style="493" customWidth="1"/>
    <col min="6" max="6" width="13" style="493" customWidth="1"/>
    <col min="7" max="7" width="12.85546875" style="493" customWidth="1"/>
    <col min="8" max="8" width="53.5703125" style="493" bestFit="1" customWidth="1"/>
    <col min="9" max="9" width="19.42578125" style="493" customWidth="1"/>
    <col min="10" max="13" width="9.140625" style="493"/>
    <col min="14" max="14" width="13.140625" style="493" customWidth="1"/>
    <col min="15" max="16384" width="9.140625" style="493"/>
  </cols>
  <sheetData>
    <row r="1" spans="1:7" x14ac:dyDescent="0.2">
      <c r="A1" s="853" t="s">
        <v>244</v>
      </c>
      <c r="B1" s="853"/>
      <c r="C1" s="853"/>
      <c r="D1" s="853"/>
      <c r="E1" s="853"/>
      <c r="F1" s="853"/>
      <c r="G1" s="853"/>
    </row>
    <row r="2" spans="1:7" x14ac:dyDescent="0.2">
      <c r="A2" s="853" t="s">
        <v>245</v>
      </c>
      <c r="B2" s="853"/>
      <c r="C2" s="853"/>
      <c r="D2" s="853"/>
      <c r="E2" s="853"/>
      <c r="F2" s="853"/>
      <c r="G2" s="853"/>
    </row>
    <row r="4" spans="1:7" x14ac:dyDescent="0.2">
      <c r="A4" s="854" t="s">
        <v>246</v>
      </c>
      <c r="B4" s="821"/>
      <c r="C4" s="821"/>
      <c r="D4" s="822"/>
      <c r="E4" s="855" t="s">
        <v>247</v>
      </c>
      <c r="F4" s="841"/>
      <c r="G4" s="841"/>
    </row>
    <row r="5" spans="1:7" x14ac:dyDescent="0.2">
      <c r="A5" s="854" t="s">
        <v>248</v>
      </c>
      <c r="B5" s="821"/>
      <c r="C5" s="821"/>
      <c r="D5" s="822"/>
      <c r="E5" s="841"/>
      <c r="F5" s="841"/>
      <c r="G5" s="841"/>
    </row>
    <row r="6" spans="1:7" x14ac:dyDescent="0.2">
      <c r="A6" s="843" t="s">
        <v>249</v>
      </c>
      <c r="B6" s="843"/>
      <c r="C6" s="843"/>
      <c r="D6" s="843"/>
      <c r="E6" s="843"/>
      <c r="F6" s="843"/>
      <c r="G6" s="843"/>
    </row>
    <row r="8" spans="1:7" x14ac:dyDescent="0.2">
      <c r="A8" s="844" t="s">
        <v>250</v>
      </c>
      <c r="B8" s="845"/>
      <c r="C8" s="845"/>
      <c r="D8" s="845"/>
      <c r="E8" s="845"/>
      <c r="F8" s="845"/>
      <c r="G8" s="846"/>
    </row>
    <row r="9" spans="1:7" x14ac:dyDescent="0.2">
      <c r="A9" s="847"/>
      <c r="B9" s="848"/>
      <c r="C9" s="848"/>
      <c r="D9" s="848"/>
      <c r="E9" s="848"/>
      <c r="F9" s="848"/>
      <c r="G9" s="849"/>
    </row>
    <row r="10" spans="1:7" ht="7.5" customHeight="1" x14ac:dyDescent="0.2">
      <c r="A10" s="850"/>
      <c r="B10" s="851"/>
      <c r="C10" s="851"/>
      <c r="D10" s="851"/>
      <c r="E10" s="851"/>
      <c r="F10" s="851"/>
      <c r="G10" s="852"/>
    </row>
    <row r="12" spans="1:7" x14ac:dyDescent="0.2">
      <c r="A12" s="494" t="s">
        <v>70</v>
      </c>
      <c r="B12" s="800" t="s">
        <v>251</v>
      </c>
      <c r="C12" s="800"/>
      <c r="D12" s="800"/>
      <c r="E12" s="800"/>
      <c r="F12" s="841"/>
      <c r="G12" s="841"/>
    </row>
    <row r="13" spans="1:7" x14ac:dyDescent="0.2">
      <c r="A13" s="494" t="s">
        <v>85</v>
      </c>
      <c r="B13" s="800" t="s">
        <v>252</v>
      </c>
      <c r="C13" s="800"/>
      <c r="D13" s="800"/>
      <c r="E13" s="800"/>
      <c r="F13" s="841" t="s">
        <v>253</v>
      </c>
      <c r="G13" s="841"/>
    </row>
    <row r="14" spans="1:7" x14ac:dyDescent="0.2">
      <c r="A14" s="494" t="s">
        <v>28</v>
      </c>
      <c r="B14" s="800" t="s">
        <v>254</v>
      </c>
      <c r="C14" s="800"/>
      <c r="D14" s="800"/>
      <c r="E14" s="800"/>
      <c r="F14" s="841"/>
      <c r="G14" s="841"/>
    </row>
    <row r="15" spans="1:7" x14ac:dyDescent="0.2">
      <c r="A15" s="494" t="s">
        <v>94</v>
      </c>
      <c r="B15" s="800" t="s">
        <v>255</v>
      </c>
      <c r="C15" s="800"/>
      <c r="D15" s="800"/>
      <c r="E15" s="800"/>
      <c r="F15" s="841">
        <v>12</v>
      </c>
      <c r="G15" s="841"/>
    </row>
    <row r="17" spans="1:9" x14ac:dyDescent="0.2">
      <c r="A17" s="841" t="s">
        <v>256</v>
      </c>
      <c r="B17" s="841"/>
      <c r="C17" s="841"/>
      <c r="D17" s="841" t="s">
        <v>257</v>
      </c>
      <c r="E17" s="841"/>
      <c r="F17" s="841" t="s">
        <v>258</v>
      </c>
      <c r="G17" s="841"/>
    </row>
    <row r="18" spans="1:9" x14ac:dyDescent="0.2">
      <c r="A18" s="494" t="s">
        <v>259</v>
      </c>
      <c r="B18" s="840" t="s">
        <v>260</v>
      </c>
      <c r="C18" s="840"/>
      <c r="D18" s="841">
        <v>1</v>
      </c>
      <c r="E18" s="841"/>
      <c r="F18" s="841">
        <v>1</v>
      </c>
      <c r="G18" s="841"/>
    </row>
    <row r="20" spans="1:9" x14ac:dyDescent="0.2">
      <c r="A20" s="810" t="s">
        <v>261</v>
      </c>
      <c r="B20" s="810"/>
      <c r="C20" s="810"/>
      <c r="D20" s="810"/>
      <c r="E20" s="810"/>
      <c r="F20" s="810"/>
      <c r="G20" s="810"/>
    </row>
    <row r="21" spans="1:9" x14ac:dyDescent="0.2">
      <c r="A21" s="842" t="s">
        <v>262</v>
      </c>
      <c r="B21" s="842"/>
      <c r="C21" s="842"/>
      <c r="D21" s="842"/>
      <c r="E21" s="842"/>
      <c r="F21" s="842"/>
      <c r="G21" s="842"/>
    </row>
    <row r="22" spans="1:9" x14ac:dyDescent="0.2">
      <c r="A22" s="803" t="s">
        <v>263</v>
      </c>
      <c r="B22" s="803"/>
      <c r="C22" s="803"/>
      <c r="D22" s="803"/>
      <c r="E22" s="803"/>
      <c r="F22" s="803"/>
      <c r="G22" s="803"/>
    </row>
    <row r="23" spans="1:9" x14ac:dyDescent="0.2">
      <c r="A23" s="495">
        <v>1</v>
      </c>
      <c r="B23" s="800" t="s">
        <v>264</v>
      </c>
      <c r="C23" s="800"/>
      <c r="D23" s="800"/>
      <c r="E23" s="800"/>
      <c r="F23" s="839" t="s">
        <v>265</v>
      </c>
      <c r="G23" s="802"/>
    </row>
    <row r="24" spans="1:9" x14ac:dyDescent="0.2">
      <c r="A24" s="495">
        <v>2</v>
      </c>
      <c r="B24" s="819" t="s">
        <v>266</v>
      </c>
      <c r="C24" s="800"/>
      <c r="D24" s="800"/>
      <c r="E24" s="800"/>
      <c r="F24" s="801">
        <v>2739.02</v>
      </c>
      <c r="G24" s="801"/>
    </row>
    <row r="25" spans="1:9" x14ac:dyDescent="0.2">
      <c r="A25" s="495">
        <v>3</v>
      </c>
      <c r="B25" s="800" t="s">
        <v>267</v>
      </c>
      <c r="C25" s="800"/>
      <c r="D25" s="800"/>
      <c r="E25" s="800"/>
      <c r="F25" s="839" t="s">
        <v>268</v>
      </c>
      <c r="G25" s="802"/>
    </row>
    <row r="26" spans="1:9" x14ac:dyDescent="0.2">
      <c r="A26" s="495">
        <v>4</v>
      </c>
      <c r="B26" s="800" t="s">
        <v>269</v>
      </c>
      <c r="C26" s="800"/>
      <c r="D26" s="800"/>
      <c r="E26" s="800"/>
      <c r="F26" s="837"/>
      <c r="G26" s="837"/>
    </row>
    <row r="28" spans="1:9" x14ac:dyDescent="0.2">
      <c r="A28" s="803" t="s">
        <v>270</v>
      </c>
      <c r="B28" s="803"/>
      <c r="C28" s="803"/>
      <c r="D28" s="803"/>
      <c r="E28" s="803"/>
      <c r="F28" s="803"/>
      <c r="G28" s="803"/>
    </row>
    <row r="29" spans="1:9" x14ac:dyDescent="0.2">
      <c r="A29" s="496">
        <v>1</v>
      </c>
      <c r="B29" s="803" t="s">
        <v>271</v>
      </c>
      <c r="C29" s="803"/>
      <c r="D29" s="803"/>
      <c r="E29" s="803"/>
      <c r="F29" s="805" t="s">
        <v>272</v>
      </c>
      <c r="G29" s="805"/>
    </row>
    <row r="30" spans="1:9" x14ac:dyDescent="0.2">
      <c r="A30" s="494" t="s">
        <v>70</v>
      </c>
      <c r="B30" s="819" t="s">
        <v>273</v>
      </c>
      <c r="C30" s="800"/>
      <c r="D30" s="800"/>
      <c r="E30" s="800"/>
      <c r="F30" s="838">
        <f>F24</f>
        <v>2739.02</v>
      </c>
      <c r="G30" s="838"/>
    </row>
    <row r="31" spans="1:9" x14ac:dyDescent="0.2">
      <c r="A31" s="494" t="s">
        <v>85</v>
      </c>
      <c r="B31" s="820" t="s">
        <v>274</v>
      </c>
      <c r="C31" s="821"/>
      <c r="D31" s="821"/>
      <c r="E31" s="822"/>
      <c r="F31" s="830">
        <f>ROUND(((F30/150)*1.5*50),2)</f>
        <v>1369.51</v>
      </c>
      <c r="G31" s="830"/>
      <c r="I31" s="497"/>
    </row>
    <row r="32" spans="1:9" x14ac:dyDescent="0.2">
      <c r="A32" s="494" t="s">
        <v>28</v>
      </c>
      <c r="B32" s="831" t="s">
        <v>275</v>
      </c>
      <c r="C32" s="832"/>
      <c r="D32" s="832"/>
      <c r="E32" s="833"/>
      <c r="F32" s="830">
        <v>0</v>
      </c>
      <c r="G32" s="830"/>
    </row>
    <row r="33" spans="1:12" x14ac:dyDescent="0.2">
      <c r="A33" s="494" t="s">
        <v>94</v>
      </c>
      <c r="B33" s="834" t="s">
        <v>276</v>
      </c>
      <c r="C33" s="835"/>
      <c r="D33" s="835"/>
      <c r="E33" s="836"/>
      <c r="F33" s="830">
        <v>0</v>
      </c>
      <c r="G33" s="830"/>
      <c r="J33" s="498"/>
    </row>
    <row r="34" spans="1:12" x14ac:dyDescent="0.2">
      <c r="A34" s="803" t="s">
        <v>277</v>
      </c>
      <c r="B34" s="803"/>
      <c r="C34" s="803"/>
      <c r="D34" s="803"/>
      <c r="E34" s="803"/>
      <c r="F34" s="829">
        <f>SUM(F30:G33)</f>
        <v>4108.53</v>
      </c>
      <c r="G34" s="829"/>
      <c r="J34" s="499"/>
    </row>
    <row r="36" spans="1:12" x14ac:dyDescent="0.2">
      <c r="A36" s="810" t="s">
        <v>278</v>
      </c>
      <c r="B36" s="810"/>
      <c r="C36" s="810"/>
      <c r="D36" s="810"/>
      <c r="E36" s="810"/>
      <c r="F36" s="810"/>
      <c r="G36" s="810"/>
    </row>
    <row r="37" spans="1:12" x14ac:dyDescent="0.2">
      <c r="A37" s="496">
        <v>2</v>
      </c>
      <c r="B37" s="803" t="s">
        <v>279</v>
      </c>
      <c r="C37" s="803"/>
      <c r="D37" s="803"/>
      <c r="E37" s="803"/>
      <c r="F37" s="805" t="s">
        <v>272</v>
      </c>
      <c r="G37" s="805"/>
    </row>
    <row r="38" spans="1:12" x14ac:dyDescent="0.2">
      <c r="A38" s="494" t="s">
        <v>70</v>
      </c>
      <c r="B38" s="819" t="s">
        <v>280</v>
      </c>
      <c r="C38" s="800"/>
      <c r="D38" s="800"/>
      <c r="E38" s="800"/>
      <c r="F38" s="818">
        <v>0</v>
      </c>
      <c r="G38" s="818"/>
      <c r="I38" s="500"/>
    </row>
    <row r="39" spans="1:12" x14ac:dyDescent="0.2">
      <c r="A39" s="494" t="s">
        <v>85</v>
      </c>
      <c r="B39" s="800" t="s">
        <v>281</v>
      </c>
      <c r="C39" s="800"/>
      <c r="D39" s="800"/>
      <c r="E39" s="800"/>
      <c r="F39" s="818">
        <v>420.7</v>
      </c>
      <c r="G39" s="818"/>
      <c r="I39" s="500"/>
    </row>
    <row r="40" spans="1:12" x14ac:dyDescent="0.2">
      <c r="A40" s="494" t="s">
        <v>28</v>
      </c>
      <c r="B40" s="800" t="s">
        <v>282</v>
      </c>
      <c r="C40" s="800"/>
      <c r="D40" s="800"/>
      <c r="E40" s="800"/>
      <c r="F40" s="818">
        <v>0</v>
      </c>
      <c r="G40" s="818"/>
      <c r="I40" s="500"/>
    </row>
    <row r="41" spans="1:12" x14ac:dyDescent="0.2">
      <c r="A41" s="501" t="s">
        <v>94</v>
      </c>
      <c r="B41" s="819" t="s">
        <v>283</v>
      </c>
      <c r="C41" s="819"/>
      <c r="D41" s="819"/>
      <c r="E41" s="819"/>
      <c r="F41" s="826">
        <v>0</v>
      </c>
      <c r="G41" s="826"/>
      <c r="I41" s="498"/>
      <c r="L41" s="497"/>
    </row>
    <row r="42" spans="1:12" x14ac:dyDescent="0.2">
      <c r="A42" s="494" t="s">
        <v>284</v>
      </c>
      <c r="B42" s="819" t="s">
        <v>285</v>
      </c>
      <c r="C42" s="819"/>
      <c r="D42" s="819"/>
      <c r="E42" s="819"/>
      <c r="F42" s="818">
        <v>13.07</v>
      </c>
      <c r="G42" s="818"/>
      <c r="I42" s="498"/>
      <c r="L42" s="497"/>
    </row>
    <row r="43" spans="1:12" x14ac:dyDescent="0.2">
      <c r="A43" s="494" t="s">
        <v>286</v>
      </c>
      <c r="B43" s="819" t="s">
        <v>287</v>
      </c>
      <c r="C43" s="800"/>
      <c r="D43" s="800"/>
      <c r="E43" s="800"/>
      <c r="F43" s="818">
        <f>65.94</f>
        <v>65.94</v>
      </c>
      <c r="G43" s="818"/>
      <c r="I43" s="498"/>
      <c r="L43" s="497"/>
    </row>
    <row r="44" spans="1:12" x14ac:dyDescent="0.2">
      <c r="A44" s="501" t="s">
        <v>288</v>
      </c>
      <c r="B44" s="820" t="s">
        <v>289</v>
      </c>
      <c r="C44" s="827"/>
      <c r="D44" s="827"/>
      <c r="E44" s="828"/>
      <c r="F44" s="818">
        <v>0</v>
      </c>
      <c r="G44" s="818"/>
      <c r="I44" s="499"/>
    </row>
    <row r="45" spans="1:12" x14ac:dyDescent="0.2">
      <c r="A45" s="803" t="s">
        <v>290</v>
      </c>
      <c r="B45" s="803"/>
      <c r="C45" s="803"/>
      <c r="D45" s="803"/>
      <c r="E45" s="803"/>
      <c r="F45" s="815">
        <f>SUM(F38:G44)</f>
        <v>499.71</v>
      </c>
      <c r="G45" s="815"/>
    </row>
    <row r="47" spans="1:12" x14ac:dyDescent="0.2">
      <c r="A47" s="810" t="s">
        <v>291</v>
      </c>
      <c r="B47" s="810"/>
      <c r="C47" s="810"/>
      <c r="D47" s="810"/>
      <c r="E47" s="810"/>
      <c r="F47" s="810"/>
      <c r="G47" s="810"/>
    </row>
    <row r="48" spans="1:12" x14ac:dyDescent="0.2">
      <c r="A48" s="496">
        <v>3</v>
      </c>
      <c r="B48" s="803" t="s">
        <v>292</v>
      </c>
      <c r="C48" s="803"/>
      <c r="D48" s="803"/>
      <c r="E48" s="803"/>
      <c r="F48" s="805" t="s">
        <v>272</v>
      </c>
      <c r="G48" s="805"/>
    </row>
    <row r="49" spans="1:7" x14ac:dyDescent="0.2">
      <c r="A49" s="494" t="s">
        <v>70</v>
      </c>
      <c r="B49" s="819" t="s">
        <v>293</v>
      </c>
      <c r="C49" s="800"/>
      <c r="D49" s="800"/>
      <c r="E49" s="800"/>
      <c r="F49" s="818">
        <v>0</v>
      </c>
      <c r="G49" s="818"/>
    </row>
    <row r="50" spans="1:7" x14ac:dyDescent="0.2">
      <c r="A50" s="494" t="s">
        <v>85</v>
      </c>
      <c r="B50" s="819" t="s">
        <v>294</v>
      </c>
      <c r="C50" s="800"/>
      <c r="D50" s="800"/>
      <c r="E50" s="800"/>
      <c r="F50" s="826">
        <f>(3*77)/12</f>
        <v>19.25</v>
      </c>
      <c r="G50" s="818"/>
    </row>
    <row r="51" spans="1:7" x14ac:dyDescent="0.2">
      <c r="A51" s="494" t="s">
        <v>28</v>
      </c>
      <c r="B51" s="819" t="s">
        <v>295</v>
      </c>
      <c r="C51" s="800"/>
      <c r="D51" s="800"/>
      <c r="E51" s="800"/>
      <c r="F51" s="818">
        <f>153/12</f>
        <v>12.75</v>
      </c>
      <c r="G51" s="818"/>
    </row>
    <row r="52" spans="1:7" x14ac:dyDescent="0.2">
      <c r="A52" s="494" t="s">
        <v>94</v>
      </c>
      <c r="B52" s="819" t="s">
        <v>296</v>
      </c>
      <c r="C52" s="800"/>
      <c r="D52" s="800"/>
      <c r="E52" s="800"/>
      <c r="F52" s="818">
        <v>11.7</v>
      </c>
      <c r="G52" s="818"/>
    </row>
    <row r="53" spans="1:7" x14ac:dyDescent="0.2">
      <c r="A53" s="803" t="s">
        <v>297</v>
      </c>
      <c r="B53" s="803"/>
      <c r="C53" s="803"/>
      <c r="D53" s="803"/>
      <c r="E53" s="803"/>
      <c r="F53" s="815">
        <f>SUM(F49:G52)</f>
        <v>43.7</v>
      </c>
      <c r="G53" s="815"/>
    </row>
    <row r="54" spans="1:7" x14ac:dyDescent="0.2">
      <c r="A54" s="502"/>
      <c r="B54" s="502"/>
      <c r="C54" s="502"/>
      <c r="D54" s="502"/>
      <c r="E54" s="502"/>
      <c r="F54" s="503"/>
      <c r="G54" s="503"/>
    </row>
    <row r="55" spans="1:7" x14ac:dyDescent="0.2">
      <c r="A55" s="810" t="s">
        <v>298</v>
      </c>
      <c r="B55" s="810"/>
      <c r="C55" s="810"/>
      <c r="D55" s="810"/>
      <c r="E55" s="810"/>
      <c r="F55" s="810"/>
      <c r="G55" s="810"/>
    </row>
    <row r="57" spans="1:7" x14ac:dyDescent="0.2">
      <c r="A57" s="810" t="s">
        <v>299</v>
      </c>
      <c r="B57" s="810"/>
      <c r="C57" s="810"/>
      <c r="D57" s="810"/>
      <c r="E57" s="810"/>
      <c r="F57" s="810"/>
      <c r="G57" s="810"/>
    </row>
    <row r="59" spans="1:7" x14ac:dyDescent="0.2">
      <c r="A59" s="504" t="s">
        <v>185</v>
      </c>
      <c r="B59" s="803" t="s">
        <v>300</v>
      </c>
      <c r="C59" s="803"/>
      <c r="D59" s="803"/>
      <c r="E59" s="803"/>
      <c r="F59" s="505" t="s">
        <v>24</v>
      </c>
      <c r="G59" s="506" t="s">
        <v>272</v>
      </c>
    </row>
    <row r="60" spans="1:7" x14ac:dyDescent="0.2">
      <c r="A60" s="494" t="s">
        <v>70</v>
      </c>
      <c r="B60" s="800" t="s">
        <v>72</v>
      </c>
      <c r="C60" s="800"/>
      <c r="D60" s="800"/>
      <c r="E60" s="800"/>
      <c r="F60" s="507">
        <v>0.2</v>
      </c>
      <c r="G60" s="508">
        <f>ROUND((F34*F60),2)</f>
        <v>821.71</v>
      </c>
    </row>
    <row r="61" spans="1:7" x14ac:dyDescent="0.2">
      <c r="A61" s="494" t="s">
        <v>85</v>
      </c>
      <c r="B61" s="800" t="s">
        <v>301</v>
      </c>
      <c r="C61" s="800"/>
      <c r="D61" s="800"/>
      <c r="E61" s="800"/>
      <c r="F61" s="507">
        <v>1.4999999999999999E-2</v>
      </c>
      <c r="G61" s="508">
        <f>F34*0.015</f>
        <v>61.627949999999991</v>
      </c>
    </row>
    <row r="62" spans="1:7" x14ac:dyDescent="0.2">
      <c r="A62" s="494" t="s">
        <v>28</v>
      </c>
      <c r="B62" s="800" t="s">
        <v>302</v>
      </c>
      <c r="C62" s="800"/>
      <c r="D62" s="800"/>
      <c r="E62" s="800"/>
      <c r="F62" s="507">
        <v>0.01</v>
      </c>
      <c r="G62" s="508">
        <f>F34*0.01</f>
        <v>41.085299999999997</v>
      </c>
    </row>
    <row r="63" spans="1:7" x14ac:dyDescent="0.2">
      <c r="A63" s="494" t="s">
        <v>94</v>
      </c>
      <c r="B63" s="800" t="s">
        <v>303</v>
      </c>
      <c r="C63" s="800"/>
      <c r="D63" s="800"/>
      <c r="E63" s="800"/>
      <c r="F63" s="507">
        <v>2E-3</v>
      </c>
      <c r="G63" s="508">
        <f>F34*0.002</f>
        <v>8.21706</v>
      </c>
    </row>
    <row r="64" spans="1:7" x14ac:dyDescent="0.2">
      <c r="A64" s="494" t="s">
        <v>284</v>
      </c>
      <c r="B64" s="800" t="s">
        <v>304</v>
      </c>
      <c r="C64" s="800"/>
      <c r="D64" s="800"/>
      <c r="E64" s="800"/>
      <c r="F64" s="507">
        <v>2.5000000000000001E-2</v>
      </c>
      <c r="G64" s="508">
        <f>F34*0.025</f>
        <v>102.71325</v>
      </c>
    </row>
    <row r="65" spans="1:7" x14ac:dyDescent="0.2">
      <c r="A65" s="494" t="s">
        <v>286</v>
      </c>
      <c r="B65" s="800" t="s">
        <v>73</v>
      </c>
      <c r="C65" s="800"/>
      <c r="D65" s="800"/>
      <c r="E65" s="800"/>
      <c r="F65" s="507">
        <v>0.08</v>
      </c>
      <c r="G65" s="508">
        <f>F34*0.08</f>
        <v>328.68239999999997</v>
      </c>
    </row>
    <row r="66" spans="1:7" x14ac:dyDescent="0.2">
      <c r="A66" s="494" t="s">
        <v>288</v>
      </c>
      <c r="B66" s="800" t="s">
        <v>305</v>
      </c>
      <c r="C66" s="800"/>
      <c r="D66" s="800"/>
      <c r="E66" s="800"/>
      <c r="F66" s="507">
        <v>0.03</v>
      </c>
      <c r="G66" s="508">
        <f>F34*0.03</f>
        <v>123.25589999999998</v>
      </c>
    </row>
    <row r="67" spans="1:7" x14ac:dyDescent="0.2">
      <c r="A67" s="494" t="s">
        <v>306</v>
      </c>
      <c r="B67" s="800" t="s">
        <v>307</v>
      </c>
      <c r="C67" s="800"/>
      <c r="D67" s="800"/>
      <c r="E67" s="800"/>
      <c r="F67" s="507">
        <v>6.0000000000000001E-3</v>
      </c>
      <c r="G67" s="508">
        <f>F34*0.006</f>
        <v>24.65118</v>
      </c>
    </row>
    <row r="68" spans="1:7" x14ac:dyDescent="0.2">
      <c r="A68" s="803" t="s">
        <v>35</v>
      </c>
      <c r="B68" s="803"/>
      <c r="C68" s="803"/>
      <c r="D68" s="803"/>
      <c r="E68" s="803"/>
      <c r="F68" s="509">
        <f>SUM(F60:F67)</f>
        <v>0.3680000000000001</v>
      </c>
      <c r="G68" s="510">
        <f>SUM(G60:G67)</f>
        <v>1511.9430399999997</v>
      </c>
    </row>
    <row r="70" spans="1:7" x14ac:dyDescent="0.2">
      <c r="A70" s="810" t="s">
        <v>308</v>
      </c>
      <c r="B70" s="810"/>
      <c r="C70" s="810"/>
      <c r="D70" s="810"/>
      <c r="E70" s="810"/>
      <c r="F70" s="810"/>
      <c r="G70" s="810"/>
    </row>
    <row r="72" spans="1:7" x14ac:dyDescent="0.2">
      <c r="A72" s="496" t="s">
        <v>186</v>
      </c>
      <c r="B72" s="803" t="s">
        <v>309</v>
      </c>
      <c r="C72" s="803"/>
      <c r="D72" s="803"/>
      <c r="E72" s="803"/>
      <c r="F72" s="505" t="s">
        <v>24</v>
      </c>
      <c r="G72" s="506" t="s">
        <v>272</v>
      </c>
    </row>
    <row r="73" spans="1:7" x14ac:dyDescent="0.2">
      <c r="A73" s="495" t="s">
        <v>70</v>
      </c>
      <c r="B73" s="800" t="s">
        <v>310</v>
      </c>
      <c r="C73" s="800"/>
      <c r="D73" s="800"/>
      <c r="E73" s="800"/>
      <c r="F73" s="511">
        <v>8.3299999999999999E-2</v>
      </c>
      <c r="G73" s="512">
        <f>$F$34*F73</f>
        <v>342.24054899999999</v>
      </c>
    </row>
    <row r="74" spans="1:7" x14ac:dyDescent="0.2">
      <c r="A74" s="495" t="s">
        <v>85</v>
      </c>
      <c r="B74" s="819" t="s">
        <v>127</v>
      </c>
      <c r="C74" s="800"/>
      <c r="D74" s="800"/>
      <c r="E74" s="800"/>
      <c r="F74" s="511">
        <v>9.8199999999999996E-2</v>
      </c>
      <c r="G74" s="512">
        <f>($F$34*F74)</f>
        <v>403.45764599999995</v>
      </c>
    </row>
    <row r="75" spans="1:7" x14ac:dyDescent="0.2">
      <c r="A75" s="513" t="s">
        <v>28</v>
      </c>
      <c r="B75" s="820" t="s">
        <v>128</v>
      </c>
      <c r="C75" s="821"/>
      <c r="D75" s="821"/>
      <c r="E75" s="822"/>
      <c r="F75" s="511">
        <v>6.8999999999999999E-3</v>
      </c>
      <c r="G75" s="512">
        <f>$F$34*F75</f>
        <v>28.348856999999999</v>
      </c>
    </row>
    <row r="76" spans="1:7" x14ac:dyDescent="0.2">
      <c r="A76" s="513" t="s">
        <v>94</v>
      </c>
      <c r="B76" s="820" t="s">
        <v>129</v>
      </c>
      <c r="C76" s="821"/>
      <c r="D76" s="821"/>
      <c r="E76" s="822"/>
      <c r="F76" s="511">
        <v>5.9999999999999995E-4</v>
      </c>
      <c r="G76" s="512">
        <f>$F$34*F76</f>
        <v>2.4651179999999995</v>
      </c>
    </row>
    <row r="77" spans="1:7" x14ac:dyDescent="0.2">
      <c r="A77" s="513" t="s">
        <v>284</v>
      </c>
      <c r="B77" s="820" t="s">
        <v>130</v>
      </c>
      <c r="C77" s="821"/>
      <c r="D77" s="821"/>
      <c r="E77" s="822"/>
      <c r="F77" s="511">
        <v>5.5999999999999999E-3</v>
      </c>
      <c r="G77" s="512">
        <f>$F$34*F77</f>
        <v>23.007767999999999</v>
      </c>
    </row>
    <row r="78" spans="1:7" x14ac:dyDescent="0.2">
      <c r="A78" s="513" t="s">
        <v>286</v>
      </c>
      <c r="B78" s="820" t="s">
        <v>131</v>
      </c>
      <c r="C78" s="821"/>
      <c r="D78" s="821"/>
      <c r="E78" s="822"/>
      <c r="F78" s="511">
        <v>8.9999999999999998E-4</v>
      </c>
      <c r="G78" s="512">
        <f>$F$34*F78</f>
        <v>3.6976769999999997</v>
      </c>
    </row>
    <row r="79" spans="1:7" x14ac:dyDescent="0.2">
      <c r="A79" s="513" t="s">
        <v>288</v>
      </c>
      <c r="B79" s="820" t="s">
        <v>132</v>
      </c>
      <c r="C79" s="821"/>
      <c r="D79" s="821"/>
      <c r="E79" s="822"/>
      <c r="F79" s="511">
        <v>2.9999999999999997E-4</v>
      </c>
      <c r="G79" s="512">
        <f>$F$34*F79</f>
        <v>1.2325589999999997</v>
      </c>
    </row>
    <row r="80" spans="1:7" x14ac:dyDescent="0.2">
      <c r="A80" s="803" t="s">
        <v>35</v>
      </c>
      <c r="B80" s="803"/>
      <c r="C80" s="803"/>
      <c r="D80" s="803"/>
      <c r="E80" s="803"/>
      <c r="F80" s="509">
        <f>SUM(F73:F79)</f>
        <v>0.19579999999999997</v>
      </c>
      <c r="G80" s="514">
        <f>SUM(G73:G79)</f>
        <v>804.45017399999995</v>
      </c>
    </row>
    <row r="82" spans="1:7" x14ac:dyDescent="0.2">
      <c r="A82" s="810" t="s">
        <v>311</v>
      </c>
      <c r="B82" s="810"/>
      <c r="C82" s="810"/>
      <c r="D82" s="810"/>
      <c r="E82" s="810"/>
      <c r="F82" s="810"/>
      <c r="G82" s="810"/>
    </row>
    <row r="83" spans="1:7" x14ac:dyDescent="0.2">
      <c r="A83" s="515"/>
      <c r="B83" s="515"/>
      <c r="C83" s="515"/>
      <c r="D83" s="515"/>
      <c r="E83" s="515"/>
      <c r="F83" s="515"/>
      <c r="G83" s="515"/>
    </row>
    <row r="84" spans="1:7" x14ac:dyDescent="0.2">
      <c r="A84" s="496" t="s">
        <v>187</v>
      </c>
      <c r="B84" s="803" t="s">
        <v>312</v>
      </c>
      <c r="C84" s="803"/>
      <c r="D84" s="803"/>
      <c r="E84" s="803"/>
      <c r="F84" s="505" t="s">
        <v>24</v>
      </c>
      <c r="G84" s="504" t="s">
        <v>272</v>
      </c>
    </row>
    <row r="85" spans="1:7" x14ac:dyDescent="0.2">
      <c r="A85" s="495" t="s">
        <v>70</v>
      </c>
      <c r="B85" s="800" t="s">
        <v>137</v>
      </c>
      <c r="C85" s="800"/>
      <c r="D85" s="800"/>
      <c r="E85" s="800"/>
      <c r="F85" s="511">
        <v>2.9899999999999999E-2</v>
      </c>
      <c r="G85" s="516">
        <f>$F$34*F85</f>
        <v>122.84504699999999</v>
      </c>
    </row>
    <row r="86" spans="1:7" x14ac:dyDescent="0.2">
      <c r="A86" s="495" t="s">
        <v>85</v>
      </c>
      <c r="B86" s="800" t="s">
        <v>138</v>
      </c>
      <c r="C86" s="800"/>
      <c r="D86" s="800"/>
      <c r="E86" s="800"/>
      <c r="F86" s="511">
        <v>6.9999999999999999E-4</v>
      </c>
      <c r="G86" s="516">
        <f>$F$34*F86</f>
        <v>2.8759709999999998</v>
      </c>
    </row>
    <row r="87" spans="1:7" x14ac:dyDescent="0.2">
      <c r="A87" s="495" t="s">
        <v>28</v>
      </c>
      <c r="B87" s="819" t="s">
        <v>139</v>
      </c>
      <c r="C87" s="800"/>
      <c r="D87" s="800"/>
      <c r="E87" s="800"/>
      <c r="F87" s="511">
        <v>1.01E-2</v>
      </c>
      <c r="G87" s="516">
        <f>$F$34*F87</f>
        <v>41.496152999999993</v>
      </c>
    </row>
    <row r="88" spans="1:7" x14ac:dyDescent="0.2">
      <c r="A88" s="495" t="s">
        <v>94</v>
      </c>
      <c r="B88" s="819" t="s">
        <v>140</v>
      </c>
      <c r="C88" s="800"/>
      <c r="D88" s="800"/>
      <c r="E88" s="800"/>
      <c r="F88" s="511">
        <v>3.6999999999999998E-2</v>
      </c>
      <c r="G88" s="516">
        <f>$F$34*F88</f>
        <v>152.01560999999998</v>
      </c>
    </row>
    <row r="89" spans="1:7" x14ac:dyDescent="0.2">
      <c r="A89" s="495" t="s">
        <v>284</v>
      </c>
      <c r="B89" s="819" t="s">
        <v>141</v>
      </c>
      <c r="C89" s="800"/>
      <c r="D89" s="800"/>
      <c r="E89" s="800"/>
      <c r="F89" s="507">
        <v>2.5000000000000001E-3</v>
      </c>
      <c r="G89" s="516">
        <f>$F$34*F89</f>
        <v>10.271324999999999</v>
      </c>
    </row>
    <row r="90" spans="1:7" x14ac:dyDescent="0.2">
      <c r="A90" s="811" t="s">
        <v>35</v>
      </c>
      <c r="B90" s="812"/>
      <c r="C90" s="812"/>
      <c r="D90" s="812"/>
      <c r="E90" s="813"/>
      <c r="F90" s="509">
        <f>SUM(F85:F89)</f>
        <v>8.0199999999999994E-2</v>
      </c>
      <c r="G90" s="517">
        <f>SUM(G85:G89)</f>
        <v>329.50410599999992</v>
      </c>
    </row>
    <row r="92" spans="1:7" x14ac:dyDescent="0.2">
      <c r="A92" s="810" t="s">
        <v>313</v>
      </c>
      <c r="B92" s="810"/>
      <c r="C92" s="810"/>
      <c r="D92" s="810"/>
      <c r="E92" s="810"/>
      <c r="F92" s="810"/>
      <c r="G92" s="810"/>
    </row>
    <row r="94" spans="1:7" x14ac:dyDescent="0.2">
      <c r="A94" s="496" t="s">
        <v>188</v>
      </c>
      <c r="B94" s="803" t="s">
        <v>314</v>
      </c>
      <c r="C94" s="803"/>
      <c r="D94" s="803"/>
      <c r="E94" s="803"/>
      <c r="F94" s="505" t="s">
        <v>24</v>
      </c>
      <c r="G94" s="506" t="s">
        <v>272</v>
      </c>
    </row>
    <row r="95" spans="1:7" x14ac:dyDescent="0.2">
      <c r="A95" s="495" t="s">
        <v>70</v>
      </c>
      <c r="B95" s="820" t="s">
        <v>315</v>
      </c>
      <c r="C95" s="821"/>
      <c r="D95" s="821"/>
      <c r="E95" s="822"/>
      <c r="F95" s="511">
        <v>7.2099999999999997E-2</v>
      </c>
      <c r="G95" s="516">
        <f>F34*F95</f>
        <v>296.22501299999999</v>
      </c>
    </row>
    <row r="96" spans="1:7" ht="25.5" customHeight="1" x14ac:dyDescent="0.2">
      <c r="A96" s="495" t="s">
        <v>85</v>
      </c>
      <c r="B96" s="823" t="s">
        <v>316</v>
      </c>
      <c r="C96" s="824"/>
      <c r="D96" s="824"/>
      <c r="E96" s="825"/>
      <c r="F96" s="511">
        <v>2.5999999999999999E-3</v>
      </c>
      <c r="G96" s="516">
        <f>F34*F96</f>
        <v>10.682177999999999</v>
      </c>
    </row>
    <row r="97" spans="1:14" x14ac:dyDescent="0.2">
      <c r="A97" s="803" t="s">
        <v>35</v>
      </c>
      <c r="B97" s="803"/>
      <c r="C97" s="803"/>
      <c r="D97" s="803"/>
      <c r="E97" s="803"/>
      <c r="F97" s="509">
        <f>SUM(F95:F96)</f>
        <v>7.4700000000000003E-2</v>
      </c>
      <c r="G97" s="517">
        <f>SUM(G95:G96)</f>
        <v>306.90719100000001</v>
      </c>
    </row>
    <row r="98" spans="1:14" x14ac:dyDescent="0.2">
      <c r="A98" s="502"/>
      <c r="B98" s="502"/>
      <c r="C98" s="502"/>
      <c r="D98" s="502"/>
      <c r="E98" s="502"/>
      <c r="F98" s="518"/>
      <c r="G98" s="519"/>
    </row>
    <row r="99" spans="1:14" x14ac:dyDescent="0.2">
      <c r="A99" s="810" t="s">
        <v>317</v>
      </c>
      <c r="B99" s="810"/>
      <c r="C99" s="810"/>
      <c r="D99" s="810"/>
      <c r="E99" s="810"/>
      <c r="F99" s="810"/>
      <c r="G99" s="810"/>
    </row>
    <row r="101" spans="1:14" x14ac:dyDescent="0.2">
      <c r="A101" s="496">
        <v>4</v>
      </c>
      <c r="B101" s="803" t="s">
        <v>318</v>
      </c>
      <c r="C101" s="803"/>
      <c r="D101" s="803"/>
      <c r="E101" s="803"/>
      <c r="F101" s="505" t="s">
        <v>24</v>
      </c>
      <c r="G101" s="506" t="s">
        <v>272</v>
      </c>
    </row>
    <row r="102" spans="1:14" x14ac:dyDescent="0.2">
      <c r="A102" s="495" t="s">
        <v>185</v>
      </c>
      <c r="B102" s="819" t="s">
        <v>300</v>
      </c>
      <c r="C102" s="819"/>
      <c r="D102" s="819"/>
      <c r="E102" s="819"/>
      <c r="F102" s="507">
        <f>F68</f>
        <v>0.3680000000000001</v>
      </c>
      <c r="G102" s="516">
        <f>F34*F102</f>
        <v>1511.9390400000004</v>
      </c>
    </row>
    <row r="103" spans="1:14" x14ac:dyDescent="0.2">
      <c r="A103" s="495" t="s">
        <v>186</v>
      </c>
      <c r="B103" s="819" t="s">
        <v>309</v>
      </c>
      <c r="C103" s="819"/>
      <c r="D103" s="819"/>
      <c r="E103" s="819"/>
      <c r="F103" s="507">
        <f>F80</f>
        <v>0.19579999999999997</v>
      </c>
      <c r="G103" s="516">
        <f>F34*F103</f>
        <v>804.45017399999983</v>
      </c>
    </row>
    <row r="104" spans="1:14" x14ac:dyDescent="0.2">
      <c r="A104" s="495" t="s">
        <v>187</v>
      </c>
      <c r="B104" s="819" t="s">
        <v>312</v>
      </c>
      <c r="C104" s="819"/>
      <c r="D104" s="819"/>
      <c r="E104" s="819"/>
      <c r="F104" s="507">
        <f>F90</f>
        <v>8.0199999999999994E-2</v>
      </c>
      <c r="G104" s="516">
        <f>F104*F34</f>
        <v>329.50410599999998</v>
      </c>
    </row>
    <row r="105" spans="1:14" x14ac:dyDescent="0.2">
      <c r="A105" s="495" t="s">
        <v>188</v>
      </c>
      <c r="B105" s="819" t="s">
        <v>314</v>
      </c>
      <c r="C105" s="819"/>
      <c r="D105" s="819"/>
      <c r="E105" s="819"/>
      <c r="F105" s="507">
        <f>F97</f>
        <v>7.4700000000000003E-2</v>
      </c>
      <c r="G105" s="516">
        <f>F105*F34</f>
        <v>306.90719100000001</v>
      </c>
    </row>
    <row r="106" spans="1:14" x14ac:dyDescent="0.2">
      <c r="A106" s="803" t="s">
        <v>35</v>
      </c>
      <c r="B106" s="803"/>
      <c r="C106" s="803"/>
      <c r="D106" s="803"/>
      <c r="E106" s="803"/>
      <c r="F106" s="509">
        <f>SUM(F102:F105)</f>
        <v>0.71870000000000012</v>
      </c>
      <c r="G106" s="517">
        <f>SUM(G102:G105)</f>
        <v>2952.8005110000004</v>
      </c>
    </row>
    <row r="108" spans="1:14" x14ac:dyDescent="0.2">
      <c r="A108" s="810" t="s">
        <v>319</v>
      </c>
      <c r="B108" s="810"/>
      <c r="C108" s="810"/>
      <c r="D108" s="810"/>
      <c r="E108" s="810"/>
      <c r="F108" s="810"/>
      <c r="G108" s="810"/>
    </row>
    <row r="110" spans="1:14" x14ac:dyDescent="0.2">
      <c r="A110" s="496">
        <v>5</v>
      </c>
      <c r="B110" s="803" t="s">
        <v>320</v>
      </c>
      <c r="C110" s="803"/>
      <c r="D110" s="803"/>
      <c r="E110" s="803"/>
      <c r="F110" s="505" t="s">
        <v>24</v>
      </c>
      <c r="G110" s="506" t="s">
        <v>272</v>
      </c>
      <c r="J110" s="497"/>
      <c r="K110" s="520"/>
      <c r="L110" s="521"/>
      <c r="M110" s="521"/>
      <c r="N110" s="522"/>
    </row>
    <row r="111" spans="1:14" x14ac:dyDescent="0.2">
      <c r="A111" s="495" t="s">
        <v>70</v>
      </c>
      <c r="B111" s="800" t="s">
        <v>321</v>
      </c>
      <c r="C111" s="800"/>
      <c r="D111" s="800"/>
      <c r="E111" s="800"/>
      <c r="F111" s="507">
        <v>0.2</v>
      </c>
      <c r="G111" s="516">
        <f>ROUND((F126*0.2),)</f>
        <v>1521</v>
      </c>
      <c r="J111" s="497"/>
      <c r="K111" s="521"/>
      <c r="L111" s="521"/>
      <c r="M111" s="521"/>
      <c r="N111" s="522"/>
    </row>
    <row r="112" spans="1:14" x14ac:dyDescent="0.2">
      <c r="A112" s="513" t="s">
        <v>322</v>
      </c>
      <c r="B112" s="800" t="s">
        <v>169</v>
      </c>
      <c r="C112" s="800"/>
      <c r="D112" s="800"/>
      <c r="E112" s="800"/>
      <c r="F112" s="509">
        <v>0.16619999999999999</v>
      </c>
      <c r="G112" s="517">
        <f>ROUND(SUM(G113:G115),2)</f>
        <v>1668.36</v>
      </c>
      <c r="J112" s="497"/>
      <c r="K112" s="521"/>
      <c r="L112" s="521"/>
      <c r="M112" s="521"/>
      <c r="N112" s="522"/>
    </row>
    <row r="113" spans="1:14" x14ac:dyDescent="0.2">
      <c r="A113" s="495"/>
      <c r="B113" s="819" t="s">
        <v>323</v>
      </c>
      <c r="C113" s="800"/>
      <c r="D113" s="800"/>
      <c r="E113" s="800"/>
      <c r="F113" s="507">
        <v>0.1079</v>
      </c>
      <c r="G113" s="523">
        <f>ROUND((F113*(F126+G111+G116)),2)</f>
        <v>1083.1300000000001</v>
      </c>
      <c r="K113" s="521"/>
      <c r="L113" s="521"/>
      <c r="N113" s="524"/>
    </row>
    <row r="114" spans="1:14" x14ac:dyDescent="0.2">
      <c r="A114" s="495"/>
      <c r="B114" s="800" t="s">
        <v>324</v>
      </c>
      <c r="C114" s="800"/>
      <c r="D114" s="800"/>
      <c r="E114" s="800"/>
      <c r="F114" s="525" t="s">
        <v>325</v>
      </c>
      <c r="G114" s="523">
        <v>0</v>
      </c>
    </row>
    <row r="115" spans="1:14" x14ac:dyDescent="0.2">
      <c r="A115" s="495"/>
      <c r="B115" s="800" t="s">
        <v>326</v>
      </c>
      <c r="C115" s="800"/>
      <c r="D115" s="800"/>
      <c r="E115" s="800"/>
      <c r="F115" s="526">
        <v>5.8299999999999998E-2</v>
      </c>
      <c r="G115" s="523">
        <f>ROUND((F115*(F126+G111+G116)),2)</f>
        <v>585.23</v>
      </c>
      <c r="L115" s="521"/>
    </row>
    <row r="116" spans="1:14" x14ac:dyDescent="0.2">
      <c r="A116" s="495" t="s">
        <v>28</v>
      </c>
      <c r="B116" s="800" t="s">
        <v>168</v>
      </c>
      <c r="C116" s="800"/>
      <c r="D116" s="800"/>
      <c r="E116" s="800"/>
      <c r="F116" s="507">
        <v>0.1</v>
      </c>
      <c r="G116" s="523">
        <f>(G111+F126)*0.1</f>
        <v>912.57405110000002</v>
      </c>
    </row>
    <row r="117" spans="1:14" x14ac:dyDescent="0.2">
      <c r="A117" s="803" t="s">
        <v>35</v>
      </c>
      <c r="B117" s="803"/>
      <c r="C117" s="803"/>
      <c r="D117" s="803"/>
      <c r="E117" s="803"/>
      <c r="F117" s="527" t="s">
        <v>327</v>
      </c>
      <c r="G117" s="517">
        <f>G111+G112+G116</f>
        <v>4101.9340511</v>
      </c>
    </row>
    <row r="119" spans="1:14" x14ac:dyDescent="0.2">
      <c r="A119" s="810" t="s">
        <v>328</v>
      </c>
      <c r="B119" s="810"/>
      <c r="C119" s="810"/>
      <c r="D119" s="810"/>
      <c r="E119" s="810"/>
      <c r="F119" s="810"/>
      <c r="G119" s="810"/>
    </row>
    <row r="121" spans="1:14" x14ac:dyDescent="0.2">
      <c r="A121" s="811" t="s">
        <v>329</v>
      </c>
      <c r="B121" s="812"/>
      <c r="C121" s="812"/>
      <c r="D121" s="812"/>
      <c r="E121" s="813"/>
      <c r="F121" s="805" t="s">
        <v>272</v>
      </c>
      <c r="G121" s="805"/>
    </row>
    <row r="122" spans="1:14" x14ac:dyDescent="0.2">
      <c r="A122" s="495" t="s">
        <v>70</v>
      </c>
      <c r="B122" s="800" t="s">
        <v>330</v>
      </c>
      <c r="C122" s="800"/>
      <c r="D122" s="800"/>
      <c r="E122" s="800"/>
      <c r="F122" s="818">
        <f>F34</f>
        <v>4108.53</v>
      </c>
      <c r="G122" s="802"/>
    </row>
    <row r="123" spans="1:14" x14ac:dyDescent="0.2">
      <c r="A123" s="495" t="s">
        <v>85</v>
      </c>
      <c r="B123" s="800" t="s">
        <v>331</v>
      </c>
      <c r="C123" s="800"/>
      <c r="D123" s="800"/>
      <c r="E123" s="800"/>
      <c r="F123" s="818">
        <f>F45</f>
        <v>499.71</v>
      </c>
      <c r="G123" s="802"/>
    </row>
    <row r="124" spans="1:14" x14ac:dyDescent="0.2">
      <c r="A124" s="495" t="s">
        <v>28</v>
      </c>
      <c r="B124" s="800" t="s">
        <v>332</v>
      </c>
      <c r="C124" s="800"/>
      <c r="D124" s="800"/>
      <c r="E124" s="800"/>
      <c r="F124" s="818">
        <f>F53</f>
        <v>43.7</v>
      </c>
      <c r="G124" s="802"/>
      <c r="I124" s="528"/>
    </row>
    <row r="125" spans="1:14" x14ac:dyDescent="0.2">
      <c r="A125" s="495" t="s">
        <v>94</v>
      </c>
      <c r="B125" s="800" t="s">
        <v>333</v>
      </c>
      <c r="C125" s="800"/>
      <c r="D125" s="800"/>
      <c r="E125" s="800"/>
      <c r="F125" s="814">
        <f>G106</f>
        <v>2952.8005110000004</v>
      </c>
      <c r="G125" s="802"/>
    </row>
    <row r="126" spans="1:14" x14ac:dyDescent="0.2">
      <c r="A126" s="495"/>
      <c r="B126" s="800" t="s">
        <v>334</v>
      </c>
      <c r="C126" s="800"/>
      <c r="D126" s="800"/>
      <c r="E126" s="800"/>
      <c r="F126" s="818">
        <f>SUM(F122:G125)</f>
        <v>7604.740511</v>
      </c>
      <c r="G126" s="802"/>
    </row>
    <row r="127" spans="1:14" x14ac:dyDescent="0.2">
      <c r="A127" s="495" t="s">
        <v>284</v>
      </c>
      <c r="B127" s="800" t="s">
        <v>335</v>
      </c>
      <c r="C127" s="800"/>
      <c r="D127" s="800"/>
      <c r="E127" s="800"/>
      <c r="F127" s="814">
        <f>G117</f>
        <v>4101.9340511</v>
      </c>
      <c r="G127" s="802"/>
    </row>
    <row r="128" spans="1:14" x14ac:dyDescent="0.2">
      <c r="A128" s="803" t="s">
        <v>336</v>
      </c>
      <c r="B128" s="803"/>
      <c r="C128" s="803"/>
      <c r="D128" s="803"/>
      <c r="E128" s="803"/>
      <c r="F128" s="815">
        <f>F126+F127</f>
        <v>11706.674562100001</v>
      </c>
      <c r="G128" s="805"/>
    </row>
    <row r="130" spans="1:7" x14ac:dyDescent="0.2">
      <c r="A130" s="810" t="s">
        <v>337</v>
      </c>
      <c r="B130" s="810"/>
      <c r="C130" s="810"/>
      <c r="D130" s="810"/>
      <c r="E130" s="810"/>
      <c r="F130" s="810"/>
      <c r="G130" s="810"/>
    </row>
    <row r="132" spans="1:7" x14ac:dyDescent="0.2">
      <c r="A132" s="816" t="s">
        <v>338</v>
      </c>
      <c r="B132" s="817"/>
      <c r="C132" s="529" t="s">
        <v>339</v>
      </c>
      <c r="D132" s="529" t="s">
        <v>340</v>
      </c>
      <c r="E132" s="529" t="s">
        <v>341</v>
      </c>
      <c r="F132" s="529" t="s">
        <v>342</v>
      </c>
      <c r="G132" s="529" t="s">
        <v>343</v>
      </c>
    </row>
    <row r="133" spans="1:7" x14ac:dyDescent="0.2">
      <c r="A133" s="806" t="s">
        <v>344</v>
      </c>
      <c r="B133" s="807"/>
      <c r="C133" s="530" t="s">
        <v>345</v>
      </c>
      <c r="D133" s="530" t="s">
        <v>346</v>
      </c>
      <c r="E133" s="530" t="s">
        <v>347</v>
      </c>
      <c r="F133" s="530" t="s">
        <v>346</v>
      </c>
      <c r="G133" s="530" t="s">
        <v>348</v>
      </c>
    </row>
    <row r="134" spans="1:7" x14ac:dyDescent="0.2">
      <c r="A134" s="808" t="s">
        <v>349</v>
      </c>
      <c r="B134" s="809"/>
      <c r="C134" s="531" t="s">
        <v>350</v>
      </c>
      <c r="D134" s="531"/>
      <c r="E134" s="531" t="s">
        <v>351</v>
      </c>
      <c r="F134" s="531" t="s">
        <v>352</v>
      </c>
      <c r="G134" s="531" t="s">
        <v>353</v>
      </c>
    </row>
    <row r="135" spans="1:7" x14ac:dyDescent="0.2">
      <c r="A135" s="494" t="s">
        <v>259</v>
      </c>
      <c r="B135" s="532" t="s">
        <v>260</v>
      </c>
      <c r="C135" s="533">
        <f>F128</f>
        <v>11706.674562100001</v>
      </c>
      <c r="D135" s="534">
        <v>1</v>
      </c>
      <c r="E135" s="533">
        <f>C135</f>
        <v>11706.674562100001</v>
      </c>
      <c r="F135" s="534">
        <v>1</v>
      </c>
      <c r="G135" s="533">
        <f>E135*F135</f>
        <v>11706.674562100001</v>
      </c>
    </row>
    <row r="136" spans="1:7" x14ac:dyDescent="0.2">
      <c r="A136" s="803" t="s">
        <v>354</v>
      </c>
      <c r="B136" s="803"/>
      <c r="C136" s="803"/>
      <c r="D136" s="803"/>
      <c r="E136" s="803"/>
      <c r="F136" s="803"/>
      <c r="G136" s="535">
        <f>G135</f>
        <v>11706.674562100001</v>
      </c>
    </row>
    <row r="138" spans="1:7" x14ac:dyDescent="0.2">
      <c r="A138" s="810" t="s">
        <v>355</v>
      </c>
      <c r="B138" s="810"/>
      <c r="C138" s="810"/>
      <c r="D138" s="810"/>
      <c r="E138" s="810"/>
      <c r="F138" s="810"/>
      <c r="G138" s="810"/>
    </row>
    <row r="140" spans="1:7" x14ac:dyDescent="0.2">
      <c r="A140" s="811" t="s">
        <v>356</v>
      </c>
      <c r="B140" s="812"/>
      <c r="C140" s="812"/>
      <c r="D140" s="812"/>
      <c r="E140" s="812"/>
      <c r="F140" s="812"/>
      <c r="G140" s="813"/>
    </row>
    <row r="141" spans="1:7" x14ac:dyDescent="0.2">
      <c r="A141" s="494"/>
      <c r="B141" s="803" t="s">
        <v>357</v>
      </c>
      <c r="C141" s="803"/>
      <c r="D141" s="803"/>
      <c r="E141" s="803"/>
      <c r="F141" s="805" t="s">
        <v>272</v>
      </c>
      <c r="G141" s="805"/>
    </row>
    <row r="142" spans="1:7" x14ac:dyDescent="0.2">
      <c r="A142" s="494" t="s">
        <v>70</v>
      </c>
      <c r="B142" s="800" t="s">
        <v>358</v>
      </c>
      <c r="C142" s="800"/>
      <c r="D142" s="800"/>
      <c r="E142" s="800"/>
      <c r="F142" s="801">
        <f>E135</f>
        <v>11706.674562100001</v>
      </c>
      <c r="G142" s="802"/>
    </row>
    <row r="143" spans="1:7" x14ac:dyDescent="0.2">
      <c r="A143" s="494" t="s">
        <v>85</v>
      </c>
      <c r="B143" s="800" t="s">
        <v>359</v>
      </c>
      <c r="C143" s="800"/>
      <c r="D143" s="800"/>
      <c r="E143" s="800"/>
      <c r="F143" s="801">
        <f>G136</f>
        <v>11706.674562100001</v>
      </c>
      <c r="G143" s="802"/>
    </row>
    <row r="144" spans="1:7" x14ac:dyDescent="0.2">
      <c r="A144" s="504" t="s">
        <v>28</v>
      </c>
      <c r="B144" s="803" t="s">
        <v>360</v>
      </c>
      <c r="C144" s="803"/>
      <c r="D144" s="803"/>
      <c r="E144" s="803"/>
      <c r="F144" s="804">
        <f>F143*12</f>
        <v>140480.09474520001</v>
      </c>
      <c r="G144" s="805"/>
    </row>
    <row r="147" spans="1:1" x14ac:dyDescent="0.2">
      <c r="A147" s="536" t="s">
        <v>361</v>
      </c>
    </row>
  </sheetData>
  <mergeCells count="161">
    <mergeCell ref="A6:G6"/>
    <mergeCell ref="A8:G10"/>
    <mergeCell ref="B12:E12"/>
    <mergeCell ref="F12:G12"/>
    <mergeCell ref="B13:E13"/>
    <mergeCell ref="F13:G13"/>
    <mergeCell ref="A1:G1"/>
    <mergeCell ref="A2:G2"/>
    <mergeCell ref="A4:D4"/>
    <mergeCell ref="E4:G4"/>
    <mergeCell ref="A5:D5"/>
    <mergeCell ref="E5:G5"/>
    <mergeCell ref="B18:C18"/>
    <mergeCell ref="D18:E18"/>
    <mergeCell ref="F18:G18"/>
    <mergeCell ref="A20:G20"/>
    <mergeCell ref="A21:G21"/>
    <mergeCell ref="A22:G22"/>
    <mergeCell ref="B14:E14"/>
    <mergeCell ref="F14:G14"/>
    <mergeCell ref="B15:E15"/>
    <mergeCell ref="F15:G15"/>
    <mergeCell ref="A17:C17"/>
    <mergeCell ref="D17:E17"/>
    <mergeCell ref="F17:G17"/>
    <mergeCell ref="B26:E26"/>
    <mergeCell ref="F26:G26"/>
    <mergeCell ref="A28:G28"/>
    <mergeCell ref="B29:E29"/>
    <mergeCell ref="F29:G29"/>
    <mergeCell ref="B30:E30"/>
    <mergeCell ref="F30:G30"/>
    <mergeCell ref="B23:E23"/>
    <mergeCell ref="F23:G23"/>
    <mergeCell ref="B24:E24"/>
    <mergeCell ref="F24:G24"/>
    <mergeCell ref="B25:E25"/>
    <mergeCell ref="F25:G25"/>
    <mergeCell ref="A34:E34"/>
    <mergeCell ref="F34:G34"/>
    <mergeCell ref="A36:G36"/>
    <mergeCell ref="B37:E37"/>
    <mergeCell ref="F37:G37"/>
    <mergeCell ref="B38:E38"/>
    <mergeCell ref="F38:G38"/>
    <mergeCell ref="B31:E31"/>
    <mergeCell ref="F31:G31"/>
    <mergeCell ref="B32:E32"/>
    <mergeCell ref="F32:G32"/>
    <mergeCell ref="B33:E33"/>
    <mergeCell ref="F33:G33"/>
    <mergeCell ref="B42:E42"/>
    <mergeCell ref="F42:G42"/>
    <mergeCell ref="B43:E43"/>
    <mergeCell ref="F43:G43"/>
    <mergeCell ref="B44:E44"/>
    <mergeCell ref="F44:G44"/>
    <mergeCell ref="B39:E39"/>
    <mergeCell ref="F39:G39"/>
    <mergeCell ref="B40:E40"/>
    <mergeCell ref="F40:G40"/>
    <mergeCell ref="B41:E41"/>
    <mergeCell ref="F41:G41"/>
    <mergeCell ref="B50:E50"/>
    <mergeCell ref="F50:G50"/>
    <mergeCell ref="B51:E51"/>
    <mergeCell ref="F51:G51"/>
    <mergeCell ref="B52:E52"/>
    <mergeCell ref="F52:G52"/>
    <mergeCell ref="A45:E45"/>
    <mergeCell ref="F45:G45"/>
    <mergeCell ref="A47:G47"/>
    <mergeCell ref="B48:E48"/>
    <mergeCell ref="F48:G48"/>
    <mergeCell ref="B49:E49"/>
    <mergeCell ref="F49:G49"/>
    <mergeCell ref="B61:E61"/>
    <mergeCell ref="B62:E62"/>
    <mergeCell ref="B63:E63"/>
    <mergeCell ref="B64:E64"/>
    <mergeCell ref="B65:E65"/>
    <mergeCell ref="B66:E66"/>
    <mergeCell ref="A53:E53"/>
    <mergeCell ref="F53:G53"/>
    <mergeCell ref="A55:G55"/>
    <mergeCell ref="A57:G57"/>
    <mergeCell ref="B59:E59"/>
    <mergeCell ref="B60:E60"/>
    <mergeCell ref="B75:E75"/>
    <mergeCell ref="B76:E76"/>
    <mergeCell ref="B77:E77"/>
    <mergeCell ref="B78:E78"/>
    <mergeCell ref="B79:E79"/>
    <mergeCell ref="A80:E80"/>
    <mergeCell ref="B67:E67"/>
    <mergeCell ref="A68:E68"/>
    <mergeCell ref="A70:G70"/>
    <mergeCell ref="B72:E72"/>
    <mergeCell ref="B73:E73"/>
    <mergeCell ref="B74:E74"/>
    <mergeCell ref="B89:E89"/>
    <mergeCell ref="A90:E90"/>
    <mergeCell ref="A92:G92"/>
    <mergeCell ref="B94:E94"/>
    <mergeCell ref="B95:E95"/>
    <mergeCell ref="B96:E96"/>
    <mergeCell ref="A82:G82"/>
    <mergeCell ref="B84:E84"/>
    <mergeCell ref="B85:E85"/>
    <mergeCell ref="B86:E86"/>
    <mergeCell ref="B87:E87"/>
    <mergeCell ref="B88:E88"/>
    <mergeCell ref="B105:E105"/>
    <mergeCell ref="A106:E106"/>
    <mergeCell ref="A108:G108"/>
    <mergeCell ref="B110:E110"/>
    <mergeCell ref="B111:E111"/>
    <mergeCell ref="B112:E112"/>
    <mergeCell ref="A97:E97"/>
    <mergeCell ref="A99:G99"/>
    <mergeCell ref="B101:E101"/>
    <mergeCell ref="B102:E102"/>
    <mergeCell ref="B103:E103"/>
    <mergeCell ref="B104:E104"/>
    <mergeCell ref="A121:E121"/>
    <mergeCell ref="F121:G121"/>
    <mergeCell ref="B122:E122"/>
    <mergeCell ref="F122:G122"/>
    <mergeCell ref="B123:E123"/>
    <mergeCell ref="F123:G123"/>
    <mergeCell ref="B113:E113"/>
    <mergeCell ref="B114:E114"/>
    <mergeCell ref="B115:E115"/>
    <mergeCell ref="B116:E116"/>
    <mergeCell ref="A117:E117"/>
    <mergeCell ref="A119:G119"/>
    <mergeCell ref="B127:E127"/>
    <mergeCell ref="F127:G127"/>
    <mergeCell ref="A128:E128"/>
    <mergeCell ref="F128:G128"/>
    <mergeCell ref="A130:G130"/>
    <mergeCell ref="A132:B132"/>
    <mergeCell ref="B124:E124"/>
    <mergeCell ref="F124:G124"/>
    <mergeCell ref="B125:E125"/>
    <mergeCell ref="F125:G125"/>
    <mergeCell ref="B126:E126"/>
    <mergeCell ref="F126:G126"/>
    <mergeCell ref="B142:E142"/>
    <mergeCell ref="F142:G142"/>
    <mergeCell ref="B143:E143"/>
    <mergeCell ref="F143:G143"/>
    <mergeCell ref="B144:E144"/>
    <mergeCell ref="F144:G144"/>
    <mergeCell ref="A133:B133"/>
    <mergeCell ref="A134:B134"/>
    <mergeCell ref="A136:F136"/>
    <mergeCell ref="A138:G138"/>
    <mergeCell ref="A140:G140"/>
    <mergeCell ref="B141:E141"/>
    <mergeCell ref="F141:G141"/>
  </mergeCells>
  <pageMargins left="0.57999999999999996" right="0.39370078740157483" top="0.89" bottom="0.98425196850393704" header="0.51181102362204722" footer="0.51181102362204722"/>
  <pageSetup paperSize="9" orientation="portrait" r:id="rId1"/>
  <headerFooter alignWithMargins="0"/>
  <rowBreaks count="2" manualBreakCount="2">
    <brk id="53" max="16383" man="1"/>
    <brk id="1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5</vt:i4>
      </vt:variant>
    </vt:vector>
  </HeadingPairs>
  <TitlesOfParts>
    <vt:vector size="18" baseType="lpstr">
      <vt:lpstr>PFS</vt:lpstr>
      <vt:lpstr>PFS_I Equipe (2)</vt:lpstr>
      <vt:lpstr>PFS_II Desp Gerais - Serviços</vt:lpstr>
      <vt:lpstr>PFS_III Desp Gerais - Forneci</vt:lpstr>
      <vt:lpstr>PFS_IV Cronog Financ</vt:lpstr>
      <vt:lpstr>PFS_V_ Det_ Custos Adm_</vt:lpstr>
      <vt:lpstr>PFS_VII Det_ Enc_ Soc_</vt:lpstr>
      <vt:lpstr>PFS_VIII Det_ Desp Fiscais</vt:lpstr>
      <vt:lpstr>ASSISTENTE SOCIAL</vt:lpstr>
      <vt:lpstr>TÉCNICO AGRÍCOLA</vt:lpstr>
      <vt:lpstr>SERVIÇOS GERAIS</vt:lpstr>
      <vt:lpstr>LOC. VEÍCULOS</vt:lpstr>
      <vt:lpstr>LOC. MOTOCICLETA</vt:lpstr>
      <vt:lpstr>PFS!Area_de_impressao</vt:lpstr>
      <vt:lpstr>'PFS_I Equipe (2)'!Area_de_impressao</vt:lpstr>
      <vt:lpstr>'PFS_II Desp Gerais - Serviços'!Area_de_impressao</vt:lpstr>
      <vt:lpstr>'PFS_III Desp Gerais - Forneci'!Area_de_impressao</vt:lpstr>
      <vt:lpstr>'PFS_VIII Det_ Desp Fiscais'!Area_de_impressao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Cleudson das Neves Bernardino</dc:creator>
  <cp:lastModifiedBy>ANA</cp:lastModifiedBy>
  <cp:lastPrinted>2020-05-04T20:18:14Z</cp:lastPrinted>
  <dcterms:created xsi:type="dcterms:W3CDTF">2009-12-08T14:34:18Z</dcterms:created>
  <dcterms:modified xsi:type="dcterms:W3CDTF">2020-10-05T13:31:16Z</dcterms:modified>
</cp:coreProperties>
</file>