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firstSheet="3" activeTab="9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25" i="6"/>
  <c r="G20" i="6"/>
  <c r="G15" i="6"/>
  <c r="G23" i="6"/>
  <c r="G17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<sst xmlns="http://schemas.openxmlformats.org/spreadsheetml/2006/main" count="357" uniqueCount="231">
  <si>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</si>
  <si>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</si>
  <si>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</si>
  <si>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</si>
  <si>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</si>
  <si>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</si>
  <si>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</si>
  <si>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</si>
  <si>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</si>
  <si>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</si>
  <si>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</si>
  <si>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</si>
  <si>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</si>
  <si>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</si>
  <si>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</si>
  <si>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</si>
  <si>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</si>
  <si>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</si>
  <si>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</si>
  <si>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</si>
  <si>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</si>
  <si>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</si>
  <si>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</si>
  <si>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</si>
  <si>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</si>
  <si>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</si>
  <si>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</si>
  <si>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</si>
  <si>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</si>
  <si>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</si>
  <si>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</si>
  <si>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</si>
  <si>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</si>
  <si>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</si>
  <si>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</si>
  <si>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</si>
  <si>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</si>
  <si>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</si>
  <si>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</si>
  <si>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</si>
  <si>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</si>
  <si>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</si>
  <si>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</si>
  <si>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</si>
  <si>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</si>
  <si>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</si>
  <si>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</si>
  <si>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</si>
  <si>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</si>
  <si>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</si>
  <si>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</si>
  <si>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</si>
  <si>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</si>
  <si>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</si>
  <si>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</si>
  <si>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</si>
  <si>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</si>
  <si>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</si>
  <si>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</si>
  <si>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</si>
  <si>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</si>
  <si>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</si>
  <si>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</si>
  <si>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</si>
  <si>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</si>
  <si>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</si>
  <si>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</si>
  <si>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</si>
  <si>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</si>
  <si>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</si>
  <si>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</si>
  <si>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</si>
  <si>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</si>
  <si>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</si>
  <si>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</si>
  <si>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</si>
  <si>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</si>
  <si>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</si>
  <si>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</si>
  <si>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</si>
  <si>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</si>
  <si>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</si>
  <si>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</si>
  <si>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</si>
  <si>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</si>
  <si>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</si>
  <si>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</si>
  <si>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</si>
  <si>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</si>
  <si>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</si>
  <si>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</si>
  <si>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</si>
  <si>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</si>
  <si>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</si>
  <si>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</si>
  <si>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</si>
  <si>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</si>
  <si>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</si>
  <si>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</si>
  <si>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</si>
  <si>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</si>
  <si>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</si>
  <si>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</si>
  <si>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</si>
  <si>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</si>
  <si>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</si>
  <si>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</si>
  <si>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</si>
  <si>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</si>
  <si>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</si>
  <si>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</si>
  <si>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</si>
  <si>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</si>
  <si>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</si>
  <si>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</si>
  <si>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</si>
  <si>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</si>
  <si>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</si>
  <si>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</si>
  <si>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</si>
  <si>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</si>
  <si>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</si>
  <si>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</si>
  <si>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</si>
  <si>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</si>
  <si>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</si>
  <si>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</si>
  <si>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</si>
  <si>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</si>
  <si>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</si>
  <si>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</si>
  <si>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</si>
  <si>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</si>
  <si>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</si>
  <si>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</si>
  <si>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</si>
  <si>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</si>
  <si>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</si>
  <si>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</si>
  <si>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</si>
  <si>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</si>
  <si>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</si>
  <si>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</si>
  <si>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</si>
  <si>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</si>
  <si>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</si>
  <si>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</si>
  <si>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</si>
  <si>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</si>
  <si>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</si>
  <si>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</si>
  <si>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</si>
  <si>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</si>
  <si>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</si>
  <si>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</si>
  <si>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</si>
  <si>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</si>
  <si>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</si>
  <si>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</si>
  <si>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</si>
  <si>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</si>
  <si>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</si>
  <si>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</si>
  <si>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</si>
  <si>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</si>
  <si>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</si>
  <si>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</si>
  <si>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</si>
  <si>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</si>
  <si>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</si>
  <si>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</si>
  <si>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</si>
  <si>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</si>
  <si>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</si>
  <si>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</si>
  <si>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</si>
  <si>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</si>
  <si>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</si>
  <si>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</si>
  <si>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</si>
  <si>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</si>
  <si>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</si>
  <si>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</si>
  <si>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</si>
  <si>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</si>
  <si>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</si>
  <si>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</si>
  <si>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</si>
  <si>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</si>
  <si>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</si>
  <si>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</si>
  <si>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</si>
  <si>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</si>
  <si>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</si>
  <si>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</si>
  <si>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</si>
  <si>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</si>
  <si>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</si>
  <si>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</si>
  <si>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</si>
  <si>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</si>
  <si>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</si>
  <si>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</si>
  <si>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</si>
  <si>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</si>
  <si>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</si>
  <si>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</si>
  <si>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</si>
  <si>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</si>
  <si>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</si>
  <si>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</si>
  <si>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</si>
  <si>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</si>
  <si>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</si>
  <si>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</si>
  <si>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02 - 56 BARREIROS NOS MUNICIPIOS DE PORTO DA FOLHA E GARARU</t>
  </si>
  <si>
    <t>ETAPA 01: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</si>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</sst>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3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9" xfId="38" applyFont="1" applyBorder="1" applyAlignment="1">
      <alignment horizontal="left" vertical="center"/>
    </xf>
    <xf numFmtId="170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6" fontId="12" fillId="0" borderId="25" xfId="44" applyNumberFormat="1" applyFont="1" applyBorder="1" applyAlignment="1">
      <alignment horizontal="center" vertical="center"/>
    </xf>
    <xf numFmtId="169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5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4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5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5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5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7" fontId="12" fillId="0" borderId="28" xfId="41" applyNumberFormat="1" applyFont="1" applyBorder="1" applyAlignment="1">
      <alignment horizontal="right" vertical="center"/>
    </xf>
    <xf numFmtId="167" fontId="12" fillId="0" borderId="47" xfId="41" applyNumberFormat="1" applyFont="1" applyBorder="1" applyAlignment="1">
      <alignment horizontal="right" vertical="center"/>
    </xf>
    <xf numFmtId="168" fontId="22" fillId="0" borderId="47" xfId="41" applyNumberFormat="1" applyFont="1" applyBorder="1" applyAlignment="1">
      <alignment horizontal="right" vertical="center"/>
    </xf>
    <xf numFmtId="168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6" fontId="12" fillId="0" borderId="33" xfId="44" applyNumberFormat="1" applyFont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5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4" fontId="29" fillId="0" borderId="15" xfId="38" applyFont="1" applyBorder="1" applyAlignment="1">
      <alignment horizontal="left" vertical="center"/>
    </xf>
    <xf numFmtId="170" fontId="29" fillId="0" borderId="31" xfId="38" applyNumberFormat="1" applyFont="1" applyBorder="1" applyAlignment="1">
      <alignment horizontal="center" vertical="center"/>
    </xf>
    <xf numFmtId="164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4" fontId="30" fillId="23" borderId="81" xfId="38" applyFont="1" applyFill="1" applyBorder="1" applyAlignment="1">
      <alignment horizontal="left" vertical="center"/>
    </xf>
    <xf numFmtId="164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4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4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4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6" fontId="12" fillId="24" borderId="25" xfId="44" applyNumberFormat="1" applyFont="1" applyFill="1" applyBorder="1" applyAlignment="1">
      <alignment horizontal="center" vertical="center"/>
    </xf>
    <xf numFmtId="169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170" fontId="29" fillId="0" borderId="84" xfId="38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0" fontId="12" fillId="0" borderId="49" xfId="48" applyFont="1" applyBorder="1" applyAlignment="1" applyProtection="1">
      <alignment horizontal="right" vertical="center"/>
      <protection locked="0"/>
    </xf>
    <xf numFmtId="40" fontId="12" fillId="0" borderId="26" xfId="48" applyFont="1" applyFill="1" applyBorder="1" applyAlignment="1" applyProtection="1">
      <alignment horizontal="center" vertical="center"/>
      <protection locked="0"/>
    </xf>
    <xf numFmtId="40" fontId="12" fillId="0" borderId="26" xfId="48" applyFont="1" applyBorder="1" applyAlignment="1" applyProtection="1">
      <alignment horizontal="right" vertical="center"/>
      <protection locked="0"/>
    </xf>
    <xf numFmtId="4" fontId="12" fillId="0" borderId="84" xfId="0" applyNumberFormat="1" applyFont="1" applyBorder="1" applyAlignment="1">
      <alignment horizontal="center" vertical="center" wrapText="1"/>
    </xf>
    <xf numFmtId="165" fontId="29" fillId="0" borderId="84" xfId="38" applyNumberFormat="1" applyFont="1" applyFill="1" applyBorder="1" applyAlignment="1" applyProtection="1">
      <alignment horizontal="center" vertical="center"/>
      <protection locked="0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left" vertical="center" indent="2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4" fontId="12" fillId="0" borderId="37" xfId="0" applyNumberFormat="1" applyFont="1" applyFill="1" applyBorder="1" applyAlignment="1">
      <alignment horizontal="right"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25" xfId="40" applyFont="1" applyBorder="1" applyAlignment="1">
      <alignment horizontal="center" vertical="center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5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5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 wrapTex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165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165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0" fontId="22" fillId="23" borderId="68" xfId="42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12" fillId="0" borderId="31" xfId="44" applyNumberFormat="1" applyFont="1" applyBorder="1" applyAlignment="1">
      <alignment horizontal="right" vertical="center"/>
    </xf>
    <xf numFmtId="169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69" fontId="12" fillId="24" borderId="33" xfId="44" applyNumberFormat="1" applyFont="1" applyFill="1" applyBorder="1" applyAlignment="1">
      <alignment horizontal="right" vertical="center"/>
    </xf>
    <xf numFmtId="169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69" fontId="12" fillId="24" borderId="31" xfId="44" applyNumberFormat="1" applyFont="1" applyFill="1" applyBorder="1" applyAlignment="1">
      <alignment horizontal="right" vertical="center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3" xfId="44" applyFont="1" applyBorder="1" applyAlignment="1">
      <alignment horizontal="left" vertical="center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wrapText="1"/>
    </xf>
    <xf numFmtId="49" fontId="12" fillId="0" borderId="31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12" fillId="0" borderId="31" xfId="43" applyFont="1" applyBorder="1" applyAlignment="1">
      <alignment horizontal="left" vertical="top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22" fillId="0" borderId="30" xfId="43" applyFont="1" applyBorder="1" applyAlignment="1">
      <alignment horizontal="left" vertical="center"/>
    </xf>
    <xf numFmtId="0" fontId="12" fillId="0" borderId="25" xfId="0" applyFont="1" applyBorder="1" applyAlignment="1">
      <alignment horizontal="left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22" fillId="0" borderId="23" xfId="43" applyFont="1" applyBorder="1" applyAlignment="1">
      <alignment horizontal="righ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view="pageBreakPreview" topLeftCell="A14" zoomScaleNormal="100" zoomScaleSheetLayoutView="100" workbookViewId="0">
      <selection activeCell="V17" sqref="V17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23" t="s">
        <v>2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5"/>
      <c r="N5" s="329" t="s">
        <v>3</v>
      </c>
      <c r="O5" s="330"/>
    </row>
    <row r="6" spans="1:15" ht="18.75" thickTop="1" x14ac:dyDescent="0.25">
      <c r="A6" s="326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8"/>
      <c r="N6" s="331" t="s">
        <v>4</v>
      </c>
      <c r="O6" s="332"/>
    </row>
    <row r="7" spans="1:15" ht="12.75" x14ac:dyDescent="0.2">
      <c r="A7" s="333" t="s">
        <v>5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34" t="s">
        <v>215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6"/>
      <c r="O9" s="278" t="s">
        <v>6</v>
      </c>
    </row>
    <row r="10" spans="1:15" ht="12.75" x14ac:dyDescent="0.2">
      <c r="A10" s="337"/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9"/>
      <c r="O10" s="284"/>
    </row>
    <row r="11" spans="1:15" ht="12.75" x14ac:dyDescent="0.2">
      <c r="A11" s="337"/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9"/>
      <c r="O11" s="284"/>
    </row>
    <row r="12" spans="1:15" ht="12.75" x14ac:dyDescent="0.2">
      <c r="A12" s="340"/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2"/>
      <c r="O12" s="279"/>
    </row>
    <row r="13" spans="1:15" ht="12.75" x14ac:dyDescent="0.2">
      <c r="A13" s="313" t="s">
        <v>7</v>
      </c>
      <c r="B13" s="313"/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4"/>
    </row>
    <row r="14" spans="1:15" ht="12.75" x14ac:dyDescent="0.2">
      <c r="A14" s="315" t="s">
        <v>198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6">
        <f>N16+N19+N22+N23</f>
        <v>137365.72</v>
      </c>
      <c r="O14" s="316"/>
    </row>
    <row r="15" spans="1:15" ht="12.75" x14ac:dyDescent="0.2">
      <c r="A15" s="322" t="s">
        <v>8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</row>
    <row r="16" spans="1:15" ht="12.75" x14ac:dyDescent="0.2">
      <c r="A16" s="319" t="s">
        <v>9</v>
      </c>
      <c r="B16" s="319"/>
      <c r="C16" s="319"/>
      <c r="D16" s="319"/>
      <c r="E16" s="319"/>
      <c r="F16" s="319"/>
      <c r="G16" s="319"/>
      <c r="H16" s="319"/>
      <c r="I16" s="319"/>
      <c r="J16" s="319"/>
      <c r="K16" s="319"/>
      <c r="L16" s="319"/>
      <c r="M16" s="319"/>
      <c r="N16" s="316">
        <f>SUM(N17:O18)</f>
        <v>65736.800000000003</v>
      </c>
      <c r="O16" s="316"/>
    </row>
    <row r="17" spans="1:16" ht="12.75" x14ac:dyDescent="0.2">
      <c r="A17" s="320" t="s">
        <v>10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1">
        <f>'PFS_I Equipe'!E28</f>
        <v>65736.800000000003</v>
      </c>
      <c r="O17" s="321"/>
    </row>
    <row r="18" spans="1:16" ht="12.75" x14ac:dyDescent="0.2">
      <c r="A18" s="320" t="s">
        <v>11</v>
      </c>
      <c r="B18" s="320"/>
      <c r="C18" s="320"/>
      <c r="D18" s="320"/>
      <c r="E18" s="320"/>
      <c r="F18" s="320"/>
      <c r="G18" s="320"/>
      <c r="H18" s="320"/>
      <c r="I18" s="320"/>
      <c r="J18" s="320"/>
      <c r="K18" s="320"/>
      <c r="L18" s="320"/>
      <c r="M18" s="320"/>
      <c r="N18" s="321">
        <f>'PFS_I Equipe'!F28</f>
        <v>0</v>
      </c>
      <c r="O18" s="321"/>
    </row>
    <row r="19" spans="1:16" s="3" customFormat="1" ht="12.75" x14ac:dyDescent="0.2">
      <c r="A19" s="319" t="s">
        <v>12</v>
      </c>
      <c r="B19" s="319"/>
      <c r="C19" s="319"/>
      <c r="D19" s="319"/>
      <c r="E19" s="319"/>
      <c r="F19" s="319"/>
      <c r="G19" s="319"/>
      <c r="H19" s="319"/>
      <c r="I19" s="319"/>
      <c r="J19" s="319"/>
      <c r="K19" s="319"/>
      <c r="L19" s="319"/>
      <c r="M19" s="319"/>
      <c r="N19" s="316">
        <f>SUM(N20:O21)</f>
        <v>48369.120000000003</v>
      </c>
      <c r="O19" s="316"/>
    </row>
    <row r="20" spans="1:16" ht="12.75" x14ac:dyDescent="0.2">
      <c r="A20" s="320" t="str">
        <f>"B1 -  "&amp;TEXT('PFS_VIII Det_ Enc_ Soc_'!F50,"#,00%")&amp;" INCIDENTE SOBRE O ITEM  A1"</f>
        <v>B1 -  73,58% INCIDENTE SOBRE O ITEM  A1</v>
      </c>
      <c r="B20" s="320"/>
      <c r="C20" s="320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1">
        <f>'PFS_I Equipe'!G28</f>
        <v>48369.120000000003</v>
      </c>
      <c r="O20" s="321"/>
    </row>
    <row r="21" spans="1:16" ht="12.75" x14ac:dyDescent="0.2">
      <c r="A21" s="320" t="s">
        <v>13</v>
      </c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1">
        <f>'PFS_I Equipe'!H28</f>
        <v>0</v>
      </c>
      <c r="O21" s="321"/>
    </row>
    <row r="22" spans="1:16" ht="12.75" x14ac:dyDescent="0.2">
      <c r="A22" s="319" t="s">
        <v>14</v>
      </c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21">
        <f>'PFS_II Desp Viagens'!$L$22</f>
        <v>7200</v>
      </c>
      <c r="O22" s="321"/>
    </row>
    <row r="23" spans="1:16" ht="12.75" x14ac:dyDescent="0.2">
      <c r="A23" s="319" t="s">
        <v>15</v>
      </c>
      <c r="B23" s="31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43">
        <f>'PFS_III Ser Graf'!G29</f>
        <v>16059.8</v>
      </c>
      <c r="O23" s="343"/>
    </row>
    <row r="24" spans="1:16" ht="12.75" x14ac:dyDescent="0.2">
      <c r="A24" s="351" t="s">
        <v>185</v>
      </c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2">
        <f>SUM(N25:O27)</f>
        <v>59928.620999999999</v>
      </c>
      <c r="O24" s="352"/>
    </row>
    <row r="25" spans="1:16" ht="12.75" x14ac:dyDescent="0.2">
      <c r="A25" s="319" t="str">
        <f>"F -  CUSTO DE ADMINISTRAÇÃO - ("&amp;TEXT('PFS_VI_ Det_ Custos Adm_'!F42,"#,00%")&amp;" DO ITEM A) (PFS-VI)"</f>
        <v>F -  CUSTO DE ADMINISTRAÇÃO - (25,00% DO ITEM A) (PFS-VI)</v>
      </c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21">
        <f>'PFS_VI_ Det_ Custos Adm_'!G42</f>
        <v>16434.189999999999</v>
      </c>
      <c r="O25" s="321"/>
    </row>
    <row r="26" spans="1:16" ht="12.75" x14ac:dyDescent="0.2">
      <c r="A26" s="319" t="s">
        <v>199</v>
      </c>
      <c r="B26" s="319"/>
      <c r="C26" s="319"/>
      <c r="D26" s="319"/>
      <c r="E26" s="319"/>
      <c r="F26" s="319"/>
      <c r="G26" s="319"/>
      <c r="H26" s="319"/>
      <c r="I26" s="319"/>
      <c r="J26" s="319"/>
      <c r="K26" s="319"/>
      <c r="L26" s="319"/>
      <c r="M26" s="319"/>
      <c r="N26" s="343">
        <f>(N16+N19+N22+N23+N25)*0.1</f>
        <v>15379.991000000002</v>
      </c>
      <c r="O26" s="343"/>
    </row>
    <row r="27" spans="1:16" ht="12.75" x14ac:dyDescent="0.2">
      <c r="A27" s="319" t="str">
        <f>"H - DESPESAS FISCAIS - ("&amp;TEXT('PFS_VII Det_ Desp Fiscais'!G43/100,"#,00%")&amp;" = DF' DOS ITENS A+B+C+D+F+G) (PFS-VII)"</f>
        <v>H - DESPESAS FISCAIS - (16,62% = DF' DOS ITENS A+B+C+D+F+G) (PFS-VII)</v>
      </c>
      <c r="B27" s="319"/>
      <c r="C27" s="319"/>
      <c r="D27" s="319"/>
      <c r="E27" s="319"/>
      <c r="F27" s="319"/>
      <c r="G27" s="319"/>
      <c r="H27" s="319"/>
      <c r="I27" s="319"/>
      <c r="J27" s="319"/>
      <c r="K27" s="319"/>
      <c r="L27" s="319"/>
      <c r="M27" s="319"/>
      <c r="N27" s="321">
        <f>ROUND('PFS_VII Det_ Desp Fiscais'!G43/100*(N14+N25+N26),2)</f>
        <v>28114.44</v>
      </c>
      <c r="O27" s="321"/>
    </row>
    <row r="28" spans="1:16" s="292" customFormat="1" ht="12.75" x14ac:dyDescent="0.2">
      <c r="A28" s="308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10"/>
    </row>
    <row r="29" spans="1:16" ht="12.75" x14ac:dyDescent="0.2">
      <c r="A29" s="315" t="s">
        <v>200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6">
        <f>N30</f>
        <v>240937.62</v>
      </c>
      <c r="O29" s="316"/>
    </row>
    <row r="30" spans="1:16" ht="12.75" x14ac:dyDescent="0.2">
      <c r="A30" s="317" t="s">
        <v>197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8">
        <f>'PFS_IV Serv. top e Geo'!$I$22</f>
        <v>240937.62</v>
      </c>
      <c r="O30" s="318"/>
    </row>
    <row r="31" spans="1:16" s="292" customFormat="1" ht="12.75" x14ac:dyDescent="0.2">
      <c r="A31" s="308"/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10"/>
    </row>
    <row r="32" spans="1:16" ht="12.75" x14ac:dyDescent="0.2">
      <c r="A32" s="311" t="s">
        <v>16</v>
      </c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2">
        <f>N14+N29+N24</f>
        <v>438231.96099999995</v>
      </c>
      <c r="O32" s="312"/>
      <c r="P32" s="302"/>
    </row>
    <row r="33" spans="1:15" ht="12.75" x14ac:dyDescent="0.2">
      <c r="A33" s="344" t="s">
        <v>143</v>
      </c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6">
        <f>ROUND((N32)/56,2)</f>
        <v>7825.57</v>
      </c>
      <c r="O33" s="347"/>
    </row>
    <row r="34" spans="1:15" ht="12.75" x14ac:dyDescent="0.2">
      <c r="A34" s="364" t="s">
        <v>17</v>
      </c>
      <c r="B34" s="364"/>
      <c r="C34" s="364"/>
      <c r="D34" s="364"/>
      <c r="E34" s="364"/>
      <c r="F34" s="364"/>
      <c r="G34" s="364"/>
      <c r="H34" s="364"/>
      <c r="I34" s="364"/>
      <c r="J34" s="365" t="s">
        <v>18</v>
      </c>
      <c r="K34" s="365"/>
      <c r="L34" s="365"/>
      <c r="M34" s="365"/>
      <c r="N34" s="365"/>
      <c r="O34" s="365"/>
    </row>
    <row r="35" spans="1:15" ht="12.75" x14ac:dyDescent="0.2">
      <c r="A35" s="366"/>
      <c r="B35" s="366"/>
      <c r="C35" s="366"/>
      <c r="D35" s="366"/>
      <c r="E35" s="366"/>
      <c r="F35" s="366"/>
      <c r="G35" s="366"/>
      <c r="H35" s="366"/>
      <c r="I35" s="366"/>
      <c r="J35" s="280"/>
      <c r="K35" s="4"/>
      <c r="L35" s="4"/>
      <c r="M35" s="4"/>
      <c r="N35" s="4"/>
      <c r="O35" s="5"/>
    </row>
    <row r="36" spans="1:15" s="2" customFormat="1" ht="12.75" x14ac:dyDescent="0.2">
      <c r="A36" s="367" t="s">
        <v>19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8" t="s">
        <v>20</v>
      </c>
      <c r="O36" s="368"/>
    </row>
    <row r="37" spans="1:15" s="2" customFormat="1" ht="12.75" x14ac:dyDescent="0.2">
      <c r="A37" s="353"/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4"/>
      <c r="O37" s="354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69" t="s">
        <v>22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1"/>
    </row>
    <row r="40" spans="1:15" s="2" customFormat="1" x14ac:dyDescent="0.2">
      <c r="A40" s="369"/>
      <c r="B40" s="370"/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0"/>
      <c r="O40" s="371"/>
    </row>
    <row r="41" spans="1:15" s="2" customFormat="1" ht="12.75" x14ac:dyDescent="0.2">
      <c r="A41" s="348" t="s">
        <v>23</v>
      </c>
      <c r="B41" s="349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50"/>
    </row>
    <row r="42" spans="1:15" s="2" customFormat="1" ht="12.75" x14ac:dyDescent="0.2">
      <c r="A42" s="372" t="str">
        <f>"2. ENCARGOS SOCIAIS DA EQUIPE COM VÍNCULO = "&amp;TEXT('PFS_VIII Det_ Enc_ Soc_'!F50,"#,00%")&amp;" SOBRE O SALÁRIO MENSAL"</f>
        <v>2. ENCARGOS SOCIAIS DA EQUIPE COM VÍNCULO = 73,58% SOBRE O SALÁRIO MENSAL</v>
      </c>
      <c r="B42" s="373"/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M42" s="373"/>
      <c r="N42" s="373"/>
      <c r="O42" s="374"/>
    </row>
    <row r="43" spans="1:15" s="2" customFormat="1" ht="12.75" x14ac:dyDescent="0.2">
      <c r="A43" s="348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49"/>
      <c r="C43" s="349"/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  <c r="O43" s="350"/>
    </row>
    <row r="44" spans="1:15" s="2" customFormat="1" x14ac:dyDescent="0.2">
      <c r="A44" s="358" t="s">
        <v>108</v>
      </c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  <c r="O44" s="360"/>
    </row>
    <row r="45" spans="1:15" s="2" customFormat="1" x14ac:dyDescent="0.2">
      <c r="A45" s="358"/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  <c r="O45" s="360"/>
    </row>
    <row r="46" spans="1:15" ht="12.75" x14ac:dyDescent="0.2">
      <c r="A46" s="372" t="s">
        <v>150</v>
      </c>
      <c r="B46" s="373"/>
      <c r="C46" s="373"/>
      <c r="D46" s="373"/>
      <c r="E46" s="373"/>
      <c r="F46" s="373"/>
      <c r="G46" s="373"/>
      <c r="H46" s="373"/>
      <c r="I46" s="373"/>
      <c r="J46" s="373"/>
      <c r="K46" s="373"/>
      <c r="L46" s="373"/>
      <c r="M46" s="373"/>
      <c r="N46" s="373"/>
      <c r="O46" s="374"/>
    </row>
    <row r="47" spans="1:15" ht="12.75" x14ac:dyDescent="0.2">
      <c r="A47" s="372" t="s">
        <v>151</v>
      </c>
      <c r="B47" s="373"/>
      <c r="C47" s="373"/>
      <c r="D47" s="373"/>
      <c r="E47" s="373"/>
      <c r="F47" s="373"/>
      <c r="G47" s="373"/>
      <c r="H47" s="373"/>
      <c r="I47" s="373"/>
      <c r="J47" s="373"/>
      <c r="K47" s="373"/>
      <c r="L47" s="373"/>
      <c r="M47" s="373"/>
      <c r="N47" s="373"/>
      <c r="O47" s="374"/>
    </row>
    <row r="48" spans="1:15" ht="12.75" x14ac:dyDescent="0.2">
      <c r="A48" s="361" t="s">
        <v>152</v>
      </c>
      <c r="B48" s="362"/>
      <c r="C48" s="362"/>
      <c r="D48" s="362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3"/>
    </row>
    <row r="49" spans="1:15" ht="12.75" x14ac:dyDescent="0.2">
      <c r="A49" s="361" t="s">
        <v>153</v>
      </c>
      <c r="B49" s="362"/>
      <c r="C49" s="362"/>
      <c r="D49" s="362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3"/>
    </row>
    <row r="50" spans="1:15" ht="12.75" x14ac:dyDescent="0.2">
      <c r="A50" s="361" t="s">
        <v>154</v>
      </c>
      <c r="B50" s="362"/>
      <c r="C50" s="362"/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3"/>
    </row>
    <row r="51" spans="1:15" x14ac:dyDescent="0.2">
      <c r="A51" s="358" t="s">
        <v>155</v>
      </c>
      <c r="B51" s="359"/>
      <c r="C51" s="359"/>
      <c r="D51" s="359"/>
      <c r="E51" s="359"/>
      <c r="F51" s="359"/>
      <c r="G51" s="359"/>
      <c r="H51" s="359"/>
      <c r="I51" s="359"/>
      <c r="J51" s="359"/>
      <c r="K51" s="359"/>
      <c r="L51" s="359"/>
      <c r="M51" s="359"/>
      <c r="N51" s="359"/>
      <c r="O51" s="360"/>
    </row>
    <row r="52" spans="1:15" x14ac:dyDescent="0.2">
      <c r="A52" s="358"/>
      <c r="B52" s="359"/>
      <c r="C52" s="359"/>
      <c r="D52" s="359"/>
      <c r="E52" s="359"/>
      <c r="F52" s="359"/>
      <c r="G52" s="359"/>
      <c r="H52" s="359"/>
      <c r="I52" s="359"/>
      <c r="J52" s="359"/>
      <c r="K52" s="359"/>
      <c r="L52" s="359"/>
      <c r="M52" s="359"/>
      <c r="N52" s="359"/>
      <c r="O52" s="360"/>
    </row>
    <row r="53" spans="1:15" ht="41.25" customHeight="1" thickBot="1" x14ac:dyDescent="0.25">
      <c r="A53" s="355" t="s">
        <v>201</v>
      </c>
      <c r="B53" s="356"/>
      <c r="C53" s="356"/>
      <c r="D53" s="356"/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7"/>
    </row>
  </sheetData>
  <mergeCells count="62"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23:M23"/>
    <mergeCell ref="N23:O23"/>
    <mergeCell ref="A20:M20"/>
    <mergeCell ref="N20:O20"/>
    <mergeCell ref="A21:M21"/>
    <mergeCell ref="N21:O21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Normal="100" zoomScaleSheetLayoutView="100" workbookViewId="0">
      <selection activeCell="N13" sqref="N13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0" t="s">
        <v>0</v>
      </c>
      <c r="C1" s="640"/>
      <c r="D1" s="640"/>
      <c r="E1" s="640"/>
      <c r="F1" s="640"/>
    </row>
    <row r="2" spans="1:6" s="80" customFormat="1" ht="11.25" x14ac:dyDescent="0.2">
      <c r="A2" s="17"/>
      <c r="B2" s="641" t="s">
        <v>1</v>
      </c>
      <c r="C2" s="641"/>
      <c r="D2" s="641"/>
      <c r="E2" s="641"/>
      <c r="F2" s="641"/>
    </row>
    <row r="3" spans="1:6" s="80" customFormat="1" ht="11.25" x14ac:dyDescent="0.2">
      <c r="A3" s="17"/>
      <c r="B3" s="641" t="s">
        <v>145</v>
      </c>
      <c r="C3" s="641"/>
      <c r="D3" s="641"/>
      <c r="E3" s="641"/>
      <c r="F3" s="641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2" t="s">
        <v>230</v>
      </c>
      <c r="B5" s="642"/>
      <c r="C5" s="642"/>
      <c r="D5" s="642"/>
      <c r="E5" s="642"/>
      <c r="F5" s="642"/>
    </row>
    <row r="8" spans="1:6" ht="38.25" x14ac:dyDescent="0.2">
      <c r="A8" s="81" t="s">
        <v>119</v>
      </c>
      <c r="B8" s="83" t="s">
        <v>220</v>
      </c>
      <c r="C8" s="82" t="s">
        <v>221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222</v>
      </c>
      <c r="C9" s="74" t="s">
        <v>223</v>
      </c>
      <c r="D9" s="74">
        <f>F9/E9</f>
        <v>64.100000000000009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224</v>
      </c>
      <c r="C10" s="74" t="s">
        <v>225</v>
      </c>
      <c r="D10" s="74">
        <f t="shared" ref="D10:D12" si="0">F10/E10</f>
        <v>38.57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226</v>
      </c>
      <c r="C11" s="74" t="s">
        <v>227</v>
      </c>
      <c r="D11" s="74">
        <f t="shared" si="0"/>
        <v>13.969999999999999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228</v>
      </c>
      <c r="D12" s="74">
        <f t="shared" si="0"/>
        <v>10.61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D17" sqref="D17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4.5703125" style="9" bestFit="1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8" t="s">
        <v>0</v>
      </c>
      <c r="C1" s="388"/>
      <c r="D1" s="388"/>
      <c r="E1" s="388"/>
      <c r="F1" s="388"/>
      <c r="G1" s="388"/>
      <c r="H1" s="388"/>
      <c r="I1" s="388"/>
    </row>
    <row r="2" spans="1:9" s="274" customFormat="1" x14ac:dyDescent="0.2">
      <c r="A2" s="7"/>
      <c r="B2" s="389" t="s">
        <v>1</v>
      </c>
      <c r="C2" s="389"/>
      <c r="D2" s="389"/>
      <c r="E2" s="389"/>
      <c r="F2" s="389"/>
      <c r="G2" s="389"/>
      <c r="H2" s="389"/>
      <c r="I2" s="389"/>
    </row>
    <row r="3" spans="1:9" s="274" customFormat="1" x14ac:dyDescent="0.2">
      <c r="A3" s="7"/>
      <c r="B3" s="390" t="s">
        <v>145</v>
      </c>
      <c r="C3" s="390"/>
      <c r="D3" s="390"/>
      <c r="E3" s="390"/>
      <c r="F3" s="390"/>
      <c r="G3" s="390"/>
      <c r="H3" s="390"/>
      <c r="I3" s="390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5" t="s">
        <v>24</v>
      </c>
      <c r="B5" s="376"/>
      <c r="C5" s="376"/>
      <c r="D5" s="376"/>
      <c r="E5" s="376"/>
      <c r="F5" s="376"/>
      <c r="G5" s="376"/>
      <c r="H5" s="377"/>
      <c r="I5" s="172" t="s">
        <v>3</v>
      </c>
    </row>
    <row r="6" spans="1:9" s="274" customFormat="1" ht="18.75" thickTop="1" x14ac:dyDescent="0.2">
      <c r="A6" s="378"/>
      <c r="B6" s="379"/>
      <c r="C6" s="379"/>
      <c r="D6" s="379"/>
      <c r="E6" s="379"/>
      <c r="F6" s="379"/>
      <c r="G6" s="379"/>
      <c r="H6" s="380"/>
      <c r="I6" s="173" t="s">
        <v>25</v>
      </c>
    </row>
    <row r="7" spans="1:9" s="274" customFormat="1" ht="12.75" x14ac:dyDescent="0.2">
      <c r="A7" s="381" t="s">
        <v>5</v>
      </c>
      <c r="B7" s="381"/>
      <c r="C7" s="381"/>
      <c r="D7" s="381"/>
      <c r="E7" s="381"/>
      <c r="F7" s="381"/>
      <c r="G7" s="381"/>
      <c r="H7" s="381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2" t="str">
        <f>PFS!A9</f>
        <v>OBJETO: ELABORAÇÃO DE PROJETOS EXECUTIVOS, PARA CONSTRUÇÃO DE BARREIROS DE ACUMULAÇÃO: LOTE 02 - 56 BARREIROS NOS MUNICIPIOS DE PORTO DA FOLHA E GARARU</v>
      </c>
      <c r="B9" s="383"/>
      <c r="C9" s="383"/>
      <c r="D9" s="383"/>
      <c r="E9" s="383"/>
      <c r="F9" s="383"/>
      <c r="G9" s="383"/>
      <c r="H9" s="384"/>
      <c r="I9" s="215" t="s">
        <v>6</v>
      </c>
    </row>
    <row r="10" spans="1:9" s="274" customFormat="1" ht="12.75" x14ac:dyDescent="0.2">
      <c r="A10" s="385"/>
      <c r="B10" s="386"/>
      <c r="C10" s="386"/>
      <c r="D10" s="386"/>
      <c r="E10" s="386"/>
      <c r="F10" s="386"/>
      <c r="G10" s="386"/>
      <c r="H10" s="387"/>
      <c r="I10" s="216"/>
    </row>
    <row r="11" spans="1:9" s="24" customFormat="1" ht="38.25" x14ac:dyDescent="0.2">
      <c r="A11" s="217" t="s">
        <v>26</v>
      </c>
      <c r="B11" s="218" t="s">
        <v>229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216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6" t="s">
        <v>223</v>
      </c>
      <c r="C13" s="303">
        <v>0.25</v>
      </c>
      <c r="D13" s="230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7"/>
      <c r="C14" s="304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1"/>
      <c r="C15" s="305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217</v>
      </c>
      <c r="B16" s="301"/>
      <c r="C16" s="305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6" t="s">
        <v>228</v>
      </c>
      <c r="C17" s="305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6" t="s">
        <v>227</v>
      </c>
      <c r="C18" s="305">
        <v>4</v>
      </c>
      <c r="D18" s="230">
        <f>SALARIOS!F11</f>
        <v>2458.7199999999998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6" t="s">
        <v>225</v>
      </c>
      <c r="C19" s="305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6" t="s">
        <v>223</v>
      </c>
      <c r="C20" s="305">
        <v>2</v>
      </c>
      <c r="D20" s="230">
        <f>SALARIOS!F9</f>
        <v>11281.6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1"/>
      <c r="C21" s="305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171</v>
      </c>
      <c r="B22" s="301"/>
      <c r="C22" s="305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6" t="s">
        <v>228</v>
      </c>
      <c r="C23" s="305">
        <v>1.6</v>
      </c>
      <c r="D23" s="230">
        <f>SALARIOS!F12</f>
        <v>1867.36</v>
      </c>
      <c r="E23" s="230">
        <f t="shared" ref="E23:E26" si="4">ROUND(C23*D23,2)</f>
        <v>2987.78</v>
      </c>
      <c r="F23" s="231" t="s">
        <v>28</v>
      </c>
      <c r="G23" s="232">
        <f t="shared" ref="G23:G26" si="5">ROUND((C23*D23*I23),2)</f>
        <v>2198.41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6" t="s">
        <v>227</v>
      </c>
      <c r="C24" s="305">
        <v>0.8</v>
      </c>
      <c r="D24" s="230">
        <f>SALARIOS!F11</f>
        <v>2458.7199999999998</v>
      </c>
      <c r="E24" s="230">
        <f t="shared" si="4"/>
        <v>1966.98</v>
      </c>
      <c r="F24" s="231" t="s">
        <v>28</v>
      </c>
      <c r="G24" s="232">
        <f t="shared" si="5"/>
        <v>1447.3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6" t="s">
        <v>225</v>
      </c>
      <c r="C25" s="305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6" t="s">
        <v>223</v>
      </c>
      <c r="C26" s="305">
        <v>0.25</v>
      </c>
      <c r="D26" s="230">
        <f>SALARIOS!F9</f>
        <v>11281.6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65736.800000000003</v>
      </c>
      <c r="F28" s="244">
        <f>SUM(F14:F27)</f>
        <v>0</v>
      </c>
      <c r="G28" s="245">
        <f>ROUND((SUM(G13:G27)),2)</f>
        <v>48369.120000000003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A16" sqref="A16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391" t="s">
        <v>33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3"/>
      <c r="M6" s="397" t="s">
        <v>3</v>
      </c>
      <c r="N6" s="398"/>
    </row>
    <row r="7" spans="1:14" ht="18" x14ac:dyDescent="0.2">
      <c r="A7" s="394"/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6"/>
      <c r="M7" s="399" t="s">
        <v>34</v>
      </c>
      <c r="N7" s="400"/>
    </row>
    <row r="8" spans="1:14" ht="12.75" x14ac:dyDescent="0.2">
      <c r="A8" s="401" t="s">
        <v>5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03" t="str">
        <f>PFS!A9</f>
        <v>OBJETO: ELABORAÇÃO DE PROJETOS EXECUTIVOS, PARA CONSTRUÇÃO DE BARREIROS DE ACUMULAÇÃO: LOTE 02 - 56 BARREIROS NOS MUNICIPIOS DE PORTO DA FOLHA E GARARU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4"/>
      <c r="M10" s="250" t="s">
        <v>6</v>
      </c>
      <c r="N10" s="251"/>
    </row>
    <row r="11" spans="1:14" ht="12.75" x14ac:dyDescent="0.2">
      <c r="A11" s="405"/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6"/>
      <c r="M11" s="248"/>
      <c r="N11" s="252"/>
    </row>
    <row r="12" spans="1:14" ht="12.75" x14ac:dyDescent="0.2">
      <c r="A12" s="410" t="s">
        <v>35</v>
      </c>
      <c r="B12" s="411"/>
      <c r="C12" s="418" t="s">
        <v>113</v>
      </c>
      <c r="D12" s="418"/>
      <c r="E12" s="418"/>
      <c r="F12" s="418"/>
      <c r="G12" s="418"/>
      <c r="H12" s="419"/>
      <c r="I12" s="417" t="s">
        <v>114</v>
      </c>
      <c r="J12" s="418"/>
      <c r="K12" s="418"/>
      <c r="L12" s="418"/>
      <c r="M12" s="418"/>
      <c r="N12" s="418"/>
    </row>
    <row r="13" spans="1:14" ht="12.75" x14ac:dyDescent="0.2">
      <c r="A13" s="412"/>
      <c r="B13" s="413"/>
      <c r="C13" s="402" t="s">
        <v>36</v>
      </c>
      <c r="D13" s="402"/>
      <c r="E13" s="402"/>
      <c r="F13" s="402" t="s">
        <v>37</v>
      </c>
      <c r="G13" s="402"/>
      <c r="H13" s="427"/>
      <c r="I13" s="407" t="s">
        <v>36</v>
      </c>
      <c r="J13" s="402"/>
      <c r="K13" s="402"/>
      <c r="L13" s="402" t="s">
        <v>37</v>
      </c>
      <c r="M13" s="402"/>
      <c r="N13" s="408"/>
    </row>
    <row r="14" spans="1:14" ht="12.75" x14ac:dyDescent="0.2">
      <c r="A14" s="412"/>
      <c r="B14" s="413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20" t="s">
        <v>218</v>
      </c>
      <c r="B15" s="421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214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22" t="s">
        <v>41</v>
      </c>
      <c r="B21" s="423"/>
      <c r="C21" s="424">
        <f>SUM(E15:E20)</f>
        <v>3600</v>
      </c>
      <c r="D21" s="424"/>
      <c r="E21" s="425"/>
      <c r="F21" s="426">
        <f>SUM(H15:H20)</f>
        <v>0</v>
      </c>
      <c r="G21" s="424"/>
      <c r="H21" s="425"/>
      <c r="I21" s="416">
        <f>SUM(K15:K20)</f>
        <v>3600</v>
      </c>
      <c r="J21" s="416"/>
      <c r="K21" s="416"/>
      <c r="L21" s="416">
        <f>SUM(N15:N20)</f>
        <v>0</v>
      </c>
      <c r="M21" s="416"/>
      <c r="N21" s="428"/>
    </row>
    <row r="22" spans="1:14" ht="12.75" x14ac:dyDescent="0.2">
      <c r="A22" s="414" t="s">
        <v>42</v>
      </c>
      <c r="B22" s="414"/>
      <c r="C22" s="415"/>
      <c r="D22" s="415"/>
      <c r="E22" s="415"/>
      <c r="F22" s="415"/>
      <c r="G22" s="415"/>
      <c r="H22" s="415"/>
      <c r="I22" s="415"/>
      <c r="J22" s="415"/>
      <c r="K22" s="415"/>
      <c r="L22" s="409">
        <f>C21+F21+I21+L21</f>
        <v>7200</v>
      </c>
      <c r="M22" s="409"/>
      <c r="N22" s="409"/>
    </row>
  </sheetData>
  <mergeCells count="20"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  <mergeCell ref="A6:L7"/>
    <mergeCell ref="M6:N6"/>
    <mergeCell ref="M7:N7"/>
    <mergeCell ref="A8:N8"/>
    <mergeCell ref="C13:E13"/>
    <mergeCell ref="A10:L11"/>
    <mergeCell ref="I13:K13"/>
    <mergeCell ref="L13:N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8" t="s">
        <v>43</v>
      </c>
      <c r="B5" s="439"/>
      <c r="C5" s="439"/>
      <c r="D5" s="439"/>
      <c r="E5" s="439"/>
      <c r="F5" s="440"/>
      <c r="G5" s="172" t="s">
        <v>3</v>
      </c>
    </row>
    <row r="6" spans="1:7" ht="18.75" thickTop="1" x14ac:dyDescent="0.2">
      <c r="A6" s="441"/>
      <c r="B6" s="442"/>
      <c r="C6" s="442"/>
      <c r="D6" s="442"/>
      <c r="E6" s="442"/>
      <c r="F6" s="443"/>
      <c r="G6" s="173" t="s">
        <v>44</v>
      </c>
    </row>
    <row r="7" spans="1:7" ht="12.75" x14ac:dyDescent="0.2">
      <c r="A7" s="444" t="s">
        <v>5</v>
      </c>
      <c r="B7" s="445"/>
      <c r="C7" s="445"/>
      <c r="D7" s="445"/>
      <c r="E7" s="445"/>
      <c r="F7" s="445"/>
      <c r="G7" s="446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1" t="str">
        <f>PFS!A9</f>
        <v>OBJETO: ELABORAÇÃO DE PROJETOS EXECUTIVOS, PARA CONSTRUÇÃO DE BARREIROS DE ACUMULAÇÃO: LOTE 02 - 56 BARREIROS NOS MUNICIPIOS DE PORTO DA FOLHA E GARARU</v>
      </c>
      <c r="B9" s="452"/>
      <c r="C9" s="452"/>
      <c r="D9" s="452"/>
      <c r="E9" s="452"/>
      <c r="F9" s="453"/>
      <c r="G9" s="140" t="s">
        <v>6</v>
      </c>
    </row>
    <row r="10" spans="1:7" ht="12.75" x14ac:dyDescent="0.2">
      <c r="A10" s="454"/>
      <c r="B10" s="455"/>
      <c r="C10" s="455"/>
      <c r="D10" s="455"/>
      <c r="E10" s="455"/>
      <c r="F10" s="456"/>
      <c r="G10" s="175"/>
    </row>
    <row r="11" spans="1:7" ht="12.75" x14ac:dyDescent="0.2">
      <c r="A11" s="457"/>
      <c r="B11" s="458"/>
      <c r="C11" s="458"/>
      <c r="D11" s="458"/>
      <c r="E11" s="458"/>
      <c r="F11" s="459"/>
      <c r="G11" s="141"/>
    </row>
    <row r="12" spans="1:7" ht="12.75" x14ac:dyDescent="0.2">
      <c r="A12" s="447" t="s">
        <v>45</v>
      </c>
      <c r="B12" s="448"/>
      <c r="C12" s="448"/>
      <c r="D12" s="142" t="s">
        <v>156</v>
      </c>
      <c r="E12" s="143" t="s">
        <v>46</v>
      </c>
      <c r="F12" s="449" t="s">
        <v>47</v>
      </c>
      <c r="G12" s="450"/>
    </row>
    <row r="13" spans="1:7" ht="12.75" x14ac:dyDescent="0.2">
      <c r="A13" s="447"/>
      <c r="B13" s="448"/>
      <c r="C13" s="448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5" t="s">
        <v>169</v>
      </c>
      <c r="B14" s="436"/>
      <c r="C14" s="437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1*56</f>
        <v>56</v>
      </c>
      <c r="E15" s="151">
        <v>1</v>
      </c>
      <c r="F15" s="152">
        <v>0.5</v>
      </c>
      <c r="G15" s="153">
        <f>F15*E15*D15</f>
        <v>28</v>
      </c>
    </row>
    <row r="16" spans="1:7" ht="12.75" x14ac:dyDescent="0.2">
      <c r="A16" s="154" t="s">
        <v>138</v>
      </c>
      <c r="B16" s="288"/>
      <c r="C16" s="161"/>
      <c r="D16" s="157">
        <f>56</f>
        <v>56</v>
      </c>
      <c r="E16" s="158">
        <v>1</v>
      </c>
      <c r="F16" s="160">
        <v>8.75</v>
      </c>
      <c r="G16" s="153">
        <f t="shared" ref="G16" si="0">F16*E16*D16</f>
        <v>490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170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60*56</f>
        <v>3360</v>
      </c>
      <c r="E19" s="158">
        <v>1</v>
      </c>
      <c r="F19" s="152">
        <v>0.5</v>
      </c>
      <c r="G19" s="153">
        <f t="shared" ref="G19:G20" si="1">F19*E19*D19</f>
        <v>1680</v>
      </c>
    </row>
    <row r="20" spans="1:7" ht="12.75" x14ac:dyDescent="0.2">
      <c r="A20" s="154" t="s">
        <v>138</v>
      </c>
      <c r="B20" s="288"/>
      <c r="C20" s="161"/>
      <c r="D20" s="157">
        <f>3*56</f>
        <v>168</v>
      </c>
      <c r="E20" s="158">
        <v>1</v>
      </c>
      <c r="F20" s="160">
        <v>8.75</v>
      </c>
      <c r="G20" s="153">
        <f t="shared" si="1"/>
        <v>1470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171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3360</v>
      </c>
      <c r="E23" s="158">
        <v>3</v>
      </c>
      <c r="F23" s="160">
        <v>0.5</v>
      </c>
      <c r="G23" s="153">
        <f t="shared" ref="G23:G25" si="2">F23*E23*D23</f>
        <v>5040</v>
      </c>
    </row>
    <row r="24" spans="1:7" ht="12.75" x14ac:dyDescent="0.2">
      <c r="A24" s="154" t="s">
        <v>138</v>
      </c>
      <c r="B24" s="43"/>
      <c r="C24" s="161"/>
      <c r="D24" s="157">
        <f>5*56</f>
        <v>280</v>
      </c>
      <c r="E24" s="158">
        <v>3</v>
      </c>
      <c r="F24" s="160">
        <v>8.75</v>
      </c>
      <c r="G24" s="153">
        <f t="shared" si="2"/>
        <v>7350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1" t="s">
        <v>51</v>
      </c>
      <c r="B27" s="432"/>
      <c r="C27" s="432"/>
      <c r="D27" s="432"/>
      <c r="E27" s="432"/>
      <c r="F27" s="432"/>
      <c r="G27" s="168">
        <f>SUM(G14:G26)</f>
        <v>16059.8</v>
      </c>
    </row>
    <row r="28" spans="1:7" ht="12.75" x14ac:dyDescent="0.2">
      <c r="A28" s="433"/>
      <c r="B28" s="434"/>
      <c r="C28" s="434"/>
      <c r="D28" s="434"/>
      <c r="E28" s="434"/>
      <c r="F28" s="434"/>
      <c r="G28" s="169"/>
    </row>
    <row r="29" spans="1:7" ht="12.75" x14ac:dyDescent="0.2">
      <c r="A29" s="429" t="s">
        <v>52</v>
      </c>
      <c r="B29" s="430"/>
      <c r="C29" s="430"/>
      <c r="D29" s="430"/>
      <c r="E29" s="430"/>
      <c r="F29" s="430"/>
      <c r="G29" s="174">
        <f>G27+G28</f>
        <v>16059.8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J15" sqref="J15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60" t="s">
        <v>53</v>
      </c>
      <c r="B5" s="460"/>
      <c r="C5" s="460"/>
      <c r="D5" s="460"/>
      <c r="E5" s="460"/>
      <c r="F5" s="460"/>
      <c r="G5" s="460"/>
      <c r="H5" s="461"/>
      <c r="I5" s="188" t="s">
        <v>3</v>
      </c>
    </row>
    <row r="6" spans="1:14" ht="18" x14ac:dyDescent="0.2">
      <c r="A6" s="460"/>
      <c r="B6" s="460"/>
      <c r="C6" s="460"/>
      <c r="D6" s="460"/>
      <c r="E6" s="460"/>
      <c r="F6" s="460"/>
      <c r="G6" s="460"/>
      <c r="H6" s="461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0" t="str">
        <f>PFS!A9</f>
        <v>OBJETO: ELABORAÇÃO DE PROJETOS EXECUTIVOS, PARA CONSTRUÇÃO DE BARREIROS DE ACUMULAÇÃO: LOTE 02 - 56 BARREIROS NOS MUNICIPIOS DE PORTO DA FOLHA E GARARU</v>
      </c>
      <c r="B9" s="471"/>
      <c r="C9" s="471"/>
      <c r="D9" s="471"/>
      <c r="E9" s="471"/>
      <c r="F9" s="471"/>
      <c r="G9" s="471"/>
      <c r="H9" s="472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3"/>
      <c r="B10" s="474"/>
      <c r="C10" s="474"/>
      <c r="D10" s="474"/>
      <c r="E10" s="474"/>
      <c r="F10" s="474"/>
      <c r="G10" s="474"/>
      <c r="H10" s="475"/>
      <c r="I10" s="285"/>
      <c r="J10" s="92"/>
      <c r="K10" s="93"/>
      <c r="L10" s="92"/>
      <c r="M10" s="92"/>
      <c r="N10" s="92"/>
    </row>
    <row r="11" spans="1:14" ht="12.75" x14ac:dyDescent="0.2">
      <c r="A11" s="476"/>
      <c r="B11" s="477"/>
      <c r="C11" s="477"/>
      <c r="D11" s="477"/>
      <c r="E11" s="477"/>
      <c r="F11" s="477"/>
      <c r="G11" s="477"/>
      <c r="H11" s="478"/>
      <c r="I11" s="187"/>
      <c r="J11" s="92"/>
      <c r="K11" s="93"/>
      <c r="L11" s="92"/>
      <c r="M11" s="92"/>
      <c r="N11" s="92"/>
    </row>
    <row r="12" spans="1:14" ht="13.5" thickBot="1" x14ac:dyDescent="0.25">
      <c r="A12" s="462" t="s">
        <v>55</v>
      </c>
      <c r="B12" s="464" t="s">
        <v>45</v>
      </c>
      <c r="C12" s="464"/>
      <c r="D12" s="464"/>
      <c r="E12" s="464"/>
      <c r="F12" s="466" t="s">
        <v>56</v>
      </c>
      <c r="G12" s="94" t="s">
        <v>38</v>
      </c>
      <c r="H12" s="466" t="s">
        <v>47</v>
      </c>
      <c r="I12" s="466"/>
      <c r="J12" s="92"/>
      <c r="K12" s="93"/>
      <c r="L12" s="92"/>
      <c r="M12" s="92"/>
      <c r="N12" s="92"/>
    </row>
    <row r="13" spans="1:14" ht="13.5" thickTop="1" x14ac:dyDescent="0.2">
      <c r="A13" s="463"/>
      <c r="B13" s="465"/>
      <c r="C13" s="465"/>
      <c r="D13" s="465"/>
      <c r="E13" s="465"/>
      <c r="F13" s="466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219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7" t="s">
        <v>161</v>
      </c>
      <c r="C15" s="468"/>
      <c r="D15" s="468"/>
      <c r="E15" s="469"/>
      <c r="F15" s="102" t="s">
        <v>160</v>
      </c>
      <c r="G15" s="103">
        <f>56*2*6</f>
        <v>672</v>
      </c>
      <c r="H15" s="104">
        <v>41.73</v>
      </c>
      <c r="I15" s="105">
        <f>ROUND(G15*H15,2)</f>
        <v>28042.560000000001</v>
      </c>
      <c r="J15" s="92"/>
      <c r="K15" s="92"/>
      <c r="L15" s="92"/>
      <c r="M15" s="92"/>
      <c r="N15" s="92"/>
    </row>
    <row r="16" spans="1:14" ht="12.75" x14ac:dyDescent="0.2">
      <c r="A16" s="106"/>
      <c r="B16" s="467" t="s">
        <v>195</v>
      </c>
      <c r="C16" s="468"/>
      <c r="D16" s="468"/>
      <c r="E16" s="469"/>
      <c r="F16" s="102" t="s">
        <v>196</v>
      </c>
      <c r="G16" s="103">
        <f>56*(250+100+(40*10))/1000</f>
        <v>42</v>
      </c>
      <c r="H16" s="104">
        <v>547.59</v>
      </c>
      <c r="I16" s="105">
        <f>ROUND(G16*H16,2)</f>
        <v>22998.78</v>
      </c>
      <c r="J16" s="92"/>
      <c r="K16" s="92"/>
      <c r="L16" s="92"/>
      <c r="M16" s="92"/>
      <c r="N16" s="92"/>
    </row>
    <row r="17" spans="1:14" ht="12.75" x14ac:dyDescent="0.2">
      <c r="A17" s="101"/>
      <c r="B17" s="467" t="s">
        <v>190</v>
      </c>
      <c r="C17" s="468"/>
      <c r="D17" s="468"/>
      <c r="E17" s="469"/>
      <c r="F17" s="102" t="s">
        <v>191</v>
      </c>
      <c r="G17" s="103">
        <f>56*3.5</f>
        <v>196</v>
      </c>
      <c r="H17" s="104">
        <v>797.11</v>
      </c>
      <c r="I17" s="105">
        <f>ROUND(G17*H17,2)</f>
        <v>156233.56</v>
      </c>
      <c r="J17" s="92"/>
      <c r="K17" s="92"/>
      <c r="L17" s="92"/>
      <c r="M17" s="92"/>
      <c r="N17" s="92"/>
    </row>
    <row r="18" spans="1:14" ht="12.75" x14ac:dyDescent="0.2">
      <c r="A18" s="298"/>
      <c r="B18" s="467" t="s">
        <v>192</v>
      </c>
      <c r="C18" s="468"/>
      <c r="D18" s="468"/>
      <c r="E18" s="469"/>
      <c r="F18" s="102" t="s">
        <v>144</v>
      </c>
      <c r="G18" s="110">
        <f>56</f>
        <v>56</v>
      </c>
      <c r="H18" s="105">
        <v>485.28</v>
      </c>
      <c r="I18" s="105">
        <f t="shared" ref="I18:I20" si="0">ROUND(G18*H18,2)</f>
        <v>27175.68</v>
      </c>
      <c r="J18" s="92"/>
      <c r="K18" s="93"/>
      <c r="L18" s="92"/>
      <c r="M18" s="92"/>
      <c r="N18" s="92"/>
    </row>
    <row r="19" spans="1:14" ht="12.75" x14ac:dyDescent="0.2">
      <c r="A19" s="101"/>
      <c r="B19" s="479" t="s">
        <v>194</v>
      </c>
      <c r="C19" s="480"/>
      <c r="D19" s="480"/>
      <c r="E19" s="481"/>
      <c r="F19" s="109" t="s">
        <v>144</v>
      </c>
      <c r="G19" s="110">
        <f>56*5</f>
        <v>280</v>
      </c>
      <c r="H19" s="105">
        <v>2</v>
      </c>
      <c r="I19" s="105">
        <f t="shared" ref="I19" si="1">ROUND(G19*H19,2)</f>
        <v>560</v>
      </c>
      <c r="J19" s="92"/>
    </row>
    <row r="20" spans="1:14" ht="12.75" x14ac:dyDescent="0.2">
      <c r="A20" s="299"/>
      <c r="B20" s="479" t="s">
        <v>193</v>
      </c>
      <c r="C20" s="480"/>
      <c r="D20" s="480"/>
      <c r="E20" s="481"/>
      <c r="F20" s="109" t="s">
        <v>144</v>
      </c>
      <c r="G20" s="110">
        <f>56*3</f>
        <v>168</v>
      </c>
      <c r="H20" s="105">
        <v>35.28</v>
      </c>
      <c r="I20" s="105">
        <f t="shared" si="0"/>
        <v>5927.04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82" t="s">
        <v>57</v>
      </c>
      <c r="C22" s="482"/>
      <c r="D22" s="482"/>
      <c r="E22" s="482"/>
      <c r="F22" s="482"/>
      <c r="G22" s="482"/>
      <c r="H22" s="482"/>
      <c r="I22" s="181">
        <f>SUM(I15:I21)</f>
        <v>240937.62</v>
      </c>
      <c r="J22" s="92"/>
    </row>
  </sheetData>
  <mergeCells count="13">
    <mergeCell ref="B19:E19"/>
    <mergeCell ref="B16:E16"/>
    <mergeCell ref="B20:E20"/>
    <mergeCell ref="H12:I12"/>
    <mergeCell ref="B22:H22"/>
    <mergeCell ref="A5:H6"/>
    <mergeCell ref="A12:A13"/>
    <mergeCell ref="B12:E13"/>
    <mergeCell ref="F12:F13"/>
    <mergeCell ref="B18:E18"/>
    <mergeCell ref="A9:H11"/>
    <mergeCell ref="B17:E17"/>
    <mergeCell ref="B15:E1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opLeftCell="B10" zoomScale="140" zoomScaleNormal="140" zoomScaleSheetLayoutView="100" workbookViewId="0">
      <selection activeCell="G26" sqref="G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483" t="s">
        <v>58</v>
      </c>
      <c r="B5" s="483"/>
      <c r="C5" s="483"/>
      <c r="D5" s="483"/>
      <c r="E5" s="483"/>
      <c r="F5" s="484"/>
      <c r="G5" s="25" t="s">
        <v>3</v>
      </c>
    </row>
    <row r="6" spans="1:7" s="15" customFormat="1" ht="18" x14ac:dyDescent="0.2">
      <c r="A6" s="483"/>
      <c r="B6" s="483"/>
      <c r="C6" s="483"/>
      <c r="D6" s="483"/>
      <c r="E6" s="483"/>
      <c r="F6" s="484"/>
      <c r="G6" s="26" t="s">
        <v>59</v>
      </c>
    </row>
    <row r="7" spans="1:7" s="15" customFormat="1" ht="12.75" x14ac:dyDescent="0.2">
      <c r="A7" s="485" t="s">
        <v>5</v>
      </c>
      <c r="B7" s="485"/>
      <c r="C7" s="485"/>
      <c r="D7" s="485"/>
      <c r="E7" s="485"/>
      <c r="F7" s="485"/>
      <c r="G7" s="485"/>
    </row>
    <row r="8" spans="1:7" s="15" customFormat="1" ht="12.75" x14ac:dyDescent="0.2">
      <c r="A8" s="485" t="s">
        <v>60</v>
      </c>
      <c r="B8" s="485"/>
      <c r="C8" s="485"/>
      <c r="D8" s="485"/>
      <c r="E8" s="485"/>
      <c r="F8" s="485"/>
      <c r="G8" s="485"/>
    </row>
    <row r="9" spans="1:7" s="15" customFormat="1" ht="12.75" x14ac:dyDescent="0.2">
      <c r="A9" s="487" t="str">
        <f>PFS!A9</f>
        <v>OBJETO: ELABORAÇÃO DE PROJETOS EXECUTIVOS, PARA CONSTRUÇÃO DE BARREIROS DE ACUMULAÇÃO: LOTE 02 - 56 BARREIROS NOS MUNICIPIOS DE PORTO DA FOLHA E GARARU</v>
      </c>
      <c r="B9" s="487"/>
      <c r="C9" s="487"/>
      <c r="D9" s="487"/>
      <c r="E9" s="487"/>
      <c r="F9" s="487"/>
      <c r="G9" s="180" t="s">
        <v>6</v>
      </c>
    </row>
    <row r="10" spans="1:7" s="15" customFormat="1" x14ac:dyDescent="0.2">
      <c r="A10" s="487"/>
      <c r="B10" s="487"/>
      <c r="C10" s="487"/>
      <c r="D10" s="487"/>
      <c r="E10" s="487"/>
      <c r="F10" s="487"/>
      <c r="G10" s="499"/>
    </row>
    <row r="11" spans="1:7" s="15" customFormat="1" x14ac:dyDescent="0.2">
      <c r="A11" s="487"/>
      <c r="B11" s="487"/>
      <c r="C11" s="487"/>
      <c r="D11" s="487"/>
      <c r="E11" s="487"/>
      <c r="F11" s="487"/>
      <c r="G11" s="499"/>
    </row>
    <row r="12" spans="1:7" s="15" customFormat="1" x14ac:dyDescent="0.2">
      <c r="A12" s="487"/>
      <c r="B12" s="487"/>
      <c r="C12" s="487"/>
      <c r="D12" s="487"/>
      <c r="E12" s="487"/>
      <c r="F12" s="487"/>
      <c r="G12" s="500"/>
    </row>
    <row r="13" spans="1:7" s="15" customFormat="1" ht="25.5" x14ac:dyDescent="0.2">
      <c r="A13" s="176" t="s">
        <v>61</v>
      </c>
      <c r="B13" s="176" t="s">
        <v>141</v>
      </c>
      <c r="C13" s="486" t="s">
        <v>142</v>
      </c>
      <c r="D13" s="486"/>
      <c r="E13" s="486"/>
      <c r="F13" s="178" t="s">
        <v>184</v>
      </c>
      <c r="G13" s="179" t="s">
        <v>158</v>
      </c>
    </row>
    <row r="14" spans="1:7" ht="12.75" x14ac:dyDescent="0.2">
      <c r="A14" s="289">
        <v>1</v>
      </c>
      <c r="B14" s="293" t="s">
        <v>173</v>
      </c>
      <c r="C14" s="519" t="s">
        <v>172</v>
      </c>
      <c r="D14" s="520"/>
      <c r="E14" s="521"/>
      <c r="F14" s="290">
        <v>14</v>
      </c>
      <c r="G14" s="291">
        <f>'PFS_IV Serv. top e Geo'!$I$15*(F14/$F$26)</f>
        <v>7010.64</v>
      </c>
    </row>
    <row r="15" spans="1:7" ht="12.75" x14ac:dyDescent="0.2">
      <c r="A15" s="491">
        <v>2</v>
      </c>
      <c r="B15" s="294" t="s">
        <v>174</v>
      </c>
      <c r="C15" s="501" t="s">
        <v>165</v>
      </c>
      <c r="D15" s="502"/>
      <c r="E15" s="503"/>
      <c r="F15" s="117">
        <v>14</v>
      </c>
      <c r="G15" s="496">
        <f>(PFS!$N$32-'PFS_IV Serv. top e Geo'!$I$15)/2*((F15)/$F$26)+'PFS_IV Serv. top e Geo'!$I$15*(F16/$F$26)</f>
        <v>58284.315124999994</v>
      </c>
    </row>
    <row r="16" spans="1:7" ht="12.75" x14ac:dyDescent="0.2">
      <c r="A16" s="493"/>
      <c r="B16" s="293" t="s">
        <v>176</v>
      </c>
      <c r="C16" s="504"/>
      <c r="D16" s="505"/>
      <c r="E16" s="506"/>
      <c r="F16" s="117">
        <v>14</v>
      </c>
      <c r="G16" s="498"/>
    </row>
    <row r="17" spans="1:7" ht="12.75" x14ac:dyDescent="0.2">
      <c r="A17" s="494">
        <v>3</v>
      </c>
      <c r="B17" s="295" t="s">
        <v>186</v>
      </c>
      <c r="C17" s="507" t="s">
        <v>175</v>
      </c>
      <c r="D17" s="508"/>
      <c r="E17" s="509"/>
      <c r="F17" s="290">
        <v>14</v>
      </c>
      <c r="G17" s="522">
        <f>(PFS!$N$32-'PFS_IV Serv. top e Geo'!$I$15)/2*((F17+F18)/$F$26)+'PFS_IV Serv. top e Geo'!$I$15*(F19/$F$26)</f>
        <v>109557.99024999999</v>
      </c>
    </row>
    <row r="18" spans="1:7" ht="12.75" x14ac:dyDescent="0.2">
      <c r="A18" s="524"/>
      <c r="B18" s="294" t="s">
        <v>177</v>
      </c>
      <c r="C18" s="510"/>
      <c r="D18" s="511"/>
      <c r="E18" s="512"/>
      <c r="F18" s="290">
        <v>14</v>
      </c>
      <c r="G18" s="525"/>
    </row>
    <row r="19" spans="1:7" ht="12.75" x14ac:dyDescent="0.2">
      <c r="A19" s="495"/>
      <c r="B19" s="293" t="s">
        <v>178</v>
      </c>
      <c r="C19" s="513"/>
      <c r="D19" s="514"/>
      <c r="E19" s="515"/>
      <c r="F19" s="290">
        <v>14</v>
      </c>
      <c r="G19" s="523"/>
    </row>
    <row r="20" spans="1:7" ht="12.75" x14ac:dyDescent="0.2">
      <c r="A20" s="491">
        <v>4</v>
      </c>
      <c r="B20" s="295" t="s">
        <v>187</v>
      </c>
      <c r="C20" s="501" t="s">
        <v>168</v>
      </c>
      <c r="D20" s="502"/>
      <c r="E20" s="503"/>
      <c r="F20" s="117">
        <v>14</v>
      </c>
      <c r="G20" s="496">
        <f>(PFS!$N$32-'PFS_IV Serv. top e Geo'!$I$15)/2*((F20+F21)/$F$26)+'PFS_IV Serv. top e Geo'!$I$15*(F22/$F$26)</f>
        <v>109557.99024999999</v>
      </c>
    </row>
    <row r="21" spans="1:7" ht="12.75" x14ac:dyDescent="0.2">
      <c r="A21" s="492"/>
      <c r="B21" s="294" t="s">
        <v>179</v>
      </c>
      <c r="C21" s="516"/>
      <c r="D21" s="517"/>
      <c r="E21" s="518"/>
      <c r="F21" s="117">
        <v>14</v>
      </c>
      <c r="G21" s="497"/>
    </row>
    <row r="22" spans="1:7" ht="12.75" x14ac:dyDescent="0.2">
      <c r="A22" s="493"/>
      <c r="B22" s="293" t="s">
        <v>181</v>
      </c>
      <c r="C22" s="504"/>
      <c r="D22" s="505"/>
      <c r="E22" s="506"/>
      <c r="F22" s="117">
        <v>14</v>
      </c>
      <c r="G22" s="498"/>
    </row>
    <row r="23" spans="1:7" ht="12.75" x14ac:dyDescent="0.2">
      <c r="A23" s="494">
        <v>5</v>
      </c>
      <c r="B23" s="295" t="s">
        <v>188</v>
      </c>
      <c r="C23" s="507" t="s">
        <v>180</v>
      </c>
      <c r="D23" s="508"/>
      <c r="E23" s="509"/>
      <c r="F23" s="290">
        <v>14</v>
      </c>
      <c r="G23" s="522">
        <f>(PFS!$N$32-'PFS_IV Serv. top e Geo'!$I$15)/2*((F23+F24)/$F$26)</f>
        <v>102547.35024999999</v>
      </c>
    </row>
    <row r="24" spans="1:7" ht="12.75" x14ac:dyDescent="0.2">
      <c r="A24" s="495"/>
      <c r="B24" s="294" t="s">
        <v>182</v>
      </c>
      <c r="C24" s="513"/>
      <c r="D24" s="514"/>
      <c r="E24" s="515"/>
      <c r="F24" s="290">
        <v>14</v>
      </c>
      <c r="G24" s="523"/>
    </row>
    <row r="25" spans="1:7" ht="12.75" x14ac:dyDescent="0.2">
      <c r="A25" s="116">
        <v>6</v>
      </c>
      <c r="B25" s="295" t="s">
        <v>189</v>
      </c>
      <c r="C25" s="488" t="s">
        <v>183</v>
      </c>
      <c r="D25" s="489"/>
      <c r="E25" s="490"/>
      <c r="F25" s="117">
        <v>14</v>
      </c>
      <c r="G25" s="118">
        <f>(PFS!$N$32-'PFS_IV Serv. top e Geo'!$I$15)/2*(F25/$F$26)</f>
        <v>51273.675124999994</v>
      </c>
    </row>
    <row r="26" spans="1:7" ht="12.75" x14ac:dyDescent="0.2">
      <c r="A26" s="115"/>
      <c r="B26" s="203"/>
      <c r="C26" s="204"/>
      <c r="D26" s="205"/>
      <c r="E26" s="177"/>
      <c r="F26" s="206">
        <v>56</v>
      </c>
      <c r="G26" s="207"/>
    </row>
    <row r="27" spans="1:7" ht="12.75" x14ac:dyDescent="0.2">
      <c r="A27" s="528" t="s">
        <v>62</v>
      </c>
      <c r="B27" s="529"/>
      <c r="C27" s="529"/>
      <c r="D27" s="529"/>
      <c r="E27" s="529"/>
      <c r="F27" s="529"/>
      <c r="G27" s="208">
        <f>SUM(G14:G26)</f>
        <v>438231.96099999995</v>
      </c>
    </row>
    <row r="28" spans="1:7" ht="12.75" x14ac:dyDescent="0.2">
      <c r="A28" s="119" t="s">
        <v>17</v>
      </c>
      <c r="B28" s="120"/>
      <c r="C28" s="121"/>
      <c r="D28" s="485" t="s">
        <v>18</v>
      </c>
      <c r="E28" s="485"/>
      <c r="F28" s="485"/>
      <c r="G28" s="485"/>
    </row>
    <row r="29" spans="1:7" ht="12.75" x14ac:dyDescent="0.2">
      <c r="A29" s="526"/>
      <c r="B29" s="526"/>
      <c r="C29" s="526"/>
      <c r="D29" s="526"/>
      <c r="E29" s="526"/>
      <c r="F29" s="526"/>
      <c r="G29" s="526"/>
    </row>
    <row r="30" spans="1:7" ht="12.75" x14ac:dyDescent="0.2">
      <c r="A30" s="530" t="s">
        <v>19</v>
      </c>
      <c r="B30" s="530"/>
      <c r="C30" s="530"/>
      <c r="D30" s="530"/>
      <c r="E30" s="530"/>
      <c r="F30" s="485" t="s">
        <v>20</v>
      </c>
      <c r="G30" s="485"/>
    </row>
    <row r="31" spans="1:7" ht="12.75" x14ac:dyDescent="0.2">
      <c r="A31" s="526"/>
      <c r="B31" s="526"/>
      <c r="C31" s="526"/>
      <c r="D31" s="526"/>
      <c r="E31" s="526"/>
      <c r="F31" s="527"/>
      <c r="G31" s="527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31:E31"/>
    <mergeCell ref="F31:G31"/>
    <mergeCell ref="A27:F27"/>
    <mergeCell ref="D28:G28"/>
    <mergeCell ref="A29:C29"/>
    <mergeCell ref="D29:G29"/>
    <mergeCell ref="A30:E30"/>
    <mergeCell ref="F30:G30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5:F6"/>
    <mergeCell ref="A7:G7"/>
    <mergeCell ref="A8:G8"/>
    <mergeCell ref="C13:E13"/>
    <mergeCell ref="A9:F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40" t="s">
        <v>63</v>
      </c>
      <c r="B5" s="540"/>
      <c r="C5" s="540"/>
      <c r="D5" s="540"/>
      <c r="E5" s="540"/>
      <c r="F5" s="541"/>
      <c r="G5" s="172" t="s">
        <v>3</v>
      </c>
    </row>
    <row r="6" spans="1:7" ht="18" x14ac:dyDescent="0.2">
      <c r="A6" s="540"/>
      <c r="B6" s="540"/>
      <c r="C6" s="540"/>
      <c r="D6" s="540"/>
      <c r="E6" s="540"/>
      <c r="F6" s="541"/>
      <c r="G6" s="173" t="s">
        <v>64</v>
      </c>
    </row>
    <row r="7" spans="1:7" ht="12.75" x14ac:dyDescent="0.2">
      <c r="A7" s="542" t="s">
        <v>5</v>
      </c>
      <c r="B7" s="542"/>
      <c r="C7" s="542"/>
      <c r="D7" s="542"/>
      <c r="E7" s="542"/>
      <c r="F7" s="542"/>
      <c r="G7" s="542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31" t="str">
        <f>PFS!A9</f>
        <v>OBJETO: ELABORAÇÃO DE PROJETOS EXECUTIVOS, PARA CONSTRUÇÃO DE BARREIROS DE ACUMULAÇÃO: LOTE 02 - 56 BARREIROS NOS MUNICIPIOS DE PORTO DA FOLHA E GARARU</v>
      </c>
      <c r="B9" s="532"/>
      <c r="C9" s="532"/>
      <c r="D9" s="532"/>
      <c r="E9" s="532"/>
      <c r="F9" s="533"/>
      <c r="G9" s="68" t="s">
        <v>6</v>
      </c>
    </row>
    <row r="10" spans="1:7" ht="12.75" x14ac:dyDescent="0.2">
      <c r="A10" s="534"/>
      <c r="B10" s="535"/>
      <c r="C10" s="535"/>
      <c r="D10" s="535"/>
      <c r="E10" s="535"/>
      <c r="F10" s="536"/>
      <c r="G10" s="79"/>
    </row>
    <row r="11" spans="1:7" ht="12.75" x14ac:dyDescent="0.2">
      <c r="A11" s="534"/>
      <c r="B11" s="535"/>
      <c r="C11" s="535"/>
      <c r="D11" s="535"/>
      <c r="E11" s="535"/>
      <c r="F11" s="536"/>
      <c r="G11" s="79"/>
    </row>
    <row r="12" spans="1:7" ht="12.75" x14ac:dyDescent="0.2">
      <c r="A12" s="537"/>
      <c r="B12" s="538"/>
      <c r="C12" s="538"/>
      <c r="D12" s="538"/>
      <c r="E12" s="538"/>
      <c r="F12" s="539"/>
      <c r="G12" s="69"/>
    </row>
    <row r="13" spans="1:7" ht="12.75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</row>
    <row r="14" spans="1:7" ht="12.75" x14ac:dyDescent="0.2">
      <c r="A14" s="543"/>
      <c r="B14" s="543"/>
      <c r="C14" s="543"/>
      <c r="D14" s="543"/>
      <c r="E14" s="543"/>
      <c r="F14" s="76" t="s">
        <v>27</v>
      </c>
      <c r="G14" s="76" t="s">
        <v>66</v>
      </c>
    </row>
    <row r="15" spans="1:7" s="18" customFormat="1" ht="12.75" customHeight="1" x14ac:dyDescent="0.2">
      <c r="A15" s="552">
        <v>1</v>
      </c>
      <c r="B15" s="566" t="s">
        <v>162</v>
      </c>
      <c r="C15" s="567"/>
      <c r="D15" s="567"/>
      <c r="E15" s="568"/>
      <c r="F15" s="556">
        <v>0.18</v>
      </c>
      <c r="G15" s="559">
        <f>ROUND(F15*PFS!$N$16,2)</f>
        <v>11832.62</v>
      </c>
    </row>
    <row r="16" spans="1:7" s="18" customFormat="1" ht="12.75" customHeight="1" x14ac:dyDescent="0.2">
      <c r="A16" s="555"/>
      <c r="B16" s="569"/>
      <c r="C16" s="570"/>
      <c r="D16" s="570"/>
      <c r="E16" s="571"/>
      <c r="F16" s="557"/>
      <c r="G16" s="560"/>
    </row>
    <row r="17" spans="1:7" s="18" customFormat="1" ht="12.75" customHeight="1" x14ac:dyDescent="0.2">
      <c r="A17" s="553"/>
      <c r="B17" s="572"/>
      <c r="C17" s="573"/>
      <c r="D17" s="573"/>
      <c r="E17" s="574"/>
      <c r="F17" s="558"/>
      <c r="G17" s="561"/>
    </row>
    <row r="18" spans="1:7" s="18" customFormat="1" ht="12.75" customHeight="1" x14ac:dyDescent="0.2">
      <c r="A18" s="552" t="s">
        <v>165</v>
      </c>
      <c r="B18" s="546" t="s">
        <v>163</v>
      </c>
      <c r="C18" s="547"/>
      <c r="D18" s="547"/>
      <c r="E18" s="548"/>
      <c r="F18" s="564">
        <v>0.04</v>
      </c>
      <c r="G18" s="559">
        <f>ROUND(F18*PFS!$N$16,2)</f>
        <v>2629.47</v>
      </c>
    </row>
    <row r="19" spans="1:7" s="18" customFormat="1" ht="12.75" customHeight="1" x14ac:dyDescent="0.2">
      <c r="A19" s="553"/>
      <c r="B19" s="549"/>
      <c r="C19" s="550"/>
      <c r="D19" s="550"/>
      <c r="E19" s="551"/>
      <c r="F19" s="565"/>
      <c r="G19" s="561"/>
    </row>
    <row r="20" spans="1:7" s="18" customFormat="1" ht="12.75" customHeight="1" x14ac:dyDescent="0.2">
      <c r="A20" s="562">
        <v>3</v>
      </c>
      <c r="B20" s="546" t="s">
        <v>164</v>
      </c>
      <c r="C20" s="547"/>
      <c r="D20" s="547"/>
      <c r="E20" s="548"/>
      <c r="F20" s="564">
        <v>0.03</v>
      </c>
      <c r="G20" s="559">
        <f>ROUND(F20*PFS!$N$16,2)</f>
        <v>1972.1</v>
      </c>
    </row>
    <row r="21" spans="1:7" s="18" customFormat="1" ht="12.75" customHeight="1" x14ac:dyDescent="0.2">
      <c r="A21" s="563"/>
      <c r="B21" s="549"/>
      <c r="C21" s="550"/>
      <c r="D21" s="550"/>
      <c r="E21" s="551"/>
      <c r="F21" s="565"/>
      <c r="G21" s="561"/>
    </row>
    <row r="22" spans="1:7" s="18" customFormat="1" ht="12.75" x14ac:dyDescent="0.2">
      <c r="A22" s="71"/>
      <c r="B22" s="554"/>
      <c r="C22" s="554"/>
      <c r="D22" s="554"/>
      <c r="E22" s="554"/>
      <c r="F22" s="73"/>
      <c r="G22" s="70"/>
    </row>
    <row r="23" spans="1:7" s="18" customFormat="1" ht="12.75" x14ac:dyDescent="0.2">
      <c r="A23" s="71"/>
      <c r="B23" s="554"/>
      <c r="C23" s="554"/>
      <c r="D23" s="554"/>
      <c r="E23" s="554"/>
      <c r="F23" s="73"/>
      <c r="G23" s="70"/>
    </row>
    <row r="24" spans="1:7" s="18" customFormat="1" ht="12.75" x14ac:dyDescent="0.2">
      <c r="A24" s="72"/>
      <c r="B24" s="554"/>
      <c r="C24" s="554"/>
      <c r="D24" s="554"/>
      <c r="E24" s="554"/>
      <c r="F24" s="73"/>
      <c r="G24" s="70"/>
    </row>
    <row r="25" spans="1:7" s="18" customFormat="1" ht="12.75" x14ac:dyDescent="0.2">
      <c r="A25" s="72"/>
      <c r="B25" s="554"/>
      <c r="C25" s="554"/>
      <c r="D25" s="554"/>
      <c r="E25" s="554"/>
      <c r="F25" s="73"/>
      <c r="G25" s="70"/>
    </row>
    <row r="26" spans="1:7" s="18" customFormat="1" ht="12.75" x14ac:dyDescent="0.2">
      <c r="A26" s="72"/>
      <c r="B26" s="554"/>
      <c r="C26" s="554"/>
      <c r="D26" s="554"/>
      <c r="E26" s="554"/>
      <c r="F26" s="73"/>
      <c r="G26" s="70"/>
    </row>
    <row r="27" spans="1:7" s="18" customFormat="1" ht="12.75" x14ac:dyDescent="0.2">
      <c r="A27" s="72"/>
      <c r="B27" s="554"/>
      <c r="C27" s="554"/>
      <c r="D27" s="554"/>
      <c r="E27" s="554"/>
      <c r="F27" s="73"/>
      <c r="G27" s="70"/>
    </row>
    <row r="28" spans="1:7" s="18" customFormat="1" ht="12.75" x14ac:dyDescent="0.2">
      <c r="A28" s="71"/>
      <c r="B28" s="554"/>
      <c r="C28" s="554"/>
      <c r="D28" s="554"/>
      <c r="E28" s="554"/>
      <c r="F28" s="73"/>
      <c r="G28" s="70"/>
    </row>
    <row r="29" spans="1:7" s="18" customFormat="1" ht="12.75" x14ac:dyDescent="0.2">
      <c r="A29" s="72"/>
      <c r="B29" s="554"/>
      <c r="C29" s="554"/>
      <c r="D29" s="554"/>
      <c r="E29" s="554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45" t="s">
        <v>67</v>
      </c>
      <c r="C42" s="545"/>
      <c r="D42" s="545"/>
      <c r="E42" s="545"/>
      <c r="F42" s="90">
        <f>SUM(F15:F41)</f>
        <v>0.25</v>
      </c>
      <c r="G42" s="91">
        <f>SUM(G15:G41)</f>
        <v>16434.189999999999</v>
      </c>
    </row>
  </sheetData>
  <mergeCells count="26"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  <mergeCell ref="B42:E42"/>
    <mergeCell ref="B20:E21"/>
    <mergeCell ref="B18:E19"/>
    <mergeCell ref="A18:A19"/>
    <mergeCell ref="B28:E28"/>
    <mergeCell ref="B29:E29"/>
    <mergeCell ref="B22:E22"/>
    <mergeCell ref="A9:F12"/>
    <mergeCell ref="A5:F6"/>
    <mergeCell ref="A7:G7"/>
    <mergeCell ref="A13:E14"/>
    <mergeCell ref="F13:G1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40" t="s">
        <v>68</v>
      </c>
      <c r="B5" s="540"/>
      <c r="C5" s="540"/>
      <c r="D5" s="540"/>
      <c r="E5" s="540"/>
      <c r="F5" s="540"/>
      <c r="G5" s="541"/>
      <c r="H5" s="188" t="s">
        <v>3</v>
      </c>
    </row>
    <row r="6" spans="1:8" ht="18" x14ac:dyDescent="0.2">
      <c r="A6" s="540"/>
      <c r="B6" s="540"/>
      <c r="C6" s="540"/>
      <c r="D6" s="540"/>
      <c r="E6" s="540"/>
      <c r="F6" s="540"/>
      <c r="G6" s="541"/>
      <c r="H6" s="173" t="s">
        <v>69</v>
      </c>
    </row>
    <row r="7" spans="1:8" ht="12.75" x14ac:dyDescent="0.2">
      <c r="A7" s="575" t="s">
        <v>5</v>
      </c>
      <c r="B7" s="575"/>
      <c r="C7" s="575"/>
      <c r="D7" s="575"/>
      <c r="E7" s="575"/>
      <c r="F7" s="575"/>
      <c r="G7" s="575"/>
      <c r="H7" s="575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76" t="str">
        <f>PFS!A9</f>
        <v>OBJETO: ELABORAÇÃO DE PROJETOS EXECUTIVOS, PARA CONSTRUÇÃO DE BARREIROS DE ACUMULAÇÃO: LOTE 02 - 56 BARREIROS NOS MUNICIPIOS DE PORTO DA FOLHA E GARARU</v>
      </c>
      <c r="B9" s="577"/>
      <c r="C9" s="577"/>
      <c r="D9" s="577"/>
      <c r="E9" s="577"/>
      <c r="F9" s="577"/>
      <c r="G9" s="578"/>
      <c r="H9" s="58" t="s">
        <v>6</v>
      </c>
    </row>
    <row r="10" spans="1:8" ht="12.75" x14ac:dyDescent="0.2">
      <c r="A10" s="579"/>
      <c r="B10" s="580"/>
      <c r="C10" s="580"/>
      <c r="D10" s="580"/>
      <c r="E10" s="580"/>
      <c r="F10" s="580"/>
      <c r="G10" s="581"/>
      <c r="H10" s="51"/>
    </row>
    <row r="11" spans="1:8" ht="12.75" x14ac:dyDescent="0.2">
      <c r="A11" s="579"/>
      <c r="B11" s="580"/>
      <c r="C11" s="580"/>
      <c r="D11" s="580"/>
      <c r="E11" s="580"/>
      <c r="F11" s="580"/>
      <c r="G11" s="581"/>
      <c r="H11" s="51"/>
    </row>
    <row r="12" spans="1:8" ht="12.75" x14ac:dyDescent="0.2">
      <c r="A12" s="582"/>
      <c r="B12" s="583"/>
      <c r="C12" s="583"/>
      <c r="D12" s="583"/>
      <c r="E12" s="583"/>
      <c r="F12" s="583"/>
      <c r="G12" s="584"/>
      <c r="H12" s="54"/>
    </row>
    <row r="13" spans="1:8" ht="12.75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  <c r="H13" s="544"/>
    </row>
    <row r="14" spans="1:8" ht="12.75" x14ac:dyDescent="0.2">
      <c r="A14" s="543"/>
      <c r="B14" s="543"/>
      <c r="C14" s="543"/>
      <c r="D14" s="543"/>
      <c r="E14" s="543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85"/>
      <c r="B15" s="585"/>
      <c r="C15" s="585"/>
      <c r="D15" s="585"/>
      <c r="E15" s="585"/>
      <c r="F15" s="60"/>
      <c r="G15" s="60"/>
      <c r="H15" s="60"/>
    </row>
    <row r="16" spans="1:8" s="18" customFormat="1" ht="12.75" x14ac:dyDescent="0.2">
      <c r="A16" s="588" t="s">
        <v>72</v>
      </c>
      <c r="B16" s="588"/>
      <c r="C16" s="588"/>
      <c r="D16" s="588"/>
      <c r="E16" s="588"/>
      <c r="F16" s="19">
        <v>5</v>
      </c>
      <c r="G16" s="20">
        <f>(1/(1-$F$43/100))*F16</f>
        <v>5.8309037900874632</v>
      </c>
      <c r="H16" s="21">
        <f>ROUND((G16/100)*(PFS!$N$14+PFS!$N$25+PFS!$N$26),2)</f>
        <v>9864.7199999999993</v>
      </c>
    </row>
    <row r="17" spans="1:8" s="18" customFormat="1" ht="12.75" x14ac:dyDescent="0.2">
      <c r="A17" s="587" t="s">
        <v>73</v>
      </c>
      <c r="B17" s="587"/>
      <c r="C17" s="587"/>
      <c r="D17" s="587"/>
      <c r="E17" s="587"/>
      <c r="F17" s="19">
        <v>1.65</v>
      </c>
      <c r="G17" s="20">
        <f>(1/(1-$F$43/100))*F17</f>
        <v>1.9241982507288626</v>
      </c>
      <c r="H17" s="21">
        <f>ROUND((G17/100)*(PFS!$N$14+PFS!$N$25+PFS!$N$26),2)</f>
        <v>3255.36</v>
      </c>
    </row>
    <row r="18" spans="1:8" s="18" customFormat="1" ht="12.75" x14ac:dyDescent="0.2">
      <c r="A18" s="587" t="s">
        <v>74</v>
      </c>
      <c r="B18" s="587"/>
      <c r="C18" s="587"/>
      <c r="D18" s="587"/>
      <c r="E18" s="587"/>
      <c r="F18" s="19">
        <v>7.6</v>
      </c>
      <c r="G18" s="20">
        <f>(1/(1-$F$43/100))*F18</f>
        <v>8.8629737609329435</v>
      </c>
      <c r="H18" s="21">
        <f>ROUND((G18/100)*(PFS!$N$14+PFS!$N$25+PFS!$N$26),2)</f>
        <v>14994.37</v>
      </c>
    </row>
    <row r="19" spans="1:8" s="18" customFormat="1" ht="12.75" x14ac:dyDescent="0.2">
      <c r="A19" s="587"/>
      <c r="B19" s="587"/>
      <c r="C19" s="587"/>
      <c r="D19" s="587"/>
      <c r="E19" s="587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90"/>
      <c r="B28" s="590"/>
      <c r="C28" s="590"/>
      <c r="D28" s="590"/>
      <c r="E28" s="590"/>
      <c r="F28" s="63"/>
      <c r="G28" s="63"/>
      <c r="H28" s="60"/>
    </row>
    <row r="29" spans="1:8" s="18" customFormat="1" ht="12.75" x14ac:dyDescent="0.2">
      <c r="A29" s="586"/>
      <c r="B29" s="586"/>
      <c r="C29" s="586"/>
      <c r="D29" s="586"/>
      <c r="E29" s="586"/>
      <c r="F29" s="63"/>
      <c r="G29" s="63"/>
      <c r="H29" s="60"/>
    </row>
    <row r="30" spans="1:8" s="18" customFormat="1" ht="12.75" x14ac:dyDescent="0.2">
      <c r="A30" s="589"/>
      <c r="B30" s="589"/>
      <c r="C30" s="589"/>
      <c r="D30" s="589"/>
      <c r="E30" s="589"/>
      <c r="F30" s="63"/>
      <c r="G30" s="63"/>
      <c r="H30" s="60"/>
    </row>
    <row r="31" spans="1:8" s="18" customFormat="1" ht="12.75" x14ac:dyDescent="0.2">
      <c r="A31" s="585"/>
      <c r="B31" s="585"/>
      <c r="C31" s="585"/>
      <c r="D31" s="585"/>
      <c r="E31" s="585"/>
      <c r="F31" s="60"/>
      <c r="G31" s="60"/>
      <c r="H31" s="60"/>
    </row>
    <row r="32" spans="1:8" s="18" customFormat="1" ht="12.75" x14ac:dyDescent="0.2">
      <c r="A32" s="585"/>
      <c r="B32" s="585"/>
      <c r="C32" s="585"/>
      <c r="D32" s="585"/>
      <c r="E32" s="585"/>
      <c r="F32" s="60"/>
      <c r="G32" s="60"/>
      <c r="H32" s="60"/>
    </row>
    <row r="33" spans="1:8" s="18" customFormat="1" ht="12.75" x14ac:dyDescent="0.2">
      <c r="A33" s="586"/>
      <c r="B33" s="586"/>
      <c r="C33" s="586"/>
      <c r="D33" s="586"/>
      <c r="E33" s="586"/>
      <c r="F33" s="60"/>
      <c r="G33" s="60"/>
      <c r="H33" s="60"/>
    </row>
    <row r="34" spans="1:8" s="18" customFormat="1" ht="12.75" x14ac:dyDescent="0.2">
      <c r="A34" s="586"/>
      <c r="B34" s="586"/>
      <c r="C34" s="586"/>
      <c r="D34" s="586"/>
      <c r="E34" s="586"/>
      <c r="F34" s="60"/>
      <c r="G34" s="60"/>
      <c r="H34" s="60"/>
    </row>
    <row r="35" spans="1:8" s="18" customFormat="1" ht="12.75" x14ac:dyDescent="0.2">
      <c r="A35" s="586"/>
      <c r="B35" s="586"/>
      <c r="C35" s="586"/>
      <c r="D35" s="586"/>
      <c r="E35" s="586"/>
      <c r="F35" s="60"/>
      <c r="G35" s="60"/>
      <c r="H35" s="60"/>
    </row>
    <row r="36" spans="1:8" s="18" customFormat="1" ht="12.75" x14ac:dyDescent="0.2">
      <c r="A36" s="586"/>
      <c r="B36" s="586"/>
      <c r="C36" s="586"/>
      <c r="D36" s="586"/>
      <c r="E36" s="586"/>
      <c r="F36" s="60"/>
      <c r="G36" s="60"/>
      <c r="H36" s="60"/>
    </row>
    <row r="37" spans="1:8" s="18" customFormat="1" ht="12.75" x14ac:dyDescent="0.2">
      <c r="A37" s="585"/>
      <c r="B37" s="585"/>
      <c r="C37" s="585"/>
      <c r="D37" s="585"/>
      <c r="E37" s="585"/>
      <c r="F37" s="60"/>
      <c r="G37" s="60"/>
      <c r="H37" s="60"/>
    </row>
    <row r="38" spans="1:8" s="18" customFormat="1" ht="12.75" x14ac:dyDescent="0.2">
      <c r="A38" s="586"/>
      <c r="B38" s="586"/>
      <c r="C38" s="586"/>
      <c r="D38" s="586"/>
      <c r="E38" s="586"/>
      <c r="F38" s="60"/>
      <c r="G38" s="60"/>
      <c r="H38" s="60"/>
    </row>
    <row r="39" spans="1:8" s="18" customFormat="1" ht="12.75" x14ac:dyDescent="0.2">
      <c r="A39" s="586"/>
      <c r="B39" s="586"/>
      <c r="C39" s="586"/>
      <c r="D39" s="586"/>
      <c r="E39" s="586"/>
      <c r="F39" s="60"/>
      <c r="G39" s="60"/>
      <c r="H39" s="60"/>
    </row>
    <row r="40" spans="1:8" s="18" customFormat="1" ht="12.75" x14ac:dyDescent="0.2">
      <c r="A40" s="586"/>
      <c r="B40" s="586"/>
      <c r="C40" s="586"/>
      <c r="D40" s="586"/>
      <c r="E40" s="586"/>
      <c r="F40" s="60"/>
      <c r="G40" s="60"/>
      <c r="H40" s="60"/>
    </row>
    <row r="41" spans="1:8" s="18" customFormat="1" ht="12.75" x14ac:dyDescent="0.2">
      <c r="A41" s="585"/>
      <c r="B41" s="585"/>
      <c r="C41" s="585"/>
      <c r="D41" s="585"/>
      <c r="E41" s="585"/>
      <c r="F41" s="60"/>
      <c r="G41" s="60"/>
      <c r="H41" s="60"/>
    </row>
    <row r="42" spans="1:8" s="18" customFormat="1" ht="12.75" x14ac:dyDescent="0.2">
      <c r="A42" s="594"/>
      <c r="B42" s="594"/>
      <c r="C42" s="594"/>
      <c r="D42" s="594"/>
      <c r="E42" s="594"/>
      <c r="F42" s="189"/>
      <c r="G42" s="189"/>
      <c r="H42" s="189"/>
    </row>
    <row r="43" spans="1:8" ht="12.75" x14ac:dyDescent="0.2">
      <c r="A43" s="591" t="s">
        <v>75</v>
      </c>
      <c r="B43" s="592"/>
      <c r="C43" s="592"/>
      <c r="D43" s="592"/>
      <c r="E43" s="592"/>
      <c r="F43" s="190">
        <f>F16+F17+F18</f>
        <v>14.25</v>
      </c>
      <c r="G43" s="190">
        <f>G16+G17+G18</f>
        <v>16.618075801749271</v>
      </c>
      <c r="H43" s="181">
        <f>SUM(H16:H42)</f>
        <v>28114.45</v>
      </c>
    </row>
    <row r="44" spans="1:8" ht="12.75" x14ac:dyDescent="0.2">
      <c r="A44" s="593" t="s">
        <v>76</v>
      </c>
      <c r="B44" s="593"/>
      <c r="C44" s="593"/>
      <c r="D44" s="593"/>
      <c r="E44" s="593"/>
      <c r="F44" s="593"/>
      <c r="G44" s="593"/>
      <c r="H44" s="593"/>
    </row>
    <row r="45" spans="1:8" x14ac:dyDescent="0.2">
      <c r="A45" s="595" t="s">
        <v>77</v>
      </c>
      <c r="B45" s="596"/>
      <c r="C45" s="596"/>
      <c r="D45" s="596"/>
      <c r="E45" s="596"/>
      <c r="F45" s="596"/>
      <c r="G45" s="596"/>
      <c r="H45" s="597"/>
    </row>
    <row r="46" spans="1:8" x14ac:dyDescent="0.2">
      <c r="A46" s="595"/>
      <c r="B46" s="596"/>
      <c r="C46" s="596"/>
      <c r="D46" s="596"/>
      <c r="E46" s="596"/>
      <c r="F46" s="596"/>
      <c r="G46" s="596"/>
      <c r="H46" s="597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5"/>
      <c r="B51" s="575"/>
      <c r="C51" s="575"/>
      <c r="D51" s="575"/>
      <c r="E51" s="575"/>
      <c r="F51" s="575"/>
      <c r="G51" s="575"/>
      <c r="H51" s="575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:G6"/>
    <mergeCell ref="A7:H7"/>
    <mergeCell ref="A13:E14"/>
    <mergeCell ref="F13:H13"/>
    <mergeCell ref="A9:G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5" t="s">
        <v>82</v>
      </c>
      <c r="B5" s="616"/>
      <c r="C5" s="616"/>
      <c r="D5" s="616"/>
      <c r="E5" s="616"/>
      <c r="F5" s="617"/>
      <c r="G5" s="191" t="s">
        <v>3</v>
      </c>
    </row>
    <row r="6" spans="1:8" ht="13.5" thickTop="1" x14ac:dyDescent="0.2">
      <c r="A6" s="618"/>
      <c r="B6" s="619"/>
      <c r="C6" s="619"/>
      <c r="D6" s="619"/>
      <c r="E6" s="619"/>
      <c r="F6" s="620"/>
      <c r="G6" s="192" t="s">
        <v>83</v>
      </c>
    </row>
    <row r="7" spans="1:8" x14ac:dyDescent="0.2">
      <c r="A7" s="575" t="s">
        <v>5</v>
      </c>
      <c r="B7" s="575"/>
      <c r="C7" s="575"/>
      <c r="D7" s="575"/>
      <c r="E7" s="575"/>
      <c r="F7" s="575"/>
      <c r="G7" s="575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1" t="str">
        <f>PFS!A9</f>
        <v>OBJETO: ELABORAÇÃO DE PROJETOS EXECUTIVOS, PARA CONSTRUÇÃO DE BARREIROS DE ACUMULAÇÃO: LOTE 02 - 56 BARREIROS NOS MUNICIPIOS DE PORTO DA FOLHA E GARARU</v>
      </c>
      <c r="B9" s="622"/>
      <c r="C9" s="622"/>
      <c r="D9" s="622"/>
      <c r="E9" s="622"/>
      <c r="F9" s="623"/>
      <c r="G9" s="36" t="s">
        <v>6</v>
      </c>
    </row>
    <row r="10" spans="1:8" x14ac:dyDescent="0.2">
      <c r="A10" s="624"/>
      <c r="B10" s="596"/>
      <c r="C10" s="596"/>
      <c r="D10" s="596"/>
      <c r="E10" s="596"/>
      <c r="F10" s="625"/>
      <c r="G10" s="629"/>
    </row>
    <row r="11" spans="1:8" x14ac:dyDescent="0.2">
      <c r="A11" s="624"/>
      <c r="B11" s="596"/>
      <c r="C11" s="596"/>
      <c r="D11" s="596"/>
      <c r="E11" s="596"/>
      <c r="F11" s="625"/>
      <c r="G11" s="629"/>
    </row>
    <row r="12" spans="1:8" x14ac:dyDescent="0.2">
      <c r="A12" s="626"/>
      <c r="B12" s="627"/>
      <c r="C12" s="627"/>
      <c r="D12" s="627"/>
      <c r="E12" s="627"/>
      <c r="F12" s="628"/>
      <c r="G12" s="630"/>
    </row>
    <row r="13" spans="1:8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</row>
    <row r="14" spans="1:8" x14ac:dyDescent="0.2">
      <c r="A14" s="543"/>
      <c r="B14" s="543"/>
      <c r="C14" s="543"/>
      <c r="D14" s="543"/>
      <c r="E14" s="543"/>
      <c r="F14" s="37" t="s">
        <v>27</v>
      </c>
      <c r="G14" s="37" t="s">
        <v>66</v>
      </c>
    </row>
    <row r="15" spans="1:8" x14ac:dyDescent="0.2">
      <c r="A15" s="38" t="s">
        <v>84</v>
      </c>
      <c r="B15" s="605" t="s">
        <v>85</v>
      </c>
      <c r="C15" s="605"/>
      <c r="D15" s="605"/>
      <c r="E15" s="605"/>
      <c r="F15" s="38"/>
      <c r="G15" s="39"/>
    </row>
    <row r="16" spans="1:8" x14ac:dyDescent="0.2">
      <c r="A16" s="40" t="s">
        <v>128</v>
      </c>
      <c r="B16" s="609" t="s">
        <v>86</v>
      </c>
      <c r="C16" s="610"/>
      <c r="D16" s="610"/>
      <c r="E16" s="611"/>
      <c r="F16" s="41">
        <v>0.2</v>
      </c>
      <c r="G16" s="42">
        <f>ROUND((F16*'PFS_I Equipe'!$E$28),2)</f>
        <v>13147.36</v>
      </c>
      <c r="H16" s="57"/>
    </row>
    <row r="17" spans="1:8" x14ac:dyDescent="0.2">
      <c r="A17" s="40" t="s">
        <v>29</v>
      </c>
      <c r="B17" s="612" t="s">
        <v>129</v>
      </c>
      <c r="C17" s="613"/>
      <c r="D17" s="613"/>
      <c r="E17" s="614"/>
      <c r="F17" s="41">
        <v>1.4999999999999999E-2</v>
      </c>
      <c r="G17" s="42">
        <f>ROUND((F17*'PFS_I Equipe'!$E$28),2)</f>
        <v>986.05</v>
      </c>
      <c r="H17" s="57"/>
    </row>
    <row r="18" spans="1:8" x14ac:dyDescent="0.2">
      <c r="A18" s="40" t="s">
        <v>30</v>
      </c>
      <c r="B18" s="612" t="s">
        <v>130</v>
      </c>
      <c r="C18" s="613"/>
      <c r="D18" s="613"/>
      <c r="E18" s="614"/>
      <c r="F18" s="41">
        <v>0.01</v>
      </c>
      <c r="G18" s="42">
        <f>ROUND((F18*'PFS_I Equipe'!$E$28),2)</f>
        <v>657.37</v>
      </c>
      <c r="H18" s="57"/>
    </row>
    <row r="19" spans="1:8" x14ac:dyDescent="0.2">
      <c r="A19" s="40" t="s">
        <v>88</v>
      </c>
      <c r="B19" s="612" t="s">
        <v>131</v>
      </c>
      <c r="C19" s="613"/>
      <c r="D19" s="613"/>
      <c r="E19" s="614"/>
      <c r="F19" s="41">
        <v>2E-3</v>
      </c>
      <c r="G19" s="42">
        <f>ROUND((F19*'PFS_I Equipe'!$E$28),2)</f>
        <v>131.47</v>
      </c>
      <c r="H19" s="57"/>
    </row>
    <row r="20" spans="1:8" x14ac:dyDescent="0.2">
      <c r="A20" s="40" t="s">
        <v>89</v>
      </c>
      <c r="B20" s="612" t="s">
        <v>132</v>
      </c>
      <c r="C20" s="613"/>
      <c r="D20" s="613"/>
      <c r="E20" s="614"/>
      <c r="F20" s="41">
        <v>6.0000000000000001E-3</v>
      </c>
      <c r="G20" s="42">
        <f>ROUND((F20*'PFS_I Equipe'!$E$28),2)</f>
        <v>394.42</v>
      </c>
      <c r="H20" s="57"/>
    </row>
    <row r="21" spans="1:8" x14ac:dyDescent="0.2">
      <c r="A21" s="40" t="s">
        <v>89</v>
      </c>
      <c r="B21" s="612" t="s">
        <v>133</v>
      </c>
      <c r="C21" s="613"/>
      <c r="D21" s="613"/>
      <c r="E21" s="614"/>
      <c r="F21" s="41">
        <v>2.5000000000000001E-2</v>
      </c>
      <c r="G21" s="42">
        <f>ROUND((F21*'PFS_I Equipe'!$E$28),2)</f>
        <v>1643.42</v>
      </c>
      <c r="H21" s="57"/>
    </row>
    <row r="22" spans="1:8" x14ac:dyDescent="0.2">
      <c r="A22" s="40" t="s">
        <v>90</v>
      </c>
      <c r="B22" s="612" t="s">
        <v>134</v>
      </c>
      <c r="C22" s="613"/>
      <c r="D22" s="613"/>
      <c r="E22" s="614"/>
      <c r="F22" s="41">
        <v>0.03</v>
      </c>
      <c r="G22" s="42">
        <f>ROUND((F22*'PFS_I Equipe'!$E$28),2)</f>
        <v>1972.1</v>
      </c>
      <c r="H22" s="57"/>
    </row>
    <row r="23" spans="1:8" x14ac:dyDescent="0.2">
      <c r="A23" s="40" t="s">
        <v>91</v>
      </c>
      <c r="B23" s="612" t="s">
        <v>87</v>
      </c>
      <c r="C23" s="613"/>
      <c r="D23" s="613"/>
      <c r="E23" s="614"/>
      <c r="F23" s="41">
        <v>0.08</v>
      </c>
      <c r="G23" s="42">
        <f>ROUND((F23*'PFS_I Equipe'!$E$28),2)</f>
        <v>5258.94</v>
      </c>
      <c r="H23" s="57"/>
    </row>
    <row r="24" spans="1:8" x14ac:dyDescent="0.2">
      <c r="A24" s="40" t="s">
        <v>92</v>
      </c>
      <c r="B24" s="598" t="s">
        <v>135</v>
      </c>
      <c r="C24" s="599"/>
      <c r="D24" s="599"/>
      <c r="E24" s="600"/>
      <c r="F24" s="286">
        <v>0.01</v>
      </c>
      <c r="G24" s="42">
        <f>ROUND((F24*'PFS_I Equipe'!$E$28),2)</f>
        <v>657.37</v>
      </c>
    </row>
    <row r="25" spans="1:8" x14ac:dyDescent="0.2">
      <c r="A25" s="606" t="s">
        <v>93</v>
      </c>
      <c r="B25" s="606"/>
      <c r="C25" s="606"/>
      <c r="D25" s="606"/>
      <c r="E25" s="606"/>
      <c r="F25" s="193">
        <f>ROUND(SUM(F16:F24),4)</f>
        <v>0.378</v>
      </c>
      <c r="G25" s="194">
        <f>SUM(G16:G24)</f>
        <v>24848.499999999996</v>
      </c>
    </row>
    <row r="26" spans="1:8" x14ac:dyDescent="0.2">
      <c r="A26" s="603"/>
      <c r="B26" s="604"/>
      <c r="C26" s="604"/>
      <c r="D26" s="604"/>
      <c r="E26" s="604"/>
      <c r="F26" s="604"/>
      <c r="G26" s="195"/>
    </row>
    <row r="27" spans="1:8" x14ac:dyDescent="0.2">
      <c r="A27" s="44" t="s">
        <v>94</v>
      </c>
      <c r="B27" s="601" t="s">
        <v>95</v>
      </c>
      <c r="C27" s="601"/>
      <c r="D27" s="601"/>
      <c r="E27" s="601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453.58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5475.88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39.44</v>
      </c>
    </row>
    <row r="31" spans="1:8" x14ac:dyDescent="0.2">
      <c r="A31" s="40" t="s">
        <v>123</v>
      </c>
      <c r="B31" s="49" t="s">
        <v>202</v>
      </c>
      <c r="C31" s="50"/>
      <c r="D31" s="50"/>
      <c r="E31" s="50"/>
      <c r="F31" s="47">
        <v>5.5999999999999999E-3</v>
      </c>
      <c r="G31" s="48">
        <f>ROUND((F31*'PFS_I Equipe'!$E$28),2)</f>
        <v>368.13</v>
      </c>
    </row>
    <row r="32" spans="1:8" x14ac:dyDescent="0.2">
      <c r="A32" s="40" t="s">
        <v>136</v>
      </c>
      <c r="B32" s="49" t="s">
        <v>203</v>
      </c>
      <c r="C32" s="50"/>
      <c r="D32" s="50"/>
      <c r="E32" s="50"/>
      <c r="F32" s="47">
        <v>8.9999999999999998E-4</v>
      </c>
      <c r="G32" s="48">
        <f>ROUND((F32*'PFS_I Equipe'!$E$28),2)</f>
        <v>59.16</v>
      </c>
    </row>
    <row r="33" spans="1:7" x14ac:dyDescent="0.2">
      <c r="A33" s="40" t="s">
        <v>123</v>
      </c>
      <c r="B33" s="49" t="s">
        <v>204</v>
      </c>
      <c r="C33" s="50"/>
      <c r="D33" s="50"/>
      <c r="E33" s="50"/>
      <c r="F33" s="47">
        <v>7.17E-2</v>
      </c>
      <c r="G33" s="48">
        <f>ROUND((F33*'PFS_I Equipe'!$E$28),2)</f>
        <v>4713.33</v>
      </c>
    </row>
    <row r="34" spans="1:7" x14ac:dyDescent="0.2">
      <c r="A34" s="40" t="s">
        <v>136</v>
      </c>
      <c r="B34" s="49" t="s">
        <v>205</v>
      </c>
      <c r="C34" s="50"/>
      <c r="D34" s="50"/>
      <c r="E34" s="50"/>
      <c r="F34" s="47">
        <v>2.0000000000000001E-4</v>
      </c>
      <c r="G34" s="48">
        <f>ROUND((F34*'PFS_I Equipe'!$E$28),2)</f>
        <v>13.15</v>
      </c>
    </row>
    <row r="35" spans="1:7" x14ac:dyDescent="0.2">
      <c r="A35" s="606" t="s">
        <v>96</v>
      </c>
      <c r="B35" s="606"/>
      <c r="C35" s="606"/>
      <c r="D35" s="606"/>
      <c r="E35" s="606"/>
      <c r="F35" s="193">
        <f>ROUND(SUM(F28:F34),4)</f>
        <v>0.16919999999999999</v>
      </c>
      <c r="G35" s="194">
        <f>SUM(G28:G34)</f>
        <v>11122.67</v>
      </c>
    </row>
    <row r="36" spans="1:7" x14ac:dyDescent="0.2">
      <c r="A36" s="196"/>
      <c r="B36" s="607"/>
      <c r="C36" s="607"/>
      <c r="D36" s="607"/>
      <c r="E36" s="607"/>
      <c r="F36" s="607"/>
      <c r="G36" s="608"/>
    </row>
    <row r="37" spans="1:7" x14ac:dyDescent="0.2">
      <c r="A37" s="44" t="s">
        <v>31</v>
      </c>
      <c r="B37" s="601" t="s">
        <v>97</v>
      </c>
      <c r="C37" s="601"/>
      <c r="D37" s="601"/>
      <c r="E37" s="601"/>
      <c r="F37" s="44"/>
      <c r="G37" s="45"/>
    </row>
    <row r="38" spans="1:7" x14ac:dyDescent="0.2">
      <c r="A38" s="40" t="s">
        <v>98</v>
      </c>
      <c r="B38" s="602" t="s">
        <v>208</v>
      </c>
      <c r="C38" s="602"/>
      <c r="D38" s="602"/>
      <c r="E38" s="602"/>
      <c r="F38" s="41">
        <v>4.3400000000000001E-2</v>
      </c>
      <c r="G38" s="42">
        <f>ROUND((F38*'PFS_I Equipe'!$E$28),2)</f>
        <v>2852.98</v>
      </c>
    </row>
    <row r="39" spans="1:7" x14ac:dyDescent="0.2">
      <c r="A39" s="40" t="s">
        <v>99</v>
      </c>
      <c r="B39" s="602" t="s">
        <v>209</v>
      </c>
      <c r="C39" s="602"/>
      <c r="D39" s="602"/>
      <c r="E39" s="602"/>
      <c r="F39" s="41">
        <v>2.3999999999999998E-3</v>
      </c>
      <c r="G39" s="42">
        <f>ROUND((F39*'PFS_I Equipe'!$E$28),2)</f>
        <v>157.77000000000001</v>
      </c>
    </row>
    <row r="40" spans="1:7" x14ac:dyDescent="0.2">
      <c r="A40" s="40" t="s">
        <v>99</v>
      </c>
      <c r="B40" s="602" t="s">
        <v>100</v>
      </c>
      <c r="C40" s="602"/>
      <c r="D40" s="602"/>
      <c r="E40" s="602"/>
      <c r="F40" s="41">
        <v>3.4099999999999998E-2</v>
      </c>
      <c r="G40" s="42">
        <f>ROUND((F40*'PFS_I Equipe'!$E$28),2)</f>
        <v>2241.62</v>
      </c>
    </row>
    <row r="41" spans="1:7" x14ac:dyDescent="0.2">
      <c r="A41" s="40" t="s">
        <v>206</v>
      </c>
      <c r="B41" s="602" t="s">
        <v>210</v>
      </c>
      <c r="C41" s="602"/>
      <c r="D41" s="602"/>
      <c r="E41" s="602"/>
      <c r="F41" s="41">
        <v>3.6700000000000003E-2</v>
      </c>
      <c r="G41" s="42">
        <f>ROUND((F41*'PFS_I Equipe'!$E$28),2)</f>
        <v>2412.54</v>
      </c>
    </row>
    <row r="42" spans="1:7" x14ac:dyDescent="0.2">
      <c r="A42" s="40" t="s">
        <v>207</v>
      </c>
      <c r="B42" s="602" t="s">
        <v>211</v>
      </c>
      <c r="C42" s="602"/>
      <c r="D42" s="602"/>
      <c r="E42" s="602"/>
      <c r="F42" s="41">
        <v>3.5999999999999999E-3</v>
      </c>
      <c r="G42" s="42">
        <f>ROUND((F42*'PFS_I Equipe'!$E$28),2)</f>
        <v>236.65</v>
      </c>
    </row>
    <row r="43" spans="1:7" x14ac:dyDescent="0.2">
      <c r="A43" s="606" t="s">
        <v>101</v>
      </c>
      <c r="B43" s="606"/>
      <c r="C43" s="606"/>
      <c r="D43" s="606"/>
      <c r="E43" s="606"/>
      <c r="F43" s="193">
        <f>ROUND(SUM(F38:F42),4)</f>
        <v>0.1202</v>
      </c>
      <c r="G43" s="194">
        <f>SUM(G38:G39)</f>
        <v>3010.75</v>
      </c>
    </row>
    <row r="44" spans="1:7" x14ac:dyDescent="0.2">
      <c r="A44" s="633"/>
      <c r="B44" s="634"/>
      <c r="C44" s="634"/>
      <c r="D44" s="634"/>
      <c r="E44" s="634"/>
      <c r="F44" s="634"/>
      <c r="G44" s="635"/>
    </row>
    <row r="45" spans="1:7" x14ac:dyDescent="0.2">
      <c r="A45" s="44" t="s">
        <v>102</v>
      </c>
      <c r="B45" s="601" t="s">
        <v>103</v>
      </c>
      <c r="C45" s="601"/>
      <c r="D45" s="601"/>
      <c r="E45" s="601"/>
      <c r="F45" s="44"/>
      <c r="G45" s="45"/>
    </row>
    <row r="46" spans="1:7" x14ac:dyDescent="0.2">
      <c r="A46" s="40" t="s">
        <v>104</v>
      </c>
      <c r="B46" s="639" t="s">
        <v>105</v>
      </c>
      <c r="C46" s="639"/>
      <c r="D46" s="639"/>
      <c r="E46" s="639"/>
      <c r="F46" s="41">
        <v>6.4000000000000001E-2</v>
      </c>
      <c r="G46" s="42">
        <f>ROUND((F46*'PFS_I Equipe'!$E$28),2)</f>
        <v>4207.16</v>
      </c>
    </row>
    <row r="47" spans="1:7" ht="25.5" customHeight="1" x14ac:dyDescent="0.2">
      <c r="A47" s="40" t="s">
        <v>212</v>
      </c>
      <c r="B47" s="636" t="s">
        <v>213</v>
      </c>
      <c r="C47" s="637"/>
      <c r="D47" s="637"/>
      <c r="E47" s="638"/>
      <c r="F47" s="41">
        <v>4.4000000000000003E-3</v>
      </c>
      <c r="G47" s="42">
        <f>ROUND((F47*'PFS_I Equipe'!$E$28),2)</f>
        <v>289.24</v>
      </c>
    </row>
    <row r="48" spans="1:7" x14ac:dyDescent="0.2">
      <c r="A48" s="606" t="s">
        <v>106</v>
      </c>
      <c r="B48" s="606"/>
      <c r="C48" s="606"/>
      <c r="D48" s="606"/>
      <c r="E48" s="606"/>
      <c r="F48" s="193">
        <f>SUM(F46:F47)</f>
        <v>6.8400000000000002E-2</v>
      </c>
      <c r="G48" s="194">
        <f>SUM(G47:G47)</f>
        <v>289.24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631" t="s">
        <v>107</v>
      </c>
      <c r="B50" s="632"/>
      <c r="C50" s="632"/>
      <c r="D50" s="632"/>
      <c r="E50" s="632"/>
      <c r="F50" s="201">
        <f>ROUND(F25+F35+F43+F48,4)</f>
        <v>0.73580000000000001</v>
      </c>
      <c r="G50" s="202">
        <f>G25+G35+G43+G48+0.02</f>
        <v>39271.179999999993</v>
      </c>
    </row>
  </sheetData>
  <mergeCells count="34"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  <mergeCell ref="B23:E23"/>
    <mergeCell ref="A5:F6"/>
    <mergeCell ref="A7:G7"/>
    <mergeCell ref="A13:E14"/>
    <mergeCell ref="F13:G13"/>
    <mergeCell ref="A9:F12"/>
    <mergeCell ref="G10:G12"/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George Marcelo Neves de Carvalho</cp:lastModifiedBy>
  <cp:lastPrinted>2013-04-20T15:34:16Z</cp:lastPrinted>
  <dcterms:created xsi:type="dcterms:W3CDTF">2009-12-08T14:34:18Z</dcterms:created>
  <dcterms:modified xsi:type="dcterms:W3CDTF">2014-02-25T12:51:45Z</dcterms:modified>
</cp:coreProperties>
</file>