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firstSheet="3" activeTab="8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, Geo e Fisc.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top, Geo e Fisc.'!$A$1:$I$25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N32" i="1" l="1"/>
  <c r="F10" i="10" l="1"/>
  <c r="F11" i="10"/>
  <c r="F12" i="10"/>
  <c r="F9" i="10"/>
  <c r="I23" i="5" l="1"/>
  <c r="D16" i="4" l="1"/>
  <c r="D15" i="4"/>
  <c r="D20" i="4" l="1"/>
  <c r="D19" i="4"/>
  <c r="G20" i="5" l="1"/>
  <c r="G19" i="5"/>
  <c r="G18" i="5"/>
  <c r="G17" i="5"/>
  <c r="G16" i="5"/>
  <c r="G15" i="5"/>
  <c r="D24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5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3" i="1" l="1"/>
  <c r="G25" i="6"/>
  <c r="G23" i="6"/>
  <c r="G17" i="6"/>
  <c r="G20" i="6"/>
  <c r="G15" i="6"/>
  <c r="H43" i="8"/>
  <c r="G27" i="6" l="1"/>
</calcChain>
</file>

<file path=xl/sharedStrings.xml><?xml version="1.0" encoding="utf-8"?>
<sst xmlns="http://schemas.openxmlformats.org/spreadsheetml/2006/main" count="361" uniqueCount="235">
  <si>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</si>
  <si>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</si>
  <si>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</si>
  <si>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</si>
  <si>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</si>
  <si>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</si>
  <si>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</si>
  <si>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</si>
  <si>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</si>
  <si>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</si>
  <si>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</si>
  <si>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</si>
  <si>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</si>
  <si>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</si>
  <si>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</si>
  <si>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</si>
  <si>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</si>
  <si>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</si>
  <si>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</si>
  <si>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</si>
  <si>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</si>
  <si>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</si>
  <si>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</si>
  <si>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</si>
  <si>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</si>
  <si>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</si>
  <si>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</si>
  <si>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</si>
  <si>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</si>
  <si>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</si>
  <si>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</si>
  <si>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</si>
  <si>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</si>
  <si>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</si>
  <si>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</si>
  <si>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</si>
  <si>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</si>
  <si>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</si>
  <si>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</si>
  <si>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</si>
  <si>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</si>
  <si>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</si>
  <si>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</si>
  <si>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</si>
  <si>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</si>
  <si>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</si>
  <si>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</si>
  <si>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</si>
  <si>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</si>
  <si>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</si>
  <si>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</si>
  <si>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</si>
  <si>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</si>
  <si>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</si>
  <si>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</si>
  <si>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</si>
  <si>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</si>
  <si>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</si>
  <si>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</si>
  <si>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</si>
  <si>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</si>
  <si>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</si>
  <si>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</si>
  <si>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</si>
  <si>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</si>
  <si>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</si>
  <si>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</si>
  <si>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</si>
  <si>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</si>
  <si>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</si>
  <si>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</si>
  <si>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</si>
  <si>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</si>
  <si>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</si>
  <si>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</si>
  <si>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</si>
  <si>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</si>
  <si>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</si>
  <si>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</si>
  <si>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</si>
  <si>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</si>
  <si>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</si>
  <si>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</si>
  <si>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</si>
  <si>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</si>
  <si>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</si>
  <si>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</si>
  <si>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</si>
  <si>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</si>
  <si>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</si>
  <si>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</si>
  <si>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</si>
  <si>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</si>
  <si>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</si>
  <si>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</si>
  <si>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</si>
  <si>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</si>
  <si>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</si>
  <si>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</si>
  <si>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</si>
  <si>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</si>
  <si>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</si>
  <si>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</si>
  <si>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</si>
  <si>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</si>
  <si>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</si>
  <si>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</si>
  <si>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</si>
  <si>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</si>
  <si>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</si>
  <si>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</si>
  <si>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</si>
  <si>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</si>
  <si>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</si>
  <si>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</si>
  <si>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</si>
  <si>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</si>
  <si>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</si>
  <si>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</si>
  <si>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</si>
  <si>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</si>
  <si>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</si>
  <si>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</si>
  <si>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</si>
  <si>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</si>
  <si>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</si>
  <si>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</si>
  <si>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</si>
  <si>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</si>
  <si>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</si>
  <si>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</si>
  <si>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</si>
  <si>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</si>
  <si>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</si>
  <si>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</si>
  <si>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</si>
  <si>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</si>
  <si>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</si>
  <si>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</si>
  <si>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</si>
  <si>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</si>
  <si>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</si>
  <si>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</si>
  <si>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</si>
  <si>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</si>
  <si>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</si>
  <si>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</si>
  <si>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</si>
  <si>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</si>
  <si>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</si>
  <si>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</si>
  <si>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</si>
  <si>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</si>
  <si>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</si>
  <si>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</si>
  <si>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</si>
  <si>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</si>
  <si>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</si>
  <si>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</si>
  <si>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</si>
  <si>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</si>
  <si>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</si>
  <si>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</si>
  <si>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</si>
  <si>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</si>
  <si>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</si>
  <si>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</si>
  <si>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</si>
  <si>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</si>
  <si>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</si>
  <si>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</si>
  <si>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</si>
  <si>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</si>
  <si>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</si>
  <si>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</si>
  <si>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</si>
  <si>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</si>
  <si>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</si>
  <si>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</si>
  <si>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</si>
  <si>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</si>
  <si>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</si>
  <si>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</si>
  <si>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</si>
  <si>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</si>
  <si>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</si>
  <si>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</si>
  <si>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</si>
  <si>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</si>
  <si>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</si>
  <si>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</si>
  <si>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</si>
  <si>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</si>
  <si>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</si>
  <si>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</si>
  <si>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</si>
  <si>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</si>
  <si>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</si>
  <si>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</si>
  <si>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</si>
  <si>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</si>
  <si>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</si>
  <si>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</si>
  <si>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</si>
  <si>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</si>
  <si>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</si>
  <si>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</si>
  <si>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</si>
  <si>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</si>
  <si>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</si>
  <si>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</si>
  <si>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</si>
  <si>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</si>
  <si>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ETAPA 01: ELABORAÇÃO DA SONDAGEM</t>
  </si>
  <si>
    <t>ETAPA 02: ELABORAÇÃO DOS ESTUDOS DE VIABILIDADE</t>
  </si>
  <si>
    <t>IETAPA 02: ESTUDO DE VIABILIDADE</t>
  </si>
  <si>
    <t>ETAPA 01: ESTUDOS GEOTÉCNICOS</t>
  </si>
  <si>
    <t>ESTUDOS TOPOGRÁFICOS E GOTÉCNICOS</t>
  </si>
  <si>
    <t>ESTUDOS TOPOGRÁFICOS E GEOTÉCNICOS</t>
  </si>
  <si>
    <t>OBJETO: ELABORAÇÃO DE PROJETOS EXECUTIVOS, PARA CONSTRUÇÃO DE BARREIROS DE ACUMULAÇÃO: LOTE 01 - 69 BARREIROS NOS MUNICIPIOS DE CANINDÉ DO SÃO FRANCISCO E POÇO REDONDO</t>
  </si>
  <si>
    <t>2.0</t>
  </si>
  <si>
    <t>VEÍCULO PICK-UP CABINE DUPLA 4X4 (163 CV)</t>
  </si>
  <si>
    <t>VEÍCULO PARA A FISCALIZAÇÃO DO CONTRATO</t>
  </si>
  <si>
    <t>mês</t>
  </si>
  <si>
    <t>P1</t>
  </si>
  <si>
    <t>Categoria</t>
  </si>
  <si>
    <t>P3</t>
  </si>
  <si>
    <t>T2</t>
  </si>
  <si>
    <t>Tempo de Formação
(anos)</t>
  </si>
  <si>
    <t>10 &lt; T &lt; 15</t>
  </si>
  <si>
    <t>4 &lt; T &lt; 8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</si>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</sst>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9" xfId="38" applyFont="1" applyBorder="1" applyAlignment="1">
      <alignment horizontal="left" vertical="center"/>
    </xf>
    <xf numFmtId="170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6" fontId="12" fillId="0" borderId="25" xfId="44" applyNumberFormat="1" applyFont="1" applyBorder="1" applyAlignment="1">
      <alignment horizontal="center" vertical="center"/>
    </xf>
    <xf numFmtId="169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5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4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5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5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5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7" fontId="12" fillId="0" borderId="28" xfId="41" applyNumberFormat="1" applyFont="1" applyBorder="1" applyAlignment="1">
      <alignment horizontal="right" vertical="center"/>
    </xf>
    <xf numFmtId="167" fontId="12" fillId="0" borderId="47" xfId="41" applyNumberFormat="1" applyFont="1" applyBorder="1" applyAlignment="1">
      <alignment horizontal="right" vertical="center"/>
    </xf>
    <xf numFmtId="168" fontId="22" fillId="0" borderId="47" xfId="41" applyNumberFormat="1" applyFont="1" applyBorder="1" applyAlignment="1">
      <alignment horizontal="right" vertical="center"/>
    </xf>
    <xf numFmtId="168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6" fontId="12" fillId="0" borderId="33" xfId="44" applyNumberFormat="1" applyFont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5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4" fontId="29" fillId="0" borderId="15" xfId="38" applyFont="1" applyBorder="1" applyAlignment="1">
      <alignment horizontal="left" vertical="center"/>
    </xf>
    <xf numFmtId="170" fontId="29" fillId="0" borderId="31" xfId="38" applyNumberFormat="1" applyFont="1" applyBorder="1" applyAlignment="1">
      <alignment horizontal="center" vertical="center"/>
    </xf>
    <xf numFmtId="164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4" fontId="30" fillId="23" borderId="81" xfId="38" applyFont="1" applyFill="1" applyBorder="1" applyAlignment="1">
      <alignment horizontal="left" vertical="center"/>
    </xf>
    <xf numFmtId="164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4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4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4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6" fontId="12" fillId="24" borderId="25" xfId="44" applyNumberFormat="1" applyFont="1" applyFill="1" applyBorder="1" applyAlignment="1">
      <alignment horizontal="center" vertical="center"/>
    </xf>
    <xf numFmtId="169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40" fontId="12" fillId="0" borderId="31" xfId="48" applyFont="1" applyFill="1" applyBorder="1" applyAlignment="1" applyProtection="1">
      <alignment horizontal="center" vertical="center"/>
      <protection locked="0"/>
    </xf>
    <xf numFmtId="40" fontId="12" fillId="0" borderId="84" xfId="48" applyFont="1" applyBorder="1" applyAlignment="1" applyProtection="1">
      <alignment horizontal="right" vertical="center"/>
      <protection locked="0"/>
    </xf>
    <xf numFmtId="165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40" fontId="12" fillId="0" borderId="28" xfId="48" applyFont="1" applyFill="1" applyBorder="1" applyAlignment="1" applyProtection="1">
      <alignment vertical="center"/>
    </xf>
    <xf numFmtId="0" fontId="20" fillId="0" borderId="24" xfId="42" applyFont="1" applyBorder="1" applyAlignment="1">
      <alignment vertical="center"/>
    </xf>
    <xf numFmtId="4" fontId="12" fillId="0" borderId="84" xfId="0" applyNumberFormat="1" applyFont="1" applyBorder="1" applyAlignment="1">
      <alignment horizontal="center" vertical="center" wrapText="1"/>
    </xf>
    <xf numFmtId="165" fontId="29" fillId="0" borderId="84" xfId="38" applyNumberFormat="1" applyFont="1" applyFill="1" applyBorder="1" applyAlignment="1" applyProtection="1">
      <alignment horizontal="center" vertical="center"/>
      <protection locked="0"/>
    </xf>
    <xf numFmtId="170" fontId="29" fillId="0" borderId="84" xfId="38" applyNumberFormat="1" applyFont="1" applyBorder="1" applyAlignment="1">
      <alignment horizontal="center" vertical="center"/>
    </xf>
    <xf numFmtId="0" fontId="12" fillId="0" borderId="0" xfId="42" applyFont="1" applyAlignment="1">
      <alignment horizontal="left" vertical="center"/>
    </xf>
    <xf numFmtId="0" fontId="20" fillId="0" borderId="0" xfId="42" applyFont="1" applyAlignment="1">
      <alignment horizontal="left" vertical="center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4" fontId="12" fillId="0" borderId="37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12" fillId="0" borderId="38" xfId="0" applyFont="1" applyFill="1" applyBorder="1" applyAlignment="1">
      <alignment horizontal="left" vertical="center" indent="2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5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5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165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165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30" xfId="42" applyFont="1" applyBorder="1" applyAlignment="1">
      <alignment horizontal="center" vertical="center" wrapText="1"/>
    </xf>
    <xf numFmtId="0" fontId="22" fillId="23" borderId="68" xfId="42" applyFont="1" applyFill="1" applyBorder="1" applyAlignment="1">
      <alignment horizontal="right" vertical="center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1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12" fillId="0" borderId="31" xfId="44" applyNumberFormat="1" applyFont="1" applyBorder="1" applyAlignment="1">
      <alignment horizontal="right" vertical="center"/>
    </xf>
    <xf numFmtId="169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69" fontId="12" fillId="24" borderId="33" xfId="44" applyNumberFormat="1" applyFont="1" applyFill="1" applyBorder="1" applyAlignment="1">
      <alignment horizontal="right" vertical="center"/>
    </xf>
    <xf numFmtId="169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69" fontId="12" fillId="24" borderId="31" xfId="44" applyNumberFormat="1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1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 vertical="center" wrapText="1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12" fillId="0" borderId="31" xfId="43" applyFont="1" applyBorder="1" applyAlignment="1">
      <alignment horizontal="left" vertical="top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/>
    </xf>
    <xf numFmtId="0" fontId="22" fillId="0" borderId="23" xfId="43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22" fillId="0" borderId="30" xfId="43" applyFont="1" applyBorder="1" applyAlignment="1">
      <alignment horizontal="left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view="pageBreakPreview" zoomScaleNormal="100" zoomScaleSheetLayoutView="100" workbookViewId="0">
      <selection activeCell="N32" sqref="N32:O32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50" t="s">
        <v>2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356" t="s">
        <v>3</v>
      </c>
      <c r="O5" s="357"/>
    </row>
    <row r="6" spans="1:15" ht="18.75" thickTop="1" x14ac:dyDescent="0.25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5"/>
      <c r="N6" s="358" t="s">
        <v>4</v>
      </c>
      <c r="O6" s="359"/>
    </row>
    <row r="7" spans="1:15" ht="12.75" x14ac:dyDescent="0.2">
      <c r="A7" s="360" t="s">
        <v>5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61" t="s">
        <v>219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3"/>
      <c r="O9" s="278" t="s">
        <v>6</v>
      </c>
    </row>
    <row r="10" spans="1:15" ht="12.75" x14ac:dyDescent="0.2">
      <c r="A10" s="364"/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6"/>
      <c r="O10" s="284"/>
    </row>
    <row r="11" spans="1:15" ht="12.75" x14ac:dyDescent="0.2">
      <c r="A11" s="364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6"/>
      <c r="O11" s="284"/>
    </row>
    <row r="12" spans="1:15" ht="12.75" x14ac:dyDescent="0.2">
      <c r="A12" s="367"/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9"/>
      <c r="O12" s="279"/>
    </row>
    <row r="13" spans="1:15" ht="12.75" x14ac:dyDescent="0.2">
      <c r="A13" s="375" t="s">
        <v>7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6"/>
    </row>
    <row r="14" spans="1:15" ht="12.75" x14ac:dyDescent="0.2">
      <c r="A14" s="346" t="s">
        <v>196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7">
        <f>N16+N19+N22+N23</f>
        <v>143243.57999999999</v>
      </c>
      <c r="O14" s="347"/>
    </row>
    <row r="15" spans="1:15" ht="12.75" x14ac:dyDescent="0.2">
      <c r="A15" s="349" t="s">
        <v>8</v>
      </c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</row>
    <row r="16" spans="1:15" ht="12.75" x14ac:dyDescent="0.2">
      <c r="A16" s="341" t="s">
        <v>9</v>
      </c>
      <c r="B16" s="341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7">
        <f>SUM(N17:O18)</f>
        <v>66975.48</v>
      </c>
      <c r="O16" s="347"/>
    </row>
    <row r="17" spans="1:15" ht="12.75" x14ac:dyDescent="0.2">
      <c r="A17" s="348" t="s">
        <v>10</v>
      </c>
      <c r="B17" s="348"/>
      <c r="C17" s="348"/>
      <c r="D17" s="348"/>
      <c r="E17" s="348"/>
      <c r="F17" s="348"/>
      <c r="G17" s="348"/>
      <c r="H17" s="348"/>
      <c r="I17" s="348"/>
      <c r="J17" s="348"/>
      <c r="K17" s="348"/>
      <c r="L17" s="348"/>
      <c r="M17" s="348"/>
      <c r="N17" s="342">
        <f>'PFS_I Equipe'!E28</f>
        <v>66975.48</v>
      </c>
      <c r="O17" s="342"/>
    </row>
    <row r="18" spans="1:15" ht="12.75" x14ac:dyDescent="0.2">
      <c r="A18" s="348" t="s">
        <v>11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2">
        <f>'PFS_I Equipe'!F28</f>
        <v>0</v>
      </c>
      <c r="O18" s="342"/>
    </row>
    <row r="19" spans="1:15" s="3" customFormat="1" ht="12.75" x14ac:dyDescent="0.2">
      <c r="A19" s="341" t="s">
        <v>12</v>
      </c>
      <c r="B19" s="341"/>
      <c r="C19" s="341"/>
      <c r="D19" s="341"/>
      <c r="E19" s="341"/>
      <c r="F19" s="341"/>
      <c r="G19" s="341"/>
      <c r="H19" s="341"/>
      <c r="I19" s="341"/>
      <c r="J19" s="341"/>
      <c r="K19" s="341"/>
      <c r="L19" s="341"/>
      <c r="M19" s="341"/>
      <c r="N19" s="347">
        <f>SUM(N20:O21)</f>
        <v>49280.55</v>
      </c>
      <c r="O19" s="347"/>
    </row>
    <row r="20" spans="1:15" ht="12.75" x14ac:dyDescent="0.2">
      <c r="A20" s="348" t="str">
        <f>"B1 -  "&amp;TEXT('PFS_VIII Det_ Enc_ Soc_'!F50,"#,00%")&amp;" INCIDENTE SOBRE O ITEM  A1"</f>
        <v>B1 -  73,58% INCIDENTE SOBRE O ITEM  A1</v>
      </c>
      <c r="B20" s="348"/>
      <c r="C20" s="348"/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342">
        <f>'PFS_I Equipe'!G28</f>
        <v>49280.55</v>
      </c>
      <c r="O20" s="342"/>
    </row>
    <row r="21" spans="1:15" ht="12.75" x14ac:dyDescent="0.2">
      <c r="A21" s="348" t="s">
        <v>13</v>
      </c>
      <c r="B21" s="348"/>
      <c r="C21" s="348"/>
      <c r="D21" s="348"/>
      <c r="E21" s="348"/>
      <c r="F21" s="348"/>
      <c r="G21" s="348"/>
      <c r="H21" s="348"/>
      <c r="I21" s="348"/>
      <c r="J21" s="348"/>
      <c r="K21" s="348"/>
      <c r="L21" s="348"/>
      <c r="M21" s="348"/>
      <c r="N21" s="342">
        <f>'PFS_I Equipe'!H28</f>
        <v>0</v>
      </c>
      <c r="O21" s="342"/>
    </row>
    <row r="22" spans="1:15" ht="12.75" x14ac:dyDescent="0.2">
      <c r="A22" s="341" t="s">
        <v>14</v>
      </c>
      <c r="B22" s="341"/>
      <c r="C22" s="341"/>
      <c r="D22" s="341"/>
      <c r="E22" s="341"/>
      <c r="F22" s="341"/>
      <c r="G22" s="341"/>
      <c r="H22" s="341"/>
      <c r="I22" s="341"/>
      <c r="J22" s="341"/>
      <c r="K22" s="341"/>
      <c r="L22" s="341"/>
      <c r="M22" s="341"/>
      <c r="N22" s="342">
        <f>'PFS_II Desp Viagens'!$L$22</f>
        <v>7200</v>
      </c>
      <c r="O22" s="342"/>
    </row>
    <row r="23" spans="1:15" ht="12.75" x14ac:dyDescent="0.2">
      <c r="A23" s="341" t="s">
        <v>15</v>
      </c>
      <c r="B23" s="341"/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1"/>
      <c r="N23" s="345">
        <f>'PFS_III Ser Graf'!G29</f>
        <v>19787.55</v>
      </c>
      <c r="O23" s="345"/>
    </row>
    <row r="24" spans="1:15" ht="12.75" x14ac:dyDescent="0.2">
      <c r="A24" s="339" t="s">
        <v>183</v>
      </c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40">
        <f>SUM(N25:O27)</f>
        <v>61988.134999999995</v>
      </c>
      <c r="O24" s="340"/>
    </row>
    <row r="25" spans="1:15" ht="12.75" x14ac:dyDescent="0.2">
      <c r="A25" s="341" t="str">
        <f>"F -  CUSTO DE ADMINISTRAÇÃO - ("&amp;TEXT('PFS_VI_ Det_ Custos Adm_'!F42,"#,00%")&amp;" DO ITEM A) (PFS-VI)"</f>
        <v>F -  CUSTO DE ADMINISTRAÇÃO - (25,00% DO ITEM A) (PFS-VI)</v>
      </c>
      <c r="B25" s="341"/>
      <c r="C25" s="341"/>
      <c r="D25" s="341"/>
      <c r="E25" s="341"/>
      <c r="F25" s="341"/>
      <c r="G25" s="341"/>
      <c r="H25" s="341"/>
      <c r="I25" s="341"/>
      <c r="J25" s="341"/>
      <c r="K25" s="341"/>
      <c r="L25" s="341"/>
      <c r="M25" s="341"/>
      <c r="N25" s="342">
        <f>'PFS_VI_ Det_ Custos Adm_'!G42</f>
        <v>16743.87</v>
      </c>
      <c r="O25" s="342"/>
    </row>
    <row r="26" spans="1:15" ht="12.75" x14ac:dyDescent="0.2">
      <c r="A26" s="341" t="s">
        <v>197</v>
      </c>
      <c r="B26" s="341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5">
        <f>(N16+N19+N22+N23+N25)*0.1</f>
        <v>15998.744999999999</v>
      </c>
      <c r="O26" s="345"/>
    </row>
    <row r="27" spans="1:15" ht="12.75" x14ac:dyDescent="0.2">
      <c r="A27" s="341" t="str">
        <f>"H - DESPESAS FISCAIS - ("&amp;TEXT('PFS_VII Det_ Desp Fiscais'!G43/100,"#,00%")&amp;" = DF' DOS ITENS A+B+C+D+F+G) (PFS-VII)"</f>
        <v>H - DESPESAS FISCAIS - (16,62% = DF' DOS ITENS A+B+C+D+F+G) (PFS-VII)</v>
      </c>
      <c r="B27" s="341"/>
      <c r="C27" s="341"/>
      <c r="D27" s="341"/>
      <c r="E27" s="341"/>
      <c r="F27" s="341"/>
      <c r="G27" s="341"/>
      <c r="H27" s="341"/>
      <c r="I27" s="341"/>
      <c r="J27" s="341"/>
      <c r="K27" s="341"/>
      <c r="L27" s="341"/>
      <c r="M27" s="341"/>
      <c r="N27" s="342">
        <f>ROUND('PFS_VII Det_ Desp Fiscais'!G43/100*(N14+N25+N26),2)</f>
        <v>29245.52</v>
      </c>
      <c r="O27" s="342"/>
    </row>
    <row r="28" spans="1:15" s="292" customFormat="1" ht="12.75" x14ac:dyDescent="0.2">
      <c r="A28" s="370"/>
      <c r="B28" s="371"/>
      <c r="C28" s="371"/>
      <c r="D28" s="371"/>
      <c r="E28" s="371"/>
      <c r="F28" s="371"/>
      <c r="G28" s="371"/>
      <c r="H28" s="371"/>
      <c r="I28" s="371"/>
      <c r="J28" s="371"/>
      <c r="K28" s="371"/>
      <c r="L28" s="371"/>
      <c r="M28" s="371"/>
      <c r="N28" s="371"/>
      <c r="O28" s="372"/>
    </row>
    <row r="29" spans="1:15" ht="12.75" x14ac:dyDescent="0.2">
      <c r="A29" s="346" t="s">
        <v>198</v>
      </c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6"/>
      <c r="N29" s="347">
        <f>N30</f>
        <v>316665.73</v>
      </c>
      <c r="O29" s="347"/>
    </row>
    <row r="30" spans="1:15" ht="12.75" x14ac:dyDescent="0.2">
      <c r="A30" s="377" t="s">
        <v>195</v>
      </c>
      <c r="B30" s="377"/>
      <c r="C30" s="377"/>
      <c r="D30" s="377"/>
      <c r="E30" s="377"/>
      <c r="F30" s="377"/>
      <c r="G30" s="377"/>
      <c r="H30" s="377"/>
      <c r="I30" s="377"/>
      <c r="J30" s="377"/>
      <c r="K30" s="377"/>
      <c r="L30" s="377"/>
      <c r="M30" s="377"/>
      <c r="N30" s="378">
        <f>'PFS_IV Serv. top, Geo e Fisc.'!$I$25</f>
        <v>316665.73</v>
      </c>
      <c r="O30" s="378"/>
    </row>
    <row r="31" spans="1:15" s="292" customFormat="1" ht="12.75" x14ac:dyDescent="0.2">
      <c r="A31" s="370"/>
      <c r="B31" s="371"/>
      <c r="C31" s="371"/>
      <c r="D31" s="371"/>
      <c r="E31" s="371"/>
      <c r="F31" s="371"/>
      <c r="G31" s="371"/>
      <c r="H31" s="371"/>
      <c r="I31" s="371"/>
      <c r="J31" s="371"/>
      <c r="K31" s="371"/>
      <c r="L31" s="371"/>
      <c r="M31" s="371"/>
      <c r="N31" s="371"/>
      <c r="O31" s="372"/>
    </row>
    <row r="32" spans="1:15" ht="12.75" x14ac:dyDescent="0.2">
      <c r="A32" s="373" t="s">
        <v>16</v>
      </c>
      <c r="B32" s="373"/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M32" s="373"/>
      <c r="N32" s="374">
        <f>ROUND(N14+N29+N24,2)</f>
        <v>521897.45</v>
      </c>
      <c r="O32" s="374"/>
    </row>
    <row r="33" spans="1:15" ht="12.75" x14ac:dyDescent="0.2">
      <c r="A33" s="332" t="s">
        <v>143</v>
      </c>
      <c r="B33" s="333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4">
        <f>ROUND((N32)/69,2)</f>
        <v>7563.73</v>
      </c>
      <c r="O33" s="335"/>
    </row>
    <row r="34" spans="1:15" ht="12.75" x14ac:dyDescent="0.2">
      <c r="A34" s="321" t="s">
        <v>17</v>
      </c>
      <c r="B34" s="321"/>
      <c r="C34" s="321"/>
      <c r="D34" s="321"/>
      <c r="E34" s="321"/>
      <c r="F34" s="321"/>
      <c r="G34" s="321"/>
      <c r="H34" s="321"/>
      <c r="I34" s="321"/>
      <c r="J34" s="322" t="s">
        <v>18</v>
      </c>
      <c r="K34" s="322"/>
      <c r="L34" s="322"/>
      <c r="M34" s="322"/>
      <c r="N34" s="322"/>
      <c r="O34" s="322"/>
    </row>
    <row r="35" spans="1:15" ht="12.75" x14ac:dyDescent="0.2">
      <c r="A35" s="323"/>
      <c r="B35" s="323"/>
      <c r="C35" s="323"/>
      <c r="D35" s="323"/>
      <c r="E35" s="323"/>
      <c r="F35" s="323"/>
      <c r="G35" s="323"/>
      <c r="H35" s="323"/>
      <c r="I35" s="323"/>
      <c r="J35" s="280"/>
      <c r="K35" s="4"/>
      <c r="L35" s="4"/>
      <c r="M35" s="4"/>
      <c r="N35" s="4"/>
      <c r="O35" s="5"/>
    </row>
    <row r="36" spans="1:15" s="2" customFormat="1" ht="12.75" x14ac:dyDescent="0.2">
      <c r="A36" s="324" t="s">
        <v>19</v>
      </c>
      <c r="B36" s="324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5" t="s">
        <v>20</v>
      </c>
      <c r="O36" s="325"/>
    </row>
    <row r="37" spans="1:15" s="2" customFormat="1" ht="12.75" x14ac:dyDescent="0.2">
      <c r="A37" s="343"/>
      <c r="B37" s="343"/>
      <c r="C37" s="343"/>
      <c r="D37" s="343"/>
      <c r="E37" s="343"/>
      <c r="F37" s="343"/>
      <c r="G37" s="343"/>
      <c r="H37" s="343"/>
      <c r="I37" s="343"/>
      <c r="J37" s="343"/>
      <c r="K37" s="343"/>
      <c r="L37" s="343"/>
      <c r="M37" s="343"/>
      <c r="N37" s="344"/>
      <c r="O37" s="344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26" t="s">
        <v>22</v>
      </c>
      <c r="B39" s="327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8"/>
    </row>
    <row r="40" spans="1:15" s="2" customFormat="1" x14ac:dyDescent="0.2">
      <c r="A40" s="326"/>
      <c r="B40" s="327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  <c r="O40" s="328"/>
    </row>
    <row r="41" spans="1:15" s="2" customFormat="1" ht="12.75" x14ac:dyDescent="0.2">
      <c r="A41" s="336" t="s">
        <v>23</v>
      </c>
      <c r="B41" s="337"/>
      <c r="C41" s="337"/>
      <c r="D41" s="337"/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8"/>
    </row>
    <row r="42" spans="1:15" s="2" customFormat="1" ht="12.75" x14ac:dyDescent="0.2">
      <c r="A42" s="329" t="str">
        <f>"2. ENCARGOS SOCIAIS DA EQUIPE COM VÍNCULO = "&amp;TEXT('PFS_VIII Det_ Enc_ Soc_'!F50,"#,00%")&amp;" SOBRE O SALÁRIO MENSAL"</f>
        <v>2. ENCARGOS SOCIAIS DA EQUIPE COM VÍNCULO = 73,58% SOBRE O SALÁRIO MENSAL</v>
      </c>
      <c r="B42" s="330"/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1"/>
    </row>
    <row r="43" spans="1:15" s="2" customFormat="1" ht="12.75" x14ac:dyDescent="0.2">
      <c r="A43" s="336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37"/>
      <c r="C43" s="337"/>
      <c r="D43" s="337"/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8"/>
    </row>
    <row r="44" spans="1:15" s="2" customFormat="1" x14ac:dyDescent="0.2">
      <c r="A44" s="315" t="s">
        <v>108</v>
      </c>
      <c r="B44" s="316"/>
      <c r="C44" s="316"/>
      <c r="D44" s="316"/>
      <c r="E44" s="316"/>
      <c r="F44" s="316"/>
      <c r="G44" s="316"/>
      <c r="H44" s="316"/>
      <c r="I44" s="316"/>
      <c r="J44" s="316"/>
      <c r="K44" s="316"/>
      <c r="L44" s="316"/>
      <c r="M44" s="316"/>
      <c r="N44" s="316"/>
      <c r="O44" s="317"/>
    </row>
    <row r="45" spans="1:15" s="2" customFormat="1" x14ac:dyDescent="0.2">
      <c r="A45" s="315"/>
      <c r="B45" s="316"/>
      <c r="C45" s="316"/>
      <c r="D45" s="316"/>
      <c r="E45" s="316"/>
      <c r="F45" s="316"/>
      <c r="G45" s="316"/>
      <c r="H45" s="316"/>
      <c r="I45" s="316"/>
      <c r="J45" s="316"/>
      <c r="K45" s="316"/>
      <c r="L45" s="316"/>
      <c r="M45" s="316"/>
      <c r="N45" s="316"/>
      <c r="O45" s="317"/>
    </row>
    <row r="46" spans="1:15" ht="12.75" x14ac:dyDescent="0.2">
      <c r="A46" s="329" t="s">
        <v>150</v>
      </c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1"/>
    </row>
    <row r="47" spans="1:15" ht="12.75" x14ac:dyDescent="0.2">
      <c r="A47" s="329" t="s">
        <v>151</v>
      </c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1"/>
    </row>
    <row r="48" spans="1:15" ht="12.75" x14ac:dyDescent="0.2">
      <c r="A48" s="318" t="s">
        <v>152</v>
      </c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N48" s="319"/>
      <c r="O48" s="320"/>
    </row>
    <row r="49" spans="1:15" ht="12.75" x14ac:dyDescent="0.2">
      <c r="A49" s="318" t="s">
        <v>153</v>
      </c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320"/>
    </row>
    <row r="50" spans="1:15" ht="12.75" x14ac:dyDescent="0.2">
      <c r="A50" s="318" t="s">
        <v>154</v>
      </c>
      <c r="B50" s="319"/>
      <c r="C50" s="319"/>
      <c r="D50" s="319"/>
      <c r="E50" s="319"/>
      <c r="F50" s="319"/>
      <c r="G50" s="319"/>
      <c r="H50" s="319"/>
      <c r="I50" s="319"/>
      <c r="J50" s="319"/>
      <c r="K50" s="319"/>
      <c r="L50" s="319"/>
      <c r="M50" s="319"/>
      <c r="N50" s="319"/>
      <c r="O50" s="320"/>
    </row>
    <row r="51" spans="1:15" x14ac:dyDescent="0.2">
      <c r="A51" s="315" t="s">
        <v>155</v>
      </c>
      <c r="B51" s="316"/>
      <c r="C51" s="316"/>
      <c r="D51" s="316"/>
      <c r="E51" s="316"/>
      <c r="F51" s="316"/>
      <c r="G51" s="316"/>
      <c r="H51" s="316"/>
      <c r="I51" s="316"/>
      <c r="J51" s="316"/>
      <c r="K51" s="316"/>
      <c r="L51" s="316"/>
      <c r="M51" s="316"/>
      <c r="N51" s="316"/>
      <c r="O51" s="317"/>
    </row>
    <row r="52" spans="1:15" x14ac:dyDescent="0.2">
      <c r="A52" s="315"/>
      <c r="B52" s="316"/>
      <c r="C52" s="316"/>
      <c r="D52" s="316"/>
      <c r="E52" s="316"/>
      <c r="F52" s="316"/>
      <c r="G52" s="316"/>
      <c r="H52" s="316"/>
      <c r="I52" s="316"/>
      <c r="J52" s="316"/>
      <c r="K52" s="316"/>
      <c r="L52" s="316"/>
      <c r="M52" s="316"/>
      <c r="N52" s="316"/>
      <c r="O52" s="317"/>
    </row>
    <row r="53" spans="1:15" ht="41.25" customHeight="1" thickBot="1" x14ac:dyDescent="0.25">
      <c r="A53" s="312" t="s">
        <v>199</v>
      </c>
      <c r="B53" s="31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4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44" t="s">
        <v>0</v>
      </c>
      <c r="C1" s="644"/>
      <c r="D1" s="644"/>
      <c r="E1" s="644"/>
      <c r="F1" s="644"/>
    </row>
    <row r="2" spans="1:6" s="80" customFormat="1" ht="11.25" x14ac:dyDescent="0.2">
      <c r="A2" s="17"/>
      <c r="B2" s="645" t="s">
        <v>1</v>
      </c>
      <c r="C2" s="645"/>
      <c r="D2" s="645"/>
      <c r="E2" s="645"/>
      <c r="F2" s="645"/>
    </row>
    <row r="3" spans="1:6" s="80" customFormat="1" ht="11.25" x14ac:dyDescent="0.2">
      <c r="A3" s="17"/>
      <c r="B3" s="645" t="s">
        <v>145</v>
      </c>
      <c r="C3" s="645"/>
      <c r="D3" s="645"/>
      <c r="E3" s="645"/>
      <c r="F3" s="645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6" t="s">
        <v>234</v>
      </c>
      <c r="B5" s="646"/>
      <c r="C5" s="646"/>
      <c r="D5" s="646"/>
      <c r="E5" s="646"/>
      <c r="F5" s="646"/>
    </row>
    <row r="8" spans="1:6" ht="38.25" x14ac:dyDescent="0.2">
      <c r="A8" s="81" t="s">
        <v>119</v>
      </c>
      <c r="B8" s="83" t="s">
        <v>225</v>
      </c>
      <c r="C8" s="82" t="s">
        <v>228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224</v>
      </c>
      <c r="C9" s="74" t="s">
        <v>229</v>
      </c>
      <c r="D9" s="74">
        <v>64.099999999999994</v>
      </c>
      <c r="E9" s="75">
        <v>176</v>
      </c>
      <c r="F9" s="74">
        <f>D9*E9</f>
        <v>11281.599999999999</v>
      </c>
    </row>
    <row r="10" spans="1:6" x14ac:dyDescent="0.2">
      <c r="A10" s="30" t="s">
        <v>118</v>
      </c>
      <c r="B10" s="31" t="s">
        <v>226</v>
      </c>
      <c r="C10" s="74" t="s">
        <v>230</v>
      </c>
      <c r="D10" s="74">
        <v>38.57</v>
      </c>
      <c r="E10" s="75">
        <v>176</v>
      </c>
      <c r="F10" s="74">
        <f t="shared" ref="F10:F12" si="0">D10*E10</f>
        <v>6788.32</v>
      </c>
    </row>
    <row r="11" spans="1:6" x14ac:dyDescent="0.2">
      <c r="A11" s="30" t="s">
        <v>117</v>
      </c>
      <c r="B11" s="31" t="s">
        <v>227</v>
      </c>
      <c r="C11" s="74" t="s">
        <v>231</v>
      </c>
      <c r="D11" s="74">
        <v>13.97</v>
      </c>
      <c r="E11" s="75">
        <v>176</v>
      </c>
      <c r="F11" s="74">
        <f t="shared" si="0"/>
        <v>2458.7200000000003</v>
      </c>
    </row>
    <row r="12" spans="1:6" x14ac:dyDescent="0.2">
      <c r="A12" s="30" t="s">
        <v>116</v>
      </c>
      <c r="B12" s="31" t="s">
        <v>29</v>
      </c>
      <c r="C12" s="74" t="s">
        <v>232</v>
      </c>
      <c r="D12" s="74">
        <v>10.61</v>
      </c>
      <c r="E12" s="75">
        <v>176</v>
      </c>
      <c r="F12" s="74">
        <f t="shared" si="0"/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Normal="100" zoomScaleSheetLayoutView="100" workbookViewId="0">
      <selection activeCell="D20" sqref="D20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4.5703125" style="9" bestFit="1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92" t="s">
        <v>0</v>
      </c>
      <c r="C1" s="392"/>
      <c r="D1" s="392"/>
      <c r="E1" s="392"/>
      <c r="F1" s="392"/>
      <c r="G1" s="392"/>
      <c r="H1" s="392"/>
      <c r="I1" s="392"/>
    </row>
    <row r="2" spans="1:9" s="274" customFormat="1" x14ac:dyDescent="0.2">
      <c r="A2" s="7"/>
      <c r="B2" s="393" t="s">
        <v>1</v>
      </c>
      <c r="C2" s="393"/>
      <c r="D2" s="393"/>
      <c r="E2" s="393"/>
      <c r="F2" s="393"/>
      <c r="G2" s="393"/>
      <c r="H2" s="393"/>
      <c r="I2" s="393"/>
    </row>
    <row r="3" spans="1:9" s="274" customFormat="1" x14ac:dyDescent="0.2">
      <c r="A3" s="7"/>
      <c r="B3" s="394" t="s">
        <v>145</v>
      </c>
      <c r="C3" s="394"/>
      <c r="D3" s="394"/>
      <c r="E3" s="394"/>
      <c r="F3" s="394"/>
      <c r="G3" s="394"/>
      <c r="H3" s="394"/>
      <c r="I3" s="394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9" t="s">
        <v>24</v>
      </c>
      <c r="B5" s="380"/>
      <c r="C5" s="380"/>
      <c r="D5" s="380"/>
      <c r="E5" s="380"/>
      <c r="F5" s="380"/>
      <c r="G5" s="380"/>
      <c r="H5" s="381"/>
      <c r="I5" s="172" t="s">
        <v>3</v>
      </c>
    </row>
    <row r="6" spans="1:9" s="274" customFormat="1" ht="18.75" thickTop="1" x14ac:dyDescent="0.2">
      <c r="A6" s="382"/>
      <c r="B6" s="383"/>
      <c r="C6" s="383"/>
      <c r="D6" s="383"/>
      <c r="E6" s="383"/>
      <c r="F6" s="383"/>
      <c r="G6" s="383"/>
      <c r="H6" s="384"/>
      <c r="I6" s="173" t="s">
        <v>25</v>
      </c>
    </row>
    <row r="7" spans="1:9" s="274" customFormat="1" ht="12.75" x14ac:dyDescent="0.2">
      <c r="A7" s="385" t="s">
        <v>5</v>
      </c>
      <c r="B7" s="385"/>
      <c r="C7" s="385"/>
      <c r="D7" s="385"/>
      <c r="E7" s="385"/>
      <c r="F7" s="385"/>
      <c r="G7" s="385"/>
      <c r="H7" s="385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6" t="str">
        <f>PFS!A9</f>
        <v>OBJETO: ELABORAÇÃO DE PROJETOS EXECUTIVOS, PARA CONSTRUÇÃO DE BARREIROS DE ACUMULAÇÃO: LOTE 01 - 69 BARREIROS NOS MUNICIPIOS DE CANINDÉ DO SÃO FRANCISCO E POÇO REDONDO</v>
      </c>
      <c r="B9" s="387"/>
      <c r="C9" s="387"/>
      <c r="D9" s="387"/>
      <c r="E9" s="387"/>
      <c r="F9" s="387"/>
      <c r="G9" s="387"/>
      <c r="H9" s="388"/>
      <c r="I9" s="215" t="s">
        <v>6</v>
      </c>
    </row>
    <row r="10" spans="1:9" s="274" customFormat="1" ht="12.75" x14ac:dyDescent="0.2">
      <c r="A10" s="389"/>
      <c r="B10" s="390"/>
      <c r="C10" s="390"/>
      <c r="D10" s="390"/>
      <c r="E10" s="390"/>
      <c r="F10" s="390"/>
      <c r="G10" s="390"/>
      <c r="H10" s="391"/>
      <c r="I10" s="216"/>
    </row>
    <row r="11" spans="1:9" s="24" customFormat="1" ht="38.25" x14ac:dyDescent="0.2">
      <c r="A11" s="217" t="s">
        <v>26</v>
      </c>
      <c r="B11" s="218" t="s">
        <v>233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213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7" t="s">
        <v>229</v>
      </c>
      <c r="C13" s="302">
        <v>0.25</v>
      </c>
      <c r="D13" s="230">
        <f>SALARIOS!F9</f>
        <v>11281.599999999999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8"/>
      <c r="C14" s="301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9"/>
      <c r="C15" s="229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214</v>
      </c>
      <c r="B16" s="309"/>
      <c r="C16" s="229"/>
      <c r="D16" s="230"/>
      <c r="E16" s="230"/>
      <c r="F16" s="231"/>
      <c r="G16" s="232"/>
      <c r="H16" s="233"/>
      <c r="I16" s="234"/>
    </row>
    <row r="17" spans="1:9" s="274" customFormat="1" ht="12.75" x14ac:dyDescent="0.2">
      <c r="A17" s="226" t="s">
        <v>116</v>
      </c>
      <c r="B17" s="307" t="s">
        <v>232</v>
      </c>
      <c r="C17" s="229">
        <v>4</v>
      </c>
      <c r="D17" s="230">
        <f>SALARIOS!F12</f>
        <v>1867.36</v>
      </c>
      <c r="E17" s="230">
        <f t="shared" ref="E17:E20" si="2">ROUND(C17*D17,2)</f>
        <v>7469.44</v>
      </c>
      <c r="F17" s="231" t="s">
        <v>28</v>
      </c>
      <c r="G17" s="232">
        <f t="shared" ref="G17:G20" si="3">ROUND((C17*D17*I17),2)</f>
        <v>5496.01</v>
      </c>
      <c r="H17" s="233" t="s">
        <v>28</v>
      </c>
      <c r="I17" s="234">
        <f>'PFS_VIII Det_ Enc_ Soc_'!$F$50</f>
        <v>0.73580000000000001</v>
      </c>
    </row>
    <row r="18" spans="1:9" s="10" customFormat="1" ht="12.75" x14ac:dyDescent="0.2">
      <c r="A18" s="226" t="s">
        <v>117</v>
      </c>
      <c r="B18" s="307" t="s">
        <v>231</v>
      </c>
      <c r="C18" s="229">
        <v>4</v>
      </c>
      <c r="D18" s="230">
        <f>SALARIOS!F11</f>
        <v>2458.7200000000003</v>
      </c>
      <c r="E18" s="230">
        <f t="shared" si="2"/>
        <v>9834.8799999999992</v>
      </c>
      <c r="F18" s="231" t="s">
        <v>28</v>
      </c>
      <c r="G18" s="232">
        <f t="shared" si="3"/>
        <v>7236.5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7" t="s">
        <v>230</v>
      </c>
      <c r="C19" s="229">
        <v>2</v>
      </c>
      <c r="D19" s="230">
        <f>SALARIOS!F10</f>
        <v>6788.32</v>
      </c>
      <c r="E19" s="230">
        <f t="shared" si="2"/>
        <v>13576.64</v>
      </c>
      <c r="F19" s="231" t="s">
        <v>28</v>
      </c>
      <c r="G19" s="232">
        <f t="shared" si="3"/>
        <v>9989.69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7" t="s">
        <v>229</v>
      </c>
      <c r="C20" s="229">
        <v>2</v>
      </c>
      <c r="D20" s="230">
        <f>SALARIOS!F9</f>
        <v>11281.599999999999</v>
      </c>
      <c r="E20" s="230">
        <f t="shared" si="2"/>
        <v>22563.200000000001</v>
      </c>
      <c r="F20" s="231" t="s">
        <v>28</v>
      </c>
      <c r="G20" s="232">
        <f t="shared" si="3"/>
        <v>16602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9"/>
      <c r="C21" s="229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169</v>
      </c>
      <c r="B22" s="309"/>
      <c r="C22" s="229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7" t="s">
        <v>232</v>
      </c>
      <c r="C23" s="229">
        <v>2</v>
      </c>
      <c r="D23" s="230">
        <f>SALARIOS!F12</f>
        <v>1867.36</v>
      </c>
      <c r="E23" s="230">
        <f t="shared" ref="E23:E26" si="4">ROUND(C23*D23,2)</f>
        <v>3734.72</v>
      </c>
      <c r="F23" s="231" t="s">
        <v>28</v>
      </c>
      <c r="G23" s="232">
        <f t="shared" ref="G23:G26" si="5">ROUND((C23*D23*I23),2)</f>
        <v>2748.01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7" t="s">
        <v>231</v>
      </c>
      <c r="C24" s="229">
        <v>1</v>
      </c>
      <c r="D24" s="230">
        <f>SALARIOS!F11</f>
        <v>2458.7200000000003</v>
      </c>
      <c r="E24" s="230">
        <f t="shared" si="4"/>
        <v>2458.7199999999998</v>
      </c>
      <c r="F24" s="231" t="s">
        <v>28</v>
      </c>
      <c r="G24" s="232">
        <f t="shared" si="5"/>
        <v>1809.13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7" t="s">
        <v>230</v>
      </c>
      <c r="C25" s="229">
        <v>0.25</v>
      </c>
      <c r="D25" s="230">
        <f>SALARIOS!F10</f>
        <v>6788.32</v>
      </c>
      <c r="E25" s="230">
        <f t="shared" si="4"/>
        <v>1697.08</v>
      </c>
      <c r="F25" s="231" t="s">
        <v>28</v>
      </c>
      <c r="G25" s="232">
        <f t="shared" si="5"/>
        <v>1248.71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7" t="s">
        <v>229</v>
      </c>
      <c r="C26" s="229">
        <v>0.25</v>
      </c>
      <c r="D26" s="230">
        <f>SALARIOS!F9</f>
        <v>11281.599999999999</v>
      </c>
      <c r="E26" s="230">
        <f t="shared" si="4"/>
        <v>2820.4</v>
      </c>
      <c r="F26" s="231" t="s">
        <v>28</v>
      </c>
      <c r="G26" s="232">
        <f t="shared" si="5"/>
        <v>2075.25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66975.48</v>
      </c>
      <c r="F28" s="244">
        <f>SUM(F14:F27)</f>
        <v>0</v>
      </c>
      <c r="G28" s="245">
        <f>ROUND((SUM(G13:G27)),2)</f>
        <v>49280.55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E28" sqref="E28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416" t="s">
        <v>33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8"/>
      <c r="M6" s="422" t="s">
        <v>3</v>
      </c>
      <c r="N6" s="423"/>
    </row>
    <row r="7" spans="1:14" ht="18" x14ac:dyDescent="0.2">
      <c r="A7" s="419"/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1"/>
      <c r="M7" s="424" t="s">
        <v>34</v>
      </c>
      <c r="N7" s="425"/>
    </row>
    <row r="8" spans="1:14" ht="12.75" x14ac:dyDescent="0.2">
      <c r="A8" s="426" t="s">
        <v>5</v>
      </c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27" t="str">
        <f>PFS!A9</f>
        <v>OBJETO: ELABORAÇÃO DE PROJETOS EXECUTIVOS, PARA CONSTRUÇÃO DE BARREIROS DE ACUMULAÇÃO: LOTE 01 - 69 BARREIROS NOS MUNICIPIOS DE CANINDÉ DO SÃO FRANCISCO E POÇO REDONDO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8"/>
      <c r="M10" s="250" t="s">
        <v>6</v>
      </c>
      <c r="N10" s="251"/>
    </row>
    <row r="11" spans="1:14" ht="12.75" x14ac:dyDescent="0.2">
      <c r="A11" s="429"/>
      <c r="B11" s="429"/>
      <c r="C11" s="429"/>
      <c r="D11" s="429"/>
      <c r="E11" s="429"/>
      <c r="F11" s="429"/>
      <c r="G11" s="429"/>
      <c r="H11" s="429"/>
      <c r="I11" s="429"/>
      <c r="J11" s="429"/>
      <c r="K11" s="429"/>
      <c r="L11" s="430"/>
      <c r="M11" s="248"/>
      <c r="N11" s="252"/>
    </row>
    <row r="12" spans="1:14" ht="12.75" x14ac:dyDescent="0.2">
      <c r="A12" s="396" t="s">
        <v>35</v>
      </c>
      <c r="B12" s="397"/>
      <c r="C12" s="404" t="s">
        <v>113</v>
      </c>
      <c r="D12" s="404"/>
      <c r="E12" s="404"/>
      <c r="F12" s="404"/>
      <c r="G12" s="404"/>
      <c r="H12" s="405"/>
      <c r="I12" s="403" t="s">
        <v>114</v>
      </c>
      <c r="J12" s="404"/>
      <c r="K12" s="404"/>
      <c r="L12" s="404"/>
      <c r="M12" s="404"/>
      <c r="N12" s="404"/>
    </row>
    <row r="13" spans="1:14" ht="12.75" x14ac:dyDescent="0.2">
      <c r="A13" s="398"/>
      <c r="B13" s="399"/>
      <c r="C13" s="413" t="s">
        <v>36</v>
      </c>
      <c r="D13" s="413"/>
      <c r="E13" s="413"/>
      <c r="F13" s="413" t="s">
        <v>37</v>
      </c>
      <c r="G13" s="413"/>
      <c r="H13" s="414"/>
      <c r="I13" s="431" t="s">
        <v>36</v>
      </c>
      <c r="J13" s="413"/>
      <c r="K13" s="413"/>
      <c r="L13" s="413" t="s">
        <v>37</v>
      </c>
      <c r="M13" s="413"/>
      <c r="N13" s="432"/>
    </row>
    <row r="14" spans="1:14" ht="12.75" x14ac:dyDescent="0.2">
      <c r="A14" s="398"/>
      <c r="B14" s="399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06" t="s">
        <v>217</v>
      </c>
      <c r="B15" s="407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212</v>
      </c>
      <c r="B16" s="266"/>
      <c r="C16" s="267">
        <v>60</v>
      </c>
      <c r="D16" s="259">
        <v>60</v>
      </c>
      <c r="E16" s="110">
        <f t="shared" ref="E16" si="0">ROUND(C16*D16,2)</f>
        <v>3600</v>
      </c>
      <c r="F16" s="258"/>
      <c r="G16" s="110"/>
      <c r="H16" s="262"/>
      <c r="I16" s="258">
        <f>C16*2</f>
        <v>120</v>
      </c>
      <c r="J16" s="259">
        <v>30</v>
      </c>
      <c r="K16" s="260">
        <f>J16*I16</f>
        <v>3600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08" t="s">
        <v>41</v>
      </c>
      <c r="B21" s="409"/>
      <c r="C21" s="410">
        <f>SUM(E15:E20)</f>
        <v>3600</v>
      </c>
      <c r="D21" s="410"/>
      <c r="E21" s="411"/>
      <c r="F21" s="412">
        <f>SUM(H15:H20)</f>
        <v>0</v>
      </c>
      <c r="G21" s="410"/>
      <c r="H21" s="411"/>
      <c r="I21" s="402">
        <f>SUM(K15:K20)</f>
        <v>3600</v>
      </c>
      <c r="J21" s="402"/>
      <c r="K21" s="402"/>
      <c r="L21" s="402">
        <f>SUM(N15:N20)</f>
        <v>0</v>
      </c>
      <c r="M21" s="402"/>
      <c r="N21" s="415"/>
    </row>
    <row r="22" spans="1:14" ht="12.75" x14ac:dyDescent="0.2">
      <c r="A22" s="400" t="s">
        <v>42</v>
      </c>
      <c r="B22" s="400"/>
      <c r="C22" s="401"/>
      <c r="D22" s="401"/>
      <c r="E22" s="401"/>
      <c r="F22" s="401"/>
      <c r="G22" s="401"/>
      <c r="H22" s="401"/>
      <c r="I22" s="401"/>
      <c r="J22" s="401"/>
      <c r="K22" s="401"/>
      <c r="L22" s="395">
        <f>C21+F21+I21+L21</f>
        <v>7200</v>
      </c>
      <c r="M22" s="395"/>
      <c r="N22" s="395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D17" sqref="D17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42" t="s">
        <v>43</v>
      </c>
      <c r="B5" s="443"/>
      <c r="C5" s="443"/>
      <c r="D5" s="443"/>
      <c r="E5" s="443"/>
      <c r="F5" s="444"/>
      <c r="G5" s="172" t="s">
        <v>3</v>
      </c>
    </row>
    <row r="6" spans="1:7" ht="18.75" thickTop="1" x14ac:dyDescent="0.2">
      <c r="A6" s="445"/>
      <c r="B6" s="446"/>
      <c r="C6" s="446"/>
      <c r="D6" s="446"/>
      <c r="E6" s="446"/>
      <c r="F6" s="447"/>
      <c r="G6" s="173" t="s">
        <v>44</v>
      </c>
    </row>
    <row r="7" spans="1:7" ht="12.75" x14ac:dyDescent="0.2">
      <c r="A7" s="448" t="s">
        <v>5</v>
      </c>
      <c r="B7" s="449"/>
      <c r="C7" s="449"/>
      <c r="D7" s="449"/>
      <c r="E7" s="449"/>
      <c r="F7" s="449"/>
      <c r="G7" s="450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5" t="str">
        <f>PFS!A9</f>
        <v>OBJETO: ELABORAÇÃO DE PROJETOS EXECUTIVOS, PARA CONSTRUÇÃO DE BARREIROS DE ACUMULAÇÃO: LOTE 01 - 69 BARREIROS NOS MUNICIPIOS DE CANINDÉ DO SÃO FRANCISCO E POÇO REDONDO</v>
      </c>
      <c r="B9" s="456"/>
      <c r="C9" s="456"/>
      <c r="D9" s="456"/>
      <c r="E9" s="456"/>
      <c r="F9" s="457"/>
      <c r="G9" s="140" t="s">
        <v>6</v>
      </c>
    </row>
    <row r="10" spans="1:7" ht="12.75" x14ac:dyDescent="0.2">
      <c r="A10" s="458"/>
      <c r="B10" s="459"/>
      <c r="C10" s="459"/>
      <c r="D10" s="459"/>
      <c r="E10" s="459"/>
      <c r="F10" s="460"/>
      <c r="G10" s="175"/>
    </row>
    <row r="11" spans="1:7" ht="12.75" x14ac:dyDescent="0.2">
      <c r="A11" s="461"/>
      <c r="B11" s="462"/>
      <c r="C11" s="462"/>
      <c r="D11" s="462"/>
      <c r="E11" s="462"/>
      <c r="F11" s="463"/>
      <c r="G11" s="141"/>
    </row>
    <row r="12" spans="1:7" ht="12.75" x14ac:dyDescent="0.2">
      <c r="A12" s="451" t="s">
        <v>45</v>
      </c>
      <c r="B12" s="452"/>
      <c r="C12" s="452"/>
      <c r="D12" s="142" t="s">
        <v>156</v>
      </c>
      <c r="E12" s="143" t="s">
        <v>46</v>
      </c>
      <c r="F12" s="453" t="s">
        <v>47</v>
      </c>
      <c r="G12" s="454"/>
    </row>
    <row r="13" spans="1:7" ht="12.75" x14ac:dyDescent="0.2">
      <c r="A13" s="451"/>
      <c r="B13" s="452"/>
      <c r="C13" s="452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9" t="s">
        <v>216</v>
      </c>
      <c r="B14" s="440"/>
      <c r="C14" s="441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69</f>
        <v>69</v>
      </c>
      <c r="E15" s="151">
        <v>1</v>
      </c>
      <c r="F15" s="152">
        <v>0.5</v>
      </c>
      <c r="G15" s="153">
        <f>F15*E15*D15</f>
        <v>34.5</v>
      </c>
    </row>
    <row r="16" spans="1:7" ht="12.75" x14ac:dyDescent="0.2">
      <c r="A16" s="154" t="s">
        <v>138</v>
      </c>
      <c r="B16" s="288"/>
      <c r="C16" s="161"/>
      <c r="D16" s="157">
        <f>69</f>
        <v>69</v>
      </c>
      <c r="E16" s="158">
        <v>1</v>
      </c>
      <c r="F16" s="160">
        <v>8.75</v>
      </c>
      <c r="G16" s="153">
        <f t="shared" ref="G16" si="0">F16*E16*D16</f>
        <v>603.75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215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60*69</f>
        <v>4140</v>
      </c>
      <c r="E19" s="158">
        <v>1</v>
      </c>
      <c r="F19" s="152">
        <v>0.5</v>
      </c>
      <c r="G19" s="153">
        <f t="shared" ref="G19:G20" si="1">F19*E19*D19</f>
        <v>2070</v>
      </c>
    </row>
    <row r="20" spans="1:7" ht="12.75" x14ac:dyDescent="0.2">
      <c r="A20" s="154" t="s">
        <v>138</v>
      </c>
      <c r="B20" s="288"/>
      <c r="C20" s="161"/>
      <c r="D20" s="157">
        <f>3*69</f>
        <v>207</v>
      </c>
      <c r="E20" s="158">
        <v>1</v>
      </c>
      <c r="F20" s="160">
        <v>8.75</v>
      </c>
      <c r="G20" s="153">
        <f t="shared" si="1"/>
        <v>1811.25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169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4140</v>
      </c>
      <c r="E23" s="158">
        <v>3</v>
      </c>
      <c r="F23" s="160">
        <v>0.5</v>
      </c>
      <c r="G23" s="153">
        <f t="shared" ref="G23:G25" si="2">F23*E23*D23</f>
        <v>6210</v>
      </c>
    </row>
    <row r="24" spans="1:7" ht="12.75" x14ac:dyDescent="0.2">
      <c r="A24" s="154" t="s">
        <v>138</v>
      </c>
      <c r="B24" s="43"/>
      <c r="C24" s="161"/>
      <c r="D24" s="157">
        <f>5*69</f>
        <v>345</v>
      </c>
      <c r="E24" s="158">
        <v>3</v>
      </c>
      <c r="F24" s="160">
        <v>8.75</v>
      </c>
      <c r="G24" s="153">
        <f t="shared" si="2"/>
        <v>9056.25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5" t="s">
        <v>51</v>
      </c>
      <c r="B27" s="436"/>
      <c r="C27" s="436"/>
      <c r="D27" s="436"/>
      <c r="E27" s="436"/>
      <c r="F27" s="436"/>
      <c r="G27" s="168">
        <f>SUM(G14:G26)</f>
        <v>19787.55</v>
      </c>
    </row>
    <row r="28" spans="1:7" ht="12.75" x14ac:dyDescent="0.2">
      <c r="A28" s="437"/>
      <c r="B28" s="438"/>
      <c r="C28" s="438"/>
      <c r="D28" s="438"/>
      <c r="E28" s="438"/>
      <c r="F28" s="438"/>
      <c r="G28" s="169"/>
    </row>
    <row r="29" spans="1:7" ht="12.75" x14ac:dyDescent="0.2">
      <c r="A29" s="433" t="s">
        <v>52</v>
      </c>
      <c r="B29" s="434"/>
      <c r="C29" s="434"/>
      <c r="D29" s="434"/>
      <c r="E29" s="434"/>
      <c r="F29" s="434"/>
      <c r="G29" s="174">
        <f>G27+G28</f>
        <v>19787.55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view="pageBreakPreview" zoomScaleNormal="100" zoomScaleSheetLayoutView="100" workbookViewId="0">
      <selection activeCell="O21" sqref="O21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72" t="s">
        <v>53</v>
      </c>
      <c r="B5" s="472"/>
      <c r="C5" s="472"/>
      <c r="D5" s="472"/>
      <c r="E5" s="472"/>
      <c r="F5" s="472"/>
      <c r="G5" s="472"/>
      <c r="H5" s="473"/>
      <c r="I5" s="188" t="s">
        <v>3</v>
      </c>
    </row>
    <row r="6" spans="1:14" ht="18" x14ac:dyDescent="0.2">
      <c r="A6" s="472"/>
      <c r="B6" s="472"/>
      <c r="C6" s="472"/>
      <c r="D6" s="472"/>
      <c r="E6" s="472"/>
      <c r="F6" s="472"/>
      <c r="G6" s="472"/>
      <c r="H6" s="473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8" t="str">
        <f>PFS!A9</f>
        <v>OBJETO: ELABORAÇÃO DE PROJETOS EXECUTIVOS, PARA CONSTRUÇÃO DE BARREIROS DE ACUMULAÇÃO: LOTE 01 - 69 BARREIROS NOS MUNICIPIOS DE CANINDÉ DO SÃO FRANCISCO E POÇO REDONDO</v>
      </c>
      <c r="B9" s="479"/>
      <c r="C9" s="479"/>
      <c r="D9" s="479"/>
      <c r="E9" s="479"/>
      <c r="F9" s="479"/>
      <c r="G9" s="479"/>
      <c r="H9" s="480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81"/>
      <c r="B10" s="482"/>
      <c r="C10" s="482"/>
      <c r="D10" s="482"/>
      <c r="E10" s="482"/>
      <c r="F10" s="482"/>
      <c r="G10" s="482"/>
      <c r="H10" s="483"/>
      <c r="I10" s="285"/>
      <c r="J10" s="92"/>
      <c r="K10" s="93"/>
      <c r="L10" s="92"/>
      <c r="M10" s="92"/>
      <c r="N10" s="92"/>
    </row>
    <row r="11" spans="1:14" ht="12.75" x14ac:dyDescent="0.2">
      <c r="A11" s="484"/>
      <c r="B11" s="485"/>
      <c r="C11" s="485"/>
      <c r="D11" s="485"/>
      <c r="E11" s="485"/>
      <c r="F11" s="485"/>
      <c r="G11" s="485"/>
      <c r="H11" s="486"/>
      <c r="I11" s="187"/>
      <c r="J11" s="92"/>
      <c r="K11" s="93"/>
      <c r="L11" s="92"/>
      <c r="M11" s="92"/>
      <c r="N11" s="92"/>
    </row>
    <row r="12" spans="1:14" ht="13.5" thickBot="1" x14ac:dyDescent="0.25">
      <c r="A12" s="474" t="s">
        <v>55</v>
      </c>
      <c r="B12" s="476" t="s">
        <v>45</v>
      </c>
      <c r="C12" s="476"/>
      <c r="D12" s="476"/>
      <c r="E12" s="476"/>
      <c r="F12" s="470" t="s">
        <v>56</v>
      </c>
      <c r="G12" s="94" t="s">
        <v>38</v>
      </c>
      <c r="H12" s="470" t="s">
        <v>47</v>
      </c>
      <c r="I12" s="470"/>
      <c r="J12" s="92"/>
      <c r="K12" s="93"/>
      <c r="L12" s="92"/>
      <c r="M12" s="92"/>
      <c r="N12" s="92"/>
    </row>
    <row r="13" spans="1:14" ht="13.5" thickTop="1" x14ac:dyDescent="0.2">
      <c r="A13" s="475"/>
      <c r="B13" s="477"/>
      <c r="C13" s="477"/>
      <c r="D13" s="477"/>
      <c r="E13" s="477"/>
      <c r="F13" s="470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218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7" t="s">
        <v>161</v>
      </c>
      <c r="C15" s="468"/>
      <c r="D15" s="468"/>
      <c r="E15" s="469"/>
      <c r="F15" s="102" t="s">
        <v>160</v>
      </c>
      <c r="G15" s="103">
        <f>69*2*6</f>
        <v>828</v>
      </c>
      <c r="H15" s="104">
        <v>41.73</v>
      </c>
      <c r="I15" s="105">
        <f>ROUND(G15*H15,2)</f>
        <v>34552.44</v>
      </c>
      <c r="J15" s="92"/>
      <c r="K15" s="92"/>
      <c r="L15" s="92"/>
      <c r="M15" s="92"/>
      <c r="N15" s="92"/>
    </row>
    <row r="16" spans="1:14" ht="12.75" x14ac:dyDescent="0.2">
      <c r="A16" s="106"/>
      <c r="B16" s="467" t="s">
        <v>193</v>
      </c>
      <c r="C16" s="468"/>
      <c r="D16" s="468"/>
      <c r="E16" s="469"/>
      <c r="F16" s="102" t="s">
        <v>194</v>
      </c>
      <c r="G16" s="103">
        <f>69*(250+100+(40*10))/1000</f>
        <v>51.75</v>
      </c>
      <c r="H16" s="104">
        <v>547.59</v>
      </c>
      <c r="I16" s="105">
        <f>ROUND(G16*H16,2)</f>
        <v>28337.78</v>
      </c>
      <c r="J16" s="92"/>
      <c r="K16" s="310"/>
    </row>
    <row r="17" spans="1:11" ht="12.75" x14ac:dyDescent="0.2">
      <c r="A17" s="101"/>
      <c r="B17" s="467" t="s">
        <v>188</v>
      </c>
      <c r="C17" s="468"/>
      <c r="D17" s="468"/>
      <c r="E17" s="469"/>
      <c r="F17" s="102" t="s">
        <v>189</v>
      </c>
      <c r="G17" s="103">
        <f>69*3.5</f>
        <v>241.5</v>
      </c>
      <c r="H17" s="104">
        <v>797.11</v>
      </c>
      <c r="I17" s="105">
        <f>ROUND(G17*H17,2)</f>
        <v>192502.07</v>
      </c>
      <c r="J17" s="92"/>
      <c r="K17" s="310"/>
    </row>
    <row r="18" spans="1:11" ht="12.75" x14ac:dyDescent="0.2">
      <c r="A18" s="298"/>
      <c r="B18" s="467" t="s">
        <v>190</v>
      </c>
      <c r="C18" s="468"/>
      <c r="D18" s="468"/>
      <c r="E18" s="469"/>
      <c r="F18" s="102" t="s">
        <v>144</v>
      </c>
      <c r="G18" s="110">
        <f>69</f>
        <v>69</v>
      </c>
      <c r="H18" s="105">
        <v>485.28</v>
      </c>
      <c r="I18" s="105">
        <f t="shared" ref="I18:I20" si="0">ROUND(G18*H18,2)</f>
        <v>33484.32</v>
      </c>
      <c r="J18" s="92"/>
      <c r="K18" s="310"/>
    </row>
    <row r="19" spans="1:11" ht="12.75" x14ac:dyDescent="0.2">
      <c r="A19" s="101"/>
      <c r="B19" s="464" t="s">
        <v>192</v>
      </c>
      <c r="C19" s="465"/>
      <c r="D19" s="465"/>
      <c r="E19" s="466"/>
      <c r="F19" s="109" t="s">
        <v>144</v>
      </c>
      <c r="G19" s="110">
        <f>69*5</f>
        <v>345</v>
      </c>
      <c r="H19" s="105">
        <v>2</v>
      </c>
      <c r="I19" s="105">
        <f t="shared" ref="I19" si="1">ROUND(G19*H19,2)</f>
        <v>690</v>
      </c>
      <c r="J19" s="92"/>
      <c r="K19" s="311"/>
    </row>
    <row r="20" spans="1:11" ht="12.75" x14ac:dyDescent="0.2">
      <c r="A20" s="299"/>
      <c r="B20" s="464" t="s">
        <v>191</v>
      </c>
      <c r="C20" s="465"/>
      <c r="D20" s="465"/>
      <c r="E20" s="466"/>
      <c r="F20" s="109" t="s">
        <v>144</v>
      </c>
      <c r="G20" s="110">
        <f>69*3</f>
        <v>207</v>
      </c>
      <c r="H20" s="105">
        <v>35.28</v>
      </c>
      <c r="I20" s="105">
        <f t="shared" si="0"/>
        <v>7302.96</v>
      </c>
      <c r="J20" s="92"/>
      <c r="K20" s="311"/>
    </row>
    <row r="21" spans="1:11" ht="12.75" x14ac:dyDescent="0.2">
      <c r="A21" s="306"/>
      <c r="B21" s="303"/>
      <c r="C21" s="304"/>
      <c r="D21" s="304"/>
      <c r="E21" s="304"/>
      <c r="F21" s="111"/>
      <c r="G21" s="112"/>
      <c r="H21" s="113"/>
      <c r="I21" s="305"/>
      <c r="J21" s="92"/>
    </row>
    <row r="22" spans="1:11" ht="12.75" x14ac:dyDescent="0.2">
      <c r="A22" s="97" t="s">
        <v>220</v>
      </c>
      <c r="B22" s="98" t="s">
        <v>222</v>
      </c>
      <c r="C22" s="99"/>
      <c r="D22" s="99"/>
      <c r="E22" s="99"/>
      <c r="F22" s="99"/>
      <c r="G22" s="99"/>
      <c r="H22" s="99"/>
      <c r="I22" s="100"/>
      <c r="J22" s="92"/>
    </row>
    <row r="23" spans="1:11" ht="12.75" x14ac:dyDescent="0.2">
      <c r="A23" s="106"/>
      <c r="B23" s="467" t="s">
        <v>221</v>
      </c>
      <c r="C23" s="468"/>
      <c r="D23" s="468"/>
      <c r="E23" s="469"/>
      <c r="F23" s="102" t="s">
        <v>223</v>
      </c>
      <c r="G23" s="103">
        <v>4</v>
      </c>
      <c r="H23" s="104">
        <v>4949.04</v>
      </c>
      <c r="I23" s="105">
        <f>ROUND(G23*H23,2)</f>
        <v>19796.16</v>
      </c>
      <c r="J23" s="92"/>
    </row>
    <row r="24" spans="1:11" ht="12.75" x14ac:dyDescent="0.2">
      <c r="A24" s="300"/>
      <c r="B24" s="107"/>
      <c r="C24" s="108"/>
      <c r="D24" s="108"/>
      <c r="E24" s="108"/>
      <c r="F24" s="111"/>
      <c r="G24" s="112"/>
      <c r="H24" s="113"/>
      <c r="I24" s="114"/>
    </row>
    <row r="25" spans="1:11" ht="12.75" x14ac:dyDescent="0.2">
      <c r="B25" s="471" t="s">
        <v>57</v>
      </c>
      <c r="C25" s="471"/>
      <c r="D25" s="471"/>
      <c r="E25" s="471"/>
      <c r="F25" s="471"/>
      <c r="G25" s="471"/>
      <c r="H25" s="471"/>
      <c r="I25" s="181">
        <f>SUM(I15:I24)</f>
        <v>316665.73</v>
      </c>
    </row>
  </sheetData>
  <mergeCells count="14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5:H25"/>
    <mergeCell ref="B23:E23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opLeftCell="B1" zoomScale="140" zoomScaleNormal="140" zoomScaleSheetLayoutView="100" workbookViewId="0">
      <selection activeCell="G26" sqref="G26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7" width="15.710937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7" x14ac:dyDescent="0.2">
      <c r="B1" s="170" t="s">
        <v>0</v>
      </c>
    </row>
    <row r="2" spans="1:7" x14ac:dyDescent="0.2">
      <c r="B2" s="136" t="s">
        <v>1</v>
      </c>
    </row>
    <row r="3" spans="1:7" x14ac:dyDescent="0.2">
      <c r="B3" s="136" t="s">
        <v>145</v>
      </c>
    </row>
    <row r="5" spans="1:7" x14ac:dyDescent="0.2">
      <c r="A5" s="531" t="s">
        <v>58</v>
      </c>
      <c r="B5" s="531"/>
      <c r="C5" s="531"/>
      <c r="D5" s="531"/>
      <c r="E5" s="531"/>
      <c r="F5" s="532"/>
      <c r="G5" s="25" t="s">
        <v>3</v>
      </c>
    </row>
    <row r="6" spans="1:7" s="15" customFormat="1" ht="18" x14ac:dyDescent="0.2">
      <c r="A6" s="531"/>
      <c r="B6" s="531"/>
      <c r="C6" s="531"/>
      <c r="D6" s="531"/>
      <c r="E6" s="531"/>
      <c r="F6" s="532"/>
      <c r="G6" s="26" t="s">
        <v>59</v>
      </c>
    </row>
    <row r="7" spans="1:7" s="15" customFormat="1" ht="12.75" x14ac:dyDescent="0.2">
      <c r="A7" s="491" t="s">
        <v>5</v>
      </c>
      <c r="B7" s="491"/>
      <c r="C7" s="491"/>
      <c r="D7" s="491"/>
      <c r="E7" s="491"/>
      <c r="F7" s="491"/>
      <c r="G7" s="491"/>
    </row>
    <row r="8" spans="1:7" s="15" customFormat="1" ht="12.75" x14ac:dyDescent="0.2">
      <c r="A8" s="491" t="s">
        <v>60</v>
      </c>
      <c r="B8" s="491"/>
      <c r="C8" s="491"/>
      <c r="D8" s="491"/>
      <c r="E8" s="491"/>
      <c r="F8" s="491"/>
      <c r="G8" s="491"/>
    </row>
    <row r="9" spans="1:7" s="15" customFormat="1" ht="12.75" x14ac:dyDescent="0.2">
      <c r="A9" s="534" t="str">
        <f>PFS!A9</f>
        <v>OBJETO: ELABORAÇÃO DE PROJETOS EXECUTIVOS, PARA CONSTRUÇÃO DE BARREIROS DE ACUMULAÇÃO: LOTE 01 - 69 BARREIROS NOS MUNICIPIOS DE CANINDÉ DO SÃO FRANCISCO E POÇO REDONDO</v>
      </c>
      <c r="B9" s="534"/>
      <c r="C9" s="534"/>
      <c r="D9" s="534"/>
      <c r="E9" s="534"/>
      <c r="F9" s="534"/>
      <c r="G9" s="180" t="s">
        <v>6</v>
      </c>
    </row>
    <row r="10" spans="1:7" s="15" customFormat="1" x14ac:dyDescent="0.2">
      <c r="A10" s="534"/>
      <c r="B10" s="534"/>
      <c r="C10" s="534"/>
      <c r="D10" s="534"/>
      <c r="E10" s="534"/>
      <c r="F10" s="534"/>
      <c r="G10" s="504"/>
    </row>
    <row r="11" spans="1:7" s="15" customFormat="1" x14ac:dyDescent="0.2">
      <c r="A11" s="534"/>
      <c r="B11" s="534"/>
      <c r="C11" s="534"/>
      <c r="D11" s="534"/>
      <c r="E11" s="534"/>
      <c r="F11" s="534"/>
      <c r="G11" s="504"/>
    </row>
    <row r="12" spans="1:7" s="15" customFormat="1" x14ac:dyDescent="0.2">
      <c r="A12" s="534"/>
      <c r="B12" s="534"/>
      <c r="C12" s="534"/>
      <c r="D12" s="534"/>
      <c r="E12" s="534"/>
      <c r="F12" s="534"/>
      <c r="G12" s="505"/>
    </row>
    <row r="13" spans="1:7" s="15" customFormat="1" ht="25.5" x14ac:dyDescent="0.2">
      <c r="A13" s="176" t="s">
        <v>61</v>
      </c>
      <c r="B13" s="176" t="s">
        <v>141</v>
      </c>
      <c r="C13" s="533" t="s">
        <v>142</v>
      </c>
      <c r="D13" s="533"/>
      <c r="E13" s="533"/>
      <c r="F13" s="178" t="s">
        <v>182</v>
      </c>
      <c r="G13" s="179" t="s">
        <v>158</v>
      </c>
    </row>
    <row r="14" spans="1:7" ht="12.75" x14ac:dyDescent="0.2">
      <c r="A14" s="289">
        <v>1</v>
      </c>
      <c r="B14" s="293" t="s">
        <v>171</v>
      </c>
      <c r="C14" s="524" t="s">
        <v>170</v>
      </c>
      <c r="D14" s="525"/>
      <c r="E14" s="526"/>
      <c r="F14" s="290">
        <v>17</v>
      </c>
      <c r="G14" s="291">
        <f>'PFS_IV Serv. top, Geo e Fisc.'!$I$15*(F14/$F$26)</f>
        <v>8512.92</v>
      </c>
    </row>
    <row r="15" spans="1:7" ht="12.75" x14ac:dyDescent="0.2">
      <c r="A15" s="496">
        <v>2</v>
      </c>
      <c r="B15" s="294" t="s">
        <v>172</v>
      </c>
      <c r="C15" s="506" t="s">
        <v>165</v>
      </c>
      <c r="D15" s="507"/>
      <c r="E15" s="508"/>
      <c r="F15" s="117">
        <v>17</v>
      </c>
      <c r="G15" s="501">
        <f>(PFS!$N$32-'PFS_IV Serv. top, Geo e Fisc.'!$I$15)/2*((F15)/$F$26)+'PFS_IV Serv. top, Geo e Fisc.'!$I$15*(F16/$F$26)</f>
        <v>68548.174855072473</v>
      </c>
    </row>
    <row r="16" spans="1:7" ht="12.75" x14ac:dyDescent="0.2">
      <c r="A16" s="498"/>
      <c r="B16" s="293" t="s">
        <v>174</v>
      </c>
      <c r="C16" s="509"/>
      <c r="D16" s="510"/>
      <c r="E16" s="511"/>
      <c r="F16" s="117">
        <v>17</v>
      </c>
      <c r="G16" s="503"/>
    </row>
    <row r="17" spans="1:7" ht="12.75" x14ac:dyDescent="0.2">
      <c r="A17" s="499">
        <v>3</v>
      </c>
      <c r="B17" s="295" t="s">
        <v>184</v>
      </c>
      <c r="C17" s="512" t="s">
        <v>173</v>
      </c>
      <c r="D17" s="513"/>
      <c r="E17" s="514"/>
      <c r="F17" s="290">
        <v>17</v>
      </c>
      <c r="G17" s="527">
        <f>(PFS!$N$32-'PFS_IV Serv. top, Geo e Fisc.'!$I$15)/2*((F17+F18)/$F$26)+'PFS_IV Serv. top, Geo e Fisc.'!$I$15*(F19/$F$26)</f>
        <v>128583.42971014493</v>
      </c>
    </row>
    <row r="18" spans="1:7" ht="12.75" x14ac:dyDescent="0.2">
      <c r="A18" s="529"/>
      <c r="B18" s="294" t="s">
        <v>175</v>
      </c>
      <c r="C18" s="515"/>
      <c r="D18" s="516"/>
      <c r="E18" s="517"/>
      <c r="F18" s="290">
        <v>17</v>
      </c>
      <c r="G18" s="530"/>
    </row>
    <row r="19" spans="1:7" ht="12.75" x14ac:dyDescent="0.2">
      <c r="A19" s="500"/>
      <c r="B19" s="293" t="s">
        <v>176</v>
      </c>
      <c r="C19" s="518"/>
      <c r="D19" s="519"/>
      <c r="E19" s="520"/>
      <c r="F19" s="290">
        <v>17</v>
      </c>
      <c r="G19" s="528"/>
    </row>
    <row r="20" spans="1:7" ht="12.75" x14ac:dyDescent="0.2">
      <c r="A20" s="496">
        <v>4</v>
      </c>
      <c r="B20" s="295" t="s">
        <v>185</v>
      </c>
      <c r="C20" s="506" t="s">
        <v>168</v>
      </c>
      <c r="D20" s="507"/>
      <c r="E20" s="508"/>
      <c r="F20" s="117">
        <v>17</v>
      </c>
      <c r="G20" s="501">
        <f>(PFS!$N$32-'PFS_IV Serv. top, Geo e Fisc.'!$I$15)/2*((F20+F21)/$F$26)+'PFS_IV Serv. top, Geo e Fisc.'!$I$15*(F22/$F$26)</f>
        <v>129084.18971014494</v>
      </c>
    </row>
    <row r="21" spans="1:7" ht="12.75" x14ac:dyDescent="0.2">
      <c r="A21" s="497"/>
      <c r="B21" s="294" t="s">
        <v>177</v>
      </c>
      <c r="C21" s="521"/>
      <c r="D21" s="522"/>
      <c r="E21" s="523"/>
      <c r="F21" s="117">
        <v>17</v>
      </c>
      <c r="G21" s="502"/>
    </row>
    <row r="22" spans="1:7" ht="12.75" x14ac:dyDescent="0.2">
      <c r="A22" s="498"/>
      <c r="B22" s="293" t="s">
        <v>179</v>
      </c>
      <c r="C22" s="509"/>
      <c r="D22" s="510"/>
      <c r="E22" s="511"/>
      <c r="F22" s="117">
        <v>18</v>
      </c>
      <c r="G22" s="503"/>
    </row>
    <row r="23" spans="1:7" ht="12.75" x14ac:dyDescent="0.2">
      <c r="A23" s="499">
        <v>5</v>
      </c>
      <c r="B23" s="295" t="s">
        <v>186</v>
      </c>
      <c r="C23" s="512" t="s">
        <v>178</v>
      </c>
      <c r="D23" s="513"/>
      <c r="E23" s="514"/>
      <c r="F23" s="290">
        <v>17</v>
      </c>
      <c r="G23" s="527">
        <f>(PFS!$N$32-'PFS_IV Serv. top, Geo e Fisc.'!$I$15)/2*((F23+F24)/$F$26)</f>
        <v>123601.99528985508</v>
      </c>
    </row>
    <row r="24" spans="1:7" ht="12.75" x14ac:dyDescent="0.2">
      <c r="A24" s="500"/>
      <c r="B24" s="294" t="s">
        <v>180</v>
      </c>
      <c r="C24" s="518"/>
      <c r="D24" s="519"/>
      <c r="E24" s="520"/>
      <c r="F24" s="290">
        <v>18</v>
      </c>
      <c r="G24" s="528"/>
    </row>
    <row r="25" spans="1:7" ht="12.75" x14ac:dyDescent="0.2">
      <c r="A25" s="116">
        <v>6</v>
      </c>
      <c r="B25" s="295" t="s">
        <v>187</v>
      </c>
      <c r="C25" s="493" t="s">
        <v>181</v>
      </c>
      <c r="D25" s="494"/>
      <c r="E25" s="495"/>
      <c r="F25" s="117">
        <v>18</v>
      </c>
      <c r="G25" s="118">
        <f>(PFS!$N$32-'PFS_IV Serv. top, Geo e Fisc.'!$I$15)/2*(F25/$F$26)</f>
        <v>63566.740434782609</v>
      </c>
    </row>
    <row r="26" spans="1:7" ht="12.75" x14ac:dyDescent="0.2">
      <c r="A26" s="115"/>
      <c r="B26" s="203"/>
      <c r="C26" s="204"/>
      <c r="D26" s="205"/>
      <c r="E26" s="177"/>
      <c r="F26" s="206">
        <v>69</v>
      </c>
      <c r="G26" s="207"/>
    </row>
    <row r="27" spans="1:7" ht="12.75" x14ac:dyDescent="0.2">
      <c r="A27" s="489" t="s">
        <v>62</v>
      </c>
      <c r="B27" s="490"/>
      <c r="C27" s="490"/>
      <c r="D27" s="490"/>
      <c r="E27" s="490"/>
      <c r="F27" s="490"/>
      <c r="G27" s="208">
        <f>SUM(G14:G26)</f>
        <v>521897.44999999995</v>
      </c>
    </row>
    <row r="28" spans="1:7" ht="12.75" x14ac:dyDescent="0.2">
      <c r="A28" s="119" t="s">
        <v>17</v>
      </c>
      <c r="B28" s="120"/>
      <c r="C28" s="121"/>
      <c r="D28" s="491" t="s">
        <v>18</v>
      </c>
      <c r="E28" s="491"/>
      <c r="F28" s="491"/>
      <c r="G28" s="491"/>
    </row>
    <row r="29" spans="1:7" ht="12.75" x14ac:dyDescent="0.2">
      <c r="A29" s="487"/>
      <c r="B29" s="487"/>
      <c r="C29" s="487"/>
      <c r="D29" s="487"/>
      <c r="E29" s="487"/>
      <c r="F29" s="487"/>
      <c r="G29" s="487"/>
    </row>
    <row r="30" spans="1:7" ht="12.75" x14ac:dyDescent="0.2">
      <c r="A30" s="492" t="s">
        <v>19</v>
      </c>
      <c r="B30" s="492"/>
      <c r="C30" s="492"/>
      <c r="D30" s="492"/>
      <c r="E30" s="492"/>
      <c r="F30" s="491" t="s">
        <v>20</v>
      </c>
      <c r="G30" s="491"/>
    </row>
    <row r="31" spans="1:7" ht="12.75" x14ac:dyDescent="0.2">
      <c r="A31" s="487"/>
      <c r="B31" s="487"/>
      <c r="C31" s="487"/>
      <c r="D31" s="487"/>
      <c r="E31" s="487"/>
      <c r="F31" s="488"/>
      <c r="G31" s="488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74" t="s">
        <v>63</v>
      </c>
      <c r="B5" s="574"/>
      <c r="C5" s="574"/>
      <c r="D5" s="574"/>
      <c r="E5" s="574"/>
      <c r="F5" s="575"/>
      <c r="G5" s="172" t="s">
        <v>3</v>
      </c>
    </row>
    <row r="6" spans="1:7" ht="18" x14ac:dyDescent="0.2">
      <c r="A6" s="574"/>
      <c r="B6" s="574"/>
      <c r="C6" s="574"/>
      <c r="D6" s="574"/>
      <c r="E6" s="574"/>
      <c r="F6" s="575"/>
      <c r="G6" s="173" t="s">
        <v>64</v>
      </c>
    </row>
    <row r="7" spans="1:7" ht="12.75" x14ac:dyDescent="0.2">
      <c r="A7" s="576" t="s">
        <v>5</v>
      </c>
      <c r="B7" s="576"/>
      <c r="C7" s="576"/>
      <c r="D7" s="576"/>
      <c r="E7" s="576"/>
      <c r="F7" s="576"/>
      <c r="G7" s="576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65" t="str">
        <f>PFS!A9</f>
        <v>OBJETO: ELABORAÇÃO DE PROJETOS EXECUTIVOS, PARA CONSTRUÇÃO DE BARREIROS DE ACUMULAÇÃO: LOTE 01 - 69 BARREIROS NOS MUNICIPIOS DE CANINDÉ DO SÃO FRANCISCO E POÇO REDONDO</v>
      </c>
      <c r="B9" s="566"/>
      <c r="C9" s="566"/>
      <c r="D9" s="566"/>
      <c r="E9" s="566"/>
      <c r="F9" s="567"/>
      <c r="G9" s="68" t="s">
        <v>6</v>
      </c>
    </row>
    <row r="10" spans="1:7" ht="12.75" x14ac:dyDescent="0.2">
      <c r="A10" s="568"/>
      <c r="B10" s="569"/>
      <c r="C10" s="569"/>
      <c r="D10" s="569"/>
      <c r="E10" s="569"/>
      <c r="F10" s="570"/>
      <c r="G10" s="79"/>
    </row>
    <row r="11" spans="1:7" ht="12.75" x14ac:dyDescent="0.2">
      <c r="A11" s="568"/>
      <c r="B11" s="569"/>
      <c r="C11" s="569"/>
      <c r="D11" s="569"/>
      <c r="E11" s="569"/>
      <c r="F11" s="570"/>
      <c r="G11" s="79"/>
    </row>
    <row r="12" spans="1:7" ht="12.75" x14ac:dyDescent="0.2">
      <c r="A12" s="571"/>
      <c r="B12" s="572"/>
      <c r="C12" s="572"/>
      <c r="D12" s="572"/>
      <c r="E12" s="572"/>
      <c r="F12" s="573"/>
      <c r="G12" s="69"/>
    </row>
    <row r="13" spans="1:7" ht="12.75" x14ac:dyDescent="0.2">
      <c r="A13" s="577" t="s">
        <v>45</v>
      </c>
      <c r="B13" s="577"/>
      <c r="C13" s="577"/>
      <c r="D13" s="577"/>
      <c r="E13" s="577"/>
      <c r="F13" s="578" t="s">
        <v>65</v>
      </c>
      <c r="G13" s="578"/>
    </row>
    <row r="14" spans="1:7" ht="12.75" x14ac:dyDescent="0.2">
      <c r="A14" s="577"/>
      <c r="B14" s="577"/>
      <c r="C14" s="577"/>
      <c r="D14" s="577"/>
      <c r="E14" s="577"/>
      <c r="F14" s="76" t="s">
        <v>27</v>
      </c>
      <c r="G14" s="76" t="s">
        <v>66</v>
      </c>
    </row>
    <row r="15" spans="1:7" s="18" customFormat="1" ht="12.75" customHeight="1" x14ac:dyDescent="0.2">
      <c r="A15" s="535">
        <v>1</v>
      </c>
      <c r="B15" s="549" t="s">
        <v>162</v>
      </c>
      <c r="C15" s="550"/>
      <c r="D15" s="550"/>
      <c r="E15" s="551"/>
      <c r="F15" s="538">
        <v>0.18</v>
      </c>
      <c r="G15" s="541">
        <f>ROUND(F15*PFS!$N$16,2)</f>
        <v>12055.59</v>
      </c>
    </row>
    <row r="16" spans="1:7" s="18" customFormat="1" ht="12.75" customHeight="1" x14ac:dyDescent="0.2">
      <c r="A16" s="536"/>
      <c r="B16" s="552"/>
      <c r="C16" s="553"/>
      <c r="D16" s="553"/>
      <c r="E16" s="554"/>
      <c r="F16" s="539"/>
      <c r="G16" s="542"/>
    </row>
    <row r="17" spans="1:7" s="18" customFormat="1" ht="12.75" customHeight="1" x14ac:dyDescent="0.2">
      <c r="A17" s="537"/>
      <c r="B17" s="555"/>
      <c r="C17" s="556"/>
      <c r="D17" s="556"/>
      <c r="E17" s="557"/>
      <c r="F17" s="540"/>
      <c r="G17" s="543"/>
    </row>
    <row r="18" spans="1:7" s="18" customFormat="1" ht="12.75" customHeight="1" x14ac:dyDescent="0.2">
      <c r="A18" s="535" t="s">
        <v>165</v>
      </c>
      <c r="B18" s="559" t="s">
        <v>163</v>
      </c>
      <c r="C18" s="560"/>
      <c r="D18" s="560"/>
      <c r="E18" s="561"/>
      <c r="F18" s="547">
        <v>0.04</v>
      </c>
      <c r="G18" s="541">
        <f>ROUND(F18*PFS!$N$16,2)</f>
        <v>2679.02</v>
      </c>
    </row>
    <row r="19" spans="1:7" s="18" customFormat="1" ht="12.75" customHeight="1" x14ac:dyDescent="0.2">
      <c r="A19" s="537"/>
      <c r="B19" s="562"/>
      <c r="C19" s="563"/>
      <c r="D19" s="563"/>
      <c r="E19" s="564"/>
      <c r="F19" s="548"/>
      <c r="G19" s="543"/>
    </row>
    <row r="20" spans="1:7" s="18" customFormat="1" ht="12.75" customHeight="1" x14ac:dyDescent="0.2">
      <c r="A20" s="545">
        <v>3</v>
      </c>
      <c r="B20" s="559" t="s">
        <v>164</v>
      </c>
      <c r="C20" s="560"/>
      <c r="D20" s="560"/>
      <c r="E20" s="561"/>
      <c r="F20" s="547">
        <v>0.03</v>
      </c>
      <c r="G20" s="541">
        <f>ROUND(F20*PFS!$N$16,2)</f>
        <v>2009.26</v>
      </c>
    </row>
    <row r="21" spans="1:7" s="18" customFormat="1" ht="12.75" customHeight="1" x14ac:dyDescent="0.2">
      <c r="A21" s="546"/>
      <c r="B21" s="562"/>
      <c r="C21" s="563"/>
      <c r="D21" s="563"/>
      <c r="E21" s="564"/>
      <c r="F21" s="548"/>
      <c r="G21" s="543"/>
    </row>
    <row r="22" spans="1:7" s="18" customFormat="1" ht="12.75" x14ac:dyDescent="0.2">
      <c r="A22" s="71"/>
      <c r="B22" s="544"/>
      <c r="C22" s="544"/>
      <c r="D22" s="544"/>
      <c r="E22" s="544"/>
      <c r="F22" s="73"/>
      <c r="G22" s="70"/>
    </row>
    <row r="23" spans="1:7" s="18" customFormat="1" ht="12.75" x14ac:dyDescent="0.2">
      <c r="A23" s="71"/>
      <c r="B23" s="544"/>
      <c r="C23" s="544"/>
      <c r="D23" s="544"/>
      <c r="E23" s="544"/>
      <c r="F23" s="73"/>
      <c r="G23" s="70"/>
    </row>
    <row r="24" spans="1:7" s="18" customFormat="1" ht="12.75" x14ac:dyDescent="0.2">
      <c r="A24" s="72"/>
      <c r="B24" s="544"/>
      <c r="C24" s="544"/>
      <c r="D24" s="544"/>
      <c r="E24" s="544"/>
      <c r="F24" s="73"/>
      <c r="G24" s="70"/>
    </row>
    <row r="25" spans="1:7" s="18" customFormat="1" ht="12.75" x14ac:dyDescent="0.2">
      <c r="A25" s="72"/>
      <c r="B25" s="544"/>
      <c r="C25" s="544"/>
      <c r="D25" s="544"/>
      <c r="E25" s="544"/>
      <c r="F25" s="73"/>
      <c r="G25" s="70"/>
    </row>
    <row r="26" spans="1:7" s="18" customFormat="1" ht="12.75" x14ac:dyDescent="0.2">
      <c r="A26" s="72"/>
      <c r="B26" s="544"/>
      <c r="C26" s="544"/>
      <c r="D26" s="544"/>
      <c r="E26" s="544"/>
      <c r="F26" s="73"/>
      <c r="G26" s="70"/>
    </row>
    <row r="27" spans="1:7" s="18" customFormat="1" ht="12.75" x14ac:dyDescent="0.2">
      <c r="A27" s="72"/>
      <c r="B27" s="544"/>
      <c r="C27" s="544"/>
      <c r="D27" s="544"/>
      <c r="E27" s="544"/>
      <c r="F27" s="73"/>
      <c r="G27" s="70"/>
    </row>
    <row r="28" spans="1:7" s="18" customFormat="1" ht="12.75" x14ac:dyDescent="0.2">
      <c r="A28" s="71"/>
      <c r="B28" s="544"/>
      <c r="C28" s="544"/>
      <c r="D28" s="544"/>
      <c r="E28" s="544"/>
      <c r="F28" s="73"/>
      <c r="G28" s="70"/>
    </row>
    <row r="29" spans="1:7" s="18" customFormat="1" ht="12.75" x14ac:dyDescent="0.2">
      <c r="A29" s="72"/>
      <c r="B29" s="544"/>
      <c r="C29" s="544"/>
      <c r="D29" s="544"/>
      <c r="E29" s="544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58" t="s">
        <v>67</v>
      </c>
      <c r="C42" s="558"/>
      <c r="D42" s="558"/>
      <c r="E42" s="558"/>
      <c r="F42" s="90">
        <f>SUM(F15:F41)</f>
        <v>0.25</v>
      </c>
      <c r="G42" s="91">
        <f>SUM(G15:G41)</f>
        <v>16743.87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74" t="s">
        <v>68</v>
      </c>
      <c r="B5" s="574"/>
      <c r="C5" s="574"/>
      <c r="D5" s="574"/>
      <c r="E5" s="574"/>
      <c r="F5" s="574"/>
      <c r="G5" s="575"/>
      <c r="H5" s="188" t="s">
        <v>3</v>
      </c>
    </row>
    <row r="6" spans="1:8" ht="18" x14ac:dyDescent="0.2">
      <c r="A6" s="574"/>
      <c r="B6" s="574"/>
      <c r="C6" s="574"/>
      <c r="D6" s="574"/>
      <c r="E6" s="574"/>
      <c r="F6" s="574"/>
      <c r="G6" s="575"/>
      <c r="H6" s="173" t="s">
        <v>69</v>
      </c>
    </row>
    <row r="7" spans="1:8" ht="12.75" x14ac:dyDescent="0.2">
      <c r="A7" s="579" t="s">
        <v>5</v>
      </c>
      <c r="B7" s="579"/>
      <c r="C7" s="579"/>
      <c r="D7" s="579"/>
      <c r="E7" s="579"/>
      <c r="F7" s="579"/>
      <c r="G7" s="579"/>
      <c r="H7" s="579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93" t="str">
        <f>PFS!A9</f>
        <v>OBJETO: ELABORAÇÃO DE PROJETOS EXECUTIVOS, PARA CONSTRUÇÃO DE BARREIROS DE ACUMULAÇÃO: LOTE 01 - 69 BARREIROS NOS MUNICIPIOS DE CANINDÉ DO SÃO FRANCISCO E POÇO REDONDO</v>
      </c>
      <c r="B9" s="594"/>
      <c r="C9" s="594"/>
      <c r="D9" s="594"/>
      <c r="E9" s="594"/>
      <c r="F9" s="594"/>
      <c r="G9" s="595"/>
      <c r="H9" s="58" t="s">
        <v>6</v>
      </c>
    </row>
    <row r="10" spans="1:8" ht="12.75" x14ac:dyDescent="0.2">
      <c r="A10" s="596"/>
      <c r="B10" s="597"/>
      <c r="C10" s="597"/>
      <c r="D10" s="597"/>
      <c r="E10" s="597"/>
      <c r="F10" s="597"/>
      <c r="G10" s="598"/>
      <c r="H10" s="51"/>
    </row>
    <row r="11" spans="1:8" ht="12.75" x14ac:dyDescent="0.2">
      <c r="A11" s="596"/>
      <c r="B11" s="597"/>
      <c r="C11" s="597"/>
      <c r="D11" s="597"/>
      <c r="E11" s="597"/>
      <c r="F11" s="597"/>
      <c r="G11" s="598"/>
      <c r="H11" s="51"/>
    </row>
    <row r="12" spans="1:8" ht="12.75" x14ac:dyDescent="0.2">
      <c r="A12" s="599"/>
      <c r="B12" s="600"/>
      <c r="C12" s="600"/>
      <c r="D12" s="600"/>
      <c r="E12" s="600"/>
      <c r="F12" s="600"/>
      <c r="G12" s="601"/>
      <c r="H12" s="54"/>
    </row>
    <row r="13" spans="1:8" ht="12.75" x14ac:dyDescent="0.2">
      <c r="A13" s="577" t="s">
        <v>45</v>
      </c>
      <c r="B13" s="577"/>
      <c r="C13" s="577"/>
      <c r="D13" s="577"/>
      <c r="E13" s="577"/>
      <c r="F13" s="578" t="s">
        <v>65</v>
      </c>
      <c r="G13" s="578"/>
      <c r="H13" s="578"/>
    </row>
    <row r="14" spans="1:8" ht="12.75" x14ac:dyDescent="0.2">
      <c r="A14" s="577"/>
      <c r="B14" s="577"/>
      <c r="C14" s="577"/>
      <c r="D14" s="577"/>
      <c r="E14" s="577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80"/>
      <c r="B15" s="580"/>
      <c r="C15" s="580"/>
      <c r="D15" s="580"/>
      <c r="E15" s="580"/>
      <c r="F15" s="60"/>
      <c r="G15" s="60"/>
      <c r="H15" s="60"/>
    </row>
    <row r="16" spans="1:8" s="18" customFormat="1" ht="12.75" x14ac:dyDescent="0.2">
      <c r="A16" s="590" t="s">
        <v>72</v>
      </c>
      <c r="B16" s="590"/>
      <c r="C16" s="590"/>
      <c r="D16" s="590"/>
      <c r="E16" s="590"/>
      <c r="F16" s="19">
        <v>5</v>
      </c>
      <c r="G16" s="20">
        <f>(1/(1-$F$43/100))*F16</f>
        <v>5.8309037900874632</v>
      </c>
      <c r="H16" s="21">
        <f>ROUND((G16/100)*(PFS!$N$14+PFS!$N$25+PFS!$N$26),2)</f>
        <v>10261.59</v>
      </c>
    </row>
    <row r="17" spans="1:8" s="18" customFormat="1" ht="12.75" x14ac:dyDescent="0.2">
      <c r="A17" s="589" t="s">
        <v>73</v>
      </c>
      <c r="B17" s="589"/>
      <c r="C17" s="589"/>
      <c r="D17" s="589"/>
      <c r="E17" s="589"/>
      <c r="F17" s="19">
        <v>1.65</v>
      </c>
      <c r="G17" s="20">
        <f>(1/(1-$F$43/100))*F17</f>
        <v>1.9241982507288626</v>
      </c>
      <c r="H17" s="21">
        <f>ROUND((G17/100)*(PFS!$N$14+PFS!$N$25+PFS!$N$26),2)</f>
        <v>3386.32</v>
      </c>
    </row>
    <row r="18" spans="1:8" s="18" customFormat="1" ht="12.75" x14ac:dyDescent="0.2">
      <c r="A18" s="589" t="s">
        <v>74</v>
      </c>
      <c r="B18" s="589"/>
      <c r="C18" s="589"/>
      <c r="D18" s="589"/>
      <c r="E18" s="589"/>
      <c r="F18" s="19">
        <v>7.6</v>
      </c>
      <c r="G18" s="20">
        <f>(1/(1-$F$43/100))*F18</f>
        <v>8.8629737609329435</v>
      </c>
      <c r="H18" s="21">
        <f>ROUND((G18/100)*(PFS!$N$14+PFS!$N$25+PFS!$N$26),2)</f>
        <v>15597.61</v>
      </c>
    </row>
    <row r="19" spans="1:8" s="18" customFormat="1" ht="12.75" x14ac:dyDescent="0.2">
      <c r="A19" s="589"/>
      <c r="B19" s="589"/>
      <c r="C19" s="589"/>
      <c r="D19" s="589"/>
      <c r="E19" s="589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92"/>
      <c r="B28" s="592"/>
      <c r="C28" s="592"/>
      <c r="D28" s="592"/>
      <c r="E28" s="592"/>
      <c r="F28" s="63"/>
      <c r="G28" s="63"/>
      <c r="H28" s="60"/>
    </row>
    <row r="29" spans="1:8" s="18" customFormat="1" ht="12.75" x14ac:dyDescent="0.2">
      <c r="A29" s="581"/>
      <c r="B29" s="581"/>
      <c r="C29" s="581"/>
      <c r="D29" s="581"/>
      <c r="E29" s="581"/>
      <c r="F29" s="63"/>
      <c r="G29" s="63"/>
      <c r="H29" s="60"/>
    </row>
    <row r="30" spans="1:8" s="18" customFormat="1" ht="12.75" x14ac:dyDescent="0.2">
      <c r="A30" s="591"/>
      <c r="B30" s="591"/>
      <c r="C30" s="591"/>
      <c r="D30" s="591"/>
      <c r="E30" s="591"/>
      <c r="F30" s="63"/>
      <c r="G30" s="63"/>
      <c r="H30" s="60"/>
    </row>
    <row r="31" spans="1:8" s="18" customFormat="1" ht="12.75" x14ac:dyDescent="0.2">
      <c r="A31" s="580"/>
      <c r="B31" s="580"/>
      <c r="C31" s="580"/>
      <c r="D31" s="580"/>
      <c r="E31" s="580"/>
      <c r="F31" s="60"/>
      <c r="G31" s="60"/>
      <c r="H31" s="60"/>
    </row>
    <row r="32" spans="1:8" s="18" customFormat="1" ht="12.75" x14ac:dyDescent="0.2">
      <c r="A32" s="580"/>
      <c r="B32" s="580"/>
      <c r="C32" s="580"/>
      <c r="D32" s="580"/>
      <c r="E32" s="580"/>
      <c r="F32" s="60"/>
      <c r="G32" s="60"/>
      <c r="H32" s="60"/>
    </row>
    <row r="33" spans="1:8" s="18" customFormat="1" ht="12.75" x14ac:dyDescent="0.2">
      <c r="A33" s="581"/>
      <c r="B33" s="581"/>
      <c r="C33" s="581"/>
      <c r="D33" s="581"/>
      <c r="E33" s="581"/>
      <c r="F33" s="60"/>
      <c r="G33" s="60"/>
      <c r="H33" s="60"/>
    </row>
    <row r="34" spans="1:8" s="18" customFormat="1" ht="12.75" x14ac:dyDescent="0.2">
      <c r="A34" s="581"/>
      <c r="B34" s="581"/>
      <c r="C34" s="581"/>
      <c r="D34" s="581"/>
      <c r="E34" s="581"/>
      <c r="F34" s="60"/>
      <c r="G34" s="60"/>
      <c r="H34" s="60"/>
    </row>
    <row r="35" spans="1:8" s="18" customFormat="1" ht="12.75" x14ac:dyDescent="0.2">
      <c r="A35" s="581"/>
      <c r="B35" s="581"/>
      <c r="C35" s="581"/>
      <c r="D35" s="581"/>
      <c r="E35" s="581"/>
      <c r="F35" s="60"/>
      <c r="G35" s="60"/>
      <c r="H35" s="60"/>
    </row>
    <row r="36" spans="1:8" s="18" customFormat="1" ht="12.75" x14ac:dyDescent="0.2">
      <c r="A36" s="581"/>
      <c r="B36" s="581"/>
      <c r="C36" s="581"/>
      <c r="D36" s="581"/>
      <c r="E36" s="581"/>
      <c r="F36" s="60"/>
      <c r="G36" s="60"/>
      <c r="H36" s="60"/>
    </row>
    <row r="37" spans="1:8" s="18" customFormat="1" ht="12.75" x14ac:dyDescent="0.2">
      <c r="A37" s="580"/>
      <c r="B37" s="580"/>
      <c r="C37" s="580"/>
      <c r="D37" s="580"/>
      <c r="E37" s="580"/>
      <c r="F37" s="60"/>
      <c r="G37" s="60"/>
      <c r="H37" s="60"/>
    </row>
    <row r="38" spans="1:8" s="18" customFormat="1" ht="12.75" x14ac:dyDescent="0.2">
      <c r="A38" s="581"/>
      <c r="B38" s="581"/>
      <c r="C38" s="581"/>
      <c r="D38" s="581"/>
      <c r="E38" s="581"/>
      <c r="F38" s="60"/>
      <c r="G38" s="60"/>
      <c r="H38" s="60"/>
    </row>
    <row r="39" spans="1:8" s="18" customFormat="1" ht="12.75" x14ac:dyDescent="0.2">
      <c r="A39" s="581"/>
      <c r="B39" s="581"/>
      <c r="C39" s="581"/>
      <c r="D39" s="581"/>
      <c r="E39" s="581"/>
      <c r="F39" s="60"/>
      <c r="G39" s="60"/>
      <c r="H39" s="60"/>
    </row>
    <row r="40" spans="1:8" s="18" customFormat="1" ht="12.75" x14ac:dyDescent="0.2">
      <c r="A40" s="581"/>
      <c r="B40" s="581"/>
      <c r="C40" s="581"/>
      <c r="D40" s="581"/>
      <c r="E40" s="581"/>
      <c r="F40" s="60"/>
      <c r="G40" s="60"/>
      <c r="H40" s="60"/>
    </row>
    <row r="41" spans="1:8" s="18" customFormat="1" ht="12.75" x14ac:dyDescent="0.2">
      <c r="A41" s="580"/>
      <c r="B41" s="580"/>
      <c r="C41" s="580"/>
      <c r="D41" s="580"/>
      <c r="E41" s="580"/>
      <c r="F41" s="60"/>
      <c r="G41" s="60"/>
      <c r="H41" s="60"/>
    </row>
    <row r="42" spans="1:8" s="18" customFormat="1" ht="12.75" x14ac:dyDescent="0.2">
      <c r="A42" s="585"/>
      <c r="B42" s="585"/>
      <c r="C42" s="585"/>
      <c r="D42" s="585"/>
      <c r="E42" s="585"/>
      <c r="F42" s="189"/>
      <c r="G42" s="189"/>
      <c r="H42" s="189"/>
    </row>
    <row r="43" spans="1:8" ht="12.75" x14ac:dyDescent="0.2">
      <c r="A43" s="582" t="s">
        <v>75</v>
      </c>
      <c r="B43" s="583"/>
      <c r="C43" s="583"/>
      <c r="D43" s="583"/>
      <c r="E43" s="583"/>
      <c r="F43" s="190">
        <f>F16+F17+F18</f>
        <v>14.25</v>
      </c>
      <c r="G43" s="190">
        <f>G16+G17+G18</f>
        <v>16.618075801749271</v>
      </c>
      <c r="H43" s="181">
        <f>SUM(H16:H42)</f>
        <v>29245.52</v>
      </c>
    </row>
    <row r="44" spans="1:8" ht="12.75" x14ac:dyDescent="0.2">
      <c r="A44" s="584" t="s">
        <v>76</v>
      </c>
      <c r="B44" s="584"/>
      <c r="C44" s="584"/>
      <c r="D44" s="584"/>
      <c r="E44" s="584"/>
      <c r="F44" s="584"/>
      <c r="G44" s="584"/>
      <c r="H44" s="584"/>
    </row>
    <row r="45" spans="1:8" x14ac:dyDescent="0.2">
      <c r="A45" s="586" t="s">
        <v>77</v>
      </c>
      <c r="B45" s="587"/>
      <c r="C45" s="587"/>
      <c r="D45" s="587"/>
      <c r="E45" s="587"/>
      <c r="F45" s="587"/>
      <c r="G45" s="587"/>
      <c r="H45" s="588"/>
    </row>
    <row r="46" spans="1:8" x14ac:dyDescent="0.2">
      <c r="A46" s="586"/>
      <c r="B46" s="587"/>
      <c r="C46" s="587"/>
      <c r="D46" s="587"/>
      <c r="E46" s="587"/>
      <c r="F46" s="587"/>
      <c r="G46" s="587"/>
      <c r="H46" s="588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9"/>
      <c r="B51" s="579"/>
      <c r="C51" s="579"/>
      <c r="D51" s="579"/>
      <c r="E51" s="579"/>
      <c r="F51" s="579"/>
      <c r="G51" s="579"/>
      <c r="H51" s="579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view="pageBreakPreview" zoomScaleNormal="100" zoomScaleSheetLayoutView="100" workbookViewId="0">
      <selection activeCell="F14" sqref="F14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7" t="s">
        <v>82</v>
      </c>
      <c r="B5" s="618"/>
      <c r="C5" s="618"/>
      <c r="D5" s="618"/>
      <c r="E5" s="618"/>
      <c r="F5" s="619"/>
      <c r="G5" s="191" t="s">
        <v>3</v>
      </c>
    </row>
    <row r="6" spans="1:8" ht="13.5" thickTop="1" x14ac:dyDescent="0.2">
      <c r="A6" s="620"/>
      <c r="B6" s="621"/>
      <c r="C6" s="621"/>
      <c r="D6" s="621"/>
      <c r="E6" s="621"/>
      <c r="F6" s="622"/>
      <c r="G6" s="192" t="s">
        <v>83</v>
      </c>
    </row>
    <row r="7" spans="1:8" x14ac:dyDescent="0.2">
      <c r="A7" s="579" t="s">
        <v>5</v>
      </c>
      <c r="B7" s="579"/>
      <c r="C7" s="579"/>
      <c r="D7" s="579"/>
      <c r="E7" s="579"/>
      <c r="F7" s="579"/>
      <c r="G7" s="579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3" t="str">
        <f>PFS!A9</f>
        <v>OBJETO: ELABORAÇÃO DE PROJETOS EXECUTIVOS, PARA CONSTRUÇÃO DE BARREIROS DE ACUMULAÇÃO: LOTE 01 - 69 BARREIROS NOS MUNICIPIOS DE CANINDÉ DO SÃO FRANCISCO E POÇO REDONDO</v>
      </c>
      <c r="B9" s="624"/>
      <c r="C9" s="624"/>
      <c r="D9" s="624"/>
      <c r="E9" s="624"/>
      <c r="F9" s="625"/>
      <c r="G9" s="36" t="s">
        <v>6</v>
      </c>
    </row>
    <row r="10" spans="1:8" x14ac:dyDescent="0.2">
      <c r="A10" s="626"/>
      <c r="B10" s="587"/>
      <c r="C10" s="587"/>
      <c r="D10" s="587"/>
      <c r="E10" s="587"/>
      <c r="F10" s="627"/>
      <c r="G10" s="631"/>
    </row>
    <row r="11" spans="1:8" x14ac:dyDescent="0.2">
      <c r="A11" s="626"/>
      <c r="B11" s="587"/>
      <c r="C11" s="587"/>
      <c r="D11" s="587"/>
      <c r="E11" s="587"/>
      <c r="F11" s="627"/>
      <c r="G11" s="631"/>
    </row>
    <row r="12" spans="1:8" x14ac:dyDescent="0.2">
      <c r="A12" s="628"/>
      <c r="B12" s="629"/>
      <c r="C12" s="629"/>
      <c r="D12" s="629"/>
      <c r="E12" s="629"/>
      <c r="F12" s="630"/>
      <c r="G12" s="632"/>
    </row>
    <row r="13" spans="1:8" x14ac:dyDescent="0.2">
      <c r="A13" s="577" t="s">
        <v>45</v>
      </c>
      <c r="B13" s="577"/>
      <c r="C13" s="577"/>
      <c r="D13" s="577"/>
      <c r="E13" s="577"/>
      <c r="F13" s="578" t="s">
        <v>65</v>
      </c>
      <c r="G13" s="578"/>
    </row>
    <row r="14" spans="1:8" x14ac:dyDescent="0.2">
      <c r="A14" s="577"/>
      <c r="B14" s="577"/>
      <c r="C14" s="577"/>
      <c r="D14" s="577"/>
      <c r="E14" s="577"/>
      <c r="F14" s="37" t="s">
        <v>27</v>
      </c>
      <c r="G14" s="37" t="s">
        <v>66</v>
      </c>
    </row>
    <row r="15" spans="1:8" x14ac:dyDescent="0.2">
      <c r="A15" s="38" t="s">
        <v>84</v>
      </c>
      <c r="B15" s="638" t="s">
        <v>85</v>
      </c>
      <c r="C15" s="638"/>
      <c r="D15" s="638"/>
      <c r="E15" s="638"/>
      <c r="F15" s="38"/>
      <c r="G15" s="39"/>
    </row>
    <row r="16" spans="1:8" x14ac:dyDescent="0.2">
      <c r="A16" s="40" t="s">
        <v>128</v>
      </c>
      <c r="B16" s="641" t="s">
        <v>86</v>
      </c>
      <c r="C16" s="642"/>
      <c r="D16" s="642"/>
      <c r="E16" s="643"/>
      <c r="F16" s="41">
        <v>0.2</v>
      </c>
      <c r="G16" s="42">
        <f>ROUND((F16*'PFS_I Equipe'!$E$28),2)</f>
        <v>13395.1</v>
      </c>
      <c r="H16" s="57"/>
    </row>
    <row r="17" spans="1:8" x14ac:dyDescent="0.2">
      <c r="A17" s="40" t="s">
        <v>29</v>
      </c>
      <c r="B17" s="614" t="s">
        <v>129</v>
      </c>
      <c r="C17" s="615"/>
      <c r="D17" s="615"/>
      <c r="E17" s="616"/>
      <c r="F17" s="41">
        <v>1.4999999999999999E-2</v>
      </c>
      <c r="G17" s="42">
        <f>ROUND((F17*'PFS_I Equipe'!$E$28),2)</f>
        <v>1004.63</v>
      </c>
      <c r="H17" s="57"/>
    </row>
    <row r="18" spans="1:8" x14ac:dyDescent="0.2">
      <c r="A18" s="40" t="s">
        <v>30</v>
      </c>
      <c r="B18" s="614" t="s">
        <v>130</v>
      </c>
      <c r="C18" s="615"/>
      <c r="D18" s="615"/>
      <c r="E18" s="616"/>
      <c r="F18" s="41">
        <v>0.01</v>
      </c>
      <c r="G18" s="42">
        <f>ROUND((F18*'PFS_I Equipe'!$E$28),2)</f>
        <v>669.75</v>
      </c>
      <c r="H18" s="57"/>
    </row>
    <row r="19" spans="1:8" x14ac:dyDescent="0.2">
      <c r="A19" s="40" t="s">
        <v>88</v>
      </c>
      <c r="B19" s="614" t="s">
        <v>131</v>
      </c>
      <c r="C19" s="615"/>
      <c r="D19" s="615"/>
      <c r="E19" s="616"/>
      <c r="F19" s="41">
        <v>2E-3</v>
      </c>
      <c r="G19" s="42">
        <f>ROUND((F19*'PFS_I Equipe'!$E$28),2)</f>
        <v>133.94999999999999</v>
      </c>
      <c r="H19" s="57"/>
    </row>
    <row r="20" spans="1:8" x14ac:dyDescent="0.2">
      <c r="A20" s="40" t="s">
        <v>89</v>
      </c>
      <c r="B20" s="614" t="s">
        <v>132</v>
      </c>
      <c r="C20" s="615"/>
      <c r="D20" s="615"/>
      <c r="E20" s="616"/>
      <c r="F20" s="41">
        <v>6.0000000000000001E-3</v>
      </c>
      <c r="G20" s="42">
        <f>ROUND((F20*'PFS_I Equipe'!$E$28),2)</f>
        <v>401.85</v>
      </c>
      <c r="H20" s="57"/>
    </row>
    <row r="21" spans="1:8" x14ac:dyDescent="0.2">
      <c r="A21" s="40" t="s">
        <v>89</v>
      </c>
      <c r="B21" s="614" t="s">
        <v>133</v>
      </c>
      <c r="C21" s="615"/>
      <c r="D21" s="615"/>
      <c r="E21" s="616"/>
      <c r="F21" s="41">
        <v>2.5000000000000001E-2</v>
      </c>
      <c r="G21" s="42">
        <f>ROUND((F21*'PFS_I Equipe'!$E$28),2)</f>
        <v>1674.39</v>
      </c>
      <c r="H21" s="57"/>
    </row>
    <row r="22" spans="1:8" x14ac:dyDescent="0.2">
      <c r="A22" s="40" t="s">
        <v>90</v>
      </c>
      <c r="B22" s="614" t="s">
        <v>134</v>
      </c>
      <c r="C22" s="615"/>
      <c r="D22" s="615"/>
      <c r="E22" s="616"/>
      <c r="F22" s="41">
        <v>0.03</v>
      </c>
      <c r="G22" s="42">
        <f>ROUND((F22*'PFS_I Equipe'!$E$28),2)</f>
        <v>2009.26</v>
      </c>
      <c r="H22" s="57"/>
    </row>
    <row r="23" spans="1:8" x14ac:dyDescent="0.2">
      <c r="A23" s="40" t="s">
        <v>91</v>
      </c>
      <c r="B23" s="614" t="s">
        <v>87</v>
      </c>
      <c r="C23" s="615"/>
      <c r="D23" s="615"/>
      <c r="E23" s="616"/>
      <c r="F23" s="41">
        <v>0.08</v>
      </c>
      <c r="G23" s="42">
        <f>ROUND((F23*'PFS_I Equipe'!$E$28),2)</f>
        <v>5358.04</v>
      </c>
      <c r="H23" s="57"/>
    </row>
    <row r="24" spans="1:8" x14ac:dyDescent="0.2">
      <c r="A24" s="40" t="s">
        <v>92</v>
      </c>
      <c r="B24" s="633" t="s">
        <v>135</v>
      </c>
      <c r="C24" s="634"/>
      <c r="D24" s="634"/>
      <c r="E24" s="635"/>
      <c r="F24" s="286">
        <v>0.01</v>
      </c>
      <c r="G24" s="42">
        <f>ROUND((F24*'PFS_I Equipe'!$E$28),2)</f>
        <v>669.75</v>
      </c>
    </row>
    <row r="25" spans="1:8" x14ac:dyDescent="0.2">
      <c r="A25" s="605" t="s">
        <v>93</v>
      </c>
      <c r="B25" s="605"/>
      <c r="C25" s="605"/>
      <c r="D25" s="605"/>
      <c r="E25" s="605"/>
      <c r="F25" s="193">
        <f>ROUND(SUM(F16:F24),4)</f>
        <v>0.378</v>
      </c>
      <c r="G25" s="194">
        <f>SUM(G16:G24)</f>
        <v>25316.720000000001</v>
      </c>
    </row>
    <row r="26" spans="1:8" x14ac:dyDescent="0.2">
      <c r="A26" s="636"/>
      <c r="B26" s="637"/>
      <c r="C26" s="637"/>
      <c r="D26" s="637"/>
      <c r="E26" s="637"/>
      <c r="F26" s="637"/>
      <c r="G26" s="195"/>
    </row>
    <row r="27" spans="1:8" x14ac:dyDescent="0.2">
      <c r="A27" s="44" t="s">
        <v>94</v>
      </c>
      <c r="B27" s="609" t="s">
        <v>95</v>
      </c>
      <c r="C27" s="609"/>
      <c r="D27" s="609"/>
      <c r="E27" s="609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462.13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5579.06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40.19</v>
      </c>
    </row>
    <row r="31" spans="1:8" x14ac:dyDescent="0.2">
      <c r="A31" s="40" t="s">
        <v>123</v>
      </c>
      <c r="B31" s="49" t="s">
        <v>200</v>
      </c>
      <c r="C31" s="50"/>
      <c r="D31" s="50"/>
      <c r="E31" s="50"/>
      <c r="F31" s="47">
        <v>5.5999999999999999E-3</v>
      </c>
      <c r="G31" s="48">
        <f>ROUND((F31*'PFS_I Equipe'!$E$28),2)</f>
        <v>375.06</v>
      </c>
    </row>
    <row r="32" spans="1:8" x14ac:dyDescent="0.2">
      <c r="A32" s="40" t="s">
        <v>136</v>
      </c>
      <c r="B32" s="49" t="s">
        <v>201</v>
      </c>
      <c r="C32" s="50"/>
      <c r="D32" s="50"/>
      <c r="E32" s="50"/>
      <c r="F32" s="47">
        <v>8.9999999999999998E-4</v>
      </c>
      <c r="G32" s="48">
        <f>ROUND((F32*'PFS_I Equipe'!$E$28),2)</f>
        <v>60.28</v>
      </c>
    </row>
    <row r="33" spans="1:7" x14ac:dyDescent="0.2">
      <c r="A33" s="40" t="s">
        <v>123</v>
      </c>
      <c r="B33" s="49" t="s">
        <v>202</v>
      </c>
      <c r="C33" s="50"/>
      <c r="D33" s="50"/>
      <c r="E33" s="50"/>
      <c r="F33" s="47">
        <v>7.17E-2</v>
      </c>
      <c r="G33" s="48">
        <f>ROUND((F33*'PFS_I Equipe'!$E$28),2)</f>
        <v>4802.1400000000003</v>
      </c>
    </row>
    <row r="34" spans="1:7" x14ac:dyDescent="0.2">
      <c r="A34" s="40" t="s">
        <v>136</v>
      </c>
      <c r="B34" s="49" t="s">
        <v>203</v>
      </c>
      <c r="C34" s="50"/>
      <c r="D34" s="50"/>
      <c r="E34" s="50"/>
      <c r="F34" s="47">
        <v>2.0000000000000001E-4</v>
      </c>
      <c r="G34" s="48">
        <f>ROUND((F34*'PFS_I Equipe'!$E$28),2)</f>
        <v>13.4</v>
      </c>
    </row>
    <row r="35" spans="1:7" x14ac:dyDescent="0.2">
      <c r="A35" s="605" t="s">
        <v>96</v>
      </c>
      <c r="B35" s="605"/>
      <c r="C35" s="605"/>
      <c r="D35" s="605"/>
      <c r="E35" s="605"/>
      <c r="F35" s="193">
        <f>ROUND(SUM(F28:F34),4)</f>
        <v>0.16919999999999999</v>
      </c>
      <c r="G35" s="194">
        <f>SUM(G28:G34)</f>
        <v>11332.26</v>
      </c>
    </row>
    <row r="36" spans="1:7" x14ac:dyDescent="0.2">
      <c r="A36" s="196"/>
      <c r="B36" s="639"/>
      <c r="C36" s="639"/>
      <c r="D36" s="639"/>
      <c r="E36" s="639"/>
      <c r="F36" s="639"/>
      <c r="G36" s="640"/>
    </row>
    <row r="37" spans="1:7" x14ac:dyDescent="0.2">
      <c r="A37" s="44" t="s">
        <v>31</v>
      </c>
      <c r="B37" s="609" t="s">
        <v>97</v>
      </c>
      <c r="C37" s="609"/>
      <c r="D37" s="609"/>
      <c r="E37" s="609"/>
      <c r="F37" s="44"/>
      <c r="G37" s="45"/>
    </row>
    <row r="38" spans="1:7" x14ac:dyDescent="0.2">
      <c r="A38" s="40" t="s">
        <v>98</v>
      </c>
      <c r="B38" s="604" t="s">
        <v>206</v>
      </c>
      <c r="C38" s="604"/>
      <c r="D38" s="604"/>
      <c r="E38" s="604"/>
      <c r="F38" s="41">
        <v>4.3400000000000001E-2</v>
      </c>
      <c r="G38" s="42">
        <f>ROUND((F38*'PFS_I Equipe'!$E$28),2)</f>
        <v>2906.74</v>
      </c>
    </row>
    <row r="39" spans="1:7" x14ac:dyDescent="0.2">
      <c r="A39" s="40" t="s">
        <v>99</v>
      </c>
      <c r="B39" s="604" t="s">
        <v>207</v>
      </c>
      <c r="C39" s="604"/>
      <c r="D39" s="604"/>
      <c r="E39" s="604"/>
      <c r="F39" s="41">
        <v>2.3999999999999998E-3</v>
      </c>
      <c r="G39" s="42">
        <f>ROUND((F39*'PFS_I Equipe'!$E$28),2)</f>
        <v>160.74</v>
      </c>
    </row>
    <row r="40" spans="1:7" x14ac:dyDescent="0.2">
      <c r="A40" s="40" t="s">
        <v>99</v>
      </c>
      <c r="B40" s="604" t="s">
        <v>100</v>
      </c>
      <c r="C40" s="604"/>
      <c r="D40" s="604"/>
      <c r="E40" s="604"/>
      <c r="F40" s="41">
        <v>3.4099999999999998E-2</v>
      </c>
      <c r="G40" s="42">
        <f>ROUND((F40*'PFS_I Equipe'!$E$28),2)</f>
        <v>2283.86</v>
      </c>
    </row>
    <row r="41" spans="1:7" x14ac:dyDescent="0.2">
      <c r="A41" s="40" t="s">
        <v>204</v>
      </c>
      <c r="B41" s="604" t="s">
        <v>208</v>
      </c>
      <c r="C41" s="604"/>
      <c r="D41" s="604"/>
      <c r="E41" s="604"/>
      <c r="F41" s="41">
        <v>3.6700000000000003E-2</v>
      </c>
      <c r="G41" s="42">
        <f>ROUND((F41*'PFS_I Equipe'!$E$28),2)</f>
        <v>2458</v>
      </c>
    </row>
    <row r="42" spans="1:7" x14ac:dyDescent="0.2">
      <c r="A42" s="40" t="s">
        <v>205</v>
      </c>
      <c r="B42" s="604" t="s">
        <v>209</v>
      </c>
      <c r="C42" s="604"/>
      <c r="D42" s="604"/>
      <c r="E42" s="604"/>
      <c r="F42" s="41">
        <v>3.5999999999999999E-3</v>
      </c>
      <c r="G42" s="42">
        <f>ROUND((F42*'PFS_I Equipe'!$E$28),2)</f>
        <v>241.11</v>
      </c>
    </row>
    <row r="43" spans="1:7" x14ac:dyDescent="0.2">
      <c r="A43" s="605" t="s">
        <v>101</v>
      </c>
      <c r="B43" s="605"/>
      <c r="C43" s="605"/>
      <c r="D43" s="605"/>
      <c r="E43" s="605"/>
      <c r="F43" s="193">
        <f>ROUND(SUM(F38:F42),4)</f>
        <v>0.1202</v>
      </c>
      <c r="G43" s="194">
        <f>SUM(G38:G39)</f>
        <v>3067.4799999999996</v>
      </c>
    </row>
    <row r="44" spans="1:7" x14ac:dyDescent="0.2">
      <c r="A44" s="606"/>
      <c r="B44" s="607"/>
      <c r="C44" s="607"/>
      <c r="D44" s="607"/>
      <c r="E44" s="607"/>
      <c r="F44" s="607"/>
      <c r="G44" s="608"/>
    </row>
    <row r="45" spans="1:7" x14ac:dyDescent="0.2">
      <c r="A45" s="44" t="s">
        <v>102</v>
      </c>
      <c r="B45" s="609" t="s">
        <v>103</v>
      </c>
      <c r="C45" s="609"/>
      <c r="D45" s="609"/>
      <c r="E45" s="609"/>
      <c r="F45" s="44"/>
      <c r="G45" s="45"/>
    </row>
    <row r="46" spans="1:7" x14ac:dyDescent="0.2">
      <c r="A46" s="40" t="s">
        <v>104</v>
      </c>
      <c r="B46" s="613" t="s">
        <v>105</v>
      </c>
      <c r="C46" s="613"/>
      <c r="D46" s="613"/>
      <c r="E46" s="613"/>
      <c r="F46" s="41">
        <v>6.4000000000000001E-2</v>
      </c>
      <c r="G46" s="42">
        <f>ROUND((F46*'PFS_I Equipe'!$E$28),2)</f>
        <v>4286.43</v>
      </c>
    </row>
    <row r="47" spans="1:7" ht="25.5" customHeight="1" x14ac:dyDescent="0.2">
      <c r="A47" s="40" t="s">
        <v>210</v>
      </c>
      <c r="B47" s="610" t="s">
        <v>211</v>
      </c>
      <c r="C47" s="611"/>
      <c r="D47" s="611"/>
      <c r="E47" s="612"/>
      <c r="F47" s="41">
        <v>4.4000000000000003E-3</v>
      </c>
      <c r="G47" s="42">
        <f>ROUND((F47*'PFS_I Equipe'!$E$28),2)</f>
        <v>294.69</v>
      </c>
    </row>
    <row r="48" spans="1:7" x14ac:dyDescent="0.2">
      <c r="A48" s="605" t="s">
        <v>106</v>
      </c>
      <c r="B48" s="605"/>
      <c r="C48" s="605"/>
      <c r="D48" s="605"/>
      <c r="E48" s="605"/>
      <c r="F48" s="193">
        <f>SUM(F46:F47)</f>
        <v>6.8400000000000002E-2</v>
      </c>
      <c r="G48" s="194">
        <f>SUM(G47:G47)</f>
        <v>294.69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602" t="s">
        <v>107</v>
      </c>
      <c r="B50" s="603"/>
      <c r="C50" s="603"/>
      <c r="D50" s="603"/>
      <c r="E50" s="603"/>
      <c r="F50" s="201">
        <f>ROUND(F25+F35+F43+F48,4)</f>
        <v>0.73580000000000001</v>
      </c>
      <c r="G50" s="202">
        <f>G25+G35+G43+G48+0.02</f>
        <v>40011.170000000006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top, Geo e Fisc.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top, Geo e Fisc.'!Area_de_impressao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George Marcelo Neves de Carvalho</cp:lastModifiedBy>
  <cp:lastPrinted>2013-04-20T15:34:16Z</cp:lastPrinted>
  <dcterms:created xsi:type="dcterms:W3CDTF">2009-12-08T14:34:18Z</dcterms:created>
  <dcterms:modified xsi:type="dcterms:W3CDTF">2014-02-25T12:51:37Z</dcterms:modified>
</cp:coreProperties>
</file>