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480" windowHeight="8130" tabRatio="959"/>
  </bookViews>
  <sheets>
    <sheet name="PFS" sheetId="1" r:id="rId1"/>
    <sheet name="PFS_I Equipe" sheetId="2" r:id="rId2"/>
    <sheet name="PFS_II Desp Viagens" sheetId="3" r:id="rId3"/>
    <sheet name="PFS_III Ser Graf" sheetId="4" r:id="rId4"/>
    <sheet name="PFS_IV Serv. top e Geo" sheetId="5" r:id="rId5"/>
    <sheet name="PFS_V Cronog Financ" sheetId="6" r:id="rId6"/>
    <sheet name="PFS_VI_ Det_ Custos Adm_" sheetId="7" r:id="rId7"/>
    <sheet name="PFS_VII Det_ Desp Fiscais" sheetId="8" r:id="rId8"/>
    <sheet name="PFS_VIII Det_ Enc_ Soc_" sheetId="9" r:id="rId9"/>
    <sheet name="SALARIOS" sheetId="10" r:id="rId10"/>
  </sheets>
  <externalReferences>
    <externalReference r:id="rId11"/>
    <externalReference r:id="rId12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PFS!$A$1:$O$53</definedName>
    <definedName name="_xlnm.Print_Area" localSheetId="1">'PFS_I Equipe'!$A$1:$I$28</definedName>
    <definedName name="_xlnm.Print_Area" localSheetId="2">'PFS_II Desp Viagens'!$A$1:$N$22</definedName>
    <definedName name="_xlnm.Print_Area" localSheetId="4">'PFS_IV Serv. top e Geo'!$A$1:$I$22</definedName>
    <definedName name="_xlnm.Print_Area" localSheetId="7">'PFS_VII Det_ Desp Fiscais'!$A$1:$H$52</definedName>
    <definedName name="_xlnm.Print_Area" localSheetId="9">SALARIOS!$A$1:$F$12</definedName>
    <definedName name="_xlnm.Criteria">[2]BDI!$G$10:$G$15</definedName>
  </definedNames>
  <calcPr calcId="144525"/>
</workbook>
</file>

<file path=xl/calcChain.xml><?xml version="1.0" encoding="utf-8"?>
<calcChain xmlns="http://schemas.openxmlformats.org/spreadsheetml/2006/main">
  <c r="D10" i="10" l="1"/>
  <c r="D11" i="10"/>
  <c r="D12" i="10"/>
  <c r="D9" i="10"/>
  <c r="D16" i="4" l="1"/>
  <c r="D15" i="4"/>
  <c r="G20" i="5" l="1"/>
  <c r="G19" i="5"/>
  <c r="G18" i="5"/>
  <c r="G17" i="5"/>
  <c r="G16" i="5"/>
  <c r="G15" i="5"/>
  <c r="D24" i="4"/>
  <c r="D20" i="4"/>
  <c r="D19" i="4"/>
  <c r="D23" i="4" l="1"/>
  <c r="F48" i="9" l="1"/>
  <c r="F43" i="9"/>
  <c r="A27" i="1" l="1"/>
  <c r="I16" i="5"/>
  <c r="I19" i="5" l="1"/>
  <c r="I15" i="5"/>
  <c r="G14" i="6" s="1"/>
  <c r="I16" i="3" l="1"/>
  <c r="G20" i="4"/>
  <c r="G19" i="4"/>
  <c r="G16" i="4"/>
  <c r="I17" i="5" l="1"/>
  <c r="A9" i="5"/>
  <c r="G24" i="4"/>
  <c r="G15" i="4"/>
  <c r="G25" i="4"/>
  <c r="K16" i="3"/>
  <c r="I21" i="3" s="1"/>
  <c r="E16" i="3"/>
  <c r="C21" i="3" s="1"/>
  <c r="F35" i="9"/>
  <c r="F25" i="9"/>
  <c r="D25" i="2" l="1"/>
  <c r="E25" i="2" s="1"/>
  <c r="D24" i="2"/>
  <c r="E24" i="2" s="1"/>
  <c r="D23" i="2"/>
  <c r="E23" i="2" s="1"/>
  <c r="D13" i="2"/>
  <c r="E13" i="2" s="1"/>
  <c r="D26" i="2"/>
  <c r="D20" i="2"/>
  <c r="G23" i="4"/>
  <c r="D19" i="2"/>
  <c r="D18" i="2"/>
  <c r="D17" i="2"/>
  <c r="E26" i="2" l="1"/>
  <c r="E17" i="2"/>
  <c r="E18" i="2"/>
  <c r="E19" i="2"/>
  <c r="E20" i="2"/>
  <c r="E28" i="2" l="1"/>
  <c r="F21" i="3"/>
  <c r="I18" i="5"/>
  <c r="I20" i="5"/>
  <c r="L21" i="3"/>
  <c r="A9" i="2"/>
  <c r="F28" i="2"/>
  <c r="N18" i="1" s="1"/>
  <c r="H28" i="2"/>
  <c r="N21" i="1" s="1"/>
  <c r="A10" i="3"/>
  <c r="A9" i="4"/>
  <c r="A9" i="6"/>
  <c r="A9" i="7"/>
  <c r="F42" i="7"/>
  <c r="A9" i="8"/>
  <c r="F43" i="8"/>
  <c r="G17" i="8" s="1"/>
  <c r="A9" i="9"/>
  <c r="G40" i="9" l="1"/>
  <c r="G46" i="9"/>
  <c r="G42" i="9"/>
  <c r="G32" i="9"/>
  <c r="G31" i="9"/>
  <c r="G30" i="9"/>
  <c r="G29" i="9"/>
  <c r="G28" i="9"/>
  <c r="G41" i="9"/>
  <c r="I22" i="5"/>
  <c r="A43" i="1"/>
  <c r="A25" i="1"/>
  <c r="F50" i="9"/>
  <c r="G18" i="8"/>
  <c r="G16" i="8"/>
  <c r="G27" i="4"/>
  <c r="G29" i="4" s="1"/>
  <c r="N23" i="1" s="1"/>
  <c r="A20" i="1" l="1"/>
  <c r="I13" i="2"/>
  <c r="G13" i="2" s="1"/>
  <c r="I26" i="2"/>
  <c r="G26" i="2" s="1"/>
  <c r="I25" i="2"/>
  <c r="G25" i="2" s="1"/>
  <c r="I24" i="2"/>
  <c r="G24" i="2" s="1"/>
  <c r="I23" i="2"/>
  <c r="G23" i="2" s="1"/>
  <c r="G43" i="8"/>
  <c r="A42" i="1"/>
  <c r="I19" i="2"/>
  <c r="G19" i="2" s="1"/>
  <c r="I17" i="2"/>
  <c r="G17" i="2" s="1"/>
  <c r="I18" i="2"/>
  <c r="G18" i="2" s="1"/>
  <c r="I20" i="2"/>
  <c r="G20" i="2" s="1"/>
  <c r="N30" i="1"/>
  <c r="N29" i="1" s="1"/>
  <c r="L22" i="3"/>
  <c r="N22" i="1" s="1"/>
  <c r="G28" i="2" l="1"/>
  <c r="N20" i="1" s="1"/>
  <c r="N19" i="1" s="1"/>
  <c r="G34" i="9"/>
  <c r="G33" i="9"/>
  <c r="G16" i="9"/>
  <c r="G19" i="9"/>
  <c r="G23" i="9"/>
  <c r="G38" i="9"/>
  <c r="G22" i="9"/>
  <c r="G39" i="9"/>
  <c r="G21" i="9"/>
  <c r="N17" i="1"/>
  <c r="G20" i="9"/>
  <c r="G47" i="9"/>
  <c r="G48" i="9" s="1"/>
  <c r="G17" i="9"/>
  <c r="G24" i="9"/>
  <c r="G18" i="9"/>
  <c r="N16" i="1" l="1"/>
  <c r="G35" i="9"/>
  <c r="G25" i="9"/>
  <c r="G43" i="9"/>
  <c r="N14" i="1" l="1"/>
  <c r="G15" i="7"/>
  <c r="G18" i="7"/>
  <c r="G20" i="7"/>
  <c r="G50" i="9"/>
  <c r="G42" i="7" l="1"/>
  <c r="N25" i="1" s="1"/>
  <c r="N26" i="1" l="1"/>
  <c r="H17" i="8" s="1"/>
  <c r="H18" i="8" l="1"/>
  <c r="H16" i="8"/>
  <c r="N27" i="1"/>
  <c r="N24" i="1" s="1"/>
  <c r="N32" i="1" s="1"/>
  <c r="N33" i="1" l="1"/>
  <c r="G17" i="6"/>
  <c r="G15" i="6"/>
  <c r="G23" i="6"/>
  <c r="G25" i="6"/>
  <c r="G20" i="6"/>
  <c r="H43" i="8"/>
  <c r="G27" i="6" l="1"/>
</calcChain>
</file>

<file path=xl/sharedStrings.xml><?xml version="1.0" encoding="utf-8"?>
<sst xmlns="http://schemas.openxmlformats.org/spreadsheetml/2006/main" count="357" uniqueCount="230">
  <si>
    <t>Ministério da Integração Nacional - MI</t>
  </si>
  <si>
    <t>Companhia de Desenvolvimento dos Vales do São Francisco e do Parnaíba</t>
  </si>
  <si>
    <t>PROPOSTA FINANCEIRA DE SERVIÇOS</t>
  </si>
  <si>
    <t>CODIGO:</t>
  </si>
  <si>
    <t>PFS</t>
  </si>
  <si>
    <t>NOME DA CONSULTORA:</t>
  </si>
  <si>
    <t>EDITAL:</t>
  </si>
  <si>
    <t>SERVIÇOS PAGOS A PREÇO GLOBAL</t>
  </si>
  <si>
    <t>MÃO-DE-OBRA</t>
  </si>
  <si>
    <t>A - TOTAL DE SALÁRIO DA EQUIPE</t>
  </si>
  <si>
    <t>A1 - TOTAL SALÁRIOS DA EQUIPE COM VÍNCULO (PFS-I)</t>
  </si>
  <si>
    <t>A2 - TOTAL SALÁRIO DO AUTÔNOMO (PFS-I) - Consultoria</t>
  </si>
  <si>
    <t>B - TOTAL DE ENCARGOS SOCIAIS</t>
  </si>
  <si>
    <t>B2 -  20,00% INCIDENTE SOBRE O ITEM  A2</t>
  </si>
  <si>
    <t>C - DESPESAS COM VIAGENS (PFS-II)</t>
  </si>
  <si>
    <t>D - SERVIÇOS GRÁFICOS (PFS-III)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</si>
  <si>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</si>
  <si>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</si>
  <si>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</si>
  <si>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</si>
  <si>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</si>
  <si>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</si>
  <si>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</si>
  <si>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</si>
  <si>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SALÁRIOS E ENCARGOS DA EQUIPE</t>
  </si>
  <si>
    <t>PFS-I</t>
  </si>
  <si>
    <t>CATEGORIA FUNCIONAL</t>
  </si>
  <si>
    <t>%</t>
  </si>
  <si>
    <t>-</t>
  </si>
  <si>
    <t>A2</t>
  </si>
  <si>
    <t>A3</t>
  </si>
  <si>
    <t>C</t>
  </si>
  <si>
    <t>TOTAIS</t>
  </si>
  <si>
    <t>DESPESAS COM VIAGENS</t>
  </si>
  <si>
    <t>PFS-II</t>
  </si>
  <si>
    <t>EQUIPE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</si>
  <si>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</si>
  <si>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</si>
  <si>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</si>
  <si>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</si>
  <si>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</si>
  <si>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</si>
  <si>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</si>
  <si>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>SERVIÇOS GRÁFICOS</t>
  </si>
  <si>
    <t>PFS-III</t>
  </si>
  <si>
    <t>DISCRIMINAÇÃO</t>
  </si>
  <si>
    <t>Nº DE</t>
  </si>
  <si>
    <t>CUSTOS (R$)</t>
  </si>
  <si>
    <t>VIAS</t>
  </si>
  <si>
    <t>UNITÁRIO</t>
  </si>
  <si>
    <t>TOTAL</t>
  </si>
  <si>
    <t>SUBTOTAL</t>
  </si>
  <si>
    <t>TOTAL  DE SERVIÇOS GRÁFICOS</t>
  </si>
  <si>
    <t xml:space="preserve">DESPESAS GERAIS </t>
  </si>
  <si>
    <t>PFS-IV</t>
  </si>
  <si>
    <t>ITEM</t>
  </si>
  <si>
    <t>UNID.</t>
  </si>
  <si>
    <t>TOTAL  DE DESPESAS GERAIS</t>
  </si>
  <si>
    <t>CRONOGRAMA FINANCEIRO</t>
  </si>
  <si>
    <t>PFS-V</t>
  </si>
  <si>
    <t xml:space="preserve">      </t>
  </si>
  <si>
    <t>Nº</t>
  </si>
  <si>
    <t>TOTAL DA FOLHA</t>
  </si>
  <si>
    <t>DETALHAMENTO DO CUSTO DE ADMINISTRAÇÃO</t>
  </si>
  <si>
    <t>PFS-VI</t>
  </si>
  <si>
    <t>VALORES</t>
  </si>
  <si>
    <t>R$</t>
  </si>
  <si>
    <t>TOTAIS DO CUSTO DE ADMINISTRAÇÃO</t>
  </si>
  <si>
    <t>DETALHAMENTO DE DESPESAS FISCAIS</t>
  </si>
  <si>
    <t>PFS-VII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</si>
  <si>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</si>
  <si>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</si>
  <si>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</si>
  <si>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</si>
  <si>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</si>
  <si>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</si>
  <si>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</si>
  <si>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</si>
  <si>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DF' = { [ 1 / ( 1 - DF ) ] - 1 } x 100</t>
  </si>
  <si>
    <t xml:space="preserve"> ou seja, para o valor máximo de 14,25%, o valor a ser aplicado na composição dos preços será:</t>
  </si>
  <si>
    <t xml:space="preserve"> DF' = { [ 1 / ( 1 - 0,1425 ) ] - 1 } x 100</t>
  </si>
  <si>
    <t xml:space="preserve"> DF' =0,1662  ou  16,62%</t>
  </si>
  <si>
    <t>DETALHAMENTO DOS ENCARGOS SOCIAIS</t>
  </si>
  <si>
    <t>PFS-VIII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</si>
  <si>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</si>
  <si>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</si>
  <si>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</si>
  <si>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</si>
  <si>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</si>
  <si>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</si>
  <si>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</si>
  <si>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</si>
  <si>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</si>
  <si>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</si>
  <si>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</si>
  <si>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</si>
  <si>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</si>
  <si>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</si>
  <si>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</si>
  <si>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</si>
  <si>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Férias (indenizadas)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</si>
  <si>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</si>
  <si>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</si>
  <si>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</si>
  <si>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</si>
  <si>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</si>
  <si>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</si>
  <si>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</si>
  <si>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4. REMUNERAÇÃO DA EMPRESA (LUCRO) = 10,00% SOBRE OS ITENS DE CUSTOS DIRETOS + CUSTO DE ADMINISTRAÇÃO</t>
  </si>
  <si>
    <t>TOTAL CUSTO
SALÁRIOS DE
B2</t>
  </si>
  <si>
    <t>TOTAL CUSTO
SALÁRIOS DE
B1</t>
  </si>
  <si>
    <t>SALÁRIO
MENSAL
(R$)</t>
  </si>
  <si>
    <t>TOTAL DE
HOMENS X
MÊS</t>
  </si>
  <si>
    <t>DIÁRIAS - PERNOITE</t>
  </si>
  <si>
    <t>ALIMENTAÇÃO</t>
  </si>
  <si>
    <t>ENGENHEIRO PLENO</t>
  </si>
  <si>
    <t>AUXILIAR DE ESCRITÓRIO</t>
  </si>
  <si>
    <t>DESENHISTA DETALHISTA</t>
  </si>
  <si>
    <t>ENGENHEIRO JUNIOR</t>
  </si>
  <si>
    <t>DESCRIÇÃO</t>
  </si>
  <si>
    <t>B3</t>
  </si>
  <si>
    <t>B4</t>
  </si>
  <si>
    <t>B5</t>
  </si>
  <si>
    <t>B6</t>
  </si>
  <si>
    <t>Auxílio-Enfermidade</t>
  </si>
  <si>
    <t>13º Salário</t>
  </si>
  <si>
    <t>Licença Paternidade</t>
  </si>
  <si>
    <t>Total do Mês</t>
  </si>
  <si>
    <t>A1</t>
  </si>
  <si>
    <t>SESI</t>
  </si>
  <si>
    <t>SENAI</t>
  </si>
  <si>
    <t>INCRA</t>
  </si>
  <si>
    <t>SEBRAE</t>
  </si>
  <si>
    <t>SALÁRIO-EDUCAÇÃO</t>
  </si>
  <si>
    <t>SEGURO CONTRA ACIDENTES DE TRABALHO</t>
  </si>
  <si>
    <t>SECONCI</t>
  </si>
  <si>
    <t>B7</t>
  </si>
  <si>
    <t>RELATÓRIO FINAL DO PROJETO EXECUTIVO</t>
  </si>
  <si>
    <t>PLOTAGEM DE PLANTA EM FORMADO A1</t>
  </si>
  <si>
    <t>GRAVAÇÃO DO PROJETO EXECUTIVO EM CD-ROM</t>
  </si>
  <si>
    <t>1.0</t>
  </si>
  <si>
    <t>PRODUTO</t>
  </si>
  <si>
    <t>MESES CORRIDOS</t>
  </si>
  <si>
    <t>TOTAL POR BARREIRO</t>
  </si>
  <si>
    <t>unid</t>
  </si>
  <si>
    <t>4.ª Superintendência Regional - 4.ª SR/GRR</t>
  </si>
  <si>
    <t>Custo Horário
sem encargos</t>
  </si>
  <si>
    <t>TOTAL
CUSTO ENC.
SOCIAIS DE B1</t>
  </si>
  <si>
    <t>TOTAL
CUSTO ENC.
SOCIAIS DE B2</t>
  </si>
  <si>
    <t>TAXA DE
ENCARGOS
SOCIAIS %</t>
  </si>
  <si>
    <r>
      <t xml:space="preserve">5. </t>
    </r>
    <r>
      <rPr>
        <b/>
        <sz val="10"/>
        <rFont val="Arial"/>
        <family val="2"/>
      </rPr>
      <t>DF</t>
    </r>
    <r>
      <rPr>
        <sz val="10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</si>
  <si>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</si>
  <si>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DF) ] - 1 } x 100</t>
    </r>
  </si>
  <si>
    <r>
      <t xml:space="preserve">    </t>
    </r>
    <r>
      <rPr>
        <b/>
        <sz val="10"/>
        <rFont val="Arial"/>
        <family val="2"/>
      </rPr>
      <t>DF'</t>
    </r>
    <r>
      <rPr>
        <sz val="10"/>
        <rFont val="Arial"/>
        <family val="2"/>
      </rPr>
      <t xml:space="preserve"> = { [ 1 / ( 1 - 0,1425 ) ] - 1 } x 100</t>
    </r>
  </si>
  <si>
    <r>
      <t xml:space="preserve">    </t>
    </r>
    <r>
      <rPr>
        <b/>
        <sz val="10"/>
        <rFont val="Arial"/>
        <family val="2"/>
      </rPr>
      <t>DF' = 0,1662  ou  16,62%</t>
    </r>
  </si>
  <si>
    <r>
      <t xml:space="preserve">7.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foram incluídos os tributos IRPJ e CSLL, em cumprimento ao Acórdão nº 325/2007 – TCU – Plenário.</t>
    </r>
  </si>
  <si>
    <t>EXEMPLARES</t>
  </si>
  <si>
    <t>/ ITENS</t>
  </si>
  <si>
    <t>VALOR (R$)</t>
  </si>
  <si>
    <t>Horas
do Mês</t>
  </si>
  <si>
    <t>metro</t>
  </si>
  <si>
    <t>Sondagem a trado (4")</t>
  </si>
  <si>
    <t>Custos da equipe da administração central da empresa consultora 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</si>
  <si>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</si>
  <si>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</si>
  <si>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2</t>
  </si>
  <si>
    <t>RELATÓRIO DA ETAPA 02</t>
  </si>
  <si>
    <t>RELATÓRIO DA ETAPA 01</t>
  </si>
  <si>
    <t>4</t>
  </si>
  <si>
    <t>ETAPA 01: ESTUDOS TOPOGRÁFICOS E GOTÉCNICOS</t>
  </si>
  <si>
    <t>ETAPA 03: RELATÓRIO FINAL</t>
  </si>
  <si>
    <t>1</t>
  </si>
  <si>
    <t>1º RELATÓRIO DE ENTREGA DA ETAPA 01</t>
  </si>
  <si>
    <t>1º RELATÓRIO DE ENTRAGA DA ETAPA 02</t>
  </si>
  <si>
    <t>3</t>
  </si>
  <si>
    <t>2º RELATÓRIO DE ENTREGA DA ETAPA 01</t>
  </si>
  <si>
    <t>2º RELATÓRIO DE ENTRAGA DA ETAPA 02</t>
  </si>
  <si>
    <t>3º RELATÓRIO DE ENTREGA DA ETAPA 01</t>
  </si>
  <si>
    <t>3º RELATÓRIO DE ENTRAGA DA ETAPA 02</t>
  </si>
  <si>
    <t>5</t>
  </si>
  <si>
    <t>4º RELATÓRIO DE ENTREGA DA ETAPA 01</t>
  </si>
  <si>
    <t>4º RELATÓRIO DE ENTRAGA DA ETAPA 02</t>
  </si>
  <si>
    <t>6</t>
  </si>
  <si>
    <t>Nº DE BARREIROS</t>
  </si>
  <si>
    <t>CUSTOS INDIRETOS (F+G+H)</t>
  </si>
  <si>
    <t>1º RELATÓRIO FINAL (ETAPA 03)</t>
  </si>
  <si>
    <t>2º RELATÓRIO FINAL (ETAPA 03)</t>
  </si>
  <si>
    <t>3º RELATÓRIO FINAL (ETAPA 03)</t>
  </si>
  <si>
    <t>4º RELATÓRIO FINAL (ETAPA 03)</t>
  </si>
  <si>
    <t>Levantamento topográfico planialtimétrico classe III PA</t>
  </si>
  <si>
    <t>há</t>
  </si>
  <si>
    <t>Pontos GPS, com receptores de dupla frequencia (L1/L2)</t>
  </si>
  <si>
    <t>Marco de concreto (8x12x60cm)</t>
  </si>
  <si>
    <t>Barrote de madeira (2 x 2 x 20 cm)</t>
  </si>
  <si>
    <t>Nivelamento geométrico classe in</t>
  </si>
  <si>
    <t>km</t>
  </si>
  <si>
    <t>E - SERVIÇOS TOPOGRÁFICOS E GEOTÉCNICOS (PFS-IV)</t>
  </si>
  <si>
    <t>CUSTOS DIRETOS (A+B+C+D)</t>
  </si>
  <si>
    <t>G - REMUNERAÇÃO DA EMPRESA (LUCRO) - (10,00% DOS ITENS A+B+C+D+F)</t>
  </si>
  <si>
    <t>SERVIÇOS PAGOS A PREÇO UNITÁRIO (E)</t>
  </si>
  <si>
    <t>8 - OS SERVIÇOS  PAGOS A PREÇOS UNITÁRIOS INCLUEM OS CUSTOS DE MÃO-DE-OBRA,  EQUIPAMENTOS, MATERIAIS E VEÍCULOS UTILIZADOS NA SUA EXECUÇÃO, BEM COMO LUCRO, CUSTOS DE ADMINISTRAÇÃO E DESPESAS FISCAIS</t>
  </si>
  <si>
    <t>Faltas Justificadas</t>
  </si>
  <si>
    <t>Auxilio Acidente de Trabalho</t>
  </si>
  <si>
    <t>Férias Gozados</t>
  </si>
  <si>
    <t>Salário Maternidade</t>
  </si>
  <si>
    <t>C3</t>
  </si>
  <si>
    <t>C4</t>
  </si>
  <si>
    <t>Avisio Prévio Indenizado</t>
  </si>
  <si>
    <t>Avisio Prévio Trabalhado</t>
  </si>
  <si>
    <t>Depósito Rescisão Sem Justa Causa</t>
  </si>
  <si>
    <t>Indenização Adicional</t>
  </si>
  <si>
    <t>D2</t>
  </si>
  <si>
    <t>Reincidência de "A" sobre Avisio Pervio Trabalhado e Reincidência do FGTS sobre Aviso Prévio Indenizado</t>
  </si>
  <si>
    <t>EQUIPE DE ENGENHARIA</t>
  </si>
  <si>
    <t>OBJETO: ELABORAÇÃO DE PROJETOS EXECUTIVOS, PARA CONSTRUÇÃO DE BARREIROS DE ACUMULAÇÃO: LOTE 04 - 27 BARREIROS NOS MUNICIPIOS DE AQUIDABÃ, ITABÍ, CEDRO DE SÃO JOÃO E PROPRIÁ</t>
  </si>
  <si>
    <t>ETAPA 01: ESTUDOS GEOTÉCNICOS</t>
  </si>
  <si>
    <t>IETAPA 02: ESTUDOS DE VIABILIDADE TÉCNICA</t>
  </si>
  <si>
    <t>ESTUDOS TOPOGRÁFICOS E GEOTÉCNICOS</t>
  </si>
  <si>
    <t>ETAPA 02: ESTUDOS DE VIABILIDADE TÉCNICA</t>
  </si>
  <si>
    <t>Categoria</t>
  </si>
  <si>
    <t>Tempo de Formação
(anos)</t>
  </si>
  <si>
    <t>P1</t>
  </si>
  <si>
    <t>10 &lt; T &lt; 15</t>
  </si>
  <si>
    <t>P3</t>
  </si>
  <si>
    <t>4 &lt; T &lt; 8</t>
  </si>
  <si>
    <t>T2</t>
  </si>
  <si>
    <t>T &lt; 5</t>
  </si>
  <si>
    <t>T &lt; 8</t>
  </si>
  <si>
    <t>TEMPO DE EXPERIÊNCIA</t>
  </si>
  <si>
    <t>CÁLCULO SALÁRIOS: TABELAS ENGENHARIA COSULTIVA (FEV - 2014)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</si>
</sst>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General_)"/>
    <numFmt numFmtId="165" formatCode="0_)"/>
    <numFmt numFmtId="166" formatCode="00"/>
    <numFmt numFmtId="167" formatCode="#,##0.00&quot;     &quot;"/>
    <numFmt numFmtId="168" formatCode="#,##0.00;[Red]#,##0.00"/>
    <numFmt numFmtId="169" formatCode="#,##0.00&quot;  &quot;"/>
    <numFmt numFmtId="170" formatCode="00000000"/>
  </numFmts>
  <fonts count="3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name val="Helv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8" fillId="7" borderId="1" applyNumberFormat="0" applyAlignment="0" applyProtection="0"/>
    <xf numFmtId="0" fontId="9" fillId="17" borderId="0" applyNumberFormat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26" fillId="0" borderId="0"/>
    <xf numFmtId="0" fontId="27" fillId="0" borderId="0"/>
    <xf numFmtId="0" fontId="12" fillId="0" borderId="0"/>
    <xf numFmtId="0" fontId="12" fillId="0" borderId="0"/>
    <xf numFmtId="0" fontId="26" fillId="0" borderId="0"/>
    <xf numFmtId="164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4" borderId="4" applyNumberFormat="0" applyAlignment="0" applyProtection="0"/>
    <xf numFmtId="9" fontId="12" fillId="0" borderId="0" applyFont="0" applyFill="0" applyBorder="0" applyAlignment="0" applyProtection="0"/>
    <xf numFmtId="0" fontId="13" fillId="11" borderId="5" applyNumberFormat="0" applyAlignment="0" applyProtection="0"/>
    <xf numFmtId="40" fontId="26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9" fontId="12" fillId="0" borderId="0" applyFill="0" applyBorder="0" applyAlignment="0" applyProtection="0"/>
  </cellStyleXfs>
  <cellXfs count="644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20" fillId="0" borderId="0" xfId="39" applyFont="1" applyAlignment="1">
      <alignment horizontal="left" vertical="center"/>
    </xf>
    <xf numFmtId="0" fontId="20" fillId="0" borderId="0" xfId="39" applyFont="1" applyAlignment="1">
      <alignment horizontal="center" vertical="center"/>
    </xf>
    <xf numFmtId="0" fontId="20" fillId="0" borderId="0" xfId="39" applyFont="1" applyAlignment="1">
      <alignment vertical="center"/>
    </xf>
    <xf numFmtId="0" fontId="20" fillId="0" borderId="0" xfId="39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0" xfId="41" applyFont="1" applyAlignment="1">
      <alignment vertical="center"/>
    </xf>
    <xf numFmtId="0" fontId="20" fillId="0" borderId="0" xfId="41" applyFont="1" applyBorder="1" applyAlignment="1">
      <alignment vertical="center"/>
    </xf>
    <xf numFmtId="0" fontId="20" fillId="0" borderId="0" xfId="42" applyFont="1" applyAlignment="1">
      <alignment vertical="center"/>
    </xf>
    <xf numFmtId="0" fontId="20" fillId="0" borderId="0" xfId="44" applyFont="1" applyAlignment="1">
      <alignment vertical="center"/>
    </xf>
    <xf numFmtId="0" fontId="20" fillId="0" borderId="0" xfId="44" applyFont="1" applyBorder="1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Border="1" applyAlignment="1">
      <alignment vertical="center"/>
    </xf>
    <xf numFmtId="40" fontId="25" fillId="0" borderId="25" xfId="48" applyFont="1" applyFill="1" applyBorder="1" applyAlignment="1" applyProtection="1">
      <alignment horizontal="center" vertical="top"/>
    </xf>
    <xf numFmtId="4" fontId="12" fillId="0" borderId="25" xfId="43" applyNumberFormat="1" applyFont="1" applyBorder="1" applyAlignment="1">
      <alignment horizontal="center" vertical="top"/>
    </xf>
    <xf numFmtId="40" fontId="12" fillId="0" borderId="25" xfId="48" applyFont="1" applyFill="1" applyBorder="1" applyAlignment="1" applyProtection="1">
      <alignment horizontal="right" vertical="top"/>
    </xf>
    <xf numFmtId="38" fontId="20" fillId="0" borderId="0" xfId="48" applyNumberFormat="1" applyFont="1" applyAlignment="1">
      <alignment horizontal="right" vertical="center"/>
    </xf>
    <xf numFmtId="40" fontId="20" fillId="0" borderId="0" xfId="48" applyFont="1" applyAlignment="1">
      <alignment vertical="center"/>
    </xf>
    <xf numFmtId="0" fontId="20" fillId="0" borderId="0" xfId="39" applyFont="1" applyAlignment="1">
      <alignment vertical="center" wrapText="1"/>
    </xf>
    <xf numFmtId="0" fontId="20" fillId="18" borderId="39" xfId="0" applyFont="1" applyFill="1" applyBorder="1" applyAlignment="1">
      <alignment horizontal="left" vertical="center"/>
    </xf>
    <xf numFmtId="0" fontId="21" fillId="18" borderId="40" xfId="39" applyFont="1" applyFill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2" fillId="0" borderId="0" xfId="43" applyFont="1" applyAlignment="1">
      <alignment vertical="center"/>
    </xf>
    <xf numFmtId="0" fontId="12" fillId="0" borderId="0" xfId="0" applyFont="1"/>
    <xf numFmtId="164" fontId="29" fillId="0" borderId="79" xfId="38" applyFont="1" applyBorder="1" applyAlignment="1">
      <alignment horizontal="left" vertical="center"/>
    </xf>
    <xf numFmtId="170" fontId="29" fillId="0" borderId="79" xfId="38" applyNumberFormat="1" applyFont="1" applyBorder="1" applyAlignment="1">
      <alignment horizontal="center" vertical="center"/>
    </xf>
    <xf numFmtId="0" fontId="28" fillId="0" borderId="0" xfId="0" applyFont="1"/>
    <xf numFmtId="0" fontId="12" fillId="0" borderId="22" xfId="43" applyFont="1" applyBorder="1" applyAlignment="1">
      <alignment vertical="center"/>
    </xf>
    <xf numFmtId="0" fontId="12" fillId="0" borderId="0" xfId="43" applyFont="1" applyBorder="1" applyAlignment="1">
      <alignment vertical="center"/>
    </xf>
    <xf numFmtId="0" fontId="12" fillId="0" borderId="26" xfId="43" applyFont="1" applyBorder="1" applyAlignment="1">
      <alignment vertical="center"/>
    </xf>
    <xf numFmtId="0" fontId="12" fillId="0" borderId="39" xfId="43" applyFont="1" applyBorder="1" applyAlignment="1">
      <alignment horizontal="left" vertical="top"/>
    </xf>
    <xf numFmtId="0" fontId="12" fillId="0" borderId="25" xfId="0" applyFont="1" applyBorder="1" applyAlignment="1">
      <alignment horizontal="center"/>
    </xf>
    <xf numFmtId="0" fontId="22" fillId="0" borderId="25" xfId="43" applyFont="1" applyBorder="1" applyAlignment="1">
      <alignment horizontal="center" vertical="center"/>
    </xf>
    <xf numFmtId="0" fontId="22" fillId="0" borderId="28" xfId="43" applyFont="1" applyBorder="1" applyAlignment="1">
      <alignment horizontal="center" vertical="center"/>
    </xf>
    <xf numFmtId="0" fontId="12" fillId="0" borderId="25" xfId="43" applyFont="1" applyBorder="1" applyAlignment="1">
      <alignment horizontal="center" vertical="center"/>
    </xf>
    <xf numFmtId="10" fontId="12" fillId="0" borderId="25" xfId="48" applyNumberFormat="1" applyFont="1" applyFill="1" applyBorder="1" applyAlignment="1" applyProtection="1">
      <alignment horizontal="center"/>
    </xf>
    <xf numFmtId="4" fontId="12" fillId="0" borderId="21" xfId="0" applyNumberFormat="1" applyFont="1" applyBorder="1" applyAlignment="1">
      <alignment horizontal="center"/>
    </xf>
    <xf numFmtId="0" fontId="12" fillId="0" borderId="32" xfId="0" applyFont="1" applyBorder="1" applyAlignment="1">
      <alignment horizontal="left"/>
    </xf>
    <xf numFmtId="0" fontId="22" fillId="0" borderId="30" xfId="43" applyFont="1" applyBorder="1" applyAlignment="1">
      <alignment horizontal="center" vertical="center"/>
    </xf>
    <xf numFmtId="0" fontId="22" fillId="0" borderId="21" xfId="43" applyFont="1" applyBorder="1" applyAlignment="1">
      <alignment horizontal="center" vertical="center"/>
    </xf>
    <xf numFmtId="0" fontId="12" fillId="0" borderId="27" xfId="0" applyFont="1" applyBorder="1"/>
    <xf numFmtId="10" fontId="12" fillId="0" borderId="33" xfId="48" applyNumberFormat="1" applyFont="1" applyFill="1" applyBorder="1" applyAlignment="1" applyProtection="1">
      <alignment horizontal="center"/>
    </xf>
    <xf numFmtId="4" fontId="12" fillId="0" borderId="25" xfId="0" applyNumberFormat="1" applyFont="1" applyBorder="1" applyAlignment="1">
      <alignment horizontal="center"/>
    </xf>
    <xf numFmtId="0" fontId="12" fillId="0" borderId="23" xfId="0" applyFont="1" applyBorder="1"/>
    <xf numFmtId="0" fontId="12" fillId="0" borderId="13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top"/>
    </xf>
    <xf numFmtId="0" fontId="12" fillId="0" borderId="29" xfId="43" applyFont="1" applyBorder="1" applyAlignment="1">
      <alignment vertical="center"/>
    </xf>
    <xf numFmtId="0" fontId="12" fillId="0" borderId="11" xfId="43" applyFont="1" applyBorder="1" applyAlignment="1">
      <alignment vertical="center"/>
    </xf>
    <xf numFmtId="0" fontId="12" fillId="0" borderId="21" xfId="43" applyFont="1" applyBorder="1" applyAlignment="1">
      <alignment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10" fontId="12" fillId="0" borderId="0" xfId="43" applyNumberFormat="1" applyFont="1" applyAlignment="1">
      <alignment vertical="center"/>
    </xf>
    <xf numFmtId="0" fontId="12" fillId="0" borderId="33" xfId="43" applyFont="1" applyBorder="1" applyAlignment="1">
      <alignment horizontal="left" vertical="top"/>
    </xf>
    <xf numFmtId="0" fontId="25" fillId="0" borderId="25" xfId="0" applyFont="1" applyBorder="1" applyAlignment="1">
      <alignment horizontal="center"/>
    </xf>
    <xf numFmtId="4" fontId="12" fillId="0" borderId="25" xfId="43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4" fontId="25" fillId="0" borderId="25" xfId="0" applyNumberFormat="1" applyFont="1" applyBorder="1" applyAlignment="1">
      <alignment horizontal="center"/>
    </xf>
    <xf numFmtId="0" fontId="12" fillId="0" borderId="22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26" xfId="43" applyFont="1" applyBorder="1" applyAlignment="1">
      <alignment horizontal="left" vertical="center"/>
    </xf>
    <xf numFmtId="0" fontId="20" fillId="0" borderId="0" xfId="0" applyFont="1" applyAlignment="1">
      <alignment horizontal="left" vertical="center" indent="3"/>
    </xf>
    <xf numFmtId="0" fontId="12" fillId="0" borderId="39" xfId="43" applyFont="1" applyBorder="1" applyAlignment="1">
      <alignment horizontal="left" vertical="center"/>
    </xf>
    <xf numFmtId="0" fontId="12" fillId="0" borderId="40" xfId="43" applyFont="1" applyBorder="1" applyAlignment="1">
      <alignment horizontal="left" vertical="center"/>
    </xf>
    <xf numFmtId="4" fontId="12" fillId="0" borderId="28" xfId="43" applyNumberFormat="1" applyFont="1" applyBorder="1" applyAlignment="1">
      <alignment horizontal="right" vertical="center"/>
    </xf>
    <xf numFmtId="49" fontId="12" fillId="0" borderId="25" xfId="43" applyNumberFormat="1" applyFont="1" applyBorder="1" applyAlignment="1">
      <alignment horizontal="center" vertical="center"/>
    </xf>
    <xf numFmtId="2" fontId="29" fillId="0" borderId="25" xfId="0" applyNumberFormat="1" applyFont="1" applyBorder="1" applyAlignment="1">
      <alignment horizontal="center" vertical="center" wrapText="1"/>
    </xf>
    <xf numFmtId="9" fontId="12" fillId="0" borderId="28" xfId="43" applyNumberFormat="1" applyFont="1" applyBorder="1" applyAlignment="1">
      <alignment horizontal="right" vertical="center"/>
    </xf>
    <xf numFmtId="4" fontId="12" fillId="0" borderId="79" xfId="0" applyNumberFormat="1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84" xfId="43" applyFont="1" applyBorder="1" applyAlignment="1">
      <alignment horizontal="left" vertical="center"/>
    </xf>
    <xf numFmtId="0" fontId="20" fillId="0" borderId="0" xfId="0" applyFont="1"/>
    <xf numFmtId="0" fontId="12" fillId="21" borderId="79" xfId="0" applyFont="1" applyFill="1" applyBorder="1" applyAlignment="1">
      <alignment vertical="center"/>
    </xf>
    <xf numFmtId="0" fontId="12" fillId="21" borderId="79" xfId="0" applyFont="1" applyFill="1" applyBorder="1" applyAlignment="1">
      <alignment horizontal="center" vertical="center" wrapText="1"/>
    </xf>
    <xf numFmtId="0" fontId="12" fillId="21" borderId="79" xfId="0" applyFont="1" applyFill="1" applyBorder="1" applyAlignment="1">
      <alignment horizontal="center" vertical="center"/>
    </xf>
    <xf numFmtId="49" fontId="12" fillId="0" borderId="33" xfId="43" applyNumberFormat="1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9" fontId="12" fillId="0" borderId="24" xfId="43" applyNumberFormat="1" applyFont="1" applyBorder="1" applyAlignment="1">
      <alignment horizontal="right" vertical="center"/>
    </xf>
    <xf numFmtId="4" fontId="12" fillId="0" borderId="24" xfId="43" applyNumberFormat="1" applyFont="1" applyBorder="1" applyAlignment="1">
      <alignment horizontal="right" vertical="center"/>
    </xf>
    <xf numFmtId="0" fontId="12" fillId="23" borderId="79" xfId="43" applyFont="1" applyFill="1" applyBorder="1" applyAlignment="1">
      <alignment vertical="center"/>
    </xf>
    <xf numFmtId="9" fontId="22" fillId="23" borderId="79" xfId="43" applyNumberFormat="1" applyFont="1" applyFill="1" applyBorder="1" applyAlignment="1">
      <alignment horizontal="center" vertical="center"/>
    </xf>
    <xf numFmtId="4" fontId="22" fillId="23" borderId="79" xfId="43" applyNumberFormat="1" applyFont="1" applyFill="1" applyBorder="1" applyAlignment="1">
      <alignment horizontal="right" vertical="center"/>
    </xf>
    <xf numFmtId="0" fontId="12" fillId="0" borderId="0" xfId="42" applyFont="1" applyAlignment="1">
      <alignment vertical="center"/>
    </xf>
    <xf numFmtId="0" fontId="12" fillId="0" borderId="0" xfId="42" applyFont="1" applyAlignment="1">
      <alignment horizontal="center" vertical="center"/>
    </xf>
    <xf numFmtId="38" fontId="12" fillId="0" borderId="30" xfId="48" applyNumberFormat="1" applyFont="1" applyBorder="1" applyAlignment="1">
      <alignment horizontal="right" vertical="center" wrapText="1"/>
    </xf>
    <xf numFmtId="0" fontId="12" fillId="0" borderId="25" xfId="42" applyFont="1" applyBorder="1" applyAlignment="1">
      <alignment horizontal="center" vertical="center"/>
    </xf>
    <xf numFmtId="0" fontId="12" fillId="0" borderId="28" xfId="42" applyFont="1" applyBorder="1" applyAlignment="1">
      <alignment horizontal="center" vertical="center"/>
    </xf>
    <xf numFmtId="38" fontId="22" fillId="0" borderId="25" xfId="48" quotePrefix="1" applyNumberFormat="1" applyFont="1" applyFill="1" applyBorder="1" applyAlignment="1" applyProtection="1">
      <alignment horizontal="left" vertical="center" indent="1"/>
    </xf>
    <xf numFmtId="49" fontId="22" fillId="0" borderId="27" xfId="42" applyNumberFormat="1" applyFont="1" applyBorder="1" applyAlignment="1">
      <alignment vertical="center"/>
    </xf>
    <xf numFmtId="49" fontId="22" fillId="0" borderId="32" xfId="42" applyNumberFormat="1" applyFont="1" applyBorder="1" applyAlignment="1">
      <alignment vertical="center"/>
    </xf>
    <xf numFmtId="49" fontId="22" fillId="0" borderId="28" xfId="42" applyNumberFormat="1" applyFont="1" applyBorder="1" applyAlignment="1">
      <alignment vertical="center"/>
    </xf>
    <xf numFmtId="38" fontId="12" fillId="0" borderId="25" xfId="48" quotePrefix="1" applyNumberFormat="1" applyFont="1" applyFill="1" applyBorder="1" applyAlignment="1" applyProtection="1">
      <alignment horizontal="left" vertical="center" indent="1"/>
    </xf>
    <xf numFmtId="39" fontId="29" fillId="0" borderId="25" xfId="0" applyNumberFormat="1" applyFont="1" applyBorder="1" applyAlignment="1" applyProtection="1">
      <alignment horizontal="center" vertical="center"/>
      <protection locked="0"/>
    </xf>
    <xf numFmtId="40" fontId="12" fillId="0" borderId="28" xfId="48" applyFont="1" applyBorder="1" applyAlignment="1" applyProtection="1">
      <alignment horizontal="right" vertical="center"/>
      <protection locked="0"/>
    </xf>
    <xf numFmtId="40" fontId="12" fillId="0" borderId="28" xfId="48" applyFont="1" applyFill="1" applyBorder="1" applyAlignment="1" applyProtection="1">
      <alignment vertical="center"/>
      <protection locked="0"/>
    </xf>
    <xf numFmtId="40" fontId="12" fillId="0" borderId="25" xfId="48" applyFont="1" applyFill="1" applyBorder="1" applyAlignment="1" applyProtection="1">
      <alignment vertical="center"/>
    </xf>
    <xf numFmtId="38" fontId="12" fillId="0" borderId="27" xfId="48" applyNumberFormat="1" applyFont="1" applyFill="1" applyBorder="1" applyAlignment="1" applyProtection="1">
      <alignment horizontal="left" vertical="center" indent="1"/>
    </xf>
    <xf numFmtId="165" fontId="29" fillId="0" borderId="27" xfId="0" applyNumberFormat="1" applyFont="1" applyBorder="1" applyAlignment="1" applyProtection="1">
      <alignment horizontal="left" vertical="center" wrapText="1"/>
      <protection locked="0"/>
    </xf>
    <xf numFmtId="165" fontId="29" fillId="0" borderId="32" xfId="0" applyNumberFormat="1" applyFont="1" applyBorder="1" applyAlignment="1" applyProtection="1">
      <alignment horizontal="left" vertical="center" wrapText="1"/>
      <protection locked="0"/>
    </xf>
    <xf numFmtId="0" fontId="12" fillId="0" borderId="25" xfId="42" applyNumberFormat="1" applyFont="1" applyBorder="1" applyAlignment="1">
      <alignment horizontal="center" vertical="center"/>
    </xf>
    <xf numFmtId="40" fontId="12" fillId="0" borderId="25" xfId="48" applyFont="1" applyBorder="1" applyAlignment="1">
      <alignment horizontal="right" vertical="center"/>
    </xf>
    <xf numFmtId="0" fontId="12" fillId="0" borderId="32" xfId="42" applyNumberFormat="1" applyFont="1" applyBorder="1" applyAlignment="1">
      <alignment horizontal="center" vertical="center"/>
    </xf>
    <xf numFmtId="40" fontId="12" fillId="0" borderId="32" xfId="48" applyFont="1" applyBorder="1" applyAlignment="1">
      <alignment horizontal="right" vertical="center"/>
    </xf>
    <xf numFmtId="40" fontId="12" fillId="0" borderId="32" xfId="48" applyFont="1" applyFill="1" applyBorder="1" applyAlignment="1" applyProtection="1">
      <alignment vertical="center"/>
    </xf>
    <xf numFmtId="40" fontId="12" fillId="0" borderId="28" xfId="48" applyFont="1" applyFill="1" applyBorder="1" applyAlignment="1" applyProtection="1">
      <alignment horizontal="right" vertical="center"/>
    </xf>
    <xf numFmtId="0" fontId="12" fillId="0" borderId="33" xfId="44" applyFont="1" applyBorder="1" applyAlignment="1">
      <alignment vertical="center"/>
    </xf>
    <xf numFmtId="0" fontId="12" fillId="0" borderId="25" xfId="44" applyNumberFormat="1" applyFont="1" applyBorder="1" applyAlignment="1">
      <alignment horizontal="center" vertical="center"/>
    </xf>
    <xf numFmtId="166" fontId="12" fillId="0" borderId="25" xfId="44" applyNumberFormat="1" applyFont="1" applyBorder="1" applyAlignment="1">
      <alignment horizontal="center" vertical="center"/>
    </xf>
    <xf numFmtId="169" fontId="12" fillId="0" borderId="25" xfId="44" applyNumberFormat="1" applyFont="1" applyBorder="1" applyAlignment="1">
      <alignment horizontal="right" vertical="center"/>
    </xf>
    <xf numFmtId="0" fontId="12" fillId="0" borderId="22" xfId="44" applyFont="1" applyBorder="1" applyAlignment="1">
      <alignment vertical="center"/>
    </xf>
    <xf numFmtId="0" fontId="12" fillId="0" borderId="0" xfId="44" applyFont="1" applyBorder="1" applyAlignment="1">
      <alignment vertical="center"/>
    </xf>
    <xf numFmtId="0" fontId="12" fillId="0" borderId="26" xfId="44" applyFont="1" applyBorder="1" applyAlignment="1">
      <alignment vertical="center"/>
    </xf>
    <xf numFmtId="0" fontId="12" fillId="0" borderId="23" xfId="44" applyFont="1" applyBorder="1" applyAlignment="1">
      <alignment horizontal="left" vertical="center"/>
    </xf>
    <xf numFmtId="0" fontId="12" fillId="0" borderId="13" xfId="44" applyFont="1" applyBorder="1" applyAlignment="1">
      <alignment horizontal="left" vertical="center"/>
    </xf>
    <xf numFmtId="0" fontId="12" fillId="0" borderId="24" xfId="44" applyFont="1" applyBorder="1" applyAlignment="1">
      <alignment horizontal="left" vertical="center"/>
    </xf>
    <xf numFmtId="0" fontId="12" fillId="0" borderId="22" xfId="44" applyFont="1" applyBorder="1" applyAlignment="1">
      <alignment horizontal="left" vertical="center"/>
    </xf>
    <xf numFmtId="0" fontId="12" fillId="0" borderId="0" xfId="44" applyFont="1" applyBorder="1" applyAlignment="1">
      <alignment horizontal="left" vertical="center"/>
    </xf>
    <xf numFmtId="14" fontId="12" fillId="0" borderId="0" xfId="44" applyNumberFormat="1" applyFont="1" applyBorder="1" applyAlignment="1">
      <alignment horizontal="center" vertical="center"/>
    </xf>
    <xf numFmtId="14" fontId="12" fillId="0" borderId="26" xfId="44" applyNumberFormat="1" applyFont="1" applyBorder="1" applyAlignment="1">
      <alignment horizontal="center" vertical="center"/>
    </xf>
    <xf numFmtId="0" fontId="12" fillId="0" borderId="22" xfId="44" applyFont="1" applyBorder="1" applyAlignment="1">
      <alignment horizontal="center" vertical="center"/>
    </xf>
    <xf numFmtId="0" fontId="12" fillId="0" borderId="0" xfId="44" applyFont="1" applyBorder="1" applyAlignment="1">
      <alignment horizontal="center" vertical="center"/>
    </xf>
    <xf numFmtId="0" fontId="12" fillId="0" borderId="26" xfId="44" applyFont="1" applyBorder="1" applyAlignment="1">
      <alignment horizontal="center" vertical="center"/>
    </xf>
    <xf numFmtId="0" fontId="12" fillId="0" borderId="29" xfId="44" applyFont="1" applyBorder="1" applyAlignment="1">
      <alignment horizontal="left" vertical="center"/>
    </xf>
    <xf numFmtId="0" fontId="12" fillId="0" borderId="11" xfId="44" applyFont="1" applyBorder="1" applyAlignment="1">
      <alignment horizontal="left" vertical="center"/>
    </xf>
    <xf numFmtId="14" fontId="12" fillId="0" borderId="11" xfId="44" applyNumberFormat="1" applyFont="1" applyBorder="1" applyAlignment="1">
      <alignment horizontal="center" vertical="center"/>
    </xf>
    <xf numFmtId="14" fontId="12" fillId="0" borderId="21" xfId="44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7"/>
    </xf>
    <xf numFmtId="0" fontId="12" fillId="0" borderId="42" xfId="41" applyFont="1" applyBorder="1" applyAlignment="1">
      <alignment vertical="center"/>
    </xf>
    <xf numFmtId="0" fontId="12" fillId="0" borderId="0" xfId="41" applyFont="1" applyBorder="1" applyAlignment="1">
      <alignment vertical="center"/>
    </xf>
    <xf numFmtId="0" fontId="12" fillId="0" borderId="43" xfId="41" applyFont="1" applyBorder="1" applyAlignment="1">
      <alignment vertical="center"/>
    </xf>
    <xf numFmtId="0" fontId="12" fillId="0" borderId="44" xfId="41" applyFont="1" applyBorder="1" applyAlignment="1">
      <alignment horizontal="left" vertical="center"/>
    </xf>
    <xf numFmtId="0" fontId="12" fillId="0" borderId="45" xfId="41" applyFont="1" applyBorder="1" applyAlignment="1">
      <alignment vertical="center"/>
    </xf>
    <xf numFmtId="0" fontId="12" fillId="0" borderId="31" xfId="41" applyFont="1" applyBorder="1" applyAlignment="1">
      <alignment horizontal="center" vertical="center"/>
    </xf>
    <xf numFmtId="0" fontId="12" fillId="0" borderId="31" xfId="41" applyFont="1" applyBorder="1" applyAlignment="1">
      <alignment horizontal="center" vertical="center" wrapText="1"/>
    </xf>
    <xf numFmtId="0" fontId="12" fillId="0" borderId="30" xfId="41" applyFont="1" applyBorder="1" applyAlignment="1">
      <alignment horizontal="center" vertical="center"/>
    </xf>
    <xf numFmtId="0" fontId="12" fillId="0" borderId="25" xfId="41" applyFont="1" applyBorder="1" applyAlignment="1">
      <alignment horizontal="center" vertical="center"/>
    </xf>
    <xf numFmtId="0" fontId="12" fillId="0" borderId="46" xfId="41" applyFont="1" applyBorder="1" applyAlignment="1">
      <alignment horizontal="center" vertical="center"/>
    </xf>
    <xf numFmtId="165" fontId="29" fillId="0" borderId="80" xfId="38" applyNumberFormat="1" applyFont="1" applyFill="1" applyBorder="1" applyAlignment="1" applyProtection="1">
      <alignment horizontal="left" vertical="center"/>
      <protection locked="0"/>
    </xf>
    <xf numFmtId="0" fontId="12" fillId="0" borderId="32" xfId="0" applyFont="1" applyBorder="1" applyAlignment="1"/>
    <xf numFmtId="0" fontId="12" fillId="0" borderId="28" xfId="41" applyFont="1" applyBorder="1" applyAlignment="1">
      <alignment vertical="center"/>
    </xf>
    <xf numFmtId="38" fontId="12" fillId="0" borderId="30" xfId="48" applyNumberFormat="1" applyFont="1" applyBorder="1" applyAlignment="1">
      <alignment horizontal="center" vertical="center"/>
    </xf>
    <xf numFmtId="0" fontId="12" fillId="0" borderId="21" xfId="4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right" vertical="center"/>
    </xf>
    <xf numFmtId="4" fontId="12" fillId="0" borderId="47" xfId="41" applyNumberFormat="1" applyFont="1" applyFill="1" applyBorder="1" applyAlignment="1">
      <alignment horizontal="right" vertical="center"/>
    </xf>
    <xf numFmtId="164" fontId="29" fillId="0" borderId="80" xfId="38" applyFont="1" applyBorder="1" applyAlignment="1">
      <alignment horizontal="left" vertical="center"/>
    </xf>
    <xf numFmtId="0" fontId="12" fillId="0" borderId="32" xfId="41" applyFont="1" applyBorder="1" applyAlignment="1">
      <alignment horizontal="center" vertical="center"/>
    </xf>
    <xf numFmtId="165" fontId="30" fillId="0" borderId="28" xfId="38" applyNumberFormat="1" applyFont="1" applyFill="1" applyBorder="1" applyAlignment="1" applyProtection="1">
      <alignment vertical="center" wrapText="1"/>
      <protection locked="0"/>
    </xf>
    <xf numFmtId="3" fontId="29" fillId="0" borderId="25" xfId="0" applyNumberFormat="1" applyFont="1" applyBorder="1" applyAlignment="1" applyProtection="1">
      <alignment horizontal="center" vertical="center"/>
      <protection locked="0"/>
    </xf>
    <xf numFmtId="0" fontId="12" fillId="0" borderId="28" xfId="0" applyFont="1" applyBorder="1" applyAlignment="1">
      <alignment horizontal="center" vertical="center"/>
    </xf>
    <xf numFmtId="165" fontId="29" fillId="0" borderId="28" xfId="0" applyNumberFormat="1" applyFont="1" applyBorder="1" applyAlignment="1" applyProtection="1">
      <alignment vertical="center"/>
      <protection locked="0"/>
    </xf>
    <xf numFmtId="4" fontId="29" fillId="0" borderId="28" xfId="0" applyNumberFormat="1" applyFont="1" applyBorder="1" applyAlignment="1" applyProtection="1">
      <alignment horizontal="right" vertical="center"/>
      <protection locked="0"/>
    </xf>
    <xf numFmtId="165" fontId="29" fillId="0" borderId="32" xfId="0" applyNumberFormat="1" applyFont="1" applyBorder="1" applyAlignment="1" applyProtection="1">
      <alignment vertical="center"/>
      <protection locked="0"/>
    </xf>
    <xf numFmtId="0" fontId="22" fillId="0" borderId="32" xfId="41" applyFont="1" applyFill="1" applyBorder="1" applyAlignment="1">
      <alignment horizontal="center" vertical="center"/>
    </xf>
    <xf numFmtId="0" fontId="12" fillId="0" borderId="27" xfId="41" applyNumberFormat="1" applyFont="1" applyBorder="1" applyAlignment="1">
      <alignment horizontal="center" vertical="center"/>
    </xf>
    <xf numFmtId="0" fontId="12" fillId="0" borderId="25" xfId="41" applyNumberFormat="1" applyFont="1" applyBorder="1" applyAlignment="1">
      <alignment horizontal="center" vertical="center"/>
    </xf>
    <xf numFmtId="0" fontId="22" fillId="0" borderId="48" xfId="41" applyFont="1" applyFill="1" applyBorder="1" applyAlignment="1">
      <alignment horizontal="center" vertical="center"/>
    </xf>
    <xf numFmtId="167" fontId="12" fillId="0" borderId="28" xfId="41" applyNumberFormat="1" applyFont="1" applyBorder="1" applyAlignment="1">
      <alignment horizontal="right" vertical="center"/>
    </xf>
    <xf numFmtId="167" fontId="12" fillId="0" borderId="47" xfId="41" applyNumberFormat="1" applyFont="1" applyBorder="1" applyAlignment="1">
      <alignment horizontal="right" vertical="center"/>
    </xf>
    <xf numFmtId="168" fontId="22" fillId="0" borderId="47" xfId="41" applyNumberFormat="1" applyFont="1" applyBorder="1" applyAlignment="1">
      <alignment horizontal="right" vertical="center"/>
    </xf>
    <xf numFmtId="168" fontId="22" fillId="0" borderId="44" xfId="41" applyNumberFormat="1" applyFont="1" applyBorder="1" applyAlignment="1">
      <alignment vertical="center"/>
    </xf>
    <xf numFmtId="0" fontId="23" fillId="0" borderId="0" xfId="0" applyFont="1" applyAlignment="1">
      <alignment horizontal="left" vertical="center" indent="17"/>
    </xf>
    <xf numFmtId="0" fontId="23" fillId="0" borderId="0" xfId="0" applyFont="1" applyAlignment="1">
      <alignment horizontal="left" vertical="center" indent="3"/>
    </xf>
    <xf numFmtId="0" fontId="20" fillId="23" borderId="39" xfId="0" applyFont="1" applyFill="1" applyBorder="1" applyAlignment="1">
      <alignment horizontal="left" vertical="center"/>
    </xf>
    <xf numFmtId="0" fontId="21" fillId="23" borderId="40" xfId="39" applyFont="1" applyFill="1" applyBorder="1" applyAlignment="1">
      <alignment horizontal="center" vertical="center"/>
    </xf>
    <xf numFmtId="4" fontId="22" fillId="23" borderId="41" xfId="41" applyNumberFormat="1" applyFont="1" applyFill="1" applyBorder="1" applyAlignment="1">
      <alignment horizontal="right" vertical="center"/>
    </xf>
    <xf numFmtId="0" fontId="12" fillId="0" borderId="76" xfId="41" applyFont="1" applyBorder="1" applyAlignment="1">
      <alignment horizontal="left" vertical="center"/>
    </xf>
    <xf numFmtId="0" fontId="12" fillId="0" borderId="31" xfId="44" applyFont="1" applyBorder="1" applyAlignment="1">
      <alignment horizontal="center" vertical="center"/>
    </xf>
    <xf numFmtId="0" fontId="12" fillId="0" borderId="24" xfId="44" applyFont="1" applyBorder="1" applyAlignment="1">
      <alignment vertical="center"/>
    </xf>
    <xf numFmtId="0" fontId="12" fillId="0" borderId="31" xfId="44" applyFont="1" applyBorder="1" applyAlignment="1">
      <alignment horizontal="center" vertical="center" wrapText="1"/>
    </xf>
    <xf numFmtId="0" fontId="12" fillId="0" borderId="30" xfId="44" applyFont="1" applyBorder="1" applyAlignment="1">
      <alignment horizontal="center" vertical="center" wrapText="1"/>
    </xf>
    <xf numFmtId="0" fontId="12" fillId="0" borderId="39" xfId="44" applyFont="1" applyBorder="1" applyAlignment="1">
      <alignment vertical="center"/>
    </xf>
    <xf numFmtId="40" fontId="22" fillId="23" borderId="41" xfId="48" applyFont="1" applyFill="1" applyBorder="1" applyAlignment="1" applyProtection="1">
      <alignment horizontal="right" vertical="center"/>
    </xf>
    <xf numFmtId="0" fontId="12" fillId="0" borderId="22" xfId="42" applyFont="1" applyBorder="1" applyAlignment="1">
      <alignment vertical="top"/>
    </xf>
    <xf numFmtId="0" fontId="12" fillId="0" borderId="0" xfId="42" applyFont="1" applyBorder="1" applyAlignment="1">
      <alignment vertical="top"/>
    </xf>
    <xf numFmtId="38" fontId="12" fillId="0" borderId="0" xfId="48" applyNumberFormat="1" applyFont="1" applyBorder="1" applyAlignment="1">
      <alignment horizontal="right" vertical="top"/>
    </xf>
    <xf numFmtId="0" fontId="12" fillId="0" borderId="26" xfId="42" applyFont="1" applyBorder="1" applyAlignment="1">
      <alignment vertical="top"/>
    </xf>
    <xf numFmtId="0" fontId="22" fillId="0" borderId="86" xfId="42" applyFont="1" applyBorder="1" applyAlignment="1">
      <alignment horizontal="left" vertical="top"/>
    </xf>
    <xf numFmtId="0" fontId="12" fillId="0" borderId="53" xfId="42" applyFont="1" applyBorder="1" applyAlignment="1">
      <alignment vertical="center"/>
    </xf>
    <xf numFmtId="0" fontId="20" fillId="23" borderId="39" xfId="0" applyFont="1" applyFill="1" applyBorder="1" applyAlignment="1">
      <alignment horizontal="left" vertical="top"/>
    </xf>
    <xf numFmtId="4" fontId="12" fillId="0" borderId="33" xfId="43" applyNumberFormat="1" applyFont="1" applyBorder="1" applyAlignment="1">
      <alignment horizontal="right" vertical="center"/>
    </xf>
    <xf numFmtId="4" fontId="22" fillId="23" borderId="87" xfId="43" applyNumberFormat="1" applyFont="1" applyFill="1" applyBorder="1" applyAlignment="1">
      <alignment horizontal="center" vertical="center"/>
    </xf>
    <xf numFmtId="0" fontId="12" fillId="22" borderId="39" xfId="0" applyFont="1" applyFill="1" applyBorder="1" applyAlignment="1">
      <alignment horizontal="left" vertical="top"/>
    </xf>
    <xf numFmtId="0" fontId="22" fillId="22" borderId="40" xfId="39" applyFont="1" applyFill="1" applyBorder="1" applyAlignment="1">
      <alignment horizontal="center" vertical="center"/>
    </xf>
    <xf numFmtId="10" fontId="22" fillId="0" borderId="33" xfId="0" applyNumberFormat="1" applyFont="1" applyBorder="1" applyAlignment="1">
      <alignment horizontal="center"/>
    </xf>
    <xf numFmtId="4" fontId="22" fillId="0" borderId="33" xfId="0" applyNumberFormat="1" applyFont="1" applyBorder="1" applyAlignment="1">
      <alignment horizontal="center"/>
    </xf>
    <xf numFmtId="0" fontId="22" fillId="21" borderId="82" xfId="0" applyFont="1" applyFill="1" applyBorder="1" applyAlignment="1">
      <alignment horizontal="center"/>
    </xf>
    <xf numFmtId="0" fontId="12" fillId="19" borderId="81" xfId="43" applyFont="1" applyFill="1" applyBorder="1" applyAlignment="1">
      <alignment horizontal="right" vertical="center"/>
    </xf>
    <xf numFmtId="0" fontId="22" fillId="21" borderId="81" xfId="43" applyFont="1" applyFill="1" applyBorder="1" applyAlignment="1">
      <alignment horizontal="right" vertical="center"/>
    </xf>
    <xf numFmtId="0" fontId="22" fillId="21" borderId="83" xfId="43" applyFont="1" applyFill="1" applyBorder="1" applyAlignment="1">
      <alignment horizontal="right" vertical="center"/>
    </xf>
    <xf numFmtId="10" fontId="22" fillId="21" borderId="83" xfId="0" applyNumberFormat="1" applyFont="1" applyFill="1" applyBorder="1" applyAlignment="1">
      <alignment horizontal="center"/>
    </xf>
    <xf numFmtId="4" fontId="22" fillId="21" borderId="82" xfId="0" applyNumberFormat="1" applyFont="1" applyFill="1" applyBorder="1" applyAlignment="1">
      <alignment horizontal="center"/>
    </xf>
    <xf numFmtId="10" fontId="22" fillId="0" borderId="83" xfId="48" applyNumberFormat="1" applyFont="1" applyFill="1" applyBorder="1" applyAlignment="1" applyProtection="1">
      <alignment horizontal="center" vertical="center"/>
    </xf>
    <xf numFmtId="4" fontId="22" fillId="0" borderId="82" xfId="43" applyNumberFormat="1" applyFont="1" applyBorder="1" applyAlignment="1">
      <alignment horizontal="right" vertical="center"/>
    </xf>
    <xf numFmtId="0" fontId="12" fillId="0" borderId="23" xfId="44" applyNumberFormat="1" applyFont="1" applyBorder="1" applyAlignment="1">
      <alignment horizontal="center" vertical="center" wrapText="1"/>
    </xf>
    <xf numFmtId="49" fontId="12" fillId="0" borderId="23" xfId="44" applyNumberFormat="1" applyFont="1" applyBorder="1" applyAlignment="1">
      <alignment horizontal="left" vertical="center"/>
    </xf>
    <xf numFmtId="49" fontId="12" fillId="0" borderId="13" xfId="44" applyNumberFormat="1" applyFont="1" applyBorder="1" applyAlignment="1">
      <alignment vertical="center"/>
    </xf>
    <xf numFmtId="166" fontId="12" fillId="0" borderId="33" xfId="44" applyNumberFormat="1" applyFont="1" applyBorder="1" applyAlignment="1">
      <alignment horizontal="center" vertical="center"/>
    </xf>
    <xf numFmtId="169" fontId="12" fillId="0" borderId="33" xfId="44" applyNumberFormat="1" applyFont="1" applyBorder="1" applyAlignment="1">
      <alignment horizontal="right" vertical="center"/>
    </xf>
    <xf numFmtId="169" fontId="22" fillId="22" borderId="41" xfId="44" applyNumberFormat="1" applyFont="1" applyFill="1" applyBorder="1" applyAlignment="1">
      <alignment horizontal="right" vertical="center"/>
    </xf>
    <xf numFmtId="0" fontId="12" fillId="0" borderId="16" xfId="39" applyFont="1" applyBorder="1" applyAlignment="1">
      <alignment vertical="center"/>
    </xf>
    <xf numFmtId="0" fontId="12" fillId="0" borderId="15" xfId="39" applyFont="1" applyBorder="1" applyAlignment="1">
      <alignment horizontal="left" vertical="center"/>
    </xf>
    <xf numFmtId="0" fontId="12" fillId="0" borderId="0" xfId="39" applyFont="1" applyBorder="1" applyAlignment="1">
      <alignment horizontal="center" vertical="center"/>
    </xf>
    <xf numFmtId="40" fontId="12" fillId="0" borderId="0" xfId="48" applyFont="1" applyBorder="1" applyAlignment="1">
      <alignment vertical="center"/>
    </xf>
    <xf numFmtId="0" fontId="12" fillId="0" borderId="0" xfId="39" applyFont="1" applyBorder="1" applyAlignment="1">
      <alignment vertical="center"/>
    </xf>
    <xf numFmtId="0" fontId="12" fillId="0" borderId="26" xfId="39" applyFont="1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12" fillId="0" borderId="36" xfId="39" applyFont="1" applyBorder="1" applyAlignment="1">
      <alignment vertical="center"/>
    </xf>
    <xf numFmtId="0" fontId="12" fillId="0" borderId="38" xfId="39" applyFont="1" applyBorder="1" applyAlignment="1">
      <alignment horizontal="center" vertical="center" wrapText="1"/>
    </xf>
    <xf numFmtId="0" fontId="12" fillId="0" borderId="25" xfId="39" applyFont="1" applyBorder="1" applyAlignment="1">
      <alignment horizontal="center" vertical="center" wrapText="1"/>
    </xf>
    <xf numFmtId="0" fontId="12" fillId="0" borderId="37" xfId="39" applyFont="1" applyBorder="1" applyAlignment="1">
      <alignment horizontal="center" vertical="center" wrapText="1"/>
    </xf>
    <xf numFmtId="165" fontId="29" fillId="0" borderId="15" xfId="38" applyNumberFormat="1" applyFont="1" applyFill="1" applyBorder="1" applyAlignment="1" applyProtection="1">
      <alignment horizontal="left" vertical="center"/>
      <protection locked="0"/>
    </xf>
    <xf numFmtId="39" fontId="29" fillId="0" borderId="26" xfId="38" applyNumberFormat="1" applyFont="1" applyFill="1" applyBorder="1" applyAlignment="1" applyProtection="1">
      <alignment horizontal="center" vertical="center"/>
      <protection locked="0"/>
    </xf>
    <xf numFmtId="39" fontId="29" fillId="0" borderId="0" xfId="38" applyNumberFormat="1" applyFont="1" applyFill="1" applyBorder="1" applyAlignment="1" applyProtection="1">
      <alignment horizontal="center" vertical="center"/>
      <protection locked="0"/>
    </xf>
    <xf numFmtId="37" fontId="29" fillId="0" borderId="22" xfId="38" applyNumberFormat="1" applyFont="1" applyFill="1" applyBorder="1" applyAlignment="1" applyProtection="1">
      <alignment horizontal="center" vertical="center"/>
      <protection locked="0"/>
    </xf>
    <xf numFmtId="37" fontId="29" fillId="0" borderId="31" xfId="38" applyNumberFormat="1" applyFont="1" applyFill="1" applyBorder="1" applyAlignment="1" applyProtection="1">
      <alignment horizontal="center" vertical="center"/>
      <protection locked="0"/>
    </xf>
    <xf numFmtId="0" fontId="12" fillId="0" borderId="16" xfId="39" applyFont="1" applyBorder="1" applyAlignment="1">
      <alignment horizontal="center" vertical="center"/>
    </xf>
    <xf numFmtId="164" fontId="29" fillId="0" borderId="15" xfId="38" applyFont="1" applyBorder="1" applyAlignment="1">
      <alignment horizontal="left" vertical="center"/>
    </xf>
    <xf numFmtId="170" fontId="29" fillId="0" borderId="31" xfId="38" applyNumberFormat="1" applyFont="1" applyBorder="1" applyAlignment="1">
      <alignment horizontal="center" vertical="center"/>
    </xf>
    <xf numFmtId="164" fontId="29" fillId="0" borderId="31" xfId="38" applyFont="1" applyBorder="1" applyAlignment="1">
      <alignment horizontal="center" vertical="center"/>
    </xf>
    <xf numFmtId="40" fontId="12" fillId="0" borderId="31" xfId="48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0" xfId="38" applyNumberFormat="1" applyFont="1" applyBorder="1" applyAlignment="1" applyProtection="1">
      <alignment horizontal="center" vertical="center"/>
      <protection locked="0"/>
    </xf>
    <xf numFmtId="4" fontId="29" fillId="0" borderId="22" xfId="38" applyNumberFormat="1" applyFont="1" applyBorder="1" applyAlignment="1" applyProtection="1">
      <alignment horizontal="right" vertical="center"/>
      <protection locked="0"/>
    </xf>
    <xf numFmtId="4" fontId="29" fillId="0" borderId="31" xfId="38" applyNumberFormat="1" applyFont="1" applyBorder="1" applyAlignment="1" applyProtection="1">
      <alignment horizontal="center" vertical="center"/>
      <protection locked="0"/>
    </xf>
    <xf numFmtId="10" fontId="12" fillId="0" borderId="16" xfId="39" applyNumberFormat="1" applyFont="1" applyBorder="1" applyAlignment="1">
      <alignment horizontal="right" vertical="center"/>
    </xf>
    <xf numFmtId="4" fontId="12" fillId="0" borderId="26" xfId="38" applyNumberFormat="1" applyFont="1" applyBorder="1" applyAlignment="1" applyProtection="1">
      <alignment horizontal="right" vertical="center"/>
      <protection locked="0"/>
    </xf>
    <xf numFmtId="4" fontId="29" fillId="0" borderId="26" xfId="38" applyNumberFormat="1" applyFont="1" applyBorder="1" applyAlignment="1">
      <alignment horizontal="right" vertical="center"/>
    </xf>
    <xf numFmtId="4" fontId="29" fillId="0" borderId="0" xfId="38" applyNumberFormat="1" applyFont="1" applyBorder="1" applyAlignment="1" applyProtection="1">
      <alignment horizontal="right" vertical="center"/>
      <protection locked="0"/>
    </xf>
    <xf numFmtId="4" fontId="29" fillId="0" borderId="22" xfId="38" applyNumberFormat="1" applyFont="1" applyBorder="1" applyAlignment="1">
      <alignment horizontal="right" vertical="center"/>
    </xf>
    <xf numFmtId="4" fontId="29" fillId="0" borderId="31" xfId="38" applyNumberFormat="1" applyFont="1" applyBorder="1" applyAlignment="1" applyProtection="1">
      <alignment horizontal="right" vertical="center"/>
      <protection locked="0"/>
    </xf>
    <xf numFmtId="164" fontId="30" fillId="23" borderId="81" xfId="38" applyFont="1" applyFill="1" applyBorder="1" applyAlignment="1">
      <alignment horizontal="left" vertical="center"/>
    </xf>
    <xf numFmtId="164" fontId="30" fillId="23" borderId="83" xfId="38" applyFont="1" applyFill="1" applyBorder="1" applyAlignment="1">
      <alignment horizontal="center" vertical="center"/>
    </xf>
    <xf numFmtId="40" fontId="12" fillId="23" borderId="87" xfId="48" applyFont="1" applyFill="1" applyBorder="1" applyAlignment="1">
      <alignment horizontal="center" vertical="center"/>
    </xf>
    <xf numFmtId="164" fontId="30" fillId="23" borderId="87" xfId="38" applyFont="1" applyFill="1" applyBorder="1" applyAlignment="1">
      <alignment horizontal="right" vertical="center"/>
    </xf>
    <xf numFmtId="4" fontId="30" fillId="23" borderId="68" xfId="48" applyNumberFormat="1" applyFont="1" applyFill="1" applyBorder="1" applyAlignment="1" applyProtection="1">
      <alignment horizontal="right" vertical="center"/>
    </xf>
    <xf numFmtId="4" fontId="30" fillId="23" borderId="68" xfId="0" applyNumberFormat="1" applyFont="1" applyFill="1" applyBorder="1" applyAlignment="1" applyProtection="1">
      <alignment horizontal="right" vertical="center"/>
    </xf>
    <xf numFmtId="164" fontId="30" fillId="23" borderId="41" xfId="38" applyFont="1" applyFill="1" applyBorder="1" applyAlignment="1">
      <alignment horizontal="center" vertical="center"/>
    </xf>
    <xf numFmtId="0" fontId="12" fillId="0" borderId="22" xfId="40" applyFont="1" applyBorder="1" applyAlignment="1">
      <alignment vertical="center"/>
    </xf>
    <xf numFmtId="0" fontId="12" fillId="0" borderId="0" xfId="40" applyFont="1" applyBorder="1" applyAlignment="1">
      <alignment vertical="center"/>
    </xf>
    <xf numFmtId="0" fontId="12" fillId="0" borderId="21" xfId="40" applyFont="1" applyBorder="1" applyAlignment="1">
      <alignment vertical="center"/>
    </xf>
    <xf numFmtId="0" fontId="12" fillId="0" borderId="23" xfId="40" applyFont="1" applyBorder="1" applyAlignment="1">
      <alignment horizontal="left" vertical="top"/>
    </xf>
    <xf numFmtId="0" fontId="12" fillId="0" borderId="24" xfId="40" applyFont="1" applyBorder="1" applyAlignment="1">
      <alignment horizontal="center" vertical="top"/>
    </xf>
    <xf numFmtId="0" fontId="12" fillId="0" borderId="26" xfId="40" applyFont="1" applyBorder="1" applyAlignment="1">
      <alignment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0" fontId="12" fillId="0" borderId="28" xfId="40" applyFont="1" applyBorder="1" applyAlignment="1">
      <alignment horizontal="center" vertical="center"/>
    </xf>
    <xf numFmtId="0" fontId="12" fillId="0" borderId="27" xfId="40" applyFont="1" applyBorder="1" applyAlignment="1">
      <alignment horizontal="center" vertical="center"/>
    </xf>
    <xf numFmtId="0" fontId="12" fillId="0" borderId="102" xfId="40" applyFont="1" applyBorder="1" applyAlignment="1">
      <alignment horizontal="center" vertical="center"/>
    </xf>
    <xf numFmtId="40" fontId="12" fillId="0" borderId="28" xfId="48" applyFont="1" applyBorder="1" applyAlignment="1">
      <alignment horizontal="center" vertical="center"/>
    </xf>
    <xf numFmtId="40" fontId="12" fillId="0" borderId="25" xfId="48" applyFont="1" applyBorder="1" applyAlignment="1" applyProtection="1">
      <alignment vertical="center"/>
      <protection locked="0"/>
    </xf>
    <xf numFmtId="40" fontId="12" fillId="0" borderId="25" xfId="48" applyFont="1" applyBorder="1" applyAlignment="1">
      <alignment vertical="center"/>
    </xf>
    <xf numFmtId="40" fontId="12" fillId="0" borderId="25" xfId="48" applyFont="1" applyBorder="1" applyAlignment="1">
      <alignment horizontal="center" vertical="center"/>
    </xf>
    <xf numFmtId="40" fontId="12" fillId="0" borderId="37" xfId="48" applyFont="1" applyBorder="1" applyAlignment="1">
      <alignment horizontal="right" vertical="center"/>
    </xf>
    <xf numFmtId="40" fontId="12" fillId="0" borderId="27" xfId="48" applyFont="1" applyBorder="1" applyAlignment="1">
      <alignment horizontal="right" vertical="center"/>
    </xf>
    <xf numFmtId="40" fontId="12" fillId="0" borderId="103" xfId="48" applyFont="1" applyBorder="1" applyAlignment="1">
      <alignment horizontal="right" vertical="center"/>
    </xf>
    <xf numFmtId="164" fontId="29" fillId="0" borderId="48" xfId="38" applyFont="1" applyBorder="1" applyAlignment="1">
      <alignment horizontal="left" vertical="center"/>
    </xf>
    <xf numFmtId="0" fontId="12" fillId="0" borderId="46" xfId="0" applyFont="1" applyBorder="1" applyAlignment="1"/>
    <xf numFmtId="40" fontId="12" fillId="0" borderId="28" xfId="48" applyFont="1" applyBorder="1" applyAlignment="1">
      <alignment horizontal="right" vertical="center"/>
    </xf>
    <xf numFmtId="0" fontId="12" fillId="0" borderId="46" xfId="0" applyFont="1" applyBorder="1" applyAlignment="1">
      <alignment horizontal="left"/>
    </xf>
    <xf numFmtId="40" fontId="12" fillId="0" borderId="37" xfId="48" applyFont="1" applyBorder="1" applyAlignment="1">
      <alignment horizontal="center" vertical="center"/>
    </xf>
    <xf numFmtId="40" fontId="12" fillId="0" borderId="27" xfId="48" applyFont="1" applyBorder="1" applyAlignment="1">
      <alignment horizontal="center" vertical="center"/>
    </xf>
    <xf numFmtId="40" fontId="12" fillId="0" borderId="103" xfId="48" applyFont="1" applyBorder="1" applyAlignment="1">
      <alignment horizontal="center" vertical="center"/>
    </xf>
    <xf numFmtId="0" fontId="12" fillId="0" borderId="48" xfId="0" applyFont="1" applyBorder="1" applyAlignment="1"/>
    <xf numFmtId="40" fontId="12" fillId="0" borderId="104" xfId="48" applyFont="1" applyBorder="1" applyAlignment="1">
      <alignment horizontal="center" vertical="center"/>
    </xf>
    <xf numFmtId="0" fontId="20" fillId="0" borderId="0" xfId="39" applyFont="1" applyAlignment="1">
      <alignment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/>
    </xf>
    <xf numFmtId="0" fontId="12" fillId="0" borderId="16" xfId="0" applyFont="1" applyBorder="1" applyAlignment="1">
      <alignment horizontal="left" vertical="top"/>
    </xf>
    <xf numFmtId="0" fontId="22" fillId="0" borderId="49" xfId="42" applyFont="1" applyBorder="1" applyAlignment="1">
      <alignment horizontal="left" vertical="top"/>
    </xf>
    <xf numFmtId="10" fontId="12" fillId="0" borderId="33" xfId="0" applyNumberFormat="1" applyFont="1" applyBorder="1" applyAlignment="1">
      <alignment horizontal="center"/>
    </xf>
    <xf numFmtId="0" fontId="12" fillId="0" borderId="0" xfId="0" applyFont="1"/>
    <xf numFmtId="0" fontId="12" fillId="0" borderId="32" xfId="0" applyFont="1" applyBorder="1" applyAlignment="1">
      <alignment horizontal="left"/>
    </xf>
    <xf numFmtId="0" fontId="12" fillId="24" borderId="25" xfId="44" applyNumberFormat="1" applyFont="1" applyFill="1" applyBorder="1" applyAlignment="1">
      <alignment horizontal="center" vertical="center"/>
    </xf>
    <xf numFmtId="166" fontId="12" fillId="24" borderId="25" xfId="44" applyNumberFormat="1" applyFont="1" applyFill="1" applyBorder="1" applyAlignment="1">
      <alignment horizontal="center" vertical="center"/>
    </xf>
    <xf numFmtId="169" fontId="12" fillId="24" borderId="25" xfId="44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31" fillId="25" borderId="27" xfId="44" applyNumberFormat="1" applyFont="1" applyFill="1" applyBorder="1" applyAlignment="1">
      <alignment horizontal="left" vertical="center" wrapText="1"/>
    </xf>
    <xf numFmtId="49" fontId="31" fillId="26" borderId="27" xfId="44" applyNumberFormat="1" applyFont="1" applyFill="1" applyBorder="1" applyAlignment="1">
      <alignment horizontal="left" vertical="center" wrapText="1"/>
    </xf>
    <xf numFmtId="49" fontId="31" fillId="27" borderId="27" xfId="44" applyNumberFormat="1" applyFont="1" applyFill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38" fontId="12" fillId="0" borderId="67" xfId="48" applyNumberFormat="1" applyFont="1" applyFill="1" applyBorder="1" applyAlignment="1" applyProtection="1">
      <alignment vertical="center"/>
    </xf>
    <xf numFmtId="0" fontId="20" fillId="0" borderId="116" xfId="42" applyFont="1" applyBorder="1" applyAlignment="1">
      <alignment vertical="center"/>
    </xf>
    <xf numFmtId="0" fontId="20" fillId="0" borderId="87" xfId="42" applyFont="1" applyBorder="1" applyAlignment="1">
      <alignment vertical="center"/>
    </xf>
    <xf numFmtId="40" fontId="12" fillId="0" borderId="31" xfId="48" applyFont="1" applyFill="1" applyBorder="1" applyAlignment="1" applyProtection="1">
      <alignment horizontal="center" vertical="center"/>
      <protection locked="0"/>
    </xf>
    <xf numFmtId="40" fontId="12" fillId="0" borderId="42" xfId="48" applyFont="1" applyBorder="1" applyAlignment="1" applyProtection="1">
      <alignment horizontal="right" vertical="center"/>
      <protection locked="0"/>
    </xf>
    <xf numFmtId="4" fontId="29" fillId="0" borderId="75" xfId="38" applyNumberFormat="1" applyFont="1" applyBorder="1" applyAlignment="1" applyProtection="1">
      <alignment horizontal="right" vertical="center"/>
      <protection locked="0"/>
    </xf>
    <xf numFmtId="2" fontId="20" fillId="0" borderId="0" xfId="44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" fontId="12" fillId="0" borderId="84" xfId="0" applyNumberFormat="1" applyFont="1" applyBorder="1" applyAlignment="1">
      <alignment horizontal="center" vertical="center" wrapText="1"/>
    </xf>
    <xf numFmtId="165" fontId="29" fillId="0" borderId="84" xfId="38" applyNumberFormat="1" applyFont="1" applyFill="1" applyBorder="1" applyAlignment="1" applyProtection="1">
      <alignment horizontal="center" vertical="center"/>
      <protection locked="0"/>
    </xf>
    <xf numFmtId="170" fontId="29" fillId="0" borderId="84" xfId="38" applyNumberFormat="1" applyFont="1" applyBorder="1" applyAlignment="1">
      <alignment horizontal="center" vertical="center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43" applyFont="1" applyBorder="1" applyAlignment="1">
      <alignment horizontal="left" vertical="center"/>
    </xf>
    <xf numFmtId="0" fontId="12" fillId="0" borderId="0" xfId="43" applyFont="1" applyBorder="1" applyAlignment="1">
      <alignment horizontal="left" vertical="center"/>
    </xf>
    <xf numFmtId="0" fontId="12" fillId="0" borderId="16" xfId="43" applyFont="1" applyBorder="1" applyAlignment="1">
      <alignment horizontal="left" vertical="center"/>
    </xf>
    <xf numFmtId="0" fontId="12" fillId="0" borderId="61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0" xfId="0" applyFont="1" applyBorder="1" applyAlignment="1">
      <alignment horizontal="center" vertical="top"/>
    </xf>
    <xf numFmtId="0" fontId="12" fillId="0" borderId="34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2" fillId="22" borderId="67" xfId="0" applyFont="1" applyFill="1" applyBorder="1" applyAlignment="1">
      <alignment horizontal="right" vertical="center"/>
    </xf>
    <xf numFmtId="0" fontId="22" fillId="22" borderId="114" xfId="0" applyFont="1" applyFill="1" applyBorder="1" applyAlignment="1">
      <alignment horizontal="right" vertical="center"/>
    </xf>
    <xf numFmtId="4" fontId="22" fillId="22" borderId="115" xfId="0" applyNumberFormat="1" applyFont="1" applyFill="1" applyBorder="1" applyAlignment="1">
      <alignment horizontal="right" vertical="center"/>
    </xf>
    <xf numFmtId="4" fontId="22" fillId="22" borderId="41" xfId="0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22" fillId="0" borderId="60" xfId="0" applyFont="1" applyFill="1" applyBorder="1" applyAlignment="1">
      <alignment horizontal="right" vertical="center"/>
    </xf>
    <xf numFmtId="4" fontId="22" fillId="0" borderId="36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left" vertical="center"/>
    </xf>
    <xf numFmtId="4" fontId="12" fillId="0" borderId="37" xfId="48" applyNumberFormat="1" applyFont="1" applyFill="1" applyBorder="1" applyAlignment="1" applyProtection="1">
      <alignment horizontal="right" vertical="center"/>
    </xf>
    <xf numFmtId="0" fontId="12" fillId="0" borderId="60" xfId="0" applyFont="1" applyBorder="1" applyAlignment="1">
      <alignment horizontal="left" vertical="top"/>
    </xf>
    <xf numFmtId="0" fontId="22" fillId="0" borderId="36" xfId="0" applyFont="1" applyBorder="1" applyAlignment="1">
      <alignment horizontal="center" vertical="top"/>
    </xf>
    <xf numFmtId="4" fontId="12" fillId="0" borderId="37" xfId="0" applyNumberFormat="1" applyFont="1" applyFill="1" applyBorder="1" applyAlignment="1">
      <alignment horizontal="right" vertical="center"/>
    </xf>
    <xf numFmtId="0" fontId="22" fillId="0" borderId="38" xfId="0" applyFont="1" applyFill="1" applyBorder="1" applyAlignment="1">
      <alignment horizontal="right" vertical="center"/>
    </xf>
    <xf numFmtId="4" fontId="22" fillId="0" borderId="37" xfId="48" applyNumberFormat="1" applyFont="1" applyFill="1" applyBorder="1" applyAlignment="1" applyProtection="1">
      <alignment horizontal="right" vertical="center"/>
    </xf>
    <xf numFmtId="0" fontId="12" fillId="0" borderId="38" xfId="0" applyFont="1" applyFill="1" applyBorder="1" applyAlignment="1">
      <alignment horizontal="left" vertical="center" indent="2"/>
    </xf>
    <xf numFmtId="0" fontId="22" fillId="0" borderId="55" xfId="0" applyFont="1" applyFill="1" applyBorder="1" applyAlignment="1">
      <alignment horizontal="left" vertical="center"/>
    </xf>
    <xf numFmtId="0" fontId="21" fillId="18" borderId="105" xfId="0" applyFont="1" applyFill="1" applyBorder="1" applyAlignment="1">
      <alignment horizontal="center" vertical="center"/>
    </xf>
    <xf numFmtId="0" fontId="21" fillId="18" borderId="106" xfId="0" applyFont="1" applyFill="1" applyBorder="1" applyAlignment="1">
      <alignment horizontal="center" vertical="center"/>
    </xf>
    <xf numFmtId="0" fontId="21" fillId="18" borderId="112" xfId="0" applyFont="1" applyFill="1" applyBorder="1" applyAlignment="1">
      <alignment horizontal="center" vertical="center"/>
    </xf>
    <xf numFmtId="0" fontId="21" fillId="18" borderId="107" xfId="0" applyFont="1" applyFill="1" applyBorder="1" applyAlignment="1">
      <alignment horizontal="center" vertical="center"/>
    </xf>
    <xf numFmtId="0" fontId="21" fillId="18" borderId="108" xfId="0" applyFont="1" applyFill="1" applyBorder="1" applyAlignment="1">
      <alignment horizontal="center" vertical="center"/>
    </xf>
    <xf numFmtId="0" fontId="21" fillId="18" borderId="113" xfId="0" applyFont="1" applyFill="1" applyBorder="1" applyAlignment="1">
      <alignment horizontal="center" vertical="center"/>
    </xf>
    <xf numFmtId="0" fontId="20" fillId="18" borderId="110" xfId="0" applyFont="1" applyFill="1" applyBorder="1" applyAlignment="1">
      <alignment horizontal="left" vertical="top"/>
    </xf>
    <xf numFmtId="0" fontId="20" fillId="18" borderId="86" xfId="0" applyFont="1" applyFill="1" applyBorder="1" applyAlignment="1">
      <alignment horizontal="left" vertical="top"/>
    </xf>
    <xf numFmtId="0" fontId="21" fillId="18" borderId="111" xfId="0" applyFont="1" applyFill="1" applyBorder="1" applyAlignment="1">
      <alignment horizontal="center"/>
    </xf>
    <xf numFmtId="0" fontId="21" fillId="18" borderId="109" xfId="0" applyFont="1" applyFill="1" applyBorder="1" applyAlignment="1">
      <alignment horizontal="center"/>
    </xf>
    <xf numFmtId="0" fontId="12" fillId="0" borderId="59" xfId="0" applyFont="1" applyBorder="1" applyAlignment="1">
      <alignment horizontal="left" vertical="top"/>
    </xf>
    <xf numFmtId="0" fontId="12" fillId="0" borderId="57" xfId="0" applyFont="1" applyBorder="1" applyAlignment="1">
      <alignment horizontal="justify" vertical="top" wrapText="1"/>
    </xf>
    <xf numFmtId="0" fontId="12" fillId="0" borderId="58" xfId="0" applyFont="1" applyBorder="1" applyAlignment="1">
      <alignment horizontal="justify" vertical="top" wrapText="1"/>
    </xf>
    <xf numFmtId="0" fontId="12" fillId="0" borderId="54" xfId="0" applyFont="1" applyBorder="1" applyAlignment="1">
      <alignment horizontal="justify" vertical="top" wrapText="1"/>
    </xf>
    <xf numFmtId="0" fontId="12" fillId="0" borderId="42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12" fillId="0" borderId="49" xfId="0" applyFont="1" applyBorder="1" applyAlignment="1">
      <alignment horizontal="justify" vertical="top" wrapText="1"/>
    </xf>
    <xf numFmtId="0" fontId="12" fillId="0" borderId="50" xfId="0" applyFont="1" applyBorder="1" applyAlignment="1">
      <alignment horizontal="justify" vertical="top" wrapText="1"/>
    </xf>
    <xf numFmtId="0" fontId="12" fillId="0" borderId="51" xfId="0" applyFont="1" applyBorder="1" applyAlignment="1">
      <alignment horizontal="justify" vertical="top" wrapText="1"/>
    </xf>
    <xf numFmtId="0" fontId="12" fillId="0" borderId="53" xfId="0" applyFont="1" applyBorder="1" applyAlignment="1">
      <alignment horizontal="justify" vertical="top" wrapText="1"/>
    </xf>
    <xf numFmtId="0" fontId="22" fillId="0" borderId="80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17" xfId="0" applyFont="1" applyFill="1" applyBorder="1" applyAlignment="1">
      <alignment horizontal="center" vertical="center"/>
    </xf>
    <xf numFmtId="0" fontId="22" fillId="22" borderId="34" xfId="0" applyFont="1" applyFill="1" applyBorder="1" applyAlignment="1">
      <alignment horizontal="right" vertical="center"/>
    </xf>
    <xf numFmtId="4" fontId="22" fillId="22" borderId="20" xfId="0" applyNumberFormat="1" applyFont="1" applyFill="1" applyBorder="1" applyAlignment="1">
      <alignment horizontal="right" vertical="center"/>
    </xf>
    <xf numFmtId="0" fontId="22" fillId="0" borderId="56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0" fontId="22" fillId="0" borderId="34" xfId="0" applyFont="1" applyFill="1" applyBorder="1" applyAlignment="1">
      <alignment horizontal="left" vertical="center"/>
    </xf>
    <xf numFmtId="4" fontId="12" fillId="0" borderId="20" xfId="0" applyNumberFormat="1" applyFont="1" applyFill="1" applyBorder="1" applyAlignment="1">
      <alignment horizontal="right" vertical="center"/>
    </xf>
    <xf numFmtId="0" fontId="21" fillId="23" borderId="69" xfId="39" applyFont="1" applyFill="1" applyBorder="1" applyAlignment="1">
      <alignment horizontal="center" vertical="center"/>
    </xf>
    <xf numFmtId="0" fontId="21" fillId="23" borderId="70" xfId="39" applyFont="1" applyFill="1" applyBorder="1" applyAlignment="1">
      <alignment horizontal="center" vertical="center"/>
    </xf>
    <xf numFmtId="0" fontId="21" fillId="23" borderId="71" xfId="39" applyFont="1" applyFill="1" applyBorder="1" applyAlignment="1">
      <alignment horizontal="center" vertical="center"/>
    </xf>
    <xf numFmtId="0" fontId="21" fillId="23" borderId="72" xfId="39" applyFont="1" applyFill="1" applyBorder="1" applyAlignment="1">
      <alignment horizontal="center" vertical="center"/>
    </xf>
    <xf numFmtId="0" fontId="21" fillId="23" borderId="73" xfId="39" applyFont="1" applyFill="1" applyBorder="1" applyAlignment="1">
      <alignment horizontal="center" vertical="center"/>
    </xf>
    <xf numFmtId="0" fontId="21" fillId="23" borderId="74" xfId="39" applyFont="1" applyFill="1" applyBorder="1" applyAlignment="1">
      <alignment horizontal="center" vertical="center"/>
    </xf>
    <xf numFmtId="0" fontId="12" fillId="0" borderId="61" xfId="39" applyFont="1" applyBorder="1" applyAlignment="1">
      <alignment horizontal="left"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39" applyFont="1" applyAlignment="1">
      <alignment vertical="center"/>
    </xf>
    <xf numFmtId="40" fontId="22" fillId="23" borderId="25" xfId="48" applyFont="1" applyFill="1" applyBorder="1" applyAlignment="1">
      <alignment horizontal="right" vertical="center"/>
    </xf>
    <xf numFmtId="0" fontId="12" fillId="0" borderId="23" xfId="40" applyFont="1" applyBorder="1" applyAlignment="1">
      <alignment horizontal="center" vertical="center"/>
    </xf>
    <xf numFmtId="0" fontId="12" fillId="0" borderId="24" xfId="40" applyFont="1" applyBorder="1" applyAlignment="1">
      <alignment horizontal="center" vertical="center"/>
    </xf>
    <xf numFmtId="0" fontId="12" fillId="0" borderId="22" xfId="40" applyFont="1" applyBorder="1" applyAlignment="1">
      <alignment horizontal="center" vertical="center"/>
    </xf>
    <xf numFmtId="0" fontId="12" fillId="0" borderId="26" xfId="40" applyFont="1" applyBorder="1" applyAlignment="1">
      <alignment horizontal="center" vertical="center"/>
    </xf>
    <xf numFmtId="0" fontId="22" fillId="23" borderId="30" xfId="40" applyFont="1" applyFill="1" applyBorder="1" applyAlignment="1">
      <alignment horizontal="right" vertical="center"/>
    </xf>
    <xf numFmtId="0" fontId="22" fillId="23" borderId="25" xfId="40" applyFont="1" applyFill="1" applyBorder="1" applyAlignment="1">
      <alignment horizontal="right" vertical="center"/>
    </xf>
    <xf numFmtId="40" fontId="22" fillId="0" borderId="25" xfId="48" applyFont="1" applyBorder="1" applyAlignment="1">
      <alignment horizontal="right" vertical="center"/>
    </xf>
    <xf numFmtId="0" fontId="12" fillId="23" borderId="28" xfId="40" applyFont="1" applyFill="1" applyBorder="1" applyAlignment="1">
      <alignment horizontal="center" vertical="center"/>
    </xf>
    <xf numFmtId="0" fontId="12" fillId="23" borderId="25" xfId="40" applyFont="1" applyFill="1" applyBorder="1" applyAlignment="1">
      <alignment horizontal="center" vertical="center"/>
    </xf>
    <xf numFmtId="0" fontId="12" fillId="23" borderId="37" xfId="40" applyFont="1" applyFill="1" applyBorder="1" applyAlignment="1">
      <alignment horizontal="center" vertical="center"/>
    </xf>
    <xf numFmtId="165" fontId="30" fillId="0" borderId="98" xfId="38" applyNumberFormat="1" applyFont="1" applyFill="1" applyBorder="1" applyAlignment="1" applyProtection="1">
      <alignment horizontal="left" vertical="center" wrapText="1"/>
      <protection locked="0"/>
    </xf>
    <xf numFmtId="165" fontId="30" fillId="0" borderId="99" xfId="38" applyNumberFormat="1" applyFont="1" applyFill="1" applyBorder="1" applyAlignment="1" applyProtection="1">
      <alignment horizontal="left" vertical="center" wrapText="1"/>
      <protection locked="0"/>
    </xf>
    <xf numFmtId="0" fontId="22" fillId="0" borderId="100" xfId="40" applyFont="1" applyBorder="1" applyAlignment="1">
      <alignment horizontal="right" vertical="center"/>
    </xf>
    <xf numFmtId="0" fontId="22" fillId="0" borderId="101" xfId="40" applyFont="1" applyBorder="1" applyAlignment="1">
      <alignment horizontal="right" vertical="center"/>
    </xf>
    <xf numFmtId="40" fontId="22" fillId="0" borderId="32" xfId="48" applyFont="1" applyBorder="1" applyAlignment="1">
      <alignment horizontal="right" vertical="center"/>
    </xf>
    <xf numFmtId="40" fontId="22" fillId="0" borderId="28" xfId="48" applyFont="1" applyBorder="1" applyAlignment="1">
      <alignment horizontal="right" vertical="center"/>
    </xf>
    <xf numFmtId="40" fontId="22" fillId="0" borderId="27" xfId="48" applyFont="1" applyBorder="1" applyAlignment="1">
      <alignment horizontal="right" vertical="center"/>
    </xf>
    <xf numFmtId="0" fontId="12" fillId="0" borderId="25" xfId="40" applyFont="1" applyBorder="1" applyAlignment="1">
      <alignment horizontal="center" vertical="center"/>
    </xf>
    <xf numFmtId="0" fontId="12" fillId="0" borderId="37" xfId="40" applyFont="1" applyBorder="1" applyAlignment="1">
      <alignment horizontal="center" vertical="center"/>
    </xf>
    <xf numFmtId="40" fontId="22" fillId="0" borderId="30" xfId="48" applyFont="1" applyBorder="1" applyAlignment="1">
      <alignment horizontal="right" vertical="center"/>
    </xf>
    <xf numFmtId="0" fontId="21" fillId="23" borderId="69" xfId="40" applyFont="1" applyFill="1" applyBorder="1" applyAlignment="1">
      <alignment horizontal="center" vertical="center"/>
    </xf>
    <xf numFmtId="0" fontId="21" fillId="23" borderId="89" xfId="40" applyFont="1" applyFill="1" applyBorder="1" applyAlignment="1">
      <alignment horizontal="center" vertical="center"/>
    </xf>
    <xf numFmtId="0" fontId="21" fillId="23" borderId="94" xfId="40" applyFont="1" applyFill="1" applyBorder="1" applyAlignment="1">
      <alignment horizontal="center" vertical="center"/>
    </xf>
    <xf numFmtId="0" fontId="21" fillId="23" borderId="91" xfId="40" applyFont="1" applyFill="1" applyBorder="1" applyAlignment="1">
      <alignment horizontal="center" vertical="center"/>
    </xf>
    <xf numFmtId="0" fontId="21" fillId="23" borderId="92" xfId="40" applyFont="1" applyFill="1" applyBorder="1" applyAlignment="1">
      <alignment horizontal="center" vertical="center"/>
    </xf>
    <xf numFmtId="0" fontId="21" fillId="23" borderId="95" xfId="40" applyFont="1" applyFill="1" applyBorder="1" applyAlignment="1">
      <alignment horizontal="center" vertical="center"/>
    </xf>
    <xf numFmtId="0" fontId="20" fillId="23" borderId="96" xfId="40" applyFont="1" applyFill="1" applyBorder="1" applyAlignment="1">
      <alignment horizontal="left" vertical="center"/>
    </xf>
    <xf numFmtId="0" fontId="20" fillId="23" borderId="90" xfId="40" applyFont="1" applyFill="1" applyBorder="1" applyAlignment="1">
      <alignment horizontal="left" vertical="center"/>
    </xf>
    <xf numFmtId="0" fontId="21" fillId="23" borderId="97" xfId="40" applyFont="1" applyFill="1" applyBorder="1" applyAlignment="1">
      <alignment horizontal="center" vertical="center"/>
    </xf>
    <xf numFmtId="0" fontId="21" fillId="23" borderId="93" xfId="40" applyFont="1" applyFill="1" applyBorder="1" applyAlignment="1">
      <alignment horizontal="center" vertical="center"/>
    </xf>
    <xf numFmtId="0" fontId="12" fillId="0" borderId="31" xfId="40" applyFont="1" applyBorder="1" applyAlignment="1">
      <alignment horizontal="left" vertical="top"/>
    </xf>
    <xf numFmtId="0" fontId="12" fillId="0" borderId="13" xfId="40" applyFont="1" applyBorder="1" applyAlignment="1">
      <alignment horizontal="left" vertical="top" wrapText="1"/>
    </xf>
    <xf numFmtId="0" fontId="12" fillId="0" borderId="24" xfId="40" applyFont="1" applyBorder="1" applyAlignment="1">
      <alignment horizontal="left" vertical="top" wrapText="1"/>
    </xf>
    <xf numFmtId="0" fontId="12" fillId="0" borderId="11" xfId="40" applyFont="1" applyBorder="1" applyAlignment="1">
      <alignment horizontal="left" vertical="top" wrapText="1"/>
    </xf>
    <xf numFmtId="0" fontId="12" fillId="0" borderId="21" xfId="40" applyFont="1" applyBorder="1" applyAlignment="1">
      <alignment horizontal="left" vertical="top" wrapText="1"/>
    </xf>
    <xf numFmtId="0" fontId="12" fillId="0" borderId="28" xfId="40" applyFont="1" applyBorder="1" applyAlignment="1">
      <alignment horizontal="center" vertical="center"/>
    </xf>
    <xf numFmtId="0" fontId="12" fillId="0" borderId="33" xfId="40" applyFont="1" applyBorder="1" applyAlignment="1">
      <alignment horizontal="center" vertical="center"/>
    </xf>
    <xf numFmtId="0" fontId="22" fillId="23" borderId="67" xfId="41" applyFont="1" applyFill="1" applyBorder="1" applyAlignment="1">
      <alignment horizontal="right" vertical="center"/>
    </xf>
    <xf numFmtId="0" fontId="22" fillId="23" borderId="68" xfId="41" applyFont="1" applyFill="1" applyBorder="1" applyAlignment="1">
      <alignment horizontal="right" vertical="center"/>
    </xf>
    <xf numFmtId="0" fontId="22" fillId="0" borderId="63" xfId="41" applyFont="1" applyFill="1" applyBorder="1" applyAlignment="1">
      <alignment horizontal="right" vertical="center"/>
    </xf>
    <xf numFmtId="0" fontId="22" fillId="0" borderId="25" xfId="41" applyFont="1" applyFill="1" applyBorder="1" applyAlignment="1">
      <alignment horizontal="right" vertical="center"/>
    </xf>
    <xf numFmtId="0" fontId="22" fillId="0" borderId="66" xfId="41" applyFont="1" applyFill="1" applyBorder="1" applyAlignment="1">
      <alignment horizontal="right" vertical="center"/>
    </xf>
    <xf numFmtId="0" fontId="22" fillId="0" borderId="33" xfId="41" applyFont="1" applyFill="1" applyBorder="1" applyAlignment="1">
      <alignment horizontal="right" vertical="center"/>
    </xf>
    <xf numFmtId="165" fontId="29" fillId="0" borderId="80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32" xfId="38" applyNumberFormat="1" applyFont="1" applyFill="1" applyBorder="1" applyAlignment="1" applyProtection="1">
      <alignment horizontal="left" vertical="center" wrapText="1"/>
      <protection locked="0"/>
    </xf>
    <xf numFmtId="165" fontId="29" fillId="0" borderId="28" xfId="38" applyNumberFormat="1" applyFont="1" applyFill="1" applyBorder="1" applyAlignment="1" applyProtection="1">
      <alignment horizontal="left" vertical="center" wrapText="1"/>
      <protection locked="0"/>
    </xf>
    <xf numFmtId="0" fontId="21" fillId="23" borderId="69" xfId="41" applyFont="1" applyFill="1" applyBorder="1" applyAlignment="1">
      <alignment horizontal="center" vertical="center"/>
    </xf>
    <xf numFmtId="0" fontId="21" fillId="23" borderId="70" xfId="41" applyFont="1" applyFill="1" applyBorder="1" applyAlignment="1">
      <alignment horizontal="center" vertical="center"/>
    </xf>
    <xf numFmtId="0" fontId="21" fillId="23" borderId="71" xfId="41" applyFont="1" applyFill="1" applyBorder="1" applyAlignment="1">
      <alignment horizontal="center" vertical="center"/>
    </xf>
    <xf numFmtId="0" fontId="21" fillId="23" borderId="72" xfId="41" applyFont="1" applyFill="1" applyBorder="1" applyAlignment="1">
      <alignment horizontal="center" vertical="center"/>
    </xf>
    <xf numFmtId="0" fontId="21" fillId="23" borderId="73" xfId="41" applyFont="1" applyFill="1" applyBorder="1" applyAlignment="1">
      <alignment horizontal="center" vertical="center"/>
    </xf>
    <xf numFmtId="0" fontId="21" fillId="23" borderId="74" xfId="41" applyFont="1" applyFill="1" applyBorder="1" applyAlignment="1">
      <alignment horizontal="center" vertical="center"/>
    </xf>
    <xf numFmtId="0" fontId="12" fillId="0" borderId="75" xfId="41" applyFont="1" applyBorder="1" applyAlignment="1">
      <alignment horizontal="left" vertical="center"/>
    </xf>
    <xf numFmtId="0" fontId="12" fillId="0" borderId="31" xfId="41" applyFont="1" applyBorder="1" applyAlignment="1">
      <alignment horizontal="left" vertical="center"/>
    </xf>
    <xf numFmtId="0" fontId="12" fillId="0" borderId="76" xfId="41" applyFont="1" applyBorder="1" applyAlignment="1">
      <alignment horizontal="left" vertical="center"/>
    </xf>
    <xf numFmtId="0" fontId="12" fillId="0" borderId="77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/>
    </xf>
    <xf numFmtId="0" fontId="12" fillId="0" borderId="30" xfId="41" applyFont="1" applyBorder="1" applyAlignment="1">
      <alignment horizontal="center" vertical="center" wrapText="1"/>
    </xf>
    <xf numFmtId="0" fontId="12" fillId="0" borderId="45" xfId="41" applyFont="1" applyBorder="1" applyAlignment="1">
      <alignment horizontal="center" vertical="center" wrapText="1"/>
    </xf>
    <xf numFmtId="0" fontId="12" fillId="0" borderId="64" xfId="41" applyFont="1" applyBorder="1" applyAlignment="1">
      <alignment horizontal="left" vertical="center" wrapText="1"/>
    </xf>
    <xf numFmtId="0" fontId="12" fillId="0" borderId="13" xfId="41" applyFont="1" applyBorder="1" applyAlignment="1">
      <alignment horizontal="left" vertical="center" wrapText="1"/>
    </xf>
    <xf numFmtId="0" fontId="12" fillId="0" borderId="24" xfId="41" applyFont="1" applyBorder="1" applyAlignment="1">
      <alignment horizontal="left" vertical="center" wrapText="1"/>
    </xf>
    <xf numFmtId="0" fontId="12" fillId="0" borderId="42" xfId="41" applyFont="1" applyBorder="1" applyAlignment="1">
      <alignment horizontal="left" vertical="center" wrapText="1"/>
    </xf>
    <xf numFmtId="0" fontId="12" fillId="0" borderId="0" xfId="41" applyFont="1" applyBorder="1" applyAlignment="1">
      <alignment horizontal="left" vertical="center" wrapText="1"/>
    </xf>
    <xf numFmtId="0" fontId="12" fillId="0" borderId="26" xfId="41" applyFont="1" applyBorder="1" applyAlignment="1">
      <alignment horizontal="left" vertical="center" wrapText="1"/>
    </xf>
    <xf numFmtId="0" fontId="12" fillId="0" borderId="65" xfId="41" applyFont="1" applyBorder="1" applyAlignment="1">
      <alignment horizontal="left" vertical="center" wrapText="1"/>
    </xf>
    <xf numFmtId="0" fontId="12" fillId="0" borderId="11" xfId="41" applyFont="1" applyBorder="1" applyAlignment="1">
      <alignment horizontal="left" vertical="center" wrapText="1"/>
    </xf>
    <xf numFmtId="0" fontId="12" fillId="0" borderId="21" xfId="41" applyFont="1" applyBorder="1" applyAlignment="1">
      <alignment horizontal="left" vertical="center" wrapText="1"/>
    </xf>
    <xf numFmtId="165" fontId="29" fillId="20" borderId="27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32" xfId="0" applyNumberFormat="1" applyFont="1" applyFill="1" applyBorder="1" applyAlignment="1" applyProtection="1">
      <alignment horizontal="left" vertical="center" wrapText="1"/>
      <protection locked="0"/>
    </xf>
    <xf numFmtId="165" fontId="29" fillId="20" borderId="28" xfId="0" applyNumberFormat="1" applyFont="1" applyFill="1" applyBorder="1" applyAlignment="1" applyProtection="1">
      <alignment horizontal="left" vertical="center" wrapText="1"/>
      <protection locked="0"/>
    </xf>
    <xf numFmtId="165" fontId="29" fillId="0" borderId="27" xfId="0" applyNumberFormat="1" applyFont="1" applyBorder="1" applyAlignment="1" applyProtection="1">
      <alignment horizontal="left" vertical="center" wrapText="1"/>
      <protection locked="0"/>
    </xf>
    <xf numFmtId="165" fontId="29" fillId="0" borderId="32" xfId="0" applyNumberFormat="1" applyFont="1" applyBorder="1" applyAlignment="1" applyProtection="1">
      <alignment horizontal="left" vertical="center" wrapText="1"/>
      <protection locked="0"/>
    </xf>
    <xf numFmtId="165" fontId="29" fillId="0" borderId="28" xfId="0" applyNumberFormat="1" applyFont="1" applyBorder="1" applyAlignment="1" applyProtection="1">
      <alignment horizontal="left" vertical="center" wrapText="1"/>
      <protection locked="0"/>
    </xf>
    <xf numFmtId="0" fontId="12" fillId="0" borderId="30" xfId="42" applyFont="1" applyBorder="1" applyAlignment="1">
      <alignment horizontal="center" vertical="center" wrapText="1"/>
    </xf>
    <xf numFmtId="0" fontId="22" fillId="23" borderId="68" xfId="42" applyFont="1" applyFill="1" applyBorder="1" applyAlignment="1">
      <alignment horizontal="right" vertical="center"/>
    </xf>
    <xf numFmtId="0" fontId="21" fillId="23" borderId="79" xfId="42" applyFont="1" applyFill="1" applyBorder="1" applyAlignment="1">
      <alignment horizontal="center" vertical="center"/>
    </xf>
    <xf numFmtId="0" fontId="21" fillId="23" borderId="81" xfId="42" applyFont="1" applyFill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/>
    </xf>
    <xf numFmtId="0" fontId="22" fillId="0" borderId="78" xfId="42" applyFont="1" applyBorder="1" applyAlignment="1">
      <alignment horizontal="center" vertical="center"/>
    </xf>
    <xf numFmtId="0" fontId="12" fillId="0" borderId="30" xfId="42" applyFont="1" applyBorder="1" applyAlignment="1">
      <alignment horizontal="center" vertical="center"/>
    </xf>
    <xf numFmtId="0" fontId="12" fillId="0" borderId="78" xfId="42" applyFont="1" applyBorder="1" applyAlignment="1">
      <alignment horizontal="center" vertical="center"/>
    </xf>
    <xf numFmtId="0" fontId="12" fillId="0" borderId="57" xfId="42" applyFont="1" applyBorder="1" applyAlignment="1">
      <alignment horizontal="left" vertical="top" wrapText="1"/>
    </xf>
    <xf numFmtId="0" fontId="12" fillId="0" borderId="58" xfId="42" applyFont="1" applyBorder="1" applyAlignment="1">
      <alignment horizontal="left" vertical="top" wrapText="1"/>
    </xf>
    <xf numFmtId="0" fontId="12" fillId="0" borderId="85" xfId="42" applyFont="1" applyBorder="1" applyAlignment="1">
      <alignment horizontal="left" vertical="top" wrapText="1"/>
    </xf>
    <xf numFmtId="0" fontId="12" fillId="0" borderId="42" xfId="42" applyFont="1" applyBorder="1" applyAlignment="1">
      <alignment horizontal="left" vertical="top" wrapText="1"/>
    </xf>
    <xf numFmtId="0" fontId="12" fillId="0" borderId="0" xfId="42" applyFont="1" applyBorder="1" applyAlignment="1">
      <alignment horizontal="left" vertical="top" wrapText="1"/>
    </xf>
    <xf numFmtId="0" fontId="12" fillId="0" borderId="26" xfId="42" applyFont="1" applyBorder="1" applyAlignment="1">
      <alignment horizontal="left" vertical="top" wrapText="1"/>
    </xf>
    <xf numFmtId="0" fontId="12" fillId="0" borderId="50" xfId="42" applyFont="1" applyBorder="1" applyAlignment="1">
      <alignment horizontal="left" vertical="top" wrapText="1"/>
    </xf>
    <xf numFmtId="0" fontId="12" fillId="0" borderId="51" xfId="42" applyFont="1" applyBorder="1" applyAlignment="1">
      <alignment horizontal="left" vertical="top" wrapText="1"/>
    </xf>
    <xf numFmtId="0" fontId="12" fillId="0" borderId="52" xfId="42" applyFont="1" applyBorder="1" applyAlignment="1">
      <alignment horizontal="left" vertical="top" wrapText="1"/>
    </xf>
    <xf numFmtId="0" fontId="12" fillId="0" borderId="30" xfId="44" applyFont="1" applyBorder="1" applyAlignment="1">
      <alignment horizontal="left" vertical="center"/>
    </xf>
    <xf numFmtId="14" fontId="12" fillId="0" borderId="30" xfId="44" applyNumberFormat="1" applyFont="1" applyBorder="1" applyAlignment="1">
      <alignment horizontal="center" vertical="center"/>
    </xf>
    <xf numFmtId="0" fontId="22" fillId="22" borderId="67" xfId="44" applyNumberFormat="1" applyFont="1" applyFill="1" applyBorder="1" applyAlignment="1">
      <alignment horizontal="right" vertical="center"/>
    </xf>
    <xf numFmtId="0" fontId="22" fillId="22" borderId="68" xfId="44" applyNumberFormat="1" applyFont="1" applyFill="1" applyBorder="1" applyAlignment="1">
      <alignment horizontal="right" vertical="center"/>
    </xf>
    <xf numFmtId="0" fontId="12" fillId="0" borderId="31" xfId="44" applyFont="1" applyBorder="1" applyAlignment="1">
      <alignment horizontal="left" vertical="center"/>
    </xf>
    <xf numFmtId="0" fontId="12" fillId="0" borderId="33" xfId="44" applyFont="1" applyBorder="1" applyAlignment="1">
      <alignment horizontal="left" vertical="center"/>
    </xf>
    <xf numFmtId="49" fontId="12" fillId="0" borderId="27" xfId="44" applyNumberFormat="1" applyFont="1" applyBorder="1" applyAlignment="1">
      <alignment horizontal="center" vertical="center"/>
    </xf>
    <xf numFmtId="49" fontId="12" fillId="0" borderId="32" xfId="44" applyNumberFormat="1" applyFont="1" applyBorder="1" applyAlignment="1">
      <alignment horizontal="center" vertical="center"/>
    </xf>
    <xf numFmtId="49" fontId="12" fillId="0" borderId="28" xfId="44" applyNumberFormat="1" applyFont="1" applyBorder="1" applyAlignment="1">
      <alignment horizontal="center" vertical="center"/>
    </xf>
    <xf numFmtId="0" fontId="12" fillId="0" borderId="33" xfId="44" applyNumberFormat="1" applyFont="1" applyBorder="1" applyAlignment="1">
      <alignment horizontal="center" vertical="center"/>
    </xf>
    <xf numFmtId="0" fontId="12" fillId="0" borderId="31" xfId="44" applyNumberFormat="1" applyFont="1" applyBorder="1" applyAlignment="1">
      <alignment horizontal="center" vertical="center"/>
    </xf>
    <xf numFmtId="0" fontId="12" fillId="0" borderId="30" xfId="44" applyNumberFormat="1" applyFont="1" applyBorder="1" applyAlignment="1">
      <alignment horizontal="center" vertical="center"/>
    </xf>
    <xf numFmtId="0" fontId="12" fillId="24" borderId="33" xfId="44" applyNumberFormat="1" applyFont="1" applyFill="1" applyBorder="1" applyAlignment="1">
      <alignment horizontal="center" vertical="center"/>
    </xf>
    <xf numFmtId="0" fontId="12" fillId="24" borderId="30" xfId="44" applyNumberFormat="1" applyFont="1" applyFill="1" applyBorder="1" applyAlignment="1">
      <alignment horizontal="center" vertical="center"/>
    </xf>
    <xf numFmtId="169" fontId="12" fillId="0" borderId="33" xfId="44" applyNumberFormat="1" applyFont="1" applyBorder="1" applyAlignment="1">
      <alignment horizontal="right" vertical="center"/>
    </xf>
    <xf numFmtId="169" fontId="12" fillId="0" borderId="31" xfId="44" applyNumberFormat="1" applyFont="1" applyBorder="1" applyAlignment="1">
      <alignment horizontal="right" vertical="center"/>
    </xf>
    <xf numFmtId="169" fontId="12" fillId="0" borderId="30" xfId="44" applyNumberFormat="1" applyFont="1" applyBorder="1" applyAlignment="1">
      <alignment horizontal="right" vertical="center"/>
    </xf>
    <xf numFmtId="0" fontId="12" fillId="0" borderId="84" xfId="44" applyFont="1" applyBorder="1" applyAlignment="1">
      <alignment horizontal="center" vertical="center"/>
    </xf>
    <xf numFmtId="0" fontId="12" fillId="0" borderId="40" xfId="44" applyFont="1" applyBorder="1" applyAlignment="1">
      <alignment horizontal="center" vertical="center"/>
    </xf>
    <xf numFmtId="49" fontId="12" fillId="0" borderId="23" xfId="44" applyNumberFormat="1" applyFont="1" applyBorder="1" applyAlignment="1">
      <alignment horizontal="center" vertical="center"/>
    </xf>
    <xf numFmtId="49" fontId="12" fillId="0" borderId="13" xfId="44" applyNumberFormat="1" applyFont="1" applyBorder="1" applyAlignment="1">
      <alignment horizontal="center" vertical="center"/>
    </xf>
    <xf numFmtId="49" fontId="12" fillId="0" borderId="24" xfId="44" applyNumberFormat="1" applyFont="1" applyBorder="1" applyAlignment="1">
      <alignment horizontal="center" vertical="center"/>
    </xf>
    <xf numFmtId="49" fontId="12" fillId="0" borderId="29" xfId="44" applyNumberFormat="1" applyFont="1" applyBorder="1" applyAlignment="1">
      <alignment horizontal="center" vertical="center"/>
    </xf>
    <xf numFmtId="49" fontId="12" fillId="0" borderId="11" xfId="44" applyNumberFormat="1" applyFont="1" applyBorder="1" applyAlignment="1">
      <alignment horizontal="center" vertical="center"/>
    </xf>
    <xf numFmtId="49" fontId="12" fillId="0" borderId="21" xfId="44" applyNumberFormat="1" applyFont="1" applyBorder="1" applyAlignment="1">
      <alignment horizontal="center" vertical="center"/>
    </xf>
    <xf numFmtId="49" fontId="12" fillId="24" borderId="23" xfId="44" applyNumberFormat="1" applyFont="1" applyFill="1" applyBorder="1" applyAlignment="1">
      <alignment horizontal="center" vertical="center"/>
    </xf>
    <xf numFmtId="49" fontId="12" fillId="24" borderId="13" xfId="44" applyNumberFormat="1" applyFont="1" applyFill="1" applyBorder="1" applyAlignment="1">
      <alignment horizontal="center" vertical="center"/>
    </xf>
    <xf numFmtId="49" fontId="12" fillId="24" borderId="24" xfId="44" applyNumberFormat="1" applyFont="1" applyFill="1" applyBorder="1" applyAlignment="1">
      <alignment horizontal="center" vertical="center"/>
    </xf>
    <xf numFmtId="49" fontId="12" fillId="24" borderId="22" xfId="44" applyNumberFormat="1" applyFont="1" applyFill="1" applyBorder="1" applyAlignment="1">
      <alignment horizontal="center" vertical="center"/>
    </xf>
    <xf numFmtId="49" fontId="12" fillId="24" borderId="0" xfId="44" applyNumberFormat="1" applyFont="1" applyFill="1" applyBorder="1" applyAlignment="1">
      <alignment horizontal="center" vertical="center"/>
    </xf>
    <xf numFmtId="49" fontId="12" fillId="24" borderId="26" xfId="44" applyNumberFormat="1" applyFont="1" applyFill="1" applyBorder="1" applyAlignment="1">
      <alignment horizontal="center" vertical="center"/>
    </xf>
    <xf numFmtId="49" fontId="12" fillId="24" borderId="29" xfId="44" applyNumberFormat="1" applyFont="1" applyFill="1" applyBorder="1" applyAlignment="1">
      <alignment horizontal="center" vertical="center"/>
    </xf>
    <xf numFmtId="49" fontId="12" fillId="24" borderId="11" xfId="44" applyNumberFormat="1" applyFont="1" applyFill="1" applyBorder="1" applyAlignment="1">
      <alignment horizontal="center" vertical="center"/>
    </xf>
    <xf numFmtId="49" fontId="12" fillId="24" borderId="21" xfId="44" applyNumberFormat="1" applyFont="1" applyFill="1" applyBorder="1" applyAlignment="1">
      <alignment horizontal="center" vertical="center"/>
    </xf>
    <xf numFmtId="49" fontId="12" fillId="0" borderId="22" xfId="44" applyNumberFormat="1" applyFont="1" applyBorder="1" applyAlignment="1">
      <alignment horizontal="center" vertical="center"/>
    </xf>
    <xf numFmtId="49" fontId="12" fillId="0" borderId="0" xfId="44" applyNumberFormat="1" applyFont="1" applyBorder="1" applyAlignment="1">
      <alignment horizontal="center" vertical="center"/>
    </xf>
    <xf numFmtId="49" fontId="12" fillId="0" borderId="26" xfId="44" applyNumberFormat="1" applyFont="1" applyBorder="1" applyAlignment="1">
      <alignment horizontal="center" vertical="center"/>
    </xf>
    <xf numFmtId="49" fontId="12" fillId="24" borderId="27" xfId="44" applyNumberFormat="1" applyFont="1" applyFill="1" applyBorder="1" applyAlignment="1">
      <alignment horizontal="center" vertical="center"/>
    </xf>
    <xf numFmtId="49" fontId="12" fillId="24" borderId="32" xfId="44" applyNumberFormat="1" applyFont="1" applyFill="1" applyBorder="1" applyAlignment="1">
      <alignment horizontal="center" vertical="center"/>
    </xf>
    <xf numFmtId="49" fontId="12" fillId="24" borderId="28" xfId="44" applyNumberFormat="1" applyFont="1" applyFill="1" applyBorder="1" applyAlignment="1">
      <alignment horizontal="center" vertical="center"/>
    </xf>
    <xf numFmtId="169" fontId="12" fillId="24" borderId="33" xfId="44" applyNumberFormat="1" applyFont="1" applyFill="1" applyBorder="1" applyAlignment="1">
      <alignment horizontal="right" vertical="center"/>
    </xf>
    <xf numFmtId="169" fontId="12" fillId="24" borderId="30" xfId="44" applyNumberFormat="1" applyFont="1" applyFill="1" applyBorder="1" applyAlignment="1">
      <alignment horizontal="right" vertical="center"/>
    </xf>
    <xf numFmtId="0" fontId="12" fillId="24" borderId="31" xfId="44" applyNumberFormat="1" applyFont="1" applyFill="1" applyBorder="1" applyAlignment="1">
      <alignment horizontal="center" vertical="center"/>
    </xf>
    <xf numFmtId="169" fontId="12" fillId="24" borderId="31" xfId="44" applyNumberFormat="1" applyFont="1" applyFill="1" applyBorder="1" applyAlignment="1">
      <alignment horizontal="right" vertical="center"/>
    </xf>
    <xf numFmtId="0" fontId="21" fillId="18" borderId="79" xfId="44" applyFont="1" applyFill="1" applyBorder="1" applyAlignment="1">
      <alignment horizontal="center" vertical="center"/>
    </xf>
    <xf numFmtId="0" fontId="21" fillId="18" borderId="81" xfId="44" applyFont="1" applyFill="1" applyBorder="1" applyAlignment="1">
      <alignment horizontal="center" vertical="center"/>
    </xf>
    <xf numFmtId="0" fontId="12" fillId="0" borderId="31" xfId="44" applyFont="1" applyBorder="1" applyAlignment="1">
      <alignment horizontal="center" vertical="center"/>
    </xf>
    <xf numFmtId="0" fontId="12" fillId="0" borderId="79" xfId="44" applyFont="1" applyBorder="1" applyAlignment="1">
      <alignment horizontal="left" vertical="center" wrapText="1"/>
    </xf>
    <xf numFmtId="49" fontId="12" fillId="0" borderId="33" xfId="43" applyNumberFormat="1" applyFont="1" applyBorder="1" applyAlignment="1">
      <alignment horizontal="center" vertical="center"/>
    </xf>
    <xf numFmtId="49" fontId="12" fillId="0" borderId="31" xfId="43" applyNumberFormat="1" applyFont="1" applyBorder="1" applyAlignment="1">
      <alignment horizontal="center" vertical="center"/>
    </xf>
    <xf numFmtId="49" fontId="12" fillId="0" borderId="30" xfId="43" applyNumberFormat="1" applyFont="1" applyBorder="1" applyAlignment="1">
      <alignment horizontal="center" vertical="center"/>
    </xf>
    <xf numFmtId="9" fontId="12" fillId="0" borderId="33" xfId="48" applyNumberFormat="1" applyFont="1" applyFill="1" applyBorder="1" applyAlignment="1" applyProtection="1">
      <alignment horizontal="center" vertical="center"/>
    </xf>
    <xf numFmtId="9" fontId="12" fillId="0" borderId="31" xfId="48" applyNumberFormat="1" applyFont="1" applyFill="1" applyBorder="1" applyAlignment="1" applyProtection="1">
      <alignment horizontal="center" vertical="center"/>
    </xf>
    <xf numFmtId="9" fontId="12" fillId="0" borderId="30" xfId="48" applyNumberFormat="1" applyFont="1" applyFill="1" applyBorder="1" applyAlignment="1" applyProtection="1">
      <alignment horizontal="center" vertical="center"/>
    </xf>
    <xf numFmtId="4" fontId="12" fillId="0" borderId="33" xfId="43" applyNumberFormat="1" applyFont="1" applyBorder="1" applyAlignment="1">
      <alignment horizontal="right" vertical="center"/>
    </xf>
    <xf numFmtId="4" fontId="12" fillId="0" borderId="31" xfId="43" applyNumberFormat="1" applyFont="1" applyBorder="1" applyAlignment="1">
      <alignment horizontal="right" vertical="center"/>
    </xf>
    <xf numFmtId="4" fontId="12" fillId="0" borderId="30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 vertical="center" wrapText="1"/>
    </xf>
    <xf numFmtId="49" fontId="29" fillId="0" borderId="33" xfId="0" applyNumberFormat="1" applyFont="1" applyBorder="1" applyAlignment="1">
      <alignment horizontal="center" vertical="center" wrapText="1"/>
    </xf>
    <xf numFmtId="49" fontId="29" fillId="0" borderId="30" xfId="0" applyNumberFormat="1" applyFont="1" applyBorder="1" applyAlignment="1">
      <alignment horizontal="center" vertical="center" wrapText="1"/>
    </xf>
    <xf numFmtId="9" fontId="12" fillId="0" borderId="33" xfId="0" applyNumberFormat="1" applyFont="1" applyBorder="1" applyAlignment="1">
      <alignment horizontal="center" vertical="center"/>
    </xf>
    <xf numFmtId="9" fontId="12" fillId="0" borderId="30" xfId="0" applyNumberFormat="1" applyFont="1" applyBorder="1" applyAlignment="1">
      <alignment horizontal="center" vertical="center"/>
    </xf>
    <xf numFmtId="2" fontId="29" fillId="0" borderId="23" xfId="0" applyNumberFormat="1" applyFont="1" applyBorder="1" applyAlignment="1">
      <alignment horizontal="left" vertical="center" wrapText="1"/>
    </xf>
    <xf numFmtId="2" fontId="29" fillId="0" borderId="13" xfId="0" applyNumberFormat="1" applyFont="1" applyBorder="1" applyAlignment="1">
      <alignment horizontal="left" vertical="center" wrapText="1"/>
    </xf>
    <xf numFmtId="2" fontId="29" fillId="0" borderId="24" xfId="0" applyNumberFormat="1" applyFont="1" applyBorder="1" applyAlignment="1">
      <alignment horizontal="left" vertical="center" wrapText="1"/>
    </xf>
    <xf numFmtId="2" fontId="29" fillId="0" borderId="22" xfId="0" applyNumberFormat="1" applyFont="1" applyBorder="1" applyAlignment="1">
      <alignment horizontal="left" vertical="center" wrapText="1"/>
    </xf>
    <xf numFmtId="2" fontId="29" fillId="0" borderId="0" xfId="0" applyNumberFormat="1" applyFont="1" applyBorder="1" applyAlignment="1">
      <alignment horizontal="left" vertical="center" wrapText="1"/>
    </xf>
    <xf numFmtId="2" fontId="29" fillId="0" borderId="26" xfId="0" applyNumberFormat="1" applyFont="1" applyBorder="1" applyAlignment="1">
      <alignment horizontal="left" vertical="center" wrapText="1"/>
    </xf>
    <xf numFmtId="2" fontId="29" fillId="0" borderId="29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29" fillId="0" borderId="21" xfId="0" applyNumberFormat="1" applyFont="1" applyBorder="1" applyAlignment="1">
      <alignment horizontal="left" vertical="center" wrapText="1"/>
    </xf>
    <xf numFmtId="0" fontId="22" fillId="23" borderId="79" xfId="43" applyNumberFormat="1" applyFont="1" applyFill="1" applyBorder="1" applyAlignment="1">
      <alignment horizontal="right" vertical="center"/>
    </xf>
    <xf numFmtId="0" fontId="12" fillId="0" borderId="2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57" xfId="43" applyFont="1" applyBorder="1" applyAlignment="1">
      <alignment horizontal="justify" vertical="center" wrapText="1"/>
    </xf>
    <xf numFmtId="0" fontId="12" fillId="0" borderId="58" xfId="43" applyFont="1" applyBorder="1" applyAlignment="1">
      <alignment horizontal="justify" vertical="center" wrapText="1"/>
    </xf>
    <xf numFmtId="0" fontId="12" fillId="0" borderId="54" xfId="43" applyFont="1" applyBorder="1" applyAlignment="1">
      <alignment horizontal="justify" vertical="center" wrapText="1"/>
    </xf>
    <xf numFmtId="0" fontId="12" fillId="0" borderId="42" xfId="43" applyFont="1" applyBorder="1" applyAlignment="1">
      <alignment horizontal="justify" vertical="center" wrapText="1"/>
    </xf>
    <xf numFmtId="0" fontId="12" fillId="0" borderId="0" xfId="43" applyFont="1" applyBorder="1" applyAlignment="1">
      <alignment horizontal="justify" vertical="center" wrapText="1"/>
    </xf>
    <xf numFmtId="0" fontId="12" fillId="0" borderId="49" xfId="43" applyFont="1" applyBorder="1" applyAlignment="1">
      <alignment horizontal="justify" vertical="center" wrapText="1"/>
    </xf>
    <xf numFmtId="0" fontId="12" fillId="0" borderId="50" xfId="43" applyFont="1" applyBorder="1" applyAlignment="1">
      <alignment horizontal="justify" vertical="center" wrapText="1"/>
    </xf>
    <xf numFmtId="0" fontId="12" fillId="0" borderId="51" xfId="43" applyFont="1" applyBorder="1" applyAlignment="1">
      <alignment horizontal="justify" vertical="center" wrapText="1"/>
    </xf>
    <xf numFmtId="0" fontId="12" fillId="0" borderId="53" xfId="43" applyFont="1" applyBorder="1" applyAlignment="1">
      <alignment horizontal="justify" vertical="center" wrapText="1"/>
    </xf>
    <xf numFmtId="0" fontId="21" fillId="23" borderId="79" xfId="43" applyFont="1" applyFill="1" applyBorder="1" applyAlignment="1">
      <alignment horizontal="center" vertical="center"/>
    </xf>
    <xf numFmtId="0" fontId="21" fillId="23" borderId="81" xfId="43" applyFont="1" applyFill="1" applyBorder="1" applyAlignment="1">
      <alignment horizontal="center" vertical="center"/>
    </xf>
    <xf numFmtId="0" fontId="12" fillId="0" borderId="31" xfId="43" applyFont="1" applyBorder="1" applyAlignment="1">
      <alignment horizontal="left" vertical="center"/>
    </xf>
    <xf numFmtId="0" fontId="12" fillId="0" borderId="30" xfId="43" applyFont="1" applyBorder="1" applyAlignment="1">
      <alignment horizontal="center" vertical="center"/>
    </xf>
    <xf numFmtId="0" fontId="12" fillId="0" borderId="30" xfId="43" applyFont="1" applyBorder="1" applyAlignment="1">
      <alignment horizontal="center" vertical="center" wrapText="1"/>
    </xf>
    <xf numFmtId="0" fontId="12" fillId="0" borderId="31" xfId="43" applyFont="1" applyBorder="1" applyAlignment="1">
      <alignment horizontal="left" vertical="top"/>
    </xf>
    <xf numFmtId="49" fontId="12" fillId="0" borderId="27" xfId="43" applyNumberFormat="1" applyFont="1" applyBorder="1" applyAlignment="1">
      <alignment horizontal="center" vertical="center"/>
    </xf>
    <xf numFmtId="2" fontId="29" fillId="0" borderId="27" xfId="0" applyNumberFormat="1" applyFont="1" applyBorder="1" applyAlignment="1">
      <alignment horizontal="center" vertical="center" wrapText="1"/>
    </xf>
    <xf numFmtId="0" fontId="22" fillId="23" borderId="67" xfId="43" applyNumberFormat="1" applyFont="1" applyFill="1" applyBorder="1" applyAlignment="1">
      <alignment horizontal="right" vertical="center"/>
    </xf>
    <xf numFmtId="0" fontId="22" fillId="23" borderId="68" xfId="43" applyNumberFormat="1" applyFont="1" applyFill="1" applyBorder="1" applyAlignment="1">
      <alignment horizontal="right" vertical="center"/>
    </xf>
    <xf numFmtId="0" fontId="12" fillId="0" borderId="33" xfId="43" applyFont="1" applyBorder="1" applyAlignment="1">
      <alignment horizontal="left" vertical="center"/>
    </xf>
    <xf numFmtId="49" fontId="12" fillId="0" borderId="23" xfId="43" applyNumberFormat="1" applyFont="1" applyBorder="1" applyAlignment="1">
      <alignment horizontal="center" vertical="center"/>
    </xf>
    <xf numFmtId="0" fontId="12" fillId="0" borderId="22" xfId="43" applyFont="1" applyBorder="1" applyAlignment="1">
      <alignment horizontal="left" vertical="top" wrapText="1"/>
    </xf>
    <xf numFmtId="0" fontId="12" fillId="0" borderId="0" xfId="43" applyFont="1" applyBorder="1" applyAlignment="1">
      <alignment horizontal="left" vertical="top" wrapText="1"/>
    </xf>
    <xf numFmtId="0" fontId="12" fillId="0" borderId="26" xfId="43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top" wrapText="1"/>
    </xf>
    <xf numFmtId="2" fontId="29" fillId="0" borderId="27" xfId="0" applyNumberFormat="1" applyFont="1" applyBorder="1" applyAlignment="1">
      <alignment horizontal="left" vertical="center" wrapText="1"/>
    </xf>
    <xf numFmtId="49" fontId="12" fillId="0" borderId="25" xfId="43" applyNumberFormat="1" applyFont="1" applyBorder="1" applyAlignment="1">
      <alignment horizontal="center" vertical="center"/>
    </xf>
    <xf numFmtId="0" fontId="12" fillId="0" borderId="23" xfId="43" applyFont="1" applyBorder="1" applyAlignment="1">
      <alignment horizontal="justify" vertical="top" wrapText="1"/>
    </xf>
    <xf numFmtId="0" fontId="12" fillId="0" borderId="13" xfId="43" applyFont="1" applyBorder="1" applyAlignment="1">
      <alignment horizontal="justify" vertical="top" wrapText="1"/>
    </xf>
    <xf numFmtId="0" fontId="12" fillId="0" borderId="24" xfId="43" applyFont="1" applyBorder="1" applyAlignment="1">
      <alignment horizontal="justify" vertical="top" wrapText="1"/>
    </xf>
    <xf numFmtId="0" fontId="12" fillId="0" borderId="22" xfId="43" applyFont="1" applyBorder="1" applyAlignment="1">
      <alignment horizontal="justify" vertical="top" wrapText="1"/>
    </xf>
    <xf numFmtId="0" fontId="12" fillId="0" borderId="0" xfId="43" applyFont="1" applyBorder="1" applyAlignment="1">
      <alignment horizontal="justify" vertical="top" wrapText="1"/>
    </xf>
    <xf numFmtId="0" fontId="12" fillId="0" borderId="26" xfId="43" applyFont="1" applyBorder="1" applyAlignment="1">
      <alignment horizontal="justify" vertical="top" wrapText="1"/>
    </xf>
    <xf numFmtId="0" fontId="12" fillId="0" borderId="29" xfId="43" applyFont="1" applyBorder="1" applyAlignment="1">
      <alignment horizontal="justify" vertical="top" wrapText="1"/>
    </xf>
    <xf numFmtId="0" fontId="12" fillId="0" borderId="11" xfId="43" applyFont="1" applyBorder="1" applyAlignment="1">
      <alignment horizontal="justify" vertical="top" wrapText="1"/>
    </xf>
    <xf numFmtId="0" fontId="12" fillId="0" borderId="21" xfId="43" applyFont="1" applyBorder="1" applyAlignment="1">
      <alignment horizontal="justify" vertical="top" wrapText="1"/>
    </xf>
    <xf numFmtId="0" fontId="22" fillId="0" borderId="81" xfId="43" applyNumberFormat="1" applyFont="1" applyBorder="1" applyAlignment="1">
      <alignment horizontal="right" vertical="center"/>
    </xf>
    <xf numFmtId="0" fontId="22" fillId="0" borderId="83" xfId="43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/>
    </xf>
    <xf numFmtId="0" fontId="22" fillId="0" borderId="23" xfId="43" applyFont="1" applyBorder="1" applyAlignment="1">
      <alignment horizontal="right" vertical="center"/>
    </xf>
    <xf numFmtId="0" fontId="12" fillId="21" borderId="67" xfId="43" applyFont="1" applyFill="1" applyBorder="1" applyAlignment="1">
      <alignment horizontal="center" vertical="center"/>
    </xf>
    <xf numFmtId="0" fontId="12" fillId="21" borderId="68" xfId="43" applyFont="1" applyFill="1" applyBorder="1" applyAlignment="1">
      <alignment horizontal="center" vertical="center"/>
    </xf>
    <xf numFmtId="0" fontId="12" fillId="21" borderId="41" xfId="43" applyFont="1" applyFill="1" applyBorder="1" applyAlignment="1">
      <alignment horizontal="center" vertical="center"/>
    </xf>
    <xf numFmtId="0" fontId="22" fillId="0" borderId="30" xfId="43" applyFont="1" applyBorder="1" applyAlignment="1">
      <alignment horizontal="left" vertical="center"/>
    </xf>
    <xf numFmtId="0" fontId="12" fillId="0" borderId="27" xfId="43" applyFont="1" applyBorder="1" applyAlignment="1">
      <alignment horizontal="left" vertical="center" wrapText="1"/>
    </xf>
    <xf numFmtId="0" fontId="12" fillId="0" borderId="32" xfId="43" applyFont="1" applyBorder="1" applyAlignment="1">
      <alignment horizontal="left" vertical="center" wrapText="1"/>
    </xf>
    <xf numFmtId="0" fontId="12" fillId="0" borderId="28" xfId="43" applyFont="1" applyBorder="1" applyAlignment="1">
      <alignment horizontal="left" vertical="center" wrapText="1"/>
    </xf>
    <xf numFmtId="0" fontId="12" fillId="0" borderId="25" xfId="43" applyFont="1" applyBorder="1" applyAlignment="1">
      <alignment horizontal="left" vertical="center"/>
    </xf>
    <xf numFmtId="0" fontId="12" fillId="0" borderId="2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22" fillId="22" borderId="69" xfId="43" applyFont="1" applyFill="1" applyBorder="1" applyAlignment="1">
      <alignment horizontal="center" vertical="center"/>
    </xf>
    <xf numFmtId="0" fontId="22" fillId="22" borderId="70" xfId="43" applyFont="1" applyFill="1" applyBorder="1" applyAlignment="1">
      <alignment horizontal="center" vertical="center"/>
    </xf>
    <xf numFmtId="0" fontId="22" fillId="22" borderId="71" xfId="43" applyFont="1" applyFill="1" applyBorder="1" applyAlignment="1">
      <alignment horizontal="center" vertical="center"/>
    </xf>
    <xf numFmtId="0" fontId="22" fillId="22" borderId="72" xfId="43" applyFont="1" applyFill="1" applyBorder="1" applyAlignment="1">
      <alignment horizontal="center" vertical="center"/>
    </xf>
    <xf numFmtId="0" fontId="22" fillId="22" borderId="73" xfId="43" applyFont="1" applyFill="1" applyBorder="1" applyAlignment="1">
      <alignment horizontal="center" vertical="center"/>
    </xf>
    <xf numFmtId="0" fontId="22" fillId="22" borderId="74" xfId="43" applyFont="1" applyFill="1" applyBorder="1" applyAlignment="1">
      <alignment horizontal="center" vertical="center"/>
    </xf>
    <xf numFmtId="0" fontId="12" fillId="0" borderId="57" xfId="43" applyFont="1" applyBorder="1" applyAlignment="1">
      <alignment horizontal="left" vertical="top" wrapText="1"/>
    </xf>
    <xf numFmtId="0" fontId="12" fillId="0" borderId="58" xfId="43" applyFont="1" applyBorder="1" applyAlignment="1">
      <alignment horizontal="left" vertical="top" wrapText="1"/>
    </xf>
    <xf numFmtId="0" fontId="12" fillId="0" borderId="54" xfId="43" applyFont="1" applyBorder="1" applyAlignment="1">
      <alignment horizontal="left" vertical="top" wrapText="1"/>
    </xf>
    <xf numFmtId="0" fontId="12" fillId="0" borderId="42" xfId="43" applyFont="1" applyBorder="1" applyAlignment="1">
      <alignment horizontal="left" vertical="top" wrapText="1"/>
    </xf>
    <xf numFmtId="0" fontId="12" fillId="0" borderId="49" xfId="43" applyFont="1" applyBorder="1" applyAlignment="1">
      <alignment horizontal="left" vertical="top" wrapText="1"/>
    </xf>
    <xf numFmtId="0" fontId="12" fillId="0" borderId="50" xfId="43" applyFont="1" applyBorder="1" applyAlignment="1">
      <alignment horizontal="left" vertical="top" wrapText="1"/>
    </xf>
    <xf numFmtId="0" fontId="12" fillId="0" borderId="51" xfId="43" applyFont="1" applyBorder="1" applyAlignment="1">
      <alignment horizontal="left" vertical="top" wrapText="1"/>
    </xf>
    <xf numFmtId="0" fontId="12" fillId="0" borderId="53" xfId="43" applyFont="1" applyBorder="1" applyAlignment="1">
      <alignment horizontal="left" vertical="top" wrapText="1"/>
    </xf>
    <xf numFmtId="0" fontId="12" fillId="0" borderId="84" xfId="43" applyFont="1" applyBorder="1" applyAlignment="1">
      <alignment horizontal="left" vertical="top"/>
    </xf>
    <xf numFmtId="0" fontId="12" fillId="0" borderId="40" xfId="43" applyFont="1" applyBorder="1" applyAlignment="1">
      <alignment horizontal="left" vertical="top"/>
    </xf>
    <xf numFmtId="0" fontId="12" fillId="0" borderId="27" xfId="43" applyFont="1" applyBorder="1" applyAlignment="1">
      <alignment vertical="center"/>
    </xf>
    <xf numFmtId="0" fontId="12" fillId="0" borderId="32" xfId="43" applyFont="1" applyBorder="1" applyAlignment="1">
      <alignment vertical="center"/>
    </xf>
    <xf numFmtId="0" fontId="12" fillId="0" borderId="28" xfId="43" applyFont="1" applyBorder="1" applyAlignment="1">
      <alignment vertical="center"/>
    </xf>
    <xf numFmtId="0" fontId="12" fillId="21" borderId="81" xfId="43" applyFont="1" applyFill="1" applyBorder="1" applyAlignment="1">
      <alignment horizontal="center" vertical="center"/>
    </xf>
    <xf numFmtId="0" fontId="12" fillId="21" borderId="88" xfId="43" applyFont="1" applyFill="1" applyBorder="1" applyAlignment="1">
      <alignment horizontal="center" vertical="center"/>
    </xf>
    <xf numFmtId="0" fontId="22" fillId="0" borderId="25" xfId="43" applyFont="1" applyBorder="1" applyAlignment="1">
      <alignment horizontal="left" vertical="center"/>
    </xf>
    <xf numFmtId="0" fontId="12" fillId="21" borderId="87" xfId="43" applyFont="1" applyFill="1" applyBorder="1" applyAlignment="1">
      <alignment horizontal="center" vertical="center"/>
    </xf>
    <xf numFmtId="0" fontId="12" fillId="21" borderId="82" xfId="43" applyFont="1" applyFill="1" applyBorder="1" applyAlignment="1">
      <alignment horizontal="center" vertical="center"/>
    </xf>
    <xf numFmtId="0" fontId="12" fillId="0" borderId="27" xfId="43" applyFont="1" applyBorder="1" applyAlignment="1">
      <alignment horizontal="left" vertical="center"/>
    </xf>
    <xf numFmtId="0" fontId="12" fillId="0" borderId="32" xfId="43" applyFont="1" applyBorder="1" applyAlignment="1">
      <alignment horizontal="left" vertical="center"/>
    </xf>
    <xf numFmtId="0" fontId="12" fillId="0" borderId="28" xfId="43" applyFont="1" applyBorder="1" applyAlignment="1">
      <alignment horizontal="left" vertical="center"/>
    </xf>
    <xf numFmtId="0" fontId="23" fillId="0" borderId="0" xfId="0" applyFont="1" applyAlignment="1">
      <alignment horizontal="left" vertical="center" indent="4"/>
    </xf>
    <xf numFmtId="0" fontId="20" fillId="0" borderId="0" xfId="0" applyFont="1" applyAlignment="1">
      <alignment horizontal="left" vertical="center" indent="4"/>
    </xf>
    <xf numFmtId="0" fontId="12" fillId="0" borderId="0" xfId="0" applyFont="1"/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 3" xfId="34"/>
    <cellStyle name="Normal 3 2" xfId="60"/>
    <cellStyle name="Normal 4" xfId="35"/>
    <cellStyle name="Normal 4 2" xfId="36"/>
    <cellStyle name="Normal 5" xfId="37"/>
    <cellStyle name="Normal_PP-2A" xfId="38"/>
    <cellStyle name="Normal_PP-II" xfId="39"/>
    <cellStyle name="Normal_PP-III" xfId="40"/>
    <cellStyle name="Normal_PP-IV" xfId="41"/>
    <cellStyle name="Normal_PP-V" xfId="42"/>
    <cellStyle name="Normal_PP-VI" xfId="43"/>
    <cellStyle name="Normal_PP-X" xfId="44"/>
    <cellStyle name="Nota" xfId="45" builtinId="10" customBuiltin="1"/>
    <cellStyle name="Porcentagem 2" xfId="46"/>
    <cellStyle name="Porcentagem 3" xfId="61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9526</xdr:rowOff>
    </xdr:from>
    <xdr:to>
      <xdr:col>6</xdr:col>
      <xdr:colOff>215266</xdr:colOff>
      <xdr:row>2</xdr:row>
      <xdr:rowOff>125096</xdr:rowOff>
    </xdr:to>
    <xdr:pic>
      <xdr:nvPicPr>
        <xdr:cNvPr id="123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1" y="9526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</xdr:colOff>
      <xdr:row>0</xdr:row>
      <xdr:rowOff>5</xdr:rowOff>
    </xdr:from>
    <xdr:to>
      <xdr:col>1</xdr:col>
      <xdr:colOff>339094</xdr:colOff>
      <xdr:row>2</xdr:row>
      <xdr:rowOff>115575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4" y="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190508</xdr:colOff>
      <xdr:row>0</xdr:row>
      <xdr:rowOff>8</xdr:rowOff>
    </xdr:from>
    <xdr:to>
      <xdr:col>0</xdr:col>
      <xdr:colOff>2186948</xdr:colOff>
      <xdr:row>2</xdr:row>
      <xdr:rowOff>115578</xdr:rowOff>
    </xdr:to>
    <xdr:pic>
      <xdr:nvPicPr>
        <xdr:cNvPr id="225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8" y="8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219088</xdr:colOff>
      <xdr:row>0</xdr:row>
      <xdr:rowOff>9537</xdr:rowOff>
    </xdr:from>
    <xdr:to>
      <xdr:col>1</xdr:col>
      <xdr:colOff>1148728</xdr:colOff>
      <xdr:row>2</xdr:row>
      <xdr:rowOff>125107</xdr:rowOff>
    </xdr:to>
    <xdr:pic>
      <xdr:nvPicPr>
        <xdr:cNvPr id="328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88" y="9537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105831</xdr:colOff>
      <xdr:row>0</xdr:row>
      <xdr:rowOff>10585</xdr:rowOff>
    </xdr:from>
    <xdr:to>
      <xdr:col>1</xdr:col>
      <xdr:colOff>1424938</xdr:colOff>
      <xdr:row>2</xdr:row>
      <xdr:rowOff>115572</xdr:rowOff>
    </xdr:to>
    <xdr:pic>
      <xdr:nvPicPr>
        <xdr:cNvPr id="430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31" y="10585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1062990</xdr:colOff>
      <xdr:row>2</xdr:row>
      <xdr:rowOff>115570</xdr:rowOff>
    </xdr:to>
    <xdr:pic>
      <xdr:nvPicPr>
        <xdr:cNvPr id="5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1615440</xdr:colOff>
      <xdr:row>2</xdr:row>
      <xdr:rowOff>108243</xdr:rowOff>
    </xdr:to>
    <xdr:pic>
      <xdr:nvPicPr>
        <xdr:cNvPr id="635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1739265</xdr:colOff>
      <xdr:row>2</xdr:row>
      <xdr:rowOff>134620</xdr:rowOff>
    </xdr:to>
    <xdr:pic>
      <xdr:nvPicPr>
        <xdr:cNvPr id="737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28575</xdr:rowOff>
    </xdr:from>
    <xdr:to>
      <xdr:col>8</xdr:col>
      <xdr:colOff>0</xdr:colOff>
      <xdr:row>13</xdr:row>
      <xdr:rowOff>161925</xdr:rowOff>
    </xdr:to>
    <xdr:sp macro="" textlink="" fLocksText="0">
      <xdr:nvSpPr>
        <xdr:cNvPr id="8193" name="Texto 44"/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 editAs="oneCell">
    <xdr:from>
      <xdr:col>0</xdr:col>
      <xdr:colOff>2</xdr:colOff>
      <xdr:row>0</xdr:row>
      <xdr:rowOff>2</xdr:rowOff>
    </xdr:from>
    <xdr:to>
      <xdr:col>2</xdr:col>
      <xdr:colOff>186692</xdr:colOff>
      <xdr:row>2</xdr:row>
      <xdr:rowOff>115572</xdr:rowOff>
    </xdr:to>
    <xdr:pic>
      <xdr:nvPicPr>
        <xdr:cNvPr id="8608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" y="2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0</xdr:row>
      <xdr:rowOff>28580</xdr:rowOff>
    </xdr:from>
    <xdr:to>
      <xdr:col>2</xdr:col>
      <xdr:colOff>100971</xdr:colOff>
      <xdr:row>2</xdr:row>
      <xdr:rowOff>106050</xdr:rowOff>
    </xdr:to>
    <xdr:pic>
      <xdr:nvPicPr>
        <xdr:cNvPr id="942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6" y="28580"/>
          <a:ext cx="1996440" cy="40132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showGridLines="0" tabSelected="1" view="pageBreakPreview" topLeftCell="A23" zoomScaleNormal="100" zoomScaleSheetLayoutView="100" workbookViewId="0">
      <selection activeCell="R28" sqref="R28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5" width="10.5703125" style="1" customWidth="1"/>
    <col min="16" max="16384" width="11.42578125" style="1"/>
  </cols>
  <sheetData>
    <row r="1" spans="1:15" x14ac:dyDescent="0.2">
      <c r="H1" s="3" t="s">
        <v>0</v>
      </c>
    </row>
    <row r="2" spans="1:15" x14ac:dyDescent="0.2">
      <c r="H2" s="1" t="s">
        <v>1</v>
      </c>
    </row>
    <row r="3" spans="1:15" x14ac:dyDescent="0.2">
      <c r="H3" s="1" t="s">
        <v>145</v>
      </c>
    </row>
    <row r="5" spans="1:15" ht="12" thickBot="1" x14ac:dyDescent="0.25">
      <c r="A5" s="347" t="s">
        <v>2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9"/>
      <c r="N5" s="353" t="s">
        <v>3</v>
      </c>
      <c r="O5" s="354"/>
    </row>
    <row r="6" spans="1:15" ht="18.75" thickTop="1" x14ac:dyDescent="0.25">
      <c r="A6" s="350"/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2"/>
      <c r="N6" s="355" t="s">
        <v>4</v>
      </c>
      <c r="O6" s="356"/>
    </row>
    <row r="7" spans="1:15" ht="12.75" x14ac:dyDescent="0.2">
      <c r="A7" s="357" t="s">
        <v>5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</row>
    <row r="8" spans="1:15" ht="12.75" x14ac:dyDescent="0.2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7"/>
    </row>
    <row r="9" spans="1:15" ht="12.75" x14ac:dyDescent="0.2">
      <c r="A9" s="358" t="s">
        <v>214</v>
      </c>
      <c r="B9" s="359"/>
      <c r="C9" s="359"/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60"/>
      <c r="O9" s="278" t="s">
        <v>6</v>
      </c>
    </row>
    <row r="10" spans="1:15" ht="12.75" x14ac:dyDescent="0.2">
      <c r="A10" s="361"/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3"/>
      <c r="O10" s="284"/>
    </row>
    <row r="11" spans="1:15" ht="12.75" x14ac:dyDescent="0.2">
      <c r="A11" s="361"/>
      <c r="B11" s="362"/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  <c r="N11" s="363"/>
      <c r="O11" s="284"/>
    </row>
    <row r="12" spans="1:15" ht="12.75" x14ac:dyDescent="0.2">
      <c r="A12" s="364"/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6"/>
      <c r="O12" s="279"/>
    </row>
    <row r="13" spans="1:15" ht="12.75" x14ac:dyDescent="0.2">
      <c r="A13" s="372" t="s">
        <v>7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3"/>
    </row>
    <row r="14" spans="1:15" ht="12.75" x14ac:dyDescent="0.2">
      <c r="A14" s="343" t="s">
        <v>197</v>
      </c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4">
        <f>N16+N19+N22+N23</f>
        <v>70785.64</v>
      </c>
      <c r="O14" s="344"/>
    </row>
    <row r="15" spans="1:15" ht="12.75" x14ac:dyDescent="0.2">
      <c r="A15" s="346" t="s">
        <v>8</v>
      </c>
      <c r="B15" s="346"/>
      <c r="C15" s="346"/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</row>
    <row r="16" spans="1:15" ht="12.75" x14ac:dyDescent="0.2">
      <c r="A16" s="338" t="s">
        <v>9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44">
        <f>SUM(N17:O18)</f>
        <v>33207.51</v>
      </c>
      <c r="O16" s="344"/>
    </row>
    <row r="17" spans="1:16" ht="12.75" x14ac:dyDescent="0.2">
      <c r="A17" s="345" t="s">
        <v>10</v>
      </c>
      <c r="B17" s="345"/>
      <c r="C17" s="345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39">
        <f>'PFS_I Equipe'!E28</f>
        <v>33207.51</v>
      </c>
      <c r="O17" s="339"/>
    </row>
    <row r="18" spans="1:16" ht="12.75" x14ac:dyDescent="0.2">
      <c r="A18" s="345" t="s">
        <v>11</v>
      </c>
      <c r="B18" s="345"/>
      <c r="C18" s="345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39">
        <f>'PFS_I Equipe'!F28</f>
        <v>0</v>
      </c>
      <c r="O18" s="339"/>
    </row>
    <row r="19" spans="1:16" s="3" customFormat="1" ht="12.75" x14ac:dyDescent="0.2">
      <c r="A19" s="338" t="s">
        <v>12</v>
      </c>
      <c r="B19" s="338"/>
      <c r="C19" s="338"/>
      <c r="D19" s="338"/>
      <c r="E19" s="338"/>
      <c r="F19" s="338"/>
      <c r="G19" s="338"/>
      <c r="H19" s="338"/>
      <c r="I19" s="338"/>
      <c r="J19" s="338"/>
      <c r="K19" s="338"/>
      <c r="L19" s="338"/>
      <c r="M19" s="338"/>
      <c r="N19" s="344">
        <f>SUM(N20:O21)</f>
        <v>24434.080000000002</v>
      </c>
      <c r="O19" s="344"/>
    </row>
    <row r="20" spans="1:16" ht="12.75" x14ac:dyDescent="0.2">
      <c r="A20" s="345" t="str">
        <f>"B1 -  "&amp;TEXT('PFS_VIII Det_ Enc_ Soc_'!F50,"#,00%")&amp;" INCIDENTE SOBRE O ITEM  A1"</f>
        <v>B1 -  73,58% INCIDENTE SOBRE O ITEM  A1</v>
      </c>
      <c r="B20" s="345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39">
        <f>'PFS_I Equipe'!G28</f>
        <v>24434.080000000002</v>
      </c>
      <c r="O20" s="339"/>
    </row>
    <row r="21" spans="1:16" ht="12.75" x14ac:dyDescent="0.2">
      <c r="A21" s="345" t="s">
        <v>13</v>
      </c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39">
        <f>'PFS_I Equipe'!H28</f>
        <v>0</v>
      </c>
      <c r="O21" s="339"/>
    </row>
    <row r="22" spans="1:16" ht="12.75" x14ac:dyDescent="0.2">
      <c r="A22" s="338" t="s">
        <v>14</v>
      </c>
      <c r="B22" s="338"/>
      <c r="C22" s="338"/>
      <c r="D22" s="338"/>
      <c r="E22" s="338"/>
      <c r="F22" s="338"/>
      <c r="G22" s="338"/>
      <c r="H22" s="338"/>
      <c r="I22" s="338"/>
      <c r="J22" s="338"/>
      <c r="K22" s="338"/>
      <c r="L22" s="338"/>
      <c r="M22" s="338"/>
      <c r="N22" s="339">
        <f>'PFS_II Desp Viagens'!$L$22</f>
        <v>5400</v>
      </c>
      <c r="O22" s="339"/>
    </row>
    <row r="23" spans="1:16" ht="12.75" x14ac:dyDescent="0.2">
      <c r="A23" s="338" t="s">
        <v>15</v>
      </c>
      <c r="B23" s="338"/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42">
        <f>'PFS_III Ser Graf'!G29</f>
        <v>7744.05</v>
      </c>
      <c r="O23" s="342"/>
    </row>
    <row r="24" spans="1:16" ht="12.75" x14ac:dyDescent="0.2">
      <c r="A24" s="336" t="s">
        <v>184</v>
      </c>
      <c r="B24" s="336"/>
      <c r="C24" s="336"/>
      <c r="D24" s="336"/>
      <c r="E24" s="336"/>
      <c r="F24" s="336"/>
      <c r="G24" s="336"/>
      <c r="H24" s="336"/>
      <c r="I24" s="336"/>
      <c r="J24" s="336"/>
      <c r="K24" s="336"/>
      <c r="L24" s="336"/>
      <c r="M24" s="336"/>
      <c r="N24" s="337">
        <f>SUM(N25:O27)</f>
        <v>30667.742000000002</v>
      </c>
      <c r="O24" s="337"/>
    </row>
    <row r="25" spans="1:16" ht="12.75" x14ac:dyDescent="0.2">
      <c r="A25" s="338" t="str">
        <f>"F -  CUSTO DE ADMINISTRAÇÃO - ("&amp;TEXT('PFS_VI_ Det_ Custos Adm_'!F42,"#,00%")&amp;" DO ITEM A) (PFS-VI)"</f>
        <v>F -  CUSTO DE ADMINISTRAÇÃO - (25,00% DO ITEM A) (PFS-VI)</v>
      </c>
      <c r="B25" s="338"/>
      <c r="C25" s="338"/>
      <c r="D25" s="338"/>
      <c r="E25" s="338"/>
      <c r="F25" s="338"/>
      <c r="G25" s="338"/>
      <c r="H25" s="338"/>
      <c r="I25" s="338"/>
      <c r="J25" s="338"/>
      <c r="K25" s="338"/>
      <c r="L25" s="338"/>
      <c r="M25" s="338"/>
      <c r="N25" s="339">
        <f>'PFS_VI_ Det_ Custos Adm_'!G42</f>
        <v>8301.880000000001</v>
      </c>
      <c r="O25" s="339"/>
    </row>
    <row r="26" spans="1:16" ht="12.75" x14ac:dyDescent="0.2">
      <c r="A26" s="338" t="s">
        <v>198</v>
      </c>
      <c r="B26" s="338"/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338"/>
      <c r="N26" s="342">
        <f>(N16+N19+N22+N23+N25)*0.1</f>
        <v>7908.7520000000004</v>
      </c>
      <c r="O26" s="342"/>
    </row>
    <row r="27" spans="1:16" ht="12.75" x14ac:dyDescent="0.2">
      <c r="A27" s="338" t="str">
        <f>"H - DESPESAS FISCAIS - ("&amp;TEXT('PFS_VII Det_ Desp Fiscais'!G43/100,"#,00%")&amp;" = DF' DOS ITENS A+B+C+D+F+G) (PFS-VII)"</f>
        <v>H - DESPESAS FISCAIS - (16,62% = DF' DOS ITENS A+B+C+D+F+G) (PFS-VII)</v>
      </c>
      <c r="B27" s="338"/>
      <c r="C27" s="338"/>
      <c r="D27" s="338"/>
      <c r="E27" s="338"/>
      <c r="F27" s="338"/>
      <c r="G27" s="338"/>
      <c r="H27" s="338"/>
      <c r="I27" s="338"/>
      <c r="J27" s="338"/>
      <c r="K27" s="338"/>
      <c r="L27" s="338"/>
      <c r="M27" s="338"/>
      <c r="N27" s="339">
        <f>ROUND('PFS_VII Det_ Desp Fiscais'!G43/100*(N14+N25+N26),2)</f>
        <v>14457.11</v>
      </c>
      <c r="O27" s="339"/>
    </row>
    <row r="28" spans="1:16" s="292" customFormat="1" ht="12.75" x14ac:dyDescent="0.2">
      <c r="A28" s="367"/>
      <c r="B28" s="368"/>
      <c r="C28" s="368"/>
      <c r="D28" s="368"/>
      <c r="E28" s="368"/>
      <c r="F28" s="368"/>
      <c r="G28" s="368"/>
      <c r="H28" s="368"/>
      <c r="I28" s="368"/>
      <c r="J28" s="368"/>
      <c r="K28" s="368"/>
      <c r="L28" s="368"/>
      <c r="M28" s="368"/>
      <c r="N28" s="368"/>
      <c r="O28" s="369"/>
    </row>
    <row r="29" spans="1:16" ht="12.75" x14ac:dyDescent="0.2">
      <c r="A29" s="343" t="s">
        <v>199</v>
      </c>
      <c r="B29" s="343"/>
      <c r="C29" s="343"/>
      <c r="D29" s="343"/>
      <c r="E29" s="343"/>
      <c r="F29" s="343"/>
      <c r="G29" s="343"/>
      <c r="H29" s="343"/>
      <c r="I29" s="343"/>
      <c r="J29" s="343"/>
      <c r="K29" s="343"/>
      <c r="L29" s="343"/>
      <c r="M29" s="343"/>
      <c r="N29" s="344">
        <f>N30</f>
        <v>116166.35999999999</v>
      </c>
      <c r="O29" s="344"/>
    </row>
    <row r="30" spans="1:16" ht="12.75" x14ac:dyDescent="0.2">
      <c r="A30" s="374" t="s">
        <v>196</v>
      </c>
      <c r="B30" s="374"/>
      <c r="C30" s="374"/>
      <c r="D30" s="374"/>
      <c r="E30" s="374"/>
      <c r="F30" s="374"/>
      <c r="G30" s="374"/>
      <c r="H30" s="374"/>
      <c r="I30" s="374"/>
      <c r="J30" s="374"/>
      <c r="K30" s="374"/>
      <c r="L30" s="374"/>
      <c r="M30" s="374"/>
      <c r="N30" s="375">
        <f>'PFS_IV Serv. top e Geo'!$I$22</f>
        <v>116166.35999999999</v>
      </c>
      <c r="O30" s="375"/>
    </row>
    <row r="31" spans="1:16" s="292" customFormat="1" ht="12.75" x14ac:dyDescent="0.2">
      <c r="A31" s="367"/>
      <c r="B31" s="368"/>
      <c r="C31" s="368"/>
      <c r="D31" s="368"/>
      <c r="E31" s="368"/>
      <c r="F31" s="368"/>
      <c r="G31" s="368"/>
      <c r="H31" s="368"/>
      <c r="I31" s="368"/>
      <c r="J31" s="368"/>
      <c r="K31" s="368"/>
      <c r="L31" s="368"/>
      <c r="M31" s="368"/>
      <c r="N31" s="368"/>
      <c r="O31" s="369"/>
    </row>
    <row r="32" spans="1:16" ht="12.75" x14ac:dyDescent="0.2">
      <c r="A32" s="370" t="s">
        <v>16</v>
      </c>
      <c r="B32" s="370"/>
      <c r="C32" s="370"/>
      <c r="D32" s="370"/>
      <c r="E32" s="370"/>
      <c r="F32" s="370"/>
      <c r="G32" s="370"/>
      <c r="H32" s="370"/>
      <c r="I32" s="370"/>
      <c r="J32" s="370"/>
      <c r="K32" s="370"/>
      <c r="L32" s="370"/>
      <c r="M32" s="370"/>
      <c r="N32" s="371">
        <f>N14+N29+N24</f>
        <v>217619.742</v>
      </c>
      <c r="O32" s="371"/>
      <c r="P32" s="305"/>
    </row>
    <row r="33" spans="1:15" ht="12.75" x14ac:dyDescent="0.2">
      <c r="A33" s="329" t="s">
        <v>143</v>
      </c>
      <c r="B33" s="330"/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0"/>
      <c r="N33" s="331">
        <f>ROUND((N32)/27,2)</f>
        <v>8059.99</v>
      </c>
      <c r="O33" s="332"/>
    </row>
    <row r="34" spans="1:15" ht="12.75" x14ac:dyDescent="0.2">
      <c r="A34" s="318" t="s">
        <v>17</v>
      </c>
      <c r="B34" s="318"/>
      <c r="C34" s="318"/>
      <c r="D34" s="318"/>
      <c r="E34" s="318"/>
      <c r="F34" s="318"/>
      <c r="G34" s="318"/>
      <c r="H34" s="318"/>
      <c r="I34" s="318"/>
      <c r="J34" s="319" t="s">
        <v>18</v>
      </c>
      <c r="K34" s="319"/>
      <c r="L34" s="319"/>
      <c r="M34" s="319"/>
      <c r="N34" s="319"/>
      <c r="O34" s="319"/>
    </row>
    <row r="35" spans="1:15" ht="12.75" x14ac:dyDescent="0.2">
      <c r="A35" s="320"/>
      <c r="B35" s="320"/>
      <c r="C35" s="320"/>
      <c r="D35" s="320"/>
      <c r="E35" s="320"/>
      <c r="F35" s="320"/>
      <c r="G35" s="320"/>
      <c r="H35" s="320"/>
      <c r="I35" s="320"/>
      <c r="J35" s="280"/>
      <c r="K35" s="4"/>
      <c r="L35" s="4"/>
      <c r="M35" s="4"/>
      <c r="N35" s="4"/>
      <c r="O35" s="5"/>
    </row>
    <row r="36" spans="1:15" s="2" customFormat="1" ht="12.75" x14ac:dyDescent="0.2">
      <c r="A36" s="321" t="s">
        <v>19</v>
      </c>
      <c r="B36" s="321"/>
      <c r="C36" s="321"/>
      <c r="D36" s="321"/>
      <c r="E36" s="321"/>
      <c r="F36" s="321"/>
      <c r="G36" s="321"/>
      <c r="H36" s="321"/>
      <c r="I36" s="321"/>
      <c r="J36" s="321"/>
      <c r="K36" s="321"/>
      <c r="L36" s="321"/>
      <c r="M36" s="321"/>
      <c r="N36" s="322" t="s">
        <v>20</v>
      </c>
      <c r="O36" s="322"/>
    </row>
    <row r="37" spans="1:15" s="2" customFormat="1" ht="12.75" x14ac:dyDescent="0.2">
      <c r="A37" s="340"/>
      <c r="B37" s="340"/>
      <c r="C37" s="340"/>
      <c r="D37" s="340"/>
      <c r="E37" s="340"/>
      <c r="F37" s="340"/>
      <c r="G37" s="340"/>
      <c r="H37" s="340"/>
      <c r="I37" s="340"/>
      <c r="J37" s="340"/>
      <c r="K37" s="340"/>
      <c r="L37" s="340"/>
      <c r="M37" s="340"/>
      <c r="N37" s="341"/>
      <c r="O37" s="341"/>
    </row>
    <row r="38" spans="1:15" s="2" customFormat="1" ht="12.75" x14ac:dyDescent="0.2">
      <c r="A38" s="281" t="s">
        <v>21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82"/>
      <c r="O38" s="283"/>
    </row>
    <row r="39" spans="1:15" s="2" customFormat="1" x14ac:dyDescent="0.2">
      <c r="A39" s="323" t="s">
        <v>22</v>
      </c>
      <c r="B39" s="324"/>
      <c r="C39" s="324"/>
      <c r="D39" s="324"/>
      <c r="E39" s="324"/>
      <c r="F39" s="324"/>
      <c r="G39" s="324"/>
      <c r="H39" s="324"/>
      <c r="I39" s="324"/>
      <c r="J39" s="324"/>
      <c r="K39" s="324"/>
      <c r="L39" s="324"/>
      <c r="M39" s="324"/>
      <c r="N39" s="324"/>
      <c r="O39" s="325"/>
    </row>
    <row r="40" spans="1:15" s="2" customFormat="1" x14ac:dyDescent="0.2">
      <c r="A40" s="323"/>
      <c r="B40" s="324"/>
      <c r="C40" s="324"/>
      <c r="D40" s="324"/>
      <c r="E40" s="324"/>
      <c r="F40" s="324"/>
      <c r="G40" s="324"/>
      <c r="H40" s="324"/>
      <c r="I40" s="324"/>
      <c r="J40" s="324"/>
      <c r="K40" s="324"/>
      <c r="L40" s="324"/>
      <c r="M40" s="324"/>
      <c r="N40" s="324"/>
      <c r="O40" s="325"/>
    </row>
    <row r="41" spans="1:15" s="2" customFormat="1" ht="12.75" x14ac:dyDescent="0.2">
      <c r="A41" s="333" t="s">
        <v>23</v>
      </c>
      <c r="B41" s="334"/>
      <c r="C41" s="334"/>
      <c r="D41" s="334"/>
      <c r="E41" s="334"/>
      <c r="F41" s="334"/>
      <c r="G41" s="334"/>
      <c r="H41" s="334"/>
      <c r="I41" s="334"/>
      <c r="J41" s="334"/>
      <c r="K41" s="334"/>
      <c r="L41" s="334"/>
      <c r="M41" s="334"/>
      <c r="N41" s="334"/>
      <c r="O41" s="335"/>
    </row>
    <row r="42" spans="1:15" s="2" customFormat="1" ht="12.75" x14ac:dyDescent="0.2">
      <c r="A42" s="326" t="str">
        <f>"2. ENCARGOS SOCIAIS DA EQUIPE COM VÍNCULO = "&amp;TEXT('PFS_VIII Det_ Enc_ Soc_'!F50,"#,00%")&amp;" SOBRE O SALÁRIO MENSAL"</f>
        <v>2. ENCARGOS SOCIAIS DA EQUIPE COM VÍNCULO = 73,58% SOBRE O SALÁRIO MENSAL</v>
      </c>
      <c r="B42" s="327"/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8"/>
    </row>
    <row r="43" spans="1:15" s="2" customFormat="1" ht="12.75" x14ac:dyDescent="0.2">
      <c r="A43" s="333" t="str">
        <f>"3. CUSTO DE ADMINISTRAÇÃO = "&amp;TEXT('PFS_VI_ Det_ Custos Adm_'!F42,"#,00%")&amp;" SOBRE O TOTAL DE SALÁRIOS DA EQUIPE (A1 + A2)"</f>
        <v>3. CUSTO DE ADMINISTRAÇÃO = 25,00% SOBRE O TOTAL DE SALÁRIOS DA EQUIPE (A1 + A2)</v>
      </c>
      <c r="B43" s="334"/>
      <c r="C43" s="334"/>
      <c r="D43" s="334"/>
      <c r="E43" s="334"/>
      <c r="F43" s="334"/>
      <c r="G43" s="334"/>
      <c r="H43" s="334"/>
      <c r="I43" s="334"/>
      <c r="J43" s="334"/>
      <c r="K43" s="334"/>
      <c r="L43" s="334"/>
      <c r="M43" s="334"/>
      <c r="N43" s="334"/>
      <c r="O43" s="335"/>
    </row>
    <row r="44" spans="1:15" s="2" customFormat="1" x14ac:dyDescent="0.2">
      <c r="A44" s="312" t="s">
        <v>108</v>
      </c>
      <c r="B44" s="313"/>
      <c r="C44" s="313"/>
      <c r="D44" s="313"/>
      <c r="E44" s="313"/>
      <c r="F44" s="313"/>
      <c r="G44" s="313"/>
      <c r="H44" s="313"/>
      <c r="I44" s="313"/>
      <c r="J44" s="313"/>
      <c r="K44" s="313"/>
      <c r="L44" s="313"/>
      <c r="M44" s="313"/>
      <c r="N44" s="313"/>
      <c r="O44" s="314"/>
    </row>
    <row r="45" spans="1:15" s="2" customFormat="1" x14ac:dyDescent="0.2">
      <c r="A45" s="312"/>
      <c r="B45" s="313"/>
      <c r="C45" s="313"/>
      <c r="D45" s="313"/>
      <c r="E45" s="313"/>
      <c r="F45" s="313"/>
      <c r="G45" s="313"/>
      <c r="H45" s="313"/>
      <c r="I45" s="313"/>
      <c r="J45" s="313"/>
      <c r="K45" s="313"/>
      <c r="L45" s="313"/>
      <c r="M45" s="313"/>
      <c r="N45" s="313"/>
      <c r="O45" s="314"/>
    </row>
    <row r="46" spans="1:15" ht="12.75" x14ac:dyDescent="0.2">
      <c r="A46" s="326" t="s">
        <v>150</v>
      </c>
      <c r="B46" s="327"/>
      <c r="C46" s="327"/>
      <c r="D46" s="327"/>
      <c r="E46" s="327"/>
      <c r="F46" s="327"/>
      <c r="G46" s="327"/>
      <c r="H46" s="327"/>
      <c r="I46" s="327"/>
      <c r="J46" s="327"/>
      <c r="K46" s="327"/>
      <c r="L46" s="327"/>
      <c r="M46" s="327"/>
      <c r="N46" s="327"/>
      <c r="O46" s="328"/>
    </row>
    <row r="47" spans="1:15" ht="12.75" x14ac:dyDescent="0.2">
      <c r="A47" s="326" t="s">
        <v>151</v>
      </c>
      <c r="B47" s="327"/>
      <c r="C47" s="327"/>
      <c r="D47" s="327"/>
      <c r="E47" s="327"/>
      <c r="F47" s="327"/>
      <c r="G47" s="327"/>
      <c r="H47" s="327"/>
      <c r="I47" s="327"/>
      <c r="J47" s="327"/>
      <c r="K47" s="327"/>
      <c r="L47" s="327"/>
      <c r="M47" s="327"/>
      <c r="N47" s="327"/>
      <c r="O47" s="328"/>
    </row>
    <row r="48" spans="1:15" ht="12.75" x14ac:dyDescent="0.2">
      <c r="A48" s="315" t="s">
        <v>152</v>
      </c>
      <c r="B48" s="316"/>
      <c r="C48" s="316"/>
      <c r="D48" s="316"/>
      <c r="E48" s="316"/>
      <c r="F48" s="316"/>
      <c r="G48" s="316"/>
      <c r="H48" s="316"/>
      <c r="I48" s="316"/>
      <c r="J48" s="316"/>
      <c r="K48" s="316"/>
      <c r="L48" s="316"/>
      <c r="M48" s="316"/>
      <c r="N48" s="316"/>
      <c r="O48" s="317"/>
    </row>
    <row r="49" spans="1:15" ht="12.75" x14ac:dyDescent="0.2">
      <c r="A49" s="315" t="s">
        <v>153</v>
      </c>
      <c r="B49" s="316"/>
      <c r="C49" s="316"/>
      <c r="D49" s="316"/>
      <c r="E49" s="316"/>
      <c r="F49" s="316"/>
      <c r="G49" s="316"/>
      <c r="H49" s="316"/>
      <c r="I49" s="316"/>
      <c r="J49" s="316"/>
      <c r="K49" s="316"/>
      <c r="L49" s="316"/>
      <c r="M49" s="316"/>
      <c r="N49" s="316"/>
      <c r="O49" s="317"/>
    </row>
    <row r="50" spans="1:15" ht="12.75" x14ac:dyDescent="0.2">
      <c r="A50" s="315" t="s">
        <v>154</v>
      </c>
      <c r="B50" s="316"/>
      <c r="C50" s="316"/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7"/>
    </row>
    <row r="51" spans="1:15" x14ac:dyDescent="0.2">
      <c r="A51" s="312" t="s">
        <v>155</v>
      </c>
      <c r="B51" s="313"/>
      <c r="C51" s="313"/>
      <c r="D51" s="313"/>
      <c r="E51" s="313"/>
      <c r="F51" s="313"/>
      <c r="G51" s="313"/>
      <c r="H51" s="313"/>
      <c r="I51" s="313"/>
      <c r="J51" s="313"/>
      <c r="K51" s="313"/>
      <c r="L51" s="313"/>
      <c r="M51" s="313"/>
      <c r="N51" s="313"/>
      <c r="O51" s="314"/>
    </row>
    <row r="52" spans="1:15" x14ac:dyDescent="0.2">
      <c r="A52" s="312"/>
      <c r="B52" s="313"/>
      <c r="C52" s="313"/>
      <c r="D52" s="313"/>
      <c r="E52" s="313"/>
      <c r="F52" s="313"/>
      <c r="G52" s="313"/>
      <c r="H52" s="313"/>
      <c r="I52" s="313"/>
      <c r="J52" s="313"/>
      <c r="K52" s="313"/>
      <c r="L52" s="313"/>
      <c r="M52" s="313"/>
      <c r="N52" s="313"/>
      <c r="O52" s="314"/>
    </row>
    <row r="53" spans="1:15" ht="41.25" customHeight="1" thickBot="1" x14ac:dyDescent="0.25">
      <c r="A53" s="309" t="s">
        <v>200</v>
      </c>
      <c r="B53" s="310"/>
      <c r="C53" s="310"/>
      <c r="D53" s="310"/>
      <c r="E53" s="310"/>
      <c r="F53" s="310"/>
      <c r="G53" s="310"/>
      <c r="H53" s="310"/>
      <c r="I53" s="310"/>
      <c r="J53" s="310"/>
      <c r="K53" s="310"/>
      <c r="L53" s="310"/>
      <c r="M53" s="310"/>
      <c r="N53" s="310"/>
      <c r="O53" s="311"/>
    </row>
  </sheetData>
  <mergeCells count="62">
    <mergeCell ref="A31:O31"/>
    <mergeCell ref="A28:O28"/>
    <mergeCell ref="A32:M32"/>
    <mergeCell ref="N32:O32"/>
    <mergeCell ref="A13:O13"/>
    <mergeCell ref="A14:M14"/>
    <mergeCell ref="N14:O14"/>
    <mergeCell ref="A30:M30"/>
    <mergeCell ref="N30:O30"/>
    <mergeCell ref="A19:M19"/>
    <mergeCell ref="N19:O19"/>
    <mergeCell ref="A16:M16"/>
    <mergeCell ref="N16:O16"/>
    <mergeCell ref="A17:M17"/>
    <mergeCell ref="N17:O17"/>
    <mergeCell ref="A18:M18"/>
    <mergeCell ref="N18:O18"/>
    <mergeCell ref="A22:M22"/>
    <mergeCell ref="N22:O22"/>
    <mergeCell ref="A15:O15"/>
    <mergeCell ref="A5:M6"/>
    <mergeCell ref="N5:O5"/>
    <mergeCell ref="N6:O6"/>
    <mergeCell ref="A7:O7"/>
    <mergeCell ref="A9:N12"/>
    <mergeCell ref="A23:M23"/>
    <mergeCell ref="N23:O23"/>
    <mergeCell ref="A20:M20"/>
    <mergeCell ref="N20:O20"/>
    <mergeCell ref="A21:M21"/>
    <mergeCell ref="N21:O21"/>
    <mergeCell ref="A33:M33"/>
    <mergeCell ref="N33:O33"/>
    <mergeCell ref="A41:O41"/>
    <mergeCell ref="A43:O43"/>
    <mergeCell ref="A24:M24"/>
    <mergeCell ref="N24:O24"/>
    <mergeCell ref="A25:M25"/>
    <mergeCell ref="N25:O25"/>
    <mergeCell ref="A37:M37"/>
    <mergeCell ref="N37:O37"/>
    <mergeCell ref="A26:M26"/>
    <mergeCell ref="A27:M27"/>
    <mergeCell ref="N27:O27"/>
    <mergeCell ref="N26:O26"/>
    <mergeCell ref="A29:M29"/>
    <mergeCell ref="N29:O29"/>
    <mergeCell ref="A53:O53"/>
    <mergeCell ref="A44:O45"/>
    <mergeCell ref="A51:O52"/>
    <mergeCell ref="A50:O50"/>
    <mergeCell ref="A34:I34"/>
    <mergeCell ref="J34:O34"/>
    <mergeCell ref="A35:I35"/>
    <mergeCell ref="A36:M36"/>
    <mergeCell ref="N36:O36"/>
    <mergeCell ref="A48:O48"/>
    <mergeCell ref="A49:O49"/>
    <mergeCell ref="A39:O40"/>
    <mergeCell ref="A42:O42"/>
    <mergeCell ref="A46:O46"/>
    <mergeCell ref="A47:O4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view="pageBreakPreview" zoomScaleNormal="100" zoomScaleSheetLayoutView="100" workbookViewId="0">
      <selection activeCell="D14" sqref="D14"/>
    </sheetView>
  </sheetViews>
  <sheetFormatPr defaultRowHeight="12.75" x14ac:dyDescent="0.2"/>
  <cols>
    <col min="1" max="1" width="25.140625" style="29" bestFit="1" customWidth="1"/>
    <col min="2" max="2" width="16" style="29" bestFit="1" customWidth="1"/>
    <col min="3" max="3" width="13.140625" style="29" bestFit="1" customWidth="1"/>
    <col min="4" max="4" width="12.7109375" style="29" bestFit="1" customWidth="1"/>
    <col min="5" max="5" width="10.85546875" style="29" customWidth="1"/>
    <col min="6" max="6" width="11.7109375" style="29" bestFit="1" customWidth="1"/>
    <col min="7" max="16384" width="9.140625" style="29"/>
  </cols>
  <sheetData>
    <row r="1" spans="1:6" s="80" customFormat="1" ht="11.25" x14ac:dyDescent="0.2">
      <c r="A1" s="17"/>
      <c r="B1" s="641" t="s">
        <v>0</v>
      </c>
      <c r="C1" s="641"/>
      <c r="D1" s="641"/>
      <c r="E1" s="641"/>
      <c r="F1" s="641"/>
    </row>
    <row r="2" spans="1:6" s="80" customFormat="1" ht="11.25" x14ac:dyDescent="0.2">
      <c r="A2" s="17"/>
      <c r="B2" s="642" t="s">
        <v>1</v>
      </c>
      <c r="C2" s="642"/>
      <c r="D2" s="642"/>
      <c r="E2" s="642"/>
      <c r="F2" s="642"/>
    </row>
    <row r="3" spans="1:6" s="80" customFormat="1" ht="11.25" x14ac:dyDescent="0.2">
      <c r="A3" s="17"/>
      <c r="B3" s="642" t="s">
        <v>145</v>
      </c>
      <c r="C3" s="642"/>
      <c r="D3" s="642"/>
      <c r="E3" s="642"/>
      <c r="F3" s="642"/>
    </row>
    <row r="4" spans="1:6" x14ac:dyDescent="0.2">
      <c r="A4" s="28"/>
      <c r="B4" s="28"/>
      <c r="C4" s="28"/>
      <c r="D4" s="28"/>
      <c r="E4" s="28"/>
      <c r="F4" s="28"/>
    </row>
    <row r="5" spans="1:6" x14ac:dyDescent="0.2">
      <c r="A5" s="643" t="s">
        <v>229</v>
      </c>
      <c r="B5" s="643"/>
      <c r="C5" s="643"/>
      <c r="D5" s="643"/>
      <c r="E5" s="643"/>
      <c r="F5" s="643"/>
    </row>
    <row r="8" spans="1:6" ht="38.25" x14ac:dyDescent="0.2">
      <c r="A8" s="81" t="s">
        <v>119</v>
      </c>
      <c r="B8" s="83" t="s">
        <v>219</v>
      </c>
      <c r="C8" s="82" t="s">
        <v>220</v>
      </c>
      <c r="D8" s="82" t="s">
        <v>146</v>
      </c>
      <c r="E8" s="82" t="s">
        <v>159</v>
      </c>
      <c r="F8" s="83" t="s">
        <v>127</v>
      </c>
    </row>
    <row r="9" spans="1:6" x14ac:dyDescent="0.2">
      <c r="A9" s="30" t="s">
        <v>115</v>
      </c>
      <c r="B9" s="31" t="s">
        <v>221</v>
      </c>
      <c r="C9" s="74" t="s">
        <v>222</v>
      </c>
      <c r="D9" s="74">
        <f>F9/E9</f>
        <v>64.100000000000009</v>
      </c>
      <c r="E9" s="75">
        <v>176</v>
      </c>
      <c r="F9" s="74">
        <v>11281.6</v>
      </c>
    </row>
    <row r="10" spans="1:6" x14ac:dyDescent="0.2">
      <c r="A10" s="30" t="s">
        <v>118</v>
      </c>
      <c r="B10" s="31" t="s">
        <v>223</v>
      </c>
      <c r="C10" s="74" t="s">
        <v>224</v>
      </c>
      <c r="D10" s="74">
        <f t="shared" ref="D10:D12" si="0">F10/E10</f>
        <v>38.57</v>
      </c>
      <c r="E10" s="75">
        <v>176</v>
      </c>
      <c r="F10" s="74">
        <v>6788.32</v>
      </c>
    </row>
    <row r="11" spans="1:6" x14ac:dyDescent="0.2">
      <c r="A11" s="30" t="s">
        <v>117</v>
      </c>
      <c r="B11" s="31" t="s">
        <v>225</v>
      </c>
      <c r="C11" s="74" t="s">
        <v>226</v>
      </c>
      <c r="D11" s="74">
        <f t="shared" si="0"/>
        <v>13.969999999999999</v>
      </c>
      <c r="E11" s="75">
        <v>176</v>
      </c>
      <c r="F11" s="74">
        <v>2458.7199999999998</v>
      </c>
    </row>
    <row r="12" spans="1:6" x14ac:dyDescent="0.2">
      <c r="A12" s="30" t="s">
        <v>116</v>
      </c>
      <c r="B12" s="31" t="s">
        <v>29</v>
      </c>
      <c r="C12" s="74" t="s">
        <v>227</v>
      </c>
      <c r="D12" s="74">
        <f t="shared" si="0"/>
        <v>10.61</v>
      </c>
      <c r="E12" s="75">
        <v>176</v>
      </c>
      <c r="F12" s="74">
        <v>1867.36</v>
      </c>
    </row>
    <row r="13" spans="1:6" ht="15" x14ac:dyDescent="0.2">
      <c r="A13" s="32"/>
      <c r="B13" s="32"/>
      <c r="C13" s="32"/>
      <c r="D13" s="32"/>
      <c r="E13" s="32"/>
      <c r="F13" s="32"/>
    </row>
    <row r="14" spans="1:6" ht="15" x14ac:dyDescent="0.2">
      <c r="A14" s="32"/>
      <c r="B14" s="32"/>
      <c r="C14" s="32"/>
      <c r="D14" s="32"/>
      <c r="E14" s="32"/>
      <c r="F14" s="32"/>
    </row>
    <row r="18" spans="4:5" x14ac:dyDescent="0.2">
      <c r="D18" s="287"/>
    </row>
    <row r="19" spans="4:5" x14ac:dyDescent="0.2">
      <c r="D19" s="287"/>
      <c r="E19" s="287"/>
    </row>
    <row r="23" spans="4:5" x14ac:dyDescent="0.2">
      <c r="D23" s="287"/>
    </row>
    <row r="24" spans="4:5" x14ac:dyDescent="0.2">
      <c r="D24" s="287"/>
    </row>
  </sheetData>
  <mergeCells count="4">
    <mergeCell ref="B1:F1"/>
    <mergeCell ref="B2:F2"/>
    <mergeCell ref="B3:F3"/>
    <mergeCell ref="A5:F5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>
    <oddFooter>&amp;R&amp;"Arial,Normal"&amp;8&amp;F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zoomScaleNormal="100" zoomScaleSheetLayoutView="100" workbookViewId="0">
      <selection activeCell="B11" sqref="B11:B27"/>
    </sheetView>
  </sheetViews>
  <sheetFormatPr defaultColWidth="11.42578125" defaultRowHeight="11.25" x14ac:dyDescent="0.2"/>
  <cols>
    <col min="1" max="1" width="53.42578125" style="7" bestFit="1" customWidth="1"/>
    <col min="2" max="2" width="16" style="8" bestFit="1" customWidth="1"/>
    <col min="3" max="3" width="10.7109375" style="23" bestFit="1" customWidth="1"/>
    <col min="4" max="4" width="9" style="9" bestFit="1" customWidth="1"/>
    <col min="5" max="6" width="13.7109375" style="9" bestFit="1" customWidth="1"/>
    <col min="7" max="7" width="15.28515625" style="9" customWidth="1"/>
    <col min="8" max="8" width="14.5703125" style="9" bestFit="1" customWidth="1"/>
    <col min="9" max="9" width="11.5703125" style="9" bestFit="1" customWidth="1"/>
    <col min="10" max="16384" width="11.42578125" style="9"/>
  </cols>
  <sheetData>
    <row r="1" spans="1:9" s="274" customFormat="1" x14ac:dyDescent="0.2">
      <c r="A1" s="7"/>
      <c r="B1" s="389" t="s">
        <v>0</v>
      </c>
      <c r="C1" s="389"/>
      <c r="D1" s="389"/>
      <c r="E1" s="389"/>
      <c r="F1" s="389"/>
      <c r="G1" s="389"/>
      <c r="H1" s="389"/>
      <c r="I1" s="389"/>
    </row>
    <row r="2" spans="1:9" s="274" customFormat="1" x14ac:dyDescent="0.2">
      <c r="A2" s="7"/>
      <c r="B2" s="390" t="s">
        <v>1</v>
      </c>
      <c r="C2" s="390"/>
      <c r="D2" s="390"/>
      <c r="E2" s="390"/>
      <c r="F2" s="390"/>
      <c r="G2" s="390"/>
      <c r="H2" s="390"/>
      <c r="I2" s="390"/>
    </row>
    <row r="3" spans="1:9" s="274" customFormat="1" x14ac:dyDescent="0.2">
      <c r="A3" s="7"/>
      <c r="B3" s="391" t="s">
        <v>145</v>
      </c>
      <c r="C3" s="391"/>
      <c r="D3" s="391"/>
      <c r="E3" s="391"/>
      <c r="F3" s="391"/>
      <c r="G3" s="391"/>
      <c r="H3" s="391"/>
      <c r="I3" s="391"/>
    </row>
    <row r="4" spans="1:9" s="274" customFormat="1" x14ac:dyDescent="0.2">
      <c r="A4" s="7"/>
      <c r="B4" s="8"/>
      <c r="C4" s="23"/>
      <c r="D4" s="9"/>
      <c r="E4" s="9"/>
      <c r="F4" s="9"/>
      <c r="G4" s="9"/>
      <c r="H4" s="9"/>
      <c r="I4" s="9"/>
    </row>
    <row r="5" spans="1:9" s="274" customFormat="1" ht="12" thickBot="1" x14ac:dyDescent="0.25">
      <c r="A5" s="376" t="s">
        <v>24</v>
      </c>
      <c r="B5" s="377"/>
      <c r="C5" s="377"/>
      <c r="D5" s="377"/>
      <c r="E5" s="377"/>
      <c r="F5" s="377"/>
      <c r="G5" s="377"/>
      <c r="H5" s="378"/>
      <c r="I5" s="172" t="s">
        <v>3</v>
      </c>
    </row>
    <row r="6" spans="1:9" s="274" customFormat="1" ht="18.75" thickTop="1" x14ac:dyDescent="0.2">
      <c r="A6" s="379"/>
      <c r="B6" s="380"/>
      <c r="C6" s="380"/>
      <c r="D6" s="380"/>
      <c r="E6" s="380"/>
      <c r="F6" s="380"/>
      <c r="G6" s="380"/>
      <c r="H6" s="381"/>
      <c r="I6" s="173" t="s">
        <v>25</v>
      </c>
    </row>
    <row r="7" spans="1:9" s="274" customFormat="1" ht="12.75" x14ac:dyDescent="0.2">
      <c r="A7" s="382" t="s">
        <v>5</v>
      </c>
      <c r="B7" s="382"/>
      <c r="C7" s="382"/>
      <c r="D7" s="382"/>
      <c r="E7" s="382"/>
      <c r="F7" s="382"/>
      <c r="G7" s="382"/>
      <c r="H7" s="382"/>
      <c r="I7" s="209"/>
    </row>
    <row r="8" spans="1:9" s="274" customFormat="1" ht="12.75" x14ac:dyDescent="0.2">
      <c r="A8" s="210"/>
      <c r="B8" s="211"/>
      <c r="C8" s="212"/>
      <c r="D8" s="213"/>
      <c r="E8" s="213"/>
      <c r="F8" s="213"/>
      <c r="G8" s="213"/>
      <c r="H8" s="214"/>
      <c r="I8" s="209"/>
    </row>
    <row r="9" spans="1:9" s="274" customFormat="1" ht="12.75" x14ac:dyDescent="0.2">
      <c r="A9" s="383" t="str">
        <f>PFS!A9</f>
        <v>OBJETO: ELABORAÇÃO DE PROJETOS EXECUTIVOS, PARA CONSTRUÇÃO DE BARREIROS DE ACUMULAÇÃO: LOTE 04 - 27 BARREIROS NOS MUNICIPIOS DE AQUIDABÃ, ITABÍ, CEDRO DE SÃO JOÃO E PROPRIÁ</v>
      </c>
      <c r="B9" s="384"/>
      <c r="C9" s="384"/>
      <c r="D9" s="384"/>
      <c r="E9" s="384"/>
      <c r="F9" s="384"/>
      <c r="G9" s="384"/>
      <c r="H9" s="385"/>
      <c r="I9" s="215" t="s">
        <v>6</v>
      </c>
    </row>
    <row r="10" spans="1:9" s="274" customFormat="1" ht="12.75" x14ac:dyDescent="0.2">
      <c r="A10" s="386"/>
      <c r="B10" s="387"/>
      <c r="C10" s="387"/>
      <c r="D10" s="387"/>
      <c r="E10" s="387"/>
      <c r="F10" s="387"/>
      <c r="G10" s="387"/>
      <c r="H10" s="388"/>
      <c r="I10" s="216"/>
    </row>
    <row r="11" spans="1:9" s="24" customFormat="1" ht="38.25" x14ac:dyDescent="0.2">
      <c r="A11" s="217" t="s">
        <v>26</v>
      </c>
      <c r="B11" s="218" t="s">
        <v>228</v>
      </c>
      <c r="C11" s="218" t="s">
        <v>112</v>
      </c>
      <c r="D11" s="218" t="s">
        <v>111</v>
      </c>
      <c r="E11" s="218" t="s">
        <v>110</v>
      </c>
      <c r="F11" s="218" t="s">
        <v>109</v>
      </c>
      <c r="G11" s="218" t="s">
        <v>147</v>
      </c>
      <c r="H11" s="218" t="s">
        <v>148</v>
      </c>
      <c r="I11" s="219" t="s">
        <v>149</v>
      </c>
    </row>
    <row r="12" spans="1:9" s="274" customFormat="1" ht="12.75" x14ac:dyDescent="0.2">
      <c r="A12" s="220" t="s">
        <v>215</v>
      </c>
      <c r="B12" s="227"/>
      <c r="C12" s="229"/>
      <c r="D12" s="230"/>
      <c r="E12" s="230"/>
      <c r="F12" s="231"/>
      <c r="G12" s="232"/>
      <c r="H12" s="233"/>
      <c r="I12" s="234"/>
    </row>
    <row r="13" spans="1:9" s="274" customFormat="1" ht="12.75" x14ac:dyDescent="0.2">
      <c r="A13" s="226" t="s">
        <v>115</v>
      </c>
      <c r="B13" s="306" t="s">
        <v>222</v>
      </c>
      <c r="C13" s="302">
        <v>0.25</v>
      </c>
      <c r="D13" s="303">
        <f>SALARIOS!F9</f>
        <v>11281.6</v>
      </c>
      <c r="E13" s="230">
        <f t="shared" ref="E13" si="0">ROUND(C13*D13,2)</f>
        <v>2820.4</v>
      </c>
      <c r="F13" s="231" t="s">
        <v>28</v>
      </c>
      <c r="G13" s="232">
        <f t="shared" ref="G13" si="1">ROUND((C13*D13*I13),2)</f>
        <v>2075.25</v>
      </c>
      <c r="H13" s="233" t="s">
        <v>28</v>
      </c>
      <c r="I13" s="234">
        <f>'PFS_VIII Det_ Enc_ Soc_'!$F$50</f>
        <v>0.73580000000000001</v>
      </c>
    </row>
    <row r="14" spans="1:9" s="274" customFormat="1" ht="12.75" x14ac:dyDescent="0.2">
      <c r="A14" s="220"/>
      <c r="B14" s="307"/>
      <c r="C14" s="301"/>
      <c r="D14" s="221"/>
      <c r="E14" s="221"/>
      <c r="F14" s="222"/>
      <c r="G14" s="223"/>
      <c r="H14" s="224"/>
      <c r="I14" s="225"/>
    </row>
    <row r="15" spans="1:9" s="274" customFormat="1" ht="12.75" x14ac:dyDescent="0.2">
      <c r="A15" s="226"/>
      <c r="B15" s="308"/>
      <c r="C15" s="229"/>
      <c r="D15" s="230"/>
      <c r="E15" s="230"/>
      <c r="F15" s="231"/>
      <c r="G15" s="232"/>
      <c r="H15" s="233"/>
      <c r="I15" s="234"/>
    </row>
    <row r="16" spans="1:9" s="274" customFormat="1" ht="12.75" x14ac:dyDescent="0.2">
      <c r="A16" s="220" t="s">
        <v>218</v>
      </c>
      <c r="B16" s="308"/>
      <c r="C16" s="229"/>
      <c r="D16" s="230"/>
      <c r="E16" s="230"/>
      <c r="F16" s="231"/>
      <c r="G16" s="232"/>
      <c r="H16" s="233"/>
      <c r="I16" s="234"/>
    </row>
    <row r="17" spans="1:9" s="10" customFormat="1" ht="12.75" x14ac:dyDescent="0.2">
      <c r="A17" s="226" t="s">
        <v>116</v>
      </c>
      <c r="B17" s="306" t="s">
        <v>227</v>
      </c>
      <c r="C17" s="229">
        <v>2</v>
      </c>
      <c r="D17" s="230">
        <f>SALARIOS!F12</f>
        <v>1867.36</v>
      </c>
      <c r="E17" s="230">
        <f t="shared" ref="E17:E20" si="2">ROUND(C17*D17,2)</f>
        <v>3734.72</v>
      </c>
      <c r="F17" s="231" t="s">
        <v>28</v>
      </c>
      <c r="G17" s="232">
        <f t="shared" ref="G17:G20" si="3">ROUND((C17*D17*I17),2)</f>
        <v>2748.01</v>
      </c>
      <c r="H17" s="233" t="s">
        <v>28</v>
      </c>
      <c r="I17" s="234">
        <f>'PFS_VIII Det_ Enc_ Soc_'!$F$50</f>
        <v>0.73580000000000001</v>
      </c>
    </row>
    <row r="18" spans="1:9" ht="12.75" x14ac:dyDescent="0.2">
      <c r="A18" s="226" t="s">
        <v>117</v>
      </c>
      <c r="B18" s="306" t="s">
        <v>226</v>
      </c>
      <c r="C18" s="229">
        <v>2</v>
      </c>
      <c r="D18" s="230">
        <f>SALARIOS!F11</f>
        <v>2458.7199999999998</v>
      </c>
      <c r="E18" s="230">
        <f t="shared" si="2"/>
        <v>4917.4399999999996</v>
      </c>
      <c r="F18" s="231" t="s">
        <v>28</v>
      </c>
      <c r="G18" s="232">
        <f t="shared" si="3"/>
        <v>3618.25</v>
      </c>
      <c r="H18" s="233" t="s">
        <v>28</v>
      </c>
      <c r="I18" s="234">
        <f>'PFS_VIII Det_ Enc_ Soc_'!$F$50</f>
        <v>0.73580000000000001</v>
      </c>
    </row>
    <row r="19" spans="1:9" ht="12.75" x14ac:dyDescent="0.2">
      <c r="A19" s="226" t="s">
        <v>118</v>
      </c>
      <c r="B19" s="306" t="s">
        <v>224</v>
      </c>
      <c r="C19" s="229">
        <v>1</v>
      </c>
      <c r="D19" s="230">
        <f>SALARIOS!F10</f>
        <v>6788.32</v>
      </c>
      <c r="E19" s="230">
        <f t="shared" si="2"/>
        <v>6788.32</v>
      </c>
      <c r="F19" s="231" t="s">
        <v>28</v>
      </c>
      <c r="G19" s="232">
        <f t="shared" si="3"/>
        <v>4994.8500000000004</v>
      </c>
      <c r="H19" s="233" t="s">
        <v>28</v>
      </c>
      <c r="I19" s="234">
        <f>'PFS_VIII Det_ Enc_ Soc_'!$F$50</f>
        <v>0.73580000000000001</v>
      </c>
    </row>
    <row r="20" spans="1:9" ht="12.75" x14ac:dyDescent="0.2">
      <c r="A20" s="226" t="s">
        <v>115</v>
      </c>
      <c r="B20" s="306" t="s">
        <v>222</v>
      </c>
      <c r="C20" s="229">
        <v>1</v>
      </c>
      <c r="D20" s="230">
        <f>SALARIOS!F9</f>
        <v>11281.6</v>
      </c>
      <c r="E20" s="230">
        <f t="shared" si="2"/>
        <v>11281.6</v>
      </c>
      <c r="F20" s="231" t="s">
        <v>28</v>
      </c>
      <c r="G20" s="232">
        <f t="shared" si="3"/>
        <v>8301</v>
      </c>
      <c r="H20" s="233" t="s">
        <v>28</v>
      </c>
      <c r="I20" s="234">
        <f>'PFS_VIII Det_ Enc_ Soc_'!$F$50</f>
        <v>0.73580000000000001</v>
      </c>
    </row>
    <row r="21" spans="1:9" ht="12.75" x14ac:dyDescent="0.2">
      <c r="A21" s="226"/>
      <c r="B21" s="308"/>
      <c r="C21" s="229"/>
      <c r="D21" s="235"/>
      <c r="E21" s="230"/>
      <c r="F21" s="231"/>
      <c r="G21" s="232"/>
      <c r="H21" s="233"/>
      <c r="I21" s="234"/>
    </row>
    <row r="22" spans="1:9" ht="12.75" x14ac:dyDescent="0.2">
      <c r="A22" s="220" t="s">
        <v>170</v>
      </c>
      <c r="B22" s="308"/>
      <c r="C22" s="229"/>
      <c r="D22" s="230"/>
      <c r="E22" s="230"/>
      <c r="F22" s="231"/>
      <c r="G22" s="232"/>
      <c r="H22" s="233"/>
      <c r="I22" s="234"/>
    </row>
    <row r="23" spans="1:9" ht="12.75" x14ac:dyDescent="0.2">
      <c r="A23" s="226" t="s">
        <v>116</v>
      </c>
      <c r="B23" s="306" t="s">
        <v>227</v>
      </c>
      <c r="C23" s="229">
        <v>0.6</v>
      </c>
      <c r="D23" s="230">
        <f>SALARIOS!F12</f>
        <v>1867.36</v>
      </c>
      <c r="E23" s="230">
        <f t="shared" ref="E23:E26" si="4">ROUND(C23*D23,2)</f>
        <v>1120.42</v>
      </c>
      <c r="F23" s="231" t="s">
        <v>28</v>
      </c>
      <c r="G23" s="232">
        <f t="shared" ref="G23:G26" si="5">ROUND((C23*D23*I23),2)</f>
        <v>824.4</v>
      </c>
      <c r="H23" s="233" t="s">
        <v>28</v>
      </c>
      <c r="I23" s="234">
        <f>'PFS_VIII Det_ Enc_ Soc_'!$F$50</f>
        <v>0.73580000000000001</v>
      </c>
    </row>
    <row r="24" spans="1:9" ht="12.75" x14ac:dyDescent="0.2">
      <c r="A24" s="226" t="s">
        <v>117</v>
      </c>
      <c r="B24" s="306" t="s">
        <v>226</v>
      </c>
      <c r="C24" s="229">
        <v>0.3</v>
      </c>
      <c r="D24" s="230">
        <f>SALARIOS!F11</f>
        <v>2458.7199999999998</v>
      </c>
      <c r="E24" s="230">
        <f t="shared" si="4"/>
        <v>737.62</v>
      </c>
      <c r="F24" s="231" t="s">
        <v>28</v>
      </c>
      <c r="G24" s="232">
        <f t="shared" si="5"/>
        <v>542.74</v>
      </c>
      <c r="H24" s="233" t="s">
        <v>28</v>
      </c>
      <c r="I24" s="234">
        <f>'PFS_VIII Det_ Enc_ Soc_'!$F$50</f>
        <v>0.73580000000000001</v>
      </c>
    </row>
    <row r="25" spans="1:9" ht="12.75" x14ac:dyDescent="0.2">
      <c r="A25" s="226" t="s">
        <v>118</v>
      </c>
      <c r="B25" s="306" t="s">
        <v>224</v>
      </c>
      <c r="C25" s="229">
        <v>0.1</v>
      </c>
      <c r="D25" s="230">
        <f>SALARIOS!F10</f>
        <v>6788.32</v>
      </c>
      <c r="E25" s="230">
        <f t="shared" si="4"/>
        <v>678.83</v>
      </c>
      <c r="F25" s="231" t="s">
        <v>28</v>
      </c>
      <c r="G25" s="232">
        <f t="shared" si="5"/>
        <v>499.48</v>
      </c>
      <c r="H25" s="233" t="s">
        <v>28</v>
      </c>
      <c r="I25" s="234">
        <f>'PFS_VIII Det_ Enc_ Soc_'!$F$50</f>
        <v>0.73580000000000001</v>
      </c>
    </row>
    <row r="26" spans="1:9" ht="12.75" x14ac:dyDescent="0.2">
      <c r="A26" s="226" t="s">
        <v>115</v>
      </c>
      <c r="B26" s="306" t="s">
        <v>222</v>
      </c>
      <c r="C26" s="229">
        <v>0.1</v>
      </c>
      <c r="D26" s="230">
        <f>SALARIOS!F9</f>
        <v>11281.6</v>
      </c>
      <c r="E26" s="230">
        <f t="shared" si="4"/>
        <v>1128.1600000000001</v>
      </c>
      <c r="F26" s="231" t="s">
        <v>28</v>
      </c>
      <c r="G26" s="232">
        <f t="shared" si="5"/>
        <v>830.1</v>
      </c>
      <c r="H26" s="233" t="s">
        <v>28</v>
      </c>
      <c r="I26" s="234">
        <f>'PFS_VIII Det_ Enc_ Soc_'!$F$50</f>
        <v>0.73580000000000001</v>
      </c>
    </row>
    <row r="27" spans="1:9" ht="12.75" x14ac:dyDescent="0.2">
      <c r="A27" s="226"/>
      <c r="B27" s="228"/>
      <c r="C27" s="229"/>
      <c r="D27" s="235"/>
      <c r="E27" s="236"/>
      <c r="F27" s="237"/>
      <c r="G27" s="238"/>
      <c r="H27" s="239"/>
      <c r="I27" s="234"/>
    </row>
    <row r="28" spans="1:9" ht="12.75" x14ac:dyDescent="0.2">
      <c r="A28" s="240" t="s">
        <v>32</v>
      </c>
      <c r="B28" s="241"/>
      <c r="C28" s="242"/>
      <c r="D28" s="243"/>
      <c r="E28" s="244">
        <f>ROUND((SUM(E13:E27)),2)</f>
        <v>33207.51</v>
      </c>
      <c r="F28" s="244">
        <f>SUM(F14:F27)</f>
        <v>0</v>
      </c>
      <c r="G28" s="245">
        <f>ROUND((SUM(G13:G27)),2)</f>
        <v>24434.080000000002</v>
      </c>
      <c r="H28" s="244">
        <f>SUM(H14:H27)</f>
        <v>0</v>
      </c>
      <c r="I28" s="246"/>
    </row>
  </sheetData>
  <mergeCells count="6">
    <mergeCell ref="A5:H6"/>
    <mergeCell ref="A7:H7"/>
    <mergeCell ref="A9:H10"/>
    <mergeCell ref="B1:I1"/>
    <mergeCell ref="B2:I2"/>
    <mergeCell ref="B3:I3"/>
  </mergeCells>
  <phoneticPr fontId="24" type="noConversion"/>
  <printOptions horizontalCentered="1"/>
  <pageMargins left="0.59055118110236227" right="0.59055118110236227" top="0.98425196850393704" bottom="0.39370078740157483" header="0.51181102362204722" footer="0.51181102362204722"/>
  <pageSetup paperSize="9" scale="86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view="pageBreakPreview" zoomScaleNormal="100" zoomScaleSheetLayoutView="100" workbookViewId="0">
      <selection activeCell="C17" sqref="C17"/>
    </sheetView>
  </sheetViews>
  <sheetFormatPr defaultColWidth="10.7109375" defaultRowHeight="11.25" x14ac:dyDescent="0.2"/>
  <cols>
    <col min="1" max="1" width="16" style="11" customWidth="1"/>
    <col min="2" max="2" width="24.140625" style="11" customWidth="1"/>
    <col min="3" max="14" width="11.28515625" style="11" customWidth="1"/>
    <col min="15" max="16384" width="10.7109375" style="11"/>
  </cols>
  <sheetData>
    <row r="1" spans="1:14" x14ac:dyDescent="0.2">
      <c r="C1" s="3" t="s">
        <v>0</v>
      </c>
    </row>
    <row r="2" spans="1:14" x14ac:dyDescent="0.2">
      <c r="C2" s="1" t="s">
        <v>1</v>
      </c>
      <c r="E2" s="1"/>
    </row>
    <row r="3" spans="1:14" x14ac:dyDescent="0.2">
      <c r="C3" s="11" t="s">
        <v>145</v>
      </c>
      <c r="E3" s="1"/>
    </row>
    <row r="6" spans="1:14" x14ac:dyDescent="0.2">
      <c r="A6" s="413" t="s">
        <v>33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5"/>
      <c r="M6" s="419" t="s">
        <v>3</v>
      </c>
      <c r="N6" s="420"/>
    </row>
    <row r="7" spans="1:14" ht="18" x14ac:dyDescent="0.2">
      <c r="A7" s="416"/>
      <c r="B7" s="417"/>
      <c r="C7" s="417"/>
      <c r="D7" s="417"/>
      <c r="E7" s="417"/>
      <c r="F7" s="417"/>
      <c r="G7" s="417"/>
      <c r="H7" s="417"/>
      <c r="I7" s="417"/>
      <c r="J7" s="417"/>
      <c r="K7" s="417"/>
      <c r="L7" s="418"/>
      <c r="M7" s="421" t="s">
        <v>34</v>
      </c>
      <c r="N7" s="422"/>
    </row>
    <row r="8" spans="1:14" ht="12.75" x14ac:dyDescent="0.2">
      <c r="A8" s="423" t="s">
        <v>5</v>
      </c>
      <c r="B8" s="423"/>
      <c r="C8" s="423"/>
      <c r="D8" s="423"/>
      <c r="E8" s="423"/>
      <c r="F8" s="423"/>
      <c r="G8" s="423"/>
      <c r="H8" s="423"/>
      <c r="I8" s="423"/>
      <c r="J8" s="423"/>
      <c r="K8" s="423"/>
      <c r="L8" s="423"/>
      <c r="M8" s="423"/>
      <c r="N8" s="423"/>
    </row>
    <row r="9" spans="1:14" ht="12.75" x14ac:dyDescent="0.2">
      <c r="A9" s="247"/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9"/>
    </row>
    <row r="10" spans="1:14" ht="12.75" x14ac:dyDescent="0.2">
      <c r="A10" s="424" t="str">
        <f>PFS!A9</f>
        <v>OBJETO: ELABORAÇÃO DE PROJETOS EXECUTIVOS, PARA CONSTRUÇÃO DE BARREIROS DE ACUMULAÇÃO: LOTE 04 - 27 BARREIROS NOS MUNICIPIOS DE AQUIDABÃ, ITABÍ, CEDRO DE SÃO JOÃO E PROPRIÁ</v>
      </c>
      <c r="B10" s="424"/>
      <c r="C10" s="424"/>
      <c r="D10" s="424"/>
      <c r="E10" s="424"/>
      <c r="F10" s="424"/>
      <c r="G10" s="424"/>
      <c r="H10" s="424"/>
      <c r="I10" s="424"/>
      <c r="J10" s="424"/>
      <c r="K10" s="424"/>
      <c r="L10" s="425"/>
      <c r="M10" s="250" t="s">
        <v>6</v>
      </c>
      <c r="N10" s="251"/>
    </row>
    <row r="11" spans="1:14" ht="12.75" x14ac:dyDescent="0.2">
      <c r="A11" s="426"/>
      <c r="B11" s="426"/>
      <c r="C11" s="426"/>
      <c r="D11" s="426"/>
      <c r="E11" s="426"/>
      <c r="F11" s="426"/>
      <c r="G11" s="426"/>
      <c r="H11" s="426"/>
      <c r="I11" s="426"/>
      <c r="J11" s="426"/>
      <c r="K11" s="426"/>
      <c r="L11" s="427"/>
      <c r="M11" s="248"/>
      <c r="N11" s="252"/>
    </row>
    <row r="12" spans="1:14" ht="12.75" x14ac:dyDescent="0.2">
      <c r="A12" s="393" t="s">
        <v>35</v>
      </c>
      <c r="B12" s="394"/>
      <c r="C12" s="401" t="s">
        <v>113</v>
      </c>
      <c r="D12" s="401"/>
      <c r="E12" s="401"/>
      <c r="F12" s="401"/>
      <c r="G12" s="401"/>
      <c r="H12" s="402"/>
      <c r="I12" s="400" t="s">
        <v>114</v>
      </c>
      <c r="J12" s="401"/>
      <c r="K12" s="401"/>
      <c r="L12" s="401"/>
      <c r="M12" s="401"/>
      <c r="N12" s="401"/>
    </row>
    <row r="13" spans="1:14" ht="12.75" x14ac:dyDescent="0.2">
      <c r="A13" s="395"/>
      <c r="B13" s="396"/>
      <c r="C13" s="410" t="s">
        <v>36</v>
      </c>
      <c r="D13" s="410"/>
      <c r="E13" s="410"/>
      <c r="F13" s="410" t="s">
        <v>37</v>
      </c>
      <c r="G13" s="410"/>
      <c r="H13" s="411"/>
      <c r="I13" s="428" t="s">
        <v>36</v>
      </c>
      <c r="J13" s="410"/>
      <c r="K13" s="410"/>
      <c r="L13" s="410" t="s">
        <v>37</v>
      </c>
      <c r="M13" s="410"/>
      <c r="N13" s="429"/>
    </row>
    <row r="14" spans="1:14" ht="12.75" x14ac:dyDescent="0.2">
      <c r="A14" s="395"/>
      <c r="B14" s="396"/>
      <c r="C14" s="253" t="s">
        <v>38</v>
      </c>
      <c r="D14" s="253" t="s">
        <v>39</v>
      </c>
      <c r="E14" s="253" t="s">
        <v>40</v>
      </c>
      <c r="F14" s="253" t="s">
        <v>38</v>
      </c>
      <c r="G14" s="253" t="s">
        <v>39</v>
      </c>
      <c r="H14" s="254" t="s">
        <v>40</v>
      </c>
      <c r="I14" s="255" t="s">
        <v>38</v>
      </c>
      <c r="J14" s="253" t="s">
        <v>39</v>
      </c>
      <c r="K14" s="253" t="s">
        <v>40</v>
      </c>
      <c r="L14" s="253" t="s">
        <v>38</v>
      </c>
      <c r="M14" s="256" t="s">
        <v>39</v>
      </c>
      <c r="N14" s="257" t="s">
        <v>40</v>
      </c>
    </row>
    <row r="15" spans="1:14" ht="24.75" customHeight="1" x14ac:dyDescent="0.2">
      <c r="A15" s="403" t="s">
        <v>169</v>
      </c>
      <c r="B15" s="404"/>
      <c r="C15" s="258"/>
      <c r="D15" s="259"/>
      <c r="E15" s="260"/>
      <c r="F15" s="261"/>
      <c r="G15" s="110"/>
      <c r="H15" s="262"/>
      <c r="I15" s="258"/>
      <c r="J15" s="259"/>
      <c r="K15" s="260"/>
      <c r="L15" s="261"/>
      <c r="M15" s="263"/>
      <c r="N15" s="264"/>
    </row>
    <row r="16" spans="1:14" ht="12.75" x14ac:dyDescent="0.2">
      <c r="A16" s="265" t="s">
        <v>213</v>
      </c>
      <c r="B16" s="266"/>
      <c r="C16" s="267">
        <v>45</v>
      </c>
      <c r="D16" s="259">
        <v>60</v>
      </c>
      <c r="E16" s="110">
        <f t="shared" ref="E16" si="0">ROUND(C16*D16,2)</f>
        <v>2700</v>
      </c>
      <c r="F16" s="258"/>
      <c r="G16" s="110"/>
      <c r="H16" s="262"/>
      <c r="I16" s="258">
        <f>C16*2</f>
        <v>90</v>
      </c>
      <c r="J16" s="259">
        <v>30</v>
      </c>
      <c r="K16" s="260">
        <f>J16*I16</f>
        <v>2700</v>
      </c>
      <c r="L16" s="261"/>
      <c r="M16" s="263"/>
      <c r="N16" s="264"/>
    </row>
    <row r="17" spans="1:14" ht="12.75" x14ac:dyDescent="0.2">
      <c r="A17" s="265"/>
      <c r="B17" s="268"/>
      <c r="C17" s="258"/>
      <c r="D17" s="259"/>
      <c r="E17" s="260"/>
      <c r="F17" s="261"/>
      <c r="G17" s="110"/>
      <c r="H17" s="262"/>
      <c r="I17" s="258"/>
      <c r="J17" s="259"/>
      <c r="K17" s="260"/>
      <c r="L17" s="261"/>
      <c r="M17" s="263"/>
      <c r="N17" s="264"/>
    </row>
    <row r="18" spans="1:14" ht="12.75" x14ac:dyDescent="0.2">
      <c r="A18" s="265"/>
      <c r="B18" s="266"/>
      <c r="C18" s="258"/>
      <c r="D18" s="261"/>
      <c r="E18" s="261"/>
      <c r="F18" s="261"/>
      <c r="G18" s="110"/>
      <c r="H18" s="262"/>
      <c r="I18" s="258"/>
      <c r="J18" s="261"/>
      <c r="K18" s="261"/>
      <c r="L18" s="261"/>
      <c r="M18" s="263"/>
      <c r="N18" s="264"/>
    </row>
    <row r="19" spans="1:14" ht="12.75" x14ac:dyDescent="0.2">
      <c r="A19" s="265"/>
      <c r="B19" s="266"/>
      <c r="C19" s="258"/>
      <c r="D19" s="261"/>
      <c r="E19" s="261"/>
      <c r="F19" s="261"/>
      <c r="G19" s="261"/>
      <c r="H19" s="269"/>
      <c r="I19" s="258"/>
      <c r="J19" s="261"/>
      <c r="K19" s="261"/>
      <c r="L19" s="261"/>
      <c r="M19" s="270"/>
      <c r="N19" s="271"/>
    </row>
    <row r="20" spans="1:14" ht="12.75" x14ac:dyDescent="0.2">
      <c r="A20" s="272"/>
      <c r="B20" s="266"/>
      <c r="C20" s="258"/>
      <c r="D20" s="261"/>
      <c r="E20" s="261"/>
      <c r="F20" s="261"/>
      <c r="G20" s="261"/>
      <c r="H20" s="269"/>
      <c r="I20" s="258"/>
      <c r="J20" s="261"/>
      <c r="K20" s="261"/>
      <c r="L20" s="261"/>
      <c r="M20" s="270"/>
      <c r="N20" s="273"/>
    </row>
    <row r="21" spans="1:14" ht="12.75" x14ac:dyDescent="0.2">
      <c r="A21" s="405" t="s">
        <v>41</v>
      </c>
      <c r="B21" s="406"/>
      <c r="C21" s="407">
        <f>SUM(E15:E20)</f>
        <v>2700</v>
      </c>
      <c r="D21" s="407"/>
      <c r="E21" s="408"/>
      <c r="F21" s="409">
        <f>SUM(H15:H20)</f>
        <v>0</v>
      </c>
      <c r="G21" s="407"/>
      <c r="H21" s="408"/>
      <c r="I21" s="399">
        <f>SUM(K15:K20)</f>
        <v>2700</v>
      </c>
      <c r="J21" s="399"/>
      <c r="K21" s="399"/>
      <c r="L21" s="399">
        <f>SUM(N15:N20)</f>
        <v>0</v>
      </c>
      <c r="M21" s="399"/>
      <c r="N21" s="412"/>
    </row>
    <row r="22" spans="1:14" ht="12.75" x14ac:dyDescent="0.2">
      <c r="A22" s="397" t="s">
        <v>42</v>
      </c>
      <c r="B22" s="397"/>
      <c r="C22" s="398"/>
      <c r="D22" s="398"/>
      <c r="E22" s="398"/>
      <c r="F22" s="398"/>
      <c r="G22" s="398"/>
      <c r="H22" s="398"/>
      <c r="I22" s="398"/>
      <c r="J22" s="398"/>
      <c r="K22" s="398"/>
      <c r="L22" s="392">
        <f>C21+F21+I21+L21</f>
        <v>5400</v>
      </c>
      <c r="M22" s="392"/>
      <c r="N22" s="392"/>
    </row>
  </sheetData>
  <mergeCells count="20">
    <mergeCell ref="A6:L7"/>
    <mergeCell ref="M6:N6"/>
    <mergeCell ref="M7:N7"/>
    <mergeCell ref="A8:N8"/>
    <mergeCell ref="C13:E13"/>
    <mergeCell ref="A10:L11"/>
    <mergeCell ref="I13:K13"/>
    <mergeCell ref="L13:N13"/>
    <mergeCell ref="L22:N22"/>
    <mergeCell ref="A12:B14"/>
    <mergeCell ref="A22:K22"/>
    <mergeCell ref="I21:K21"/>
    <mergeCell ref="I12:N12"/>
    <mergeCell ref="C12:H12"/>
    <mergeCell ref="A15:B15"/>
    <mergeCell ref="A21:B21"/>
    <mergeCell ref="C21:E21"/>
    <mergeCell ref="F21:H21"/>
    <mergeCell ref="F13:H13"/>
    <mergeCell ref="L21:N21"/>
  </mergeCells>
  <phoneticPr fontId="24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79" firstPageNumber="0" fitToHeight="10" orientation="landscape" horizontalDpi="300" verticalDpi="300" r:id="rId1"/>
  <headerFooter alignWithMargins="0">
    <oddFooter>&amp;R&amp;"Arial,Normal"&amp;8&amp;F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view="pageBreakPreview" zoomScale="90" zoomScaleNormal="100" zoomScaleSheetLayoutView="90" workbookViewId="0">
      <selection activeCell="A19" sqref="A19"/>
    </sheetView>
  </sheetViews>
  <sheetFormatPr defaultColWidth="10.7109375" defaultRowHeight="11.25" x14ac:dyDescent="0.2"/>
  <cols>
    <col min="1" max="1" width="10.140625" style="12" customWidth="1"/>
    <col min="2" max="3" width="22.7109375" style="12" customWidth="1"/>
    <col min="4" max="7" width="13.85546875" style="12" customWidth="1"/>
    <col min="8" max="16384" width="10.7109375" style="12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" t="s">
        <v>145</v>
      </c>
    </row>
    <row r="5" spans="1:7" ht="12" thickBot="1" x14ac:dyDescent="0.25">
      <c r="A5" s="439" t="s">
        <v>43</v>
      </c>
      <c r="B5" s="440"/>
      <c r="C5" s="440"/>
      <c r="D5" s="440"/>
      <c r="E5" s="440"/>
      <c r="F5" s="441"/>
      <c r="G5" s="172" t="s">
        <v>3</v>
      </c>
    </row>
    <row r="6" spans="1:7" ht="18.75" thickTop="1" x14ac:dyDescent="0.2">
      <c r="A6" s="442"/>
      <c r="B6" s="443"/>
      <c r="C6" s="443"/>
      <c r="D6" s="443"/>
      <c r="E6" s="443"/>
      <c r="F6" s="444"/>
      <c r="G6" s="173" t="s">
        <v>44</v>
      </c>
    </row>
    <row r="7" spans="1:7" ht="12.75" x14ac:dyDescent="0.2">
      <c r="A7" s="445" t="s">
        <v>5</v>
      </c>
      <c r="B7" s="446"/>
      <c r="C7" s="446"/>
      <c r="D7" s="446"/>
      <c r="E7" s="446"/>
      <c r="F7" s="446"/>
      <c r="G7" s="447"/>
    </row>
    <row r="8" spans="1:7" ht="12.75" x14ac:dyDescent="0.2">
      <c r="A8" s="137"/>
      <c r="B8" s="138"/>
      <c r="C8" s="138"/>
      <c r="D8" s="138"/>
      <c r="E8" s="138"/>
      <c r="F8" s="138"/>
      <c r="G8" s="139"/>
    </row>
    <row r="9" spans="1:7" ht="12.75" x14ac:dyDescent="0.2">
      <c r="A9" s="452" t="str">
        <f>PFS!A9</f>
        <v>OBJETO: ELABORAÇÃO DE PROJETOS EXECUTIVOS, PARA CONSTRUÇÃO DE BARREIROS DE ACUMULAÇÃO: LOTE 04 - 27 BARREIROS NOS MUNICIPIOS DE AQUIDABÃ, ITABÍ, CEDRO DE SÃO JOÃO E PROPRIÁ</v>
      </c>
      <c r="B9" s="453"/>
      <c r="C9" s="453"/>
      <c r="D9" s="453"/>
      <c r="E9" s="453"/>
      <c r="F9" s="454"/>
      <c r="G9" s="140" t="s">
        <v>6</v>
      </c>
    </row>
    <row r="10" spans="1:7" ht="12.75" x14ac:dyDescent="0.2">
      <c r="A10" s="455"/>
      <c r="B10" s="456"/>
      <c r="C10" s="456"/>
      <c r="D10" s="456"/>
      <c r="E10" s="456"/>
      <c r="F10" s="457"/>
      <c r="G10" s="175"/>
    </row>
    <row r="11" spans="1:7" ht="12.75" x14ac:dyDescent="0.2">
      <c r="A11" s="458"/>
      <c r="B11" s="459"/>
      <c r="C11" s="459"/>
      <c r="D11" s="459"/>
      <c r="E11" s="459"/>
      <c r="F11" s="460"/>
      <c r="G11" s="141"/>
    </row>
    <row r="12" spans="1:7" ht="12.75" x14ac:dyDescent="0.2">
      <c r="A12" s="448" t="s">
        <v>45</v>
      </c>
      <c r="B12" s="449"/>
      <c r="C12" s="449"/>
      <c r="D12" s="142" t="s">
        <v>156</v>
      </c>
      <c r="E12" s="143" t="s">
        <v>46</v>
      </c>
      <c r="F12" s="450" t="s">
        <v>47</v>
      </c>
      <c r="G12" s="451"/>
    </row>
    <row r="13" spans="1:7" ht="12.75" x14ac:dyDescent="0.2">
      <c r="A13" s="448"/>
      <c r="B13" s="449"/>
      <c r="C13" s="449"/>
      <c r="D13" s="144" t="s">
        <v>157</v>
      </c>
      <c r="E13" s="144" t="s">
        <v>48</v>
      </c>
      <c r="F13" s="145" t="s">
        <v>49</v>
      </c>
      <c r="G13" s="146" t="s">
        <v>50</v>
      </c>
    </row>
    <row r="14" spans="1:7" ht="25.5" customHeight="1" x14ac:dyDescent="0.2">
      <c r="A14" s="436" t="s">
        <v>215</v>
      </c>
      <c r="B14" s="437"/>
      <c r="C14" s="438"/>
      <c r="D14" s="150"/>
      <c r="E14" s="151"/>
      <c r="F14" s="152"/>
      <c r="G14" s="153"/>
    </row>
    <row r="15" spans="1:7" ht="12.75" x14ac:dyDescent="0.2">
      <c r="A15" s="154" t="s">
        <v>167</v>
      </c>
      <c r="B15" s="148"/>
      <c r="C15" s="149"/>
      <c r="D15" s="144">
        <f>27</f>
        <v>27</v>
      </c>
      <c r="E15" s="151">
        <v>1</v>
      </c>
      <c r="F15" s="152">
        <v>0.5</v>
      </c>
      <c r="G15" s="153">
        <f>F15*E15*D15</f>
        <v>13.5</v>
      </c>
    </row>
    <row r="16" spans="1:7" ht="12.75" x14ac:dyDescent="0.2">
      <c r="A16" s="154" t="s">
        <v>138</v>
      </c>
      <c r="B16" s="288"/>
      <c r="C16" s="161"/>
      <c r="D16" s="157">
        <f>27</f>
        <v>27</v>
      </c>
      <c r="E16" s="158">
        <v>1</v>
      </c>
      <c r="F16" s="160">
        <v>8.75</v>
      </c>
      <c r="G16" s="153">
        <f t="shared" ref="G16" si="0">F16*E16*D16</f>
        <v>236.25</v>
      </c>
    </row>
    <row r="17" spans="1:7" ht="12.75" x14ac:dyDescent="0.2">
      <c r="A17" s="154"/>
      <c r="B17" s="148"/>
      <c r="C17" s="149"/>
      <c r="D17" s="144"/>
      <c r="E17" s="151"/>
      <c r="F17" s="155"/>
      <c r="G17" s="153"/>
    </row>
    <row r="18" spans="1:7" ht="12.75" x14ac:dyDescent="0.2">
      <c r="A18" s="147" t="s">
        <v>216</v>
      </c>
      <c r="B18" s="288"/>
      <c r="C18" s="156"/>
      <c r="D18" s="157"/>
      <c r="E18" s="158"/>
      <c r="F18" s="152"/>
      <c r="G18" s="153"/>
    </row>
    <row r="19" spans="1:7" ht="12.75" x14ac:dyDescent="0.2">
      <c r="A19" s="154" t="s">
        <v>166</v>
      </c>
      <c r="B19" s="288"/>
      <c r="C19" s="78"/>
      <c r="D19" s="157">
        <f>60*27</f>
        <v>1620</v>
      </c>
      <c r="E19" s="158">
        <v>1</v>
      </c>
      <c r="F19" s="152">
        <v>0.5</v>
      </c>
      <c r="G19" s="153">
        <f t="shared" ref="G19:G20" si="1">F19*E19*D19</f>
        <v>810</v>
      </c>
    </row>
    <row r="20" spans="1:7" ht="12.75" x14ac:dyDescent="0.2">
      <c r="A20" s="154" t="s">
        <v>138</v>
      </c>
      <c r="B20" s="288"/>
      <c r="C20" s="161"/>
      <c r="D20" s="157">
        <f>3*27</f>
        <v>81</v>
      </c>
      <c r="E20" s="158">
        <v>1</v>
      </c>
      <c r="F20" s="160">
        <v>8.75</v>
      </c>
      <c r="G20" s="153">
        <f t="shared" si="1"/>
        <v>708.75</v>
      </c>
    </row>
    <row r="21" spans="1:7" ht="12.75" x14ac:dyDescent="0.2">
      <c r="A21" s="165"/>
      <c r="B21" s="162"/>
      <c r="C21" s="162"/>
      <c r="D21" s="163"/>
      <c r="E21" s="164"/>
      <c r="F21" s="166"/>
      <c r="G21" s="167"/>
    </row>
    <row r="22" spans="1:7" ht="12.75" x14ac:dyDescent="0.2">
      <c r="A22" s="147" t="s">
        <v>170</v>
      </c>
      <c r="B22" s="43"/>
      <c r="C22" s="156"/>
      <c r="D22" s="157"/>
      <c r="E22" s="158"/>
      <c r="F22" s="152"/>
      <c r="G22" s="153"/>
    </row>
    <row r="23" spans="1:7" s="13" customFormat="1" ht="12.75" x14ac:dyDescent="0.2">
      <c r="A23" s="154" t="s">
        <v>137</v>
      </c>
      <c r="B23" s="43"/>
      <c r="C23" s="159"/>
      <c r="D23" s="157">
        <f>D19</f>
        <v>1620</v>
      </c>
      <c r="E23" s="158">
        <v>3</v>
      </c>
      <c r="F23" s="160">
        <v>0.5</v>
      </c>
      <c r="G23" s="153">
        <f t="shared" ref="G23:G25" si="2">F23*E23*D23</f>
        <v>2430</v>
      </c>
    </row>
    <row r="24" spans="1:7" ht="12.75" x14ac:dyDescent="0.2">
      <c r="A24" s="154" t="s">
        <v>138</v>
      </c>
      <c r="B24" s="43"/>
      <c r="C24" s="161"/>
      <c r="D24" s="157">
        <f>5*27</f>
        <v>135</v>
      </c>
      <c r="E24" s="158">
        <v>3</v>
      </c>
      <c r="F24" s="160">
        <v>8.75</v>
      </c>
      <c r="G24" s="153">
        <f t="shared" si="2"/>
        <v>3543.75</v>
      </c>
    </row>
    <row r="25" spans="1:7" ht="12.75" x14ac:dyDescent="0.2">
      <c r="A25" s="154" t="s">
        <v>139</v>
      </c>
      <c r="B25" s="43"/>
      <c r="C25" s="161"/>
      <c r="D25" s="157">
        <v>1</v>
      </c>
      <c r="E25" s="158">
        <v>3</v>
      </c>
      <c r="F25" s="160">
        <v>0.6</v>
      </c>
      <c r="G25" s="153">
        <f t="shared" si="2"/>
        <v>1.7999999999999998</v>
      </c>
    </row>
    <row r="26" spans="1:7" ht="12.75" x14ac:dyDescent="0.2">
      <c r="A26" s="165"/>
      <c r="B26" s="162"/>
      <c r="C26" s="162"/>
      <c r="D26" s="163"/>
      <c r="E26" s="164"/>
      <c r="F26" s="166"/>
      <c r="G26" s="167"/>
    </row>
    <row r="27" spans="1:7" ht="12.75" x14ac:dyDescent="0.2">
      <c r="A27" s="432" t="s">
        <v>51</v>
      </c>
      <c r="B27" s="433"/>
      <c r="C27" s="433"/>
      <c r="D27" s="433"/>
      <c r="E27" s="433"/>
      <c r="F27" s="433"/>
      <c r="G27" s="168">
        <f>SUM(G14:G26)</f>
        <v>7744.05</v>
      </c>
    </row>
    <row r="28" spans="1:7" ht="12.75" x14ac:dyDescent="0.2">
      <c r="A28" s="434"/>
      <c r="B28" s="435"/>
      <c r="C28" s="435"/>
      <c r="D28" s="435"/>
      <c r="E28" s="435"/>
      <c r="F28" s="435"/>
      <c r="G28" s="169"/>
    </row>
    <row r="29" spans="1:7" ht="12.75" x14ac:dyDescent="0.2">
      <c r="A29" s="430" t="s">
        <v>52</v>
      </c>
      <c r="B29" s="431"/>
      <c r="C29" s="431"/>
      <c r="D29" s="431"/>
      <c r="E29" s="431"/>
      <c r="F29" s="431"/>
      <c r="G29" s="174">
        <f>G27+G28</f>
        <v>7744.05</v>
      </c>
    </row>
  </sheetData>
  <mergeCells count="9">
    <mergeCell ref="A29:F29"/>
    <mergeCell ref="A27:F27"/>
    <mergeCell ref="A28:F28"/>
    <mergeCell ref="A14:C14"/>
    <mergeCell ref="A5:F6"/>
    <mergeCell ref="A7:G7"/>
    <mergeCell ref="A12:C13"/>
    <mergeCell ref="F12:G12"/>
    <mergeCell ref="A9:F11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5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view="pageBreakPreview" zoomScaleNormal="100" zoomScaleSheetLayoutView="100" workbookViewId="0">
      <selection activeCell="O21" sqref="O21"/>
    </sheetView>
  </sheetViews>
  <sheetFormatPr defaultColWidth="10.7109375" defaultRowHeight="11.25" x14ac:dyDescent="0.2"/>
  <cols>
    <col min="1" max="1" width="7" style="14" customWidth="1"/>
    <col min="2" max="2" width="9.85546875" style="14" customWidth="1"/>
    <col min="3" max="3" width="20.7109375" style="14" customWidth="1"/>
    <col min="4" max="4" width="6.85546875" style="14" customWidth="1"/>
    <col min="5" max="5" width="20.7109375" style="14" customWidth="1"/>
    <col min="6" max="6" width="11" style="14" bestFit="1" customWidth="1"/>
    <col min="7" max="7" width="9.7109375" style="22" bestFit="1" customWidth="1"/>
    <col min="8" max="8" width="11.28515625" style="14" customWidth="1"/>
    <col min="9" max="9" width="12.7109375" style="14" customWidth="1"/>
    <col min="10" max="10" width="10.7109375" style="14"/>
    <col min="11" max="11" width="7.28515625" style="27" customWidth="1"/>
    <col min="12" max="14" width="7.28515625" style="14" customWidth="1"/>
    <col min="15" max="16384" width="10.7109375" style="14"/>
  </cols>
  <sheetData>
    <row r="1" spans="1:14" x14ac:dyDescent="0.2">
      <c r="D1" s="3" t="s">
        <v>0</v>
      </c>
    </row>
    <row r="2" spans="1:14" x14ac:dyDescent="0.2">
      <c r="D2" s="1" t="s">
        <v>1</v>
      </c>
    </row>
    <row r="3" spans="1:14" x14ac:dyDescent="0.2">
      <c r="D3" s="14" t="s">
        <v>145</v>
      </c>
    </row>
    <row r="5" spans="1:14" x14ac:dyDescent="0.2">
      <c r="A5" s="469" t="s">
        <v>53</v>
      </c>
      <c r="B5" s="469"/>
      <c r="C5" s="469"/>
      <c r="D5" s="469"/>
      <c r="E5" s="469"/>
      <c r="F5" s="469"/>
      <c r="G5" s="469"/>
      <c r="H5" s="470"/>
      <c r="I5" s="188" t="s">
        <v>3</v>
      </c>
    </row>
    <row r="6" spans="1:14" ht="18" x14ac:dyDescent="0.2">
      <c r="A6" s="469"/>
      <c r="B6" s="469"/>
      <c r="C6" s="469"/>
      <c r="D6" s="469"/>
      <c r="E6" s="469"/>
      <c r="F6" s="469"/>
      <c r="G6" s="469"/>
      <c r="H6" s="470"/>
      <c r="I6" s="173" t="s">
        <v>54</v>
      </c>
    </row>
    <row r="7" spans="1:14" ht="12.75" x14ac:dyDescent="0.2">
      <c r="A7" s="182" t="s">
        <v>5</v>
      </c>
      <c r="B7" s="183"/>
      <c r="C7" s="183"/>
      <c r="D7" s="183"/>
      <c r="E7" s="183"/>
      <c r="F7" s="183"/>
      <c r="G7" s="184"/>
      <c r="H7" s="183"/>
      <c r="I7" s="185"/>
      <c r="J7" s="92"/>
      <c r="K7" s="93"/>
      <c r="L7" s="92"/>
      <c r="M7" s="92"/>
      <c r="N7" s="92"/>
    </row>
    <row r="8" spans="1:14" ht="12.75" x14ac:dyDescent="0.2">
      <c r="A8" s="182"/>
      <c r="B8" s="183"/>
      <c r="C8" s="183"/>
      <c r="D8" s="183"/>
      <c r="E8" s="183"/>
      <c r="F8" s="183"/>
      <c r="G8" s="184"/>
      <c r="H8" s="183"/>
      <c r="I8" s="185"/>
      <c r="J8" s="92"/>
      <c r="K8" s="93"/>
      <c r="L8" s="92"/>
      <c r="M8" s="92"/>
      <c r="N8" s="92"/>
    </row>
    <row r="9" spans="1:14" ht="12.75" x14ac:dyDescent="0.2">
      <c r="A9" s="475" t="str">
        <f>PFS!A9</f>
        <v>OBJETO: ELABORAÇÃO DE PROJETOS EXECUTIVOS, PARA CONSTRUÇÃO DE BARREIROS DE ACUMULAÇÃO: LOTE 04 - 27 BARREIROS NOS MUNICIPIOS DE AQUIDABÃ, ITABÍ, CEDRO DE SÃO JOÃO E PROPRIÁ</v>
      </c>
      <c r="B9" s="476"/>
      <c r="C9" s="476"/>
      <c r="D9" s="476"/>
      <c r="E9" s="476"/>
      <c r="F9" s="476"/>
      <c r="G9" s="476"/>
      <c r="H9" s="477"/>
      <c r="I9" s="186" t="s">
        <v>6</v>
      </c>
      <c r="J9" s="92"/>
      <c r="K9" s="93"/>
      <c r="L9" s="92"/>
      <c r="M9" s="92"/>
      <c r="N9" s="92"/>
    </row>
    <row r="10" spans="1:14" ht="12.75" x14ac:dyDescent="0.2">
      <c r="A10" s="478"/>
      <c r="B10" s="479"/>
      <c r="C10" s="479"/>
      <c r="D10" s="479"/>
      <c r="E10" s="479"/>
      <c r="F10" s="479"/>
      <c r="G10" s="479"/>
      <c r="H10" s="480"/>
      <c r="I10" s="285"/>
      <c r="J10" s="92"/>
      <c r="K10" s="93"/>
      <c r="L10" s="92"/>
      <c r="M10" s="92"/>
      <c r="N10" s="92"/>
    </row>
    <row r="11" spans="1:14" ht="12.75" x14ac:dyDescent="0.2">
      <c r="A11" s="481"/>
      <c r="B11" s="482"/>
      <c r="C11" s="482"/>
      <c r="D11" s="482"/>
      <c r="E11" s="482"/>
      <c r="F11" s="482"/>
      <c r="G11" s="482"/>
      <c r="H11" s="483"/>
      <c r="I11" s="187"/>
      <c r="J11" s="92"/>
      <c r="K11" s="93"/>
      <c r="L11" s="92"/>
      <c r="M11" s="92"/>
      <c r="N11" s="92"/>
    </row>
    <row r="12" spans="1:14" ht="13.5" thickBot="1" x14ac:dyDescent="0.25">
      <c r="A12" s="471" t="s">
        <v>55</v>
      </c>
      <c r="B12" s="473" t="s">
        <v>45</v>
      </c>
      <c r="C12" s="473"/>
      <c r="D12" s="473"/>
      <c r="E12" s="473"/>
      <c r="F12" s="467" t="s">
        <v>56</v>
      </c>
      <c r="G12" s="94" t="s">
        <v>38</v>
      </c>
      <c r="H12" s="467" t="s">
        <v>47</v>
      </c>
      <c r="I12" s="467"/>
      <c r="J12" s="92"/>
      <c r="K12" s="93"/>
      <c r="L12" s="92"/>
      <c r="M12" s="92"/>
      <c r="N12" s="92"/>
    </row>
    <row r="13" spans="1:14" ht="13.5" thickTop="1" x14ac:dyDescent="0.2">
      <c r="A13" s="472"/>
      <c r="B13" s="474"/>
      <c r="C13" s="474"/>
      <c r="D13" s="474"/>
      <c r="E13" s="474"/>
      <c r="F13" s="467"/>
      <c r="G13" s="94"/>
      <c r="H13" s="95" t="s">
        <v>49</v>
      </c>
      <c r="I13" s="96" t="s">
        <v>50</v>
      </c>
      <c r="J13" s="92"/>
      <c r="K13" s="93"/>
      <c r="L13" s="92"/>
      <c r="M13" s="92"/>
      <c r="N13" s="92"/>
    </row>
    <row r="14" spans="1:14" ht="12.75" x14ac:dyDescent="0.2">
      <c r="A14" s="97" t="s">
        <v>140</v>
      </c>
      <c r="B14" s="98" t="s">
        <v>217</v>
      </c>
      <c r="C14" s="99"/>
      <c r="D14" s="99"/>
      <c r="E14" s="99"/>
      <c r="F14" s="99"/>
      <c r="G14" s="99"/>
      <c r="H14" s="99"/>
      <c r="I14" s="100"/>
      <c r="J14" s="92"/>
      <c r="K14" s="93"/>
      <c r="L14" s="92"/>
      <c r="M14" s="92"/>
      <c r="N14" s="92"/>
    </row>
    <row r="15" spans="1:14" ht="12.75" x14ac:dyDescent="0.2">
      <c r="A15" s="106"/>
      <c r="B15" s="464" t="s">
        <v>161</v>
      </c>
      <c r="C15" s="465"/>
      <c r="D15" s="465"/>
      <c r="E15" s="466"/>
      <c r="F15" s="102" t="s">
        <v>160</v>
      </c>
      <c r="G15" s="103">
        <f>27*2*6</f>
        <v>324</v>
      </c>
      <c r="H15" s="104">
        <v>41.73</v>
      </c>
      <c r="I15" s="105">
        <f>ROUND(G15*H15,2)</f>
        <v>13520.52</v>
      </c>
      <c r="J15" s="92"/>
      <c r="K15" s="92"/>
      <c r="L15" s="92"/>
      <c r="M15" s="92"/>
      <c r="N15" s="92"/>
    </row>
    <row r="16" spans="1:14" ht="12.75" x14ac:dyDescent="0.2">
      <c r="A16" s="106"/>
      <c r="B16" s="464" t="s">
        <v>194</v>
      </c>
      <c r="C16" s="465"/>
      <c r="D16" s="465"/>
      <c r="E16" s="466"/>
      <c r="F16" s="102" t="s">
        <v>195</v>
      </c>
      <c r="G16" s="103">
        <f>27*(250+100+(40*10))/1000</f>
        <v>20.25</v>
      </c>
      <c r="H16" s="104">
        <v>547.59</v>
      </c>
      <c r="I16" s="105">
        <f>ROUND(G16*H16,2)</f>
        <v>11088.7</v>
      </c>
      <c r="J16" s="92"/>
      <c r="K16" s="92"/>
      <c r="L16" s="92"/>
      <c r="M16" s="92"/>
      <c r="N16" s="92"/>
    </row>
    <row r="17" spans="1:14" ht="12.75" x14ac:dyDescent="0.2">
      <c r="A17" s="101"/>
      <c r="B17" s="464" t="s">
        <v>189</v>
      </c>
      <c r="C17" s="465"/>
      <c r="D17" s="465"/>
      <c r="E17" s="466"/>
      <c r="F17" s="102" t="s">
        <v>190</v>
      </c>
      <c r="G17" s="103">
        <f>27*3.5</f>
        <v>94.5</v>
      </c>
      <c r="H17" s="104">
        <v>797.11</v>
      </c>
      <c r="I17" s="105">
        <f>ROUND(G17*H17,2)</f>
        <v>75326.899999999994</v>
      </c>
      <c r="J17" s="92"/>
      <c r="K17" s="92"/>
      <c r="L17" s="92"/>
      <c r="M17" s="92"/>
      <c r="N17" s="92"/>
    </row>
    <row r="18" spans="1:14" ht="12.75" x14ac:dyDescent="0.2">
      <c r="A18" s="298"/>
      <c r="B18" s="464" t="s">
        <v>191</v>
      </c>
      <c r="C18" s="465"/>
      <c r="D18" s="465"/>
      <c r="E18" s="466"/>
      <c r="F18" s="102" t="s">
        <v>144</v>
      </c>
      <c r="G18" s="110">
        <f>27</f>
        <v>27</v>
      </c>
      <c r="H18" s="105">
        <v>485.28</v>
      </c>
      <c r="I18" s="105">
        <f t="shared" ref="I18:I20" si="0">ROUND(G18*H18,2)</f>
        <v>13102.56</v>
      </c>
      <c r="J18" s="92"/>
      <c r="K18" s="93"/>
      <c r="L18" s="92"/>
      <c r="M18" s="92"/>
      <c r="N18" s="92"/>
    </row>
    <row r="19" spans="1:14" ht="12.75" x14ac:dyDescent="0.2">
      <c r="A19" s="101"/>
      <c r="B19" s="461" t="s">
        <v>193</v>
      </c>
      <c r="C19" s="462"/>
      <c r="D19" s="462"/>
      <c r="E19" s="463"/>
      <c r="F19" s="109" t="s">
        <v>144</v>
      </c>
      <c r="G19" s="110">
        <f>27*5</f>
        <v>135</v>
      </c>
      <c r="H19" s="105">
        <v>2</v>
      </c>
      <c r="I19" s="105">
        <f t="shared" ref="I19" si="1">ROUND(G19*H19,2)</f>
        <v>270</v>
      </c>
      <c r="J19" s="92"/>
    </row>
    <row r="20" spans="1:14" ht="12.75" x14ac:dyDescent="0.2">
      <c r="A20" s="299"/>
      <c r="B20" s="461" t="s">
        <v>192</v>
      </c>
      <c r="C20" s="462"/>
      <c r="D20" s="462"/>
      <c r="E20" s="463"/>
      <c r="F20" s="109" t="s">
        <v>144</v>
      </c>
      <c r="G20" s="110">
        <f>27*3</f>
        <v>81</v>
      </c>
      <c r="H20" s="105">
        <v>35.28</v>
      </c>
      <c r="I20" s="105">
        <f t="shared" si="0"/>
        <v>2857.68</v>
      </c>
      <c r="J20" s="92"/>
    </row>
    <row r="21" spans="1:14" ht="12.75" x14ac:dyDescent="0.2">
      <c r="A21" s="300"/>
      <c r="B21" s="107"/>
      <c r="C21" s="108"/>
      <c r="D21" s="108"/>
      <c r="E21" s="108"/>
      <c r="F21" s="111"/>
      <c r="G21" s="112"/>
      <c r="H21" s="113"/>
      <c r="I21" s="114"/>
      <c r="J21" s="92"/>
    </row>
    <row r="22" spans="1:14" ht="12.75" x14ac:dyDescent="0.2">
      <c r="B22" s="468" t="s">
        <v>57</v>
      </c>
      <c r="C22" s="468"/>
      <c r="D22" s="468"/>
      <c r="E22" s="468"/>
      <c r="F22" s="468"/>
      <c r="G22" s="468"/>
      <c r="H22" s="468"/>
      <c r="I22" s="181">
        <f>SUM(I15:I21)</f>
        <v>116166.35999999999</v>
      </c>
      <c r="J22" s="92"/>
    </row>
  </sheetData>
  <mergeCells count="13">
    <mergeCell ref="A5:H6"/>
    <mergeCell ref="A12:A13"/>
    <mergeCell ref="B12:E13"/>
    <mergeCell ref="F12:F13"/>
    <mergeCell ref="B18:E18"/>
    <mergeCell ref="A9:H11"/>
    <mergeCell ref="B17:E17"/>
    <mergeCell ref="B15:E15"/>
    <mergeCell ref="B19:E19"/>
    <mergeCell ref="B16:E16"/>
    <mergeCell ref="B20:E20"/>
    <mergeCell ref="H12:I12"/>
    <mergeCell ref="B22:H22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7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topLeftCell="B1" zoomScale="140" zoomScaleNormal="140" zoomScaleSheetLayoutView="100" workbookViewId="0">
      <selection activeCell="F26" sqref="F26"/>
    </sheetView>
  </sheetViews>
  <sheetFormatPr defaultRowHeight="11.25" x14ac:dyDescent="0.2"/>
  <cols>
    <col min="1" max="1" width="5.7109375" style="15" customWidth="1"/>
    <col min="2" max="2" width="40.7109375" style="15" customWidth="1"/>
    <col min="3" max="5" width="5.7109375" style="15" customWidth="1"/>
    <col min="6" max="7" width="15.7109375" style="15" customWidth="1"/>
    <col min="8" max="8" width="9.28515625" style="16" customWidth="1"/>
    <col min="9" max="10" width="9.140625" style="16"/>
    <col min="11" max="11" width="11" style="16" customWidth="1"/>
    <col min="12" max="16384" width="9.140625" style="16"/>
  </cols>
  <sheetData>
    <row r="1" spans="1:9" x14ac:dyDescent="0.2">
      <c r="B1" s="170" t="s">
        <v>0</v>
      </c>
    </row>
    <row r="2" spans="1:9" x14ac:dyDescent="0.2">
      <c r="B2" s="136" t="s">
        <v>1</v>
      </c>
    </row>
    <row r="3" spans="1:9" x14ac:dyDescent="0.2">
      <c r="B3" s="136" t="s">
        <v>145</v>
      </c>
    </row>
    <row r="5" spans="1:9" x14ac:dyDescent="0.2">
      <c r="A5" s="528" t="s">
        <v>58</v>
      </c>
      <c r="B5" s="528"/>
      <c r="C5" s="528"/>
      <c r="D5" s="528"/>
      <c r="E5" s="528"/>
      <c r="F5" s="529"/>
      <c r="G5" s="25" t="s">
        <v>3</v>
      </c>
    </row>
    <row r="6" spans="1:9" s="15" customFormat="1" ht="18" x14ac:dyDescent="0.2">
      <c r="A6" s="528"/>
      <c r="B6" s="528"/>
      <c r="C6" s="528"/>
      <c r="D6" s="528"/>
      <c r="E6" s="528"/>
      <c r="F6" s="529"/>
      <c r="G6" s="26" t="s">
        <v>59</v>
      </c>
    </row>
    <row r="7" spans="1:9" s="15" customFormat="1" ht="12.75" x14ac:dyDescent="0.2">
      <c r="A7" s="488" t="s">
        <v>5</v>
      </c>
      <c r="B7" s="488"/>
      <c r="C7" s="488"/>
      <c r="D7" s="488"/>
      <c r="E7" s="488"/>
      <c r="F7" s="488"/>
      <c r="G7" s="488"/>
    </row>
    <row r="8" spans="1:9" s="15" customFormat="1" ht="12.75" x14ac:dyDescent="0.2">
      <c r="A8" s="488" t="s">
        <v>60</v>
      </c>
      <c r="B8" s="488"/>
      <c r="C8" s="488"/>
      <c r="D8" s="488"/>
      <c r="E8" s="488"/>
      <c r="F8" s="488"/>
      <c r="G8" s="488"/>
    </row>
    <row r="9" spans="1:9" s="15" customFormat="1" ht="12.75" x14ac:dyDescent="0.2">
      <c r="A9" s="531" t="str">
        <f>PFS!A9</f>
        <v>OBJETO: ELABORAÇÃO DE PROJETOS EXECUTIVOS, PARA CONSTRUÇÃO DE BARREIROS DE ACUMULAÇÃO: LOTE 04 - 27 BARREIROS NOS MUNICIPIOS DE AQUIDABÃ, ITABÍ, CEDRO DE SÃO JOÃO E PROPRIÁ</v>
      </c>
      <c r="B9" s="531"/>
      <c r="C9" s="531"/>
      <c r="D9" s="531"/>
      <c r="E9" s="531"/>
      <c r="F9" s="531"/>
      <c r="G9" s="180" t="s">
        <v>6</v>
      </c>
    </row>
    <row r="10" spans="1:9" s="15" customFormat="1" x14ac:dyDescent="0.2">
      <c r="A10" s="531"/>
      <c r="B10" s="531"/>
      <c r="C10" s="531"/>
      <c r="D10" s="531"/>
      <c r="E10" s="531"/>
      <c r="F10" s="531"/>
      <c r="G10" s="501"/>
    </row>
    <row r="11" spans="1:9" s="15" customFormat="1" x14ac:dyDescent="0.2">
      <c r="A11" s="531"/>
      <c r="B11" s="531"/>
      <c r="C11" s="531"/>
      <c r="D11" s="531"/>
      <c r="E11" s="531"/>
      <c r="F11" s="531"/>
      <c r="G11" s="501"/>
    </row>
    <row r="12" spans="1:9" s="15" customFormat="1" x14ac:dyDescent="0.2">
      <c r="A12" s="531"/>
      <c r="B12" s="531"/>
      <c r="C12" s="531"/>
      <c r="D12" s="531"/>
      <c r="E12" s="531"/>
      <c r="F12" s="531"/>
      <c r="G12" s="502"/>
    </row>
    <row r="13" spans="1:9" s="15" customFormat="1" ht="25.5" x14ac:dyDescent="0.2">
      <c r="A13" s="176" t="s">
        <v>61</v>
      </c>
      <c r="B13" s="176" t="s">
        <v>141</v>
      </c>
      <c r="C13" s="530" t="s">
        <v>142</v>
      </c>
      <c r="D13" s="530"/>
      <c r="E13" s="530"/>
      <c r="F13" s="178" t="s">
        <v>183</v>
      </c>
      <c r="G13" s="179" t="s">
        <v>158</v>
      </c>
    </row>
    <row r="14" spans="1:9" ht="12.75" x14ac:dyDescent="0.2">
      <c r="A14" s="289">
        <v>1</v>
      </c>
      <c r="B14" s="293" t="s">
        <v>172</v>
      </c>
      <c r="C14" s="521" t="s">
        <v>171</v>
      </c>
      <c r="D14" s="522"/>
      <c r="E14" s="523"/>
      <c r="F14" s="290">
        <v>6</v>
      </c>
      <c r="G14" s="291">
        <f>'PFS_IV Serv. top e Geo'!$I$15*(F14/$F$26)</f>
        <v>3004.56</v>
      </c>
    </row>
    <row r="15" spans="1:9" ht="12.75" x14ac:dyDescent="0.2">
      <c r="A15" s="493">
        <v>2</v>
      </c>
      <c r="B15" s="294" t="s">
        <v>173</v>
      </c>
      <c r="C15" s="503" t="s">
        <v>165</v>
      </c>
      <c r="D15" s="504"/>
      <c r="E15" s="505"/>
      <c r="F15" s="117">
        <v>6</v>
      </c>
      <c r="G15" s="498">
        <f>(PFS!$N$32-'PFS_IV Serv. top e Geo'!$I$15)/2*((F15)/$F$26)+'PFS_IV Serv. top e Geo'!$I$15*(F16/$F$26)</f>
        <v>26183.011333333332</v>
      </c>
      <c r="I15" s="304"/>
    </row>
    <row r="16" spans="1:9" ht="12.75" x14ac:dyDescent="0.2">
      <c r="A16" s="495"/>
      <c r="B16" s="293" t="s">
        <v>175</v>
      </c>
      <c r="C16" s="506"/>
      <c r="D16" s="507"/>
      <c r="E16" s="508"/>
      <c r="F16" s="117">
        <v>7</v>
      </c>
      <c r="G16" s="500"/>
    </row>
    <row r="17" spans="1:7" ht="12.75" x14ac:dyDescent="0.2">
      <c r="A17" s="496">
        <v>3</v>
      </c>
      <c r="B17" s="295" t="s">
        <v>185</v>
      </c>
      <c r="C17" s="509" t="s">
        <v>174</v>
      </c>
      <c r="D17" s="510"/>
      <c r="E17" s="511"/>
      <c r="F17" s="290">
        <v>6</v>
      </c>
      <c r="G17" s="524">
        <f>(PFS!$N$32-'PFS_IV Serv. top e Geo'!$I$15)/2*((F17+F18)/$F$26)+'PFS_IV Serv. top e Geo'!$I$15*(F19/$F$26)</f>
        <v>52640.317888888887</v>
      </c>
    </row>
    <row r="18" spans="1:7" ht="12.75" x14ac:dyDescent="0.2">
      <c r="A18" s="526"/>
      <c r="B18" s="294" t="s">
        <v>176</v>
      </c>
      <c r="C18" s="512"/>
      <c r="D18" s="513"/>
      <c r="E18" s="514"/>
      <c r="F18" s="290">
        <v>7</v>
      </c>
      <c r="G18" s="527"/>
    </row>
    <row r="19" spans="1:7" ht="12.75" x14ac:dyDescent="0.2">
      <c r="A19" s="497"/>
      <c r="B19" s="293" t="s">
        <v>177</v>
      </c>
      <c r="C19" s="515"/>
      <c r="D19" s="516"/>
      <c r="E19" s="517"/>
      <c r="F19" s="290">
        <v>7</v>
      </c>
      <c r="G19" s="525"/>
    </row>
    <row r="20" spans="1:7" ht="12.75" x14ac:dyDescent="0.2">
      <c r="A20" s="493">
        <v>4</v>
      </c>
      <c r="B20" s="295" t="s">
        <v>186</v>
      </c>
      <c r="C20" s="503" t="s">
        <v>168</v>
      </c>
      <c r="D20" s="504"/>
      <c r="E20" s="505"/>
      <c r="F20" s="117">
        <v>7</v>
      </c>
      <c r="G20" s="498">
        <f>(PFS!$N$32-'PFS_IV Serv. top e Geo'!$I$15)/2*((F20+F21)/$F$26)+'PFS_IV Serv. top e Geo'!$I$15*(F22/$F$26)</f>
        <v>56419.93311111111</v>
      </c>
    </row>
    <row r="21" spans="1:7" ht="12.75" x14ac:dyDescent="0.2">
      <c r="A21" s="494"/>
      <c r="B21" s="294" t="s">
        <v>178</v>
      </c>
      <c r="C21" s="518"/>
      <c r="D21" s="519"/>
      <c r="E21" s="520"/>
      <c r="F21" s="117">
        <v>7</v>
      </c>
      <c r="G21" s="499"/>
    </row>
    <row r="22" spans="1:7" ht="12.75" x14ac:dyDescent="0.2">
      <c r="A22" s="495"/>
      <c r="B22" s="293" t="s">
        <v>180</v>
      </c>
      <c r="C22" s="506"/>
      <c r="D22" s="507"/>
      <c r="E22" s="508"/>
      <c r="F22" s="117">
        <v>7</v>
      </c>
      <c r="G22" s="500"/>
    </row>
    <row r="23" spans="1:7" ht="12.75" x14ac:dyDescent="0.2">
      <c r="A23" s="496">
        <v>5</v>
      </c>
      <c r="B23" s="295" t="s">
        <v>187</v>
      </c>
      <c r="C23" s="509" t="s">
        <v>179</v>
      </c>
      <c r="D23" s="510"/>
      <c r="E23" s="511"/>
      <c r="F23" s="290">
        <v>7</v>
      </c>
      <c r="G23" s="524">
        <f>(PFS!$N$32-'PFS_IV Serv. top e Geo'!$I$15)/2*((F23+F24)/$F$26)</f>
        <v>52914.61311111111</v>
      </c>
    </row>
    <row r="24" spans="1:7" ht="12.75" x14ac:dyDescent="0.2">
      <c r="A24" s="497"/>
      <c r="B24" s="294" t="s">
        <v>181</v>
      </c>
      <c r="C24" s="515"/>
      <c r="D24" s="516"/>
      <c r="E24" s="517"/>
      <c r="F24" s="290">
        <v>7</v>
      </c>
      <c r="G24" s="525"/>
    </row>
    <row r="25" spans="1:7" ht="12.75" x14ac:dyDescent="0.2">
      <c r="A25" s="116">
        <v>6</v>
      </c>
      <c r="B25" s="295" t="s">
        <v>188</v>
      </c>
      <c r="C25" s="490" t="s">
        <v>182</v>
      </c>
      <c r="D25" s="491"/>
      <c r="E25" s="492"/>
      <c r="F25" s="117">
        <v>7</v>
      </c>
      <c r="G25" s="118">
        <f>(PFS!$N$32-'PFS_IV Serv. top e Geo'!$I$15)/2*(F25/$F$26)</f>
        <v>26457.306555555555</v>
      </c>
    </row>
    <row r="26" spans="1:7" ht="12.75" x14ac:dyDescent="0.2">
      <c r="A26" s="115"/>
      <c r="B26" s="203"/>
      <c r="C26" s="204"/>
      <c r="D26" s="205"/>
      <c r="E26" s="177"/>
      <c r="F26" s="206">
        <v>27</v>
      </c>
      <c r="G26" s="207"/>
    </row>
    <row r="27" spans="1:7" ht="12.75" x14ac:dyDescent="0.2">
      <c r="A27" s="486" t="s">
        <v>62</v>
      </c>
      <c r="B27" s="487"/>
      <c r="C27" s="487"/>
      <c r="D27" s="487"/>
      <c r="E27" s="487"/>
      <c r="F27" s="487"/>
      <c r="G27" s="208">
        <f>SUM(G14:G26)</f>
        <v>217619.74199999997</v>
      </c>
    </row>
    <row r="28" spans="1:7" ht="12.75" x14ac:dyDescent="0.2">
      <c r="A28" s="119" t="s">
        <v>17</v>
      </c>
      <c r="B28" s="120"/>
      <c r="C28" s="121"/>
      <c r="D28" s="488" t="s">
        <v>18</v>
      </c>
      <c r="E28" s="488"/>
      <c r="F28" s="488"/>
      <c r="G28" s="488"/>
    </row>
    <row r="29" spans="1:7" ht="12.75" x14ac:dyDescent="0.2">
      <c r="A29" s="484"/>
      <c r="B29" s="484"/>
      <c r="C29" s="484"/>
      <c r="D29" s="484"/>
      <c r="E29" s="484"/>
      <c r="F29" s="484"/>
      <c r="G29" s="484"/>
    </row>
    <row r="30" spans="1:7" ht="12.75" x14ac:dyDescent="0.2">
      <c r="A30" s="489" t="s">
        <v>19</v>
      </c>
      <c r="B30" s="489"/>
      <c r="C30" s="489"/>
      <c r="D30" s="489"/>
      <c r="E30" s="489"/>
      <c r="F30" s="488" t="s">
        <v>20</v>
      </c>
      <c r="G30" s="488"/>
    </row>
    <row r="31" spans="1:7" ht="12.75" x14ac:dyDescent="0.2">
      <c r="A31" s="484"/>
      <c r="B31" s="484"/>
      <c r="C31" s="484"/>
      <c r="D31" s="484"/>
      <c r="E31" s="484"/>
      <c r="F31" s="485"/>
      <c r="G31" s="485"/>
    </row>
    <row r="32" spans="1:7" ht="12.75" x14ac:dyDescent="0.2">
      <c r="A32" s="122" t="s">
        <v>21</v>
      </c>
      <c r="B32" s="123"/>
      <c r="C32" s="123"/>
      <c r="D32" s="123"/>
      <c r="E32" s="123"/>
      <c r="F32" s="123"/>
      <c r="G32" s="124"/>
    </row>
    <row r="33" spans="1:7" ht="12.75" x14ac:dyDescent="0.2">
      <c r="A33" s="125"/>
      <c r="B33" s="126"/>
      <c r="C33" s="126"/>
      <c r="D33" s="126"/>
      <c r="E33" s="126"/>
      <c r="F33" s="127"/>
      <c r="G33" s="128"/>
    </row>
    <row r="34" spans="1:7" ht="12.75" x14ac:dyDescent="0.2">
      <c r="A34" s="129"/>
      <c r="B34" s="130"/>
      <c r="C34" s="130"/>
      <c r="D34" s="130"/>
      <c r="E34" s="130"/>
      <c r="F34" s="130"/>
      <c r="G34" s="131"/>
    </row>
    <row r="35" spans="1:7" ht="12.75" x14ac:dyDescent="0.2">
      <c r="A35" s="132"/>
      <c r="B35" s="133"/>
      <c r="C35" s="133"/>
      <c r="D35" s="133"/>
      <c r="E35" s="133"/>
      <c r="F35" s="134"/>
      <c r="G35" s="135"/>
    </row>
  </sheetData>
  <mergeCells count="28">
    <mergeCell ref="A5:F6"/>
    <mergeCell ref="A7:G7"/>
    <mergeCell ref="A8:G8"/>
    <mergeCell ref="C13:E13"/>
    <mergeCell ref="A9:F12"/>
    <mergeCell ref="C25:E25"/>
    <mergeCell ref="A20:A22"/>
    <mergeCell ref="A23:A24"/>
    <mergeCell ref="G20:G22"/>
    <mergeCell ref="G10:G12"/>
    <mergeCell ref="C15:E16"/>
    <mergeCell ref="C17:E19"/>
    <mergeCell ref="C20:E22"/>
    <mergeCell ref="C23:E24"/>
    <mergeCell ref="C14:E14"/>
    <mergeCell ref="G23:G24"/>
    <mergeCell ref="A15:A16"/>
    <mergeCell ref="A17:A19"/>
    <mergeCell ref="G15:G16"/>
    <mergeCell ref="G17:G19"/>
    <mergeCell ref="A31:E31"/>
    <mergeCell ref="F31:G31"/>
    <mergeCell ref="A27:F27"/>
    <mergeCell ref="D28:G28"/>
    <mergeCell ref="A29:C29"/>
    <mergeCell ref="D29:G29"/>
    <mergeCell ref="A30:E30"/>
    <mergeCell ref="F30:G30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scale="94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view="pageBreakPreview" zoomScaleNormal="100" zoomScaleSheetLayoutView="100" workbookViewId="0">
      <selection activeCell="G15" sqref="G15:G17"/>
    </sheetView>
  </sheetViews>
  <sheetFormatPr defaultColWidth="11.42578125" defaultRowHeight="11.25" x14ac:dyDescent="0.2"/>
  <cols>
    <col min="1" max="1" width="3.85546875" style="17" customWidth="1"/>
    <col min="2" max="2" width="27.5703125" style="17" customWidth="1"/>
    <col min="3" max="3" width="16.140625" style="17" customWidth="1"/>
    <col min="4" max="4" width="6.7109375" style="17" customWidth="1"/>
    <col min="5" max="5" width="7.7109375" style="17" customWidth="1"/>
    <col min="6" max="7" width="13.42578125" style="17" customWidth="1"/>
    <col min="8" max="16384" width="11.42578125" style="17"/>
  </cols>
  <sheetData>
    <row r="1" spans="1:7" x14ac:dyDescent="0.2">
      <c r="C1" s="3" t="s">
        <v>0</v>
      </c>
    </row>
    <row r="2" spans="1:7" x14ac:dyDescent="0.2">
      <c r="C2" s="1" t="s">
        <v>1</v>
      </c>
    </row>
    <row r="3" spans="1:7" x14ac:dyDescent="0.2">
      <c r="C3" s="17" t="s">
        <v>145</v>
      </c>
    </row>
    <row r="5" spans="1:7" x14ac:dyDescent="0.2">
      <c r="A5" s="571" t="s">
        <v>63</v>
      </c>
      <c r="B5" s="571"/>
      <c r="C5" s="571"/>
      <c r="D5" s="571"/>
      <c r="E5" s="571"/>
      <c r="F5" s="572"/>
      <c r="G5" s="172" t="s">
        <v>3</v>
      </c>
    </row>
    <row r="6" spans="1:7" ht="18" x14ac:dyDescent="0.2">
      <c r="A6" s="571"/>
      <c r="B6" s="571"/>
      <c r="C6" s="571"/>
      <c r="D6" s="571"/>
      <c r="E6" s="571"/>
      <c r="F6" s="572"/>
      <c r="G6" s="173" t="s">
        <v>64</v>
      </c>
    </row>
    <row r="7" spans="1:7" ht="12.75" x14ac:dyDescent="0.2">
      <c r="A7" s="573" t="s">
        <v>5</v>
      </c>
      <c r="B7" s="573"/>
      <c r="C7" s="573"/>
      <c r="D7" s="573"/>
      <c r="E7" s="573"/>
      <c r="F7" s="573"/>
      <c r="G7" s="573"/>
    </row>
    <row r="8" spans="1:7" ht="12.75" x14ac:dyDescent="0.2">
      <c r="A8" s="33"/>
      <c r="B8" s="34"/>
      <c r="C8" s="34"/>
      <c r="D8" s="34"/>
      <c r="E8" s="34"/>
      <c r="F8" s="34"/>
      <c r="G8" s="35"/>
    </row>
    <row r="9" spans="1:7" ht="12.75" x14ac:dyDescent="0.2">
      <c r="A9" s="562" t="str">
        <f>PFS!A9</f>
        <v>OBJETO: ELABORAÇÃO DE PROJETOS EXECUTIVOS, PARA CONSTRUÇÃO DE BARREIROS DE ACUMULAÇÃO: LOTE 04 - 27 BARREIROS NOS MUNICIPIOS DE AQUIDABÃ, ITABÍ, CEDRO DE SÃO JOÃO E PROPRIÁ</v>
      </c>
      <c r="B9" s="563"/>
      <c r="C9" s="563"/>
      <c r="D9" s="563"/>
      <c r="E9" s="563"/>
      <c r="F9" s="564"/>
      <c r="G9" s="68" t="s">
        <v>6</v>
      </c>
    </row>
    <row r="10" spans="1:7" ht="12.75" x14ac:dyDescent="0.2">
      <c r="A10" s="565"/>
      <c r="B10" s="566"/>
      <c r="C10" s="566"/>
      <c r="D10" s="566"/>
      <c r="E10" s="566"/>
      <c r="F10" s="567"/>
      <c r="G10" s="79"/>
    </row>
    <row r="11" spans="1:7" ht="12.75" x14ac:dyDescent="0.2">
      <c r="A11" s="565"/>
      <c r="B11" s="566"/>
      <c r="C11" s="566"/>
      <c r="D11" s="566"/>
      <c r="E11" s="566"/>
      <c r="F11" s="567"/>
      <c r="G11" s="79"/>
    </row>
    <row r="12" spans="1:7" ht="12.75" x14ac:dyDescent="0.2">
      <c r="A12" s="568"/>
      <c r="B12" s="569"/>
      <c r="C12" s="569"/>
      <c r="D12" s="569"/>
      <c r="E12" s="569"/>
      <c r="F12" s="570"/>
      <c r="G12" s="69"/>
    </row>
    <row r="13" spans="1:7" ht="12.75" x14ac:dyDescent="0.2">
      <c r="A13" s="574" t="s">
        <v>45</v>
      </c>
      <c r="B13" s="574"/>
      <c r="C13" s="574"/>
      <c r="D13" s="574"/>
      <c r="E13" s="574"/>
      <c r="F13" s="575" t="s">
        <v>65</v>
      </c>
      <c r="G13" s="575"/>
    </row>
    <row r="14" spans="1:7" ht="12.75" x14ac:dyDescent="0.2">
      <c r="A14" s="574"/>
      <c r="B14" s="574"/>
      <c r="C14" s="574"/>
      <c r="D14" s="574"/>
      <c r="E14" s="574"/>
      <c r="F14" s="76" t="s">
        <v>27</v>
      </c>
      <c r="G14" s="76" t="s">
        <v>66</v>
      </c>
    </row>
    <row r="15" spans="1:7" s="18" customFormat="1" ht="12.75" customHeight="1" x14ac:dyDescent="0.2">
      <c r="A15" s="532">
        <v>1</v>
      </c>
      <c r="B15" s="546" t="s">
        <v>162</v>
      </c>
      <c r="C15" s="547"/>
      <c r="D15" s="547"/>
      <c r="E15" s="548"/>
      <c r="F15" s="535">
        <v>0.18</v>
      </c>
      <c r="G15" s="538">
        <f>ROUND(F15*PFS!$N$16,2)</f>
        <v>5977.35</v>
      </c>
    </row>
    <row r="16" spans="1:7" s="18" customFormat="1" ht="12.75" customHeight="1" x14ac:dyDescent="0.2">
      <c r="A16" s="533"/>
      <c r="B16" s="549"/>
      <c r="C16" s="550"/>
      <c r="D16" s="550"/>
      <c r="E16" s="551"/>
      <c r="F16" s="536"/>
      <c r="G16" s="539"/>
    </row>
    <row r="17" spans="1:7" s="18" customFormat="1" ht="12.75" customHeight="1" x14ac:dyDescent="0.2">
      <c r="A17" s="534"/>
      <c r="B17" s="552"/>
      <c r="C17" s="553"/>
      <c r="D17" s="553"/>
      <c r="E17" s="554"/>
      <c r="F17" s="537"/>
      <c r="G17" s="540"/>
    </row>
    <row r="18" spans="1:7" s="18" customFormat="1" ht="12.75" customHeight="1" x14ac:dyDescent="0.2">
      <c r="A18" s="532" t="s">
        <v>165</v>
      </c>
      <c r="B18" s="556" t="s">
        <v>163</v>
      </c>
      <c r="C18" s="557"/>
      <c r="D18" s="557"/>
      <c r="E18" s="558"/>
      <c r="F18" s="544">
        <v>0.04</v>
      </c>
      <c r="G18" s="538">
        <f>ROUND(F18*PFS!$N$16,2)</f>
        <v>1328.3</v>
      </c>
    </row>
    <row r="19" spans="1:7" s="18" customFormat="1" ht="12.75" customHeight="1" x14ac:dyDescent="0.2">
      <c r="A19" s="534"/>
      <c r="B19" s="559"/>
      <c r="C19" s="560"/>
      <c r="D19" s="560"/>
      <c r="E19" s="561"/>
      <c r="F19" s="545"/>
      <c r="G19" s="540"/>
    </row>
    <row r="20" spans="1:7" s="18" customFormat="1" ht="12.75" customHeight="1" x14ac:dyDescent="0.2">
      <c r="A20" s="542">
        <v>3</v>
      </c>
      <c r="B20" s="556" t="s">
        <v>164</v>
      </c>
      <c r="C20" s="557"/>
      <c r="D20" s="557"/>
      <c r="E20" s="558"/>
      <c r="F20" s="544">
        <v>0.03</v>
      </c>
      <c r="G20" s="538">
        <f>ROUND(F20*PFS!$N$16,2)</f>
        <v>996.23</v>
      </c>
    </row>
    <row r="21" spans="1:7" s="18" customFormat="1" ht="12.75" customHeight="1" x14ac:dyDescent="0.2">
      <c r="A21" s="543"/>
      <c r="B21" s="559"/>
      <c r="C21" s="560"/>
      <c r="D21" s="560"/>
      <c r="E21" s="561"/>
      <c r="F21" s="545"/>
      <c r="G21" s="540"/>
    </row>
    <row r="22" spans="1:7" s="18" customFormat="1" ht="12.75" x14ac:dyDescent="0.2">
      <c r="A22" s="71"/>
      <c r="B22" s="541"/>
      <c r="C22" s="541"/>
      <c r="D22" s="541"/>
      <c r="E22" s="541"/>
      <c r="F22" s="73"/>
      <c r="G22" s="70"/>
    </row>
    <row r="23" spans="1:7" s="18" customFormat="1" ht="12.75" x14ac:dyDescent="0.2">
      <c r="A23" s="71"/>
      <c r="B23" s="541"/>
      <c r="C23" s="541"/>
      <c r="D23" s="541"/>
      <c r="E23" s="541"/>
      <c r="F23" s="73"/>
      <c r="G23" s="70"/>
    </row>
    <row r="24" spans="1:7" s="18" customFormat="1" ht="12.75" x14ac:dyDescent="0.2">
      <c r="A24" s="72"/>
      <c r="B24" s="541"/>
      <c r="C24" s="541"/>
      <c r="D24" s="541"/>
      <c r="E24" s="541"/>
      <c r="F24" s="73"/>
      <c r="G24" s="70"/>
    </row>
    <row r="25" spans="1:7" s="18" customFormat="1" ht="12.75" x14ac:dyDescent="0.2">
      <c r="A25" s="72"/>
      <c r="B25" s="541"/>
      <c r="C25" s="541"/>
      <c r="D25" s="541"/>
      <c r="E25" s="541"/>
      <c r="F25" s="73"/>
      <c r="G25" s="70"/>
    </row>
    <row r="26" spans="1:7" s="18" customFormat="1" ht="12.75" x14ac:dyDescent="0.2">
      <c r="A26" s="72"/>
      <c r="B26" s="541"/>
      <c r="C26" s="541"/>
      <c r="D26" s="541"/>
      <c r="E26" s="541"/>
      <c r="F26" s="73"/>
      <c r="G26" s="70"/>
    </row>
    <row r="27" spans="1:7" s="18" customFormat="1" ht="12.75" x14ac:dyDescent="0.2">
      <c r="A27" s="72"/>
      <c r="B27" s="541"/>
      <c r="C27" s="541"/>
      <c r="D27" s="541"/>
      <c r="E27" s="541"/>
      <c r="F27" s="73"/>
      <c r="G27" s="70"/>
    </row>
    <row r="28" spans="1:7" s="18" customFormat="1" ht="12.75" x14ac:dyDescent="0.2">
      <c r="A28" s="71"/>
      <c r="B28" s="541"/>
      <c r="C28" s="541"/>
      <c r="D28" s="541"/>
      <c r="E28" s="541"/>
      <c r="F28" s="73"/>
      <c r="G28" s="70"/>
    </row>
    <row r="29" spans="1:7" s="18" customFormat="1" ht="12.75" x14ac:dyDescent="0.2">
      <c r="A29" s="72"/>
      <c r="B29" s="541"/>
      <c r="C29" s="541"/>
      <c r="D29" s="541"/>
      <c r="E29" s="541"/>
      <c r="F29" s="73"/>
      <c r="G29" s="70"/>
    </row>
    <row r="30" spans="1:7" s="18" customFormat="1" ht="12.75" x14ac:dyDescent="0.2">
      <c r="A30" s="72"/>
      <c r="B30" s="77"/>
      <c r="C30" s="77"/>
      <c r="D30" s="77"/>
      <c r="E30" s="78"/>
      <c r="F30" s="73"/>
      <c r="G30" s="70"/>
    </row>
    <row r="31" spans="1:7" s="18" customFormat="1" ht="12.75" x14ac:dyDescent="0.2">
      <c r="A31" s="71"/>
      <c r="B31" s="77"/>
      <c r="C31" s="77"/>
      <c r="D31" s="77"/>
      <c r="E31" s="78"/>
      <c r="F31" s="73"/>
      <c r="G31" s="70"/>
    </row>
    <row r="32" spans="1:7" s="18" customFormat="1" ht="12.75" x14ac:dyDescent="0.2">
      <c r="A32" s="71"/>
      <c r="B32" s="77"/>
      <c r="C32" s="77"/>
      <c r="D32" s="77"/>
      <c r="E32" s="78"/>
      <c r="F32" s="73"/>
      <c r="G32" s="70"/>
    </row>
    <row r="33" spans="1:7" s="18" customFormat="1" ht="12.75" x14ac:dyDescent="0.2">
      <c r="A33" s="72"/>
      <c r="B33" s="77"/>
      <c r="C33" s="77"/>
      <c r="D33" s="77"/>
      <c r="E33" s="78"/>
      <c r="F33" s="73"/>
      <c r="G33" s="70"/>
    </row>
    <row r="34" spans="1:7" s="18" customFormat="1" ht="12.75" x14ac:dyDescent="0.2">
      <c r="A34" s="72"/>
      <c r="B34" s="77"/>
      <c r="C34" s="77"/>
      <c r="D34" s="77"/>
      <c r="E34" s="78"/>
      <c r="F34" s="73"/>
      <c r="G34" s="70"/>
    </row>
    <row r="35" spans="1:7" s="18" customFormat="1" ht="12.75" x14ac:dyDescent="0.2">
      <c r="A35" s="72"/>
      <c r="B35" s="77"/>
      <c r="C35" s="77"/>
      <c r="D35" s="77"/>
      <c r="E35" s="78"/>
      <c r="F35" s="73"/>
      <c r="G35" s="70"/>
    </row>
    <row r="36" spans="1:7" s="18" customFormat="1" ht="12.75" x14ac:dyDescent="0.2">
      <c r="A36" s="72"/>
      <c r="B36" s="77"/>
      <c r="C36" s="77"/>
      <c r="D36" s="77"/>
      <c r="E36" s="78"/>
      <c r="F36" s="73"/>
      <c r="G36" s="70"/>
    </row>
    <row r="37" spans="1:7" s="18" customFormat="1" ht="12.75" x14ac:dyDescent="0.2">
      <c r="A37" s="71"/>
      <c r="B37" s="77"/>
      <c r="C37" s="77"/>
      <c r="D37" s="77"/>
      <c r="E37" s="78"/>
      <c r="F37" s="73"/>
      <c r="G37" s="70"/>
    </row>
    <row r="38" spans="1:7" s="18" customFormat="1" ht="12.75" x14ac:dyDescent="0.2">
      <c r="A38" s="72"/>
      <c r="B38" s="77"/>
      <c r="C38" s="77"/>
      <c r="D38" s="77"/>
      <c r="E38" s="78"/>
      <c r="F38" s="73"/>
      <c r="G38" s="70"/>
    </row>
    <row r="39" spans="1:7" s="18" customFormat="1" ht="12.75" x14ac:dyDescent="0.2">
      <c r="A39" s="72"/>
      <c r="B39" s="77"/>
      <c r="C39" s="77"/>
      <c r="D39" s="77"/>
      <c r="E39" s="78"/>
      <c r="F39" s="73"/>
      <c r="G39" s="70"/>
    </row>
    <row r="40" spans="1:7" s="18" customFormat="1" ht="12.75" x14ac:dyDescent="0.2">
      <c r="A40" s="71"/>
      <c r="B40" s="77"/>
      <c r="C40" s="77"/>
      <c r="D40" s="77"/>
      <c r="E40" s="78"/>
      <c r="F40" s="73"/>
      <c r="G40" s="70"/>
    </row>
    <row r="41" spans="1:7" s="18" customFormat="1" ht="12.75" x14ac:dyDescent="0.2">
      <c r="A41" s="84"/>
      <c r="B41" s="85"/>
      <c r="C41" s="85"/>
      <c r="D41" s="85"/>
      <c r="E41" s="86"/>
      <c r="F41" s="87"/>
      <c r="G41" s="88"/>
    </row>
    <row r="42" spans="1:7" ht="12.75" x14ac:dyDescent="0.2">
      <c r="A42" s="89"/>
      <c r="B42" s="555" t="s">
        <v>67</v>
      </c>
      <c r="C42" s="555"/>
      <c r="D42" s="555"/>
      <c r="E42" s="555"/>
      <c r="F42" s="90">
        <f>SUM(F15:F41)</f>
        <v>0.25</v>
      </c>
      <c r="G42" s="91">
        <f>SUM(G15:G41)</f>
        <v>8301.880000000001</v>
      </c>
    </row>
  </sheetData>
  <mergeCells count="26">
    <mergeCell ref="A9:F12"/>
    <mergeCell ref="A5:F6"/>
    <mergeCell ref="A7:G7"/>
    <mergeCell ref="A13:E14"/>
    <mergeCell ref="F13:G13"/>
    <mergeCell ref="B42:E42"/>
    <mergeCell ref="B20:E21"/>
    <mergeCell ref="B18:E19"/>
    <mergeCell ref="A18:A19"/>
    <mergeCell ref="B28:E28"/>
    <mergeCell ref="B29:E29"/>
    <mergeCell ref="B22:E22"/>
    <mergeCell ref="A15:A17"/>
    <mergeCell ref="F15:F17"/>
    <mergeCell ref="G15:G17"/>
    <mergeCell ref="B27:E27"/>
    <mergeCell ref="A20:A21"/>
    <mergeCell ref="F18:F19"/>
    <mergeCell ref="F20:F21"/>
    <mergeCell ref="G18:G19"/>
    <mergeCell ref="G20:G21"/>
    <mergeCell ref="B23:E23"/>
    <mergeCell ref="B24:E24"/>
    <mergeCell ref="B25:E25"/>
    <mergeCell ref="B26:E26"/>
    <mergeCell ref="B15:E17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zoomScaleNormal="100" zoomScaleSheetLayoutView="100" workbookViewId="0">
      <selection activeCell="F17" sqref="F17"/>
    </sheetView>
  </sheetViews>
  <sheetFormatPr defaultColWidth="11.42578125" defaultRowHeight="11.25" x14ac:dyDescent="0.2"/>
  <cols>
    <col min="1" max="1" width="3.85546875" style="17" customWidth="1"/>
    <col min="2" max="2" width="23.28515625" style="17" customWidth="1"/>
    <col min="3" max="3" width="9.140625" style="17" customWidth="1"/>
    <col min="4" max="4" width="8.5703125" style="17" customWidth="1"/>
    <col min="5" max="5" width="7.7109375" style="17" customWidth="1"/>
    <col min="6" max="8" width="10.7109375" style="17" customWidth="1"/>
    <col min="9" max="16384" width="11.42578125" style="17"/>
  </cols>
  <sheetData>
    <row r="1" spans="1:8" x14ac:dyDescent="0.2">
      <c r="C1" s="171" t="s">
        <v>0</v>
      </c>
    </row>
    <row r="2" spans="1:8" x14ac:dyDescent="0.2">
      <c r="C2" s="67" t="s">
        <v>1</v>
      </c>
    </row>
    <row r="3" spans="1:8" x14ac:dyDescent="0.2">
      <c r="C3" s="67" t="s">
        <v>145</v>
      </c>
    </row>
    <row r="5" spans="1:8" x14ac:dyDescent="0.2">
      <c r="A5" s="571" t="s">
        <v>68</v>
      </c>
      <c r="B5" s="571"/>
      <c r="C5" s="571"/>
      <c r="D5" s="571"/>
      <c r="E5" s="571"/>
      <c r="F5" s="571"/>
      <c r="G5" s="572"/>
      <c r="H5" s="188" t="s">
        <v>3</v>
      </c>
    </row>
    <row r="6" spans="1:8" ht="18" x14ac:dyDescent="0.2">
      <c r="A6" s="571"/>
      <c r="B6" s="571"/>
      <c r="C6" s="571"/>
      <c r="D6" s="571"/>
      <c r="E6" s="571"/>
      <c r="F6" s="571"/>
      <c r="G6" s="572"/>
      <c r="H6" s="173" t="s">
        <v>69</v>
      </c>
    </row>
    <row r="7" spans="1:8" ht="12.75" x14ac:dyDescent="0.2">
      <c r="A7" s="576" t="s">
        <v>5</v>
      </c>
      <c r="B7" s="576"/>
      <c r="C7" s="576"/>
      <c r="D7" s="576"/>
      <c r="E7" s="576"/>
      <c r="F7" s="576"/>
      <c r="G7" s="576"/>
      <c r="H7" s="576"/>
    </row>
    <row r="8" spans="1:8" ht="12.75" x14ac:dyDescent="0.2">
      <c r="A8" s="33"/>
      <c r="B8" s="34"/>
      <c r="C8" s="34"/>
      <c r="D8" s="34"/>
      <c r="E8" s="34"/>
      <c r="F8" s="34"/>
      <c r="G8" s="34"/>
      <c r="H8" s="54"/>
    </row>
    <row r="9" spans="1:8" ht="12.75" x14ac:dyDescent="0.2">
      <c r="A9" s="590" t="str">
        <f>PFS!A9</f>
        <v>OBJETO: ELABORAÇÃO DE PROJETOS EXECUTIVOS, PARA CONSTRUÇÃO DE BARREIROS DE ACUMULAÇÃO: LOTE 04 - 27 BARREIROS NOS MUNICIPIOS DE AQUIDABÃ, ITABÍ, CEDRO DE SÃO JOÃO E PROPRIÁ</v>
      </c>
      <c r="B9" s="591"/>
      <c r="C9" s="591"/>
      <c r="D9" s="591"/>
      <c r="E9" s="591"/>
      <c r="F9" s="591"/>
      <c r="G9" s="592"/>
      <c r="H9" s="58" t="s">
        <v>6</v>
      </c>
    </row>
    <row r="10" spans="1:8" ht="12.75" x14ac:dyDescent="0.2">
      <c r="A10" s="593"/>
      <c r="B10" s="594"/>
      <c r="C10" s="594"/>
      <c r="D10" s="594"/>
      <c r="E10" s="594"/>
      <c r="F10" s="594"/>
      <c r="G10" s="595"/>
      <c r="H10" s="51"/>
    </row>
    <row r="11" spans="1:8" ht="12.75" x14ac:dyDescent="0.2">
      <c r="A11" s="593"/>
      <c r="B11" s="594"/>
      <c r="C11" s="594"/>
      <c r="D11" s="594"/>
      <c r="E11" s="594"/>
      <c r="F11" s="594"/>
      <c r="G11" s="595"/>
      <c r="H11" s="51"/>
    </row>
    <row r="12" spans="1:8" ht="12.75" x14ac:dyDescent="0.2">
      <c r="A12" s="596"/>
      <c r="B12" s="597"/>
      <c r="C12" s="597"/>
      <c r="D12" s="597"/>
      <c r="E12" s="597"/>
      <c r="F12" s="597"/>
      <c r="G12" s="598"/>
      <c r="H12" s="54"/>
    </row>
    <row r="13" spans="1:8" ht="12.75" x14ac:dyDescent="0.2">
      <c r="A13" s="574" t="s">
        <v>45</v>
      </c>
      <c r="B13" s="574"/>
      <c r="C13" s="574"/>
      <c r="D13" s="574"/>
      <c r="E13" s="574"/>
      <c r="F13" s="575" t="s">
        <v>65</v>
      </c>
      <c r="G13" s="575"/>
      <c r="H13" s="575"/>
    </row>
    <row r="14" spans="1:8" ht="12.75" x14ac:dyDescent="0.2">
      <c r="A14" s="574"/>
      <c r="B14" s="574"/>
      <c r="C14" s="574"/>
      <c r="D14" s="574"/>
      <c r="E14" s="574"/>
      <c r="F14" s="59" t="s">
        <v>70</v>
      </c>
      <c r="G14" s="59" t="s">
        <v>71</v>
      </c>
      <c r="H14" s="59" t="s">
        <v>66</v>
      </c>
    </row>
    <row r="15" spans="1:8" s="18" customFormat="1" ht="12.75" x14ac:dyDescent="0.2">
      <c r="A15" s="577"/>
      <c r="B15" s="577"/>
      <c r="C15" s="577"/>
      <c r="D15" s="577"/>
      <c r="E15" s="577"/>
      <c r="F15" s="60"/>
      <c r="G15" s="60"/>
      <c r="H15" s="60"/>
    </row>
    <row r="16" spans="1:8" s="18" customFormat="1" ht="12.75" x14ac:dyDescent="0.2">
      <c r="A16" s="587" t="s">
        <v>72</v>
      </c>
      <c r="B16" s="587"/>
      <c r="C16" s="587"/>
      <c r="D16" s="587"/>
      <c r="E16" s="587"/>
      <c r="F16" s="19">
        <v>5</v>
      </c>
      <c r="G16" s="20">
        <f>(1/(1-$F$43/100))*F16</f>
        <v>5.8309037900874632</v>
      </c>
      <c r="H16" s="21">
        <f>ROUND((G16/100)*(PFS!$N$14+PFS!$N$25+PFS!$N$26),2)</f>
        <v>5072.67</v>
      </c>
    </row>
    <row r="17" spans="1:8" s="18" customFormat="1" ht="12.75" x14ac:dyDescent="0.2">
      <c r="A17" s="586" t="s">
        <v>73</v>
      </c>
      <c r="B17" s="586"/>
      <c r="C17" s="586"/>
      <c r="D17" s="586"/>
      <c r="E17" s="586"/>
      <c r="F17" s="19">
        <v>1.65</v>
      </c>
      <c r="G17" s="20">
        <f>(1/(1-$F$43/100))*F17</f>
        <v>1.9241982507288626</v>
      </c>
      <c r="H17" s="21">
        <f>ROUND((G17/100)*(PFS!$N$14+PFS!$N$25+PFS!$N$26),2)</f>
        <v>1673.98</v>
      </c>
    </row>
    <row r="18" spans="1:8" s="18" customFormat="1" ht="12.75" x14ac:dyDescent="0.2">
      <c r="A18" s="586" t="s">
        <v>74</v>
      </c>
      <c r="B18" s="586"/>
      <c r="C18" s="586"/>
      <c r="D18" s="586"/>
      <c r="E18" s="586"/>
      <c r="F18" s="19">
        <v>7.6</v>
      </c>
      <c r="G18" s="20">
        <f>(1/(1-$F$43/100))*F18</f>
        <v>8.8629737609329435</v>
      </c>
      <c r="H18" s="21">
        <f>ROUND((G18/100)*(PFS!$N$14+PFS!$N$25+PFS!$N$26),2)</f>
        <v>7710.46</v>
      </c>
    </row>
    <row r="19" spans="1:8" s="18" customFormat="1" ht="12.75" x14ac:dyDescent="0.2">
      <c r="A19" s="586"/>
      <c r="B19" s="586"/>
      <c r="C19" s="586"/>
      <c r="D19" s="586"/>
      <c r="E19" s="586"/>
      <c r="F19" s="19"/>
      <c r="G19" s="19"/>
      <c r="H19" s="60"/>
    </row>
    <row r="20" spans="1:8" s="18" customFormat="1" ht="12.75" x14ac:dyDescent="0.2">
      <c r="A20" s="61"/>
      <c r="B20" s="62"/>
      <c r="C20" s="62"/>
      <c r="D20" s="62"/>
      <c r="E20" s="62"/>
      <c r="F20" s="19"/>
      <c r="G20" s="19"/>
      <c r="H20" s="60"/>
    </row>
    <row r="21" spans="1:8" s="18" customFormat="1" ht="12.75" x14ac:dyDescent="0.2">
      <c r="A21" s="61"/>
      <c r="B21" s="62"/>
      <c r="C21" s="62"/>
      <c r="D21" s="62"/>
      <c r="E21" s="62"/>
      <c r="F21" s="19"/>
      <c r="G21" s="19"/>
      <c r="H21" s="60"/>
    </row>
    <row r="22" spans="1:8" s="18" customFormat="1" ht="12.75" x14ac:dyDescent="0.2">
      <c r="A22" s="61"/>
      <c r="B22" s="62"/>
      <c r="C22" s="62"/>
      <c r="D22" s="62"/>
      <c r="E22" s="62"/>
      <c r="F22" s="19"/>
      <c r="G22" s="19"/>
      <c r="H22" s="60"/>
    </row>
    <row r="23" spans="1:8" s="18" customFormat="1" ht="12.75" x14ac:dyDescent="0.2">
      <c r="A23" s="61"/>
      <c r="B23" s="62"/>
      <c r="C23" s="62"/>
      <c r="D23" s="62"/>
      <c r="E23" s="62"/>
      <c r="F23" s="19"/>
      <c r="G23" s="19"/>
      <c r="H23" s="60"/>
    </row>
    <row r="24" spans="1:8" s="18" customFormat="1" ht="12.75" x14ac:dyDescent="0.2">
      <c r="A24" s="61"/>
      <c r="B24" s="62"/>
      <c r="C24" s="62"/>
      <c r="D24" s="62"/>
      <c r="E24" s="62"/>
      <c r="F24" s="19"/>
      <c r="G24" s="19"/>
      <c r="H24" s="60"/>
    </row>
    <row r="25" spans="1:8" s="18" customFormat="1" ht="12.75" x14ac:dyDescent="0.2">
      <c r="A25" s="61"/>
      <c r="B25" s="62"/>
      <c r="C25" s="62"/>
      <c r="D25" s="62"/>
      <c r="E25" s="62"/>
      <c r="F25" s="19"/>
      <c r="G25" s="19"/>
      <c r="H25" s="60"/>
    </row>
    <row r="26" spans="1:8" s="18" customFormat="1" ht="12.75" x14ac:dyDescent="0.2">
      <c r="A26" s="61"/>
      <c r="B26" s="62"/>
      <c r="C26" s="62"/>
      <c r="D26" s="62"/>
      <c r="E26" s="62"/>
      <c r="F26" s="19"/>
      <c r="G26" s="19"/>
      <c r="H26" s="60"/>
    </row>
    <row r="27" spans="1:8" s="18" customFormat="1" ht="12.75" x14ac:dyDescent="0.2">
      <c r="A27" s="61"/>
      <c r="B27" s="62"/>
      <c r="C27" s="62"/>
      <c r="D27" s="62"/>
      <c r="E27" s="62"/>
      <c r="F27" s="19"/>
      <c r="G27" s="19"/>
      <c r="H27" s="60"/>
    </row>
    <row r="28" spans="1:8" s="18" customFormat="1" ht="12.75" x14ac:dyDescent="0.2">
      <c r="A28" s="589"/>
      <c r="B28" s="589"/>
      <c r="C28" s="589"/>
      <c r="D28" s="589"/>
      <c r="E28" s="589"/>
      <c r="F28" s="63"/>
      <c r="G28" s="63"/>
      <c r="H28" s="60"/>
    </row>
    <row r="29" spans="1:8" s="18" customFormat="1" ht="12.75" x14ac:dyDescent="0.2">
      <c r="A29" s="578"/>
      <c r="B29" s="578"/>
      <c r="C29" s="578"/>
      <c r="D29" s="578"/>
      <c r="E29" s="578"/>
      <c r="F29" s="63"/>
      <c r="G29" s="63"/>
      <c r="H29" s="60"/>
    </row>
    <row r="30" spans="1:8" s="18" customFormat="1" ht="12.75" x14ac:dyDescent="0.2">
      <c r="A30" s="588"/>
      <c r="B30" s="588"/>
      <c r="C30" s="588"/>
      <c r="D30" s="588"/>
      <c r="E30" s="588"/>
      <c r="F30" s="63"/>
      <c r="G30" s="63"/>
      <c r="H30" s="60"/>
    </row>
    <row r="31" spans="1:8" s="18" customFormat="1" ht="12.75" x14ac:dyDescent="0.2">
      <c r="A31" s="577"/>
      <c r="B31" s="577"/>
      <c r="C31" s="577"/>
      <c r="D31" s="577"/>
      <c r="E31" s="577"/>
      <c r="F31" s="60"/>
      <c r="G31" s="60"/>
      <c r="H31" s="60"/>
    </row>
    <row r="32" spans="1:8" s="18" customFormat="1" ht="12.75" x14ac:dyDescent="0.2">
      <c r="A32" s="577"/>
      <c r="B32" s="577"/>
      <c r="C32" s="577"/>
      <c r="D32" s="577"/>
      <c r="E32" s="577"/>
      <c r="F32" s="60"/>
      <c r="G32" s="60"/>
      <c r="H32" s="60"/>
    </row>
    <row r="33" spans="1:8" s="18" customFormat="1" ht="12.75" x14ac:dyDescent="0.2">
      <c r="A33" s="578"/>
      <c r="B33" s="578"/>
      <c r="C33" s="578"/>
      <c r="D33" s="578"/>
      <c r="E33" s="578"/>
      <c r="F33" s="60"/>
      <c r="G33" s="60"/>
      <c r="H33" s="60"/>
    </row>
    <row r="34" spans="1:8" s="18" customFormat="1" ht="12.75" x14ac:dyDescent="0.2">
      <c r="A34" s="578"/>
      <c r="B34" s="578"/>
      <c r="C34" s="578"/>
      <c r="D34" s="578"/>
      <c r="E34" s="578"/>
      <c r="F34" s="60"/>
      <c r="G34" s="60"/>
      <c r="H34" s="60"/>
    </row>
    <row r="35" spans="1:8" s="18" customFormat="1" ht="12.75" x14ac:dyDescent="0.2">
      <c r="A35" s="578"/>
      <c r="B35" s="578"/>
      <c r="C35" s="578"/>
      <c r="D35" s="578"/>
      <c r="E35" s="578"/>
      <c r="F35" s="60"/>
      <c r="G35" s="60"/>
      <c r="H35" s="60"/>
    </row>
    <row r="36" spans="1:8" s="18" customFormat="1" ht="12.75" x14ac:dyDescent="0.2">
      <c r="A36" s="578"/>
      <c r="B36" s="578"/>
      <c r="C36" s="578"/>
      <c r="D36" s="578"/>
      <c r="E36" s="578"/>
      <c r="F36" s="60"/>
      <c r="G36" s="60"/>
      <c r="H36" s="60"/>
    </row>
    <row r="37" spans="1:8" s="18" customFormat="1" ht="12.75" x14ac:dyDescent="0.2">
      <c r="A37" s="577"/>
      <c r="B37" s="577"/>
      <c r="C37" s="577"/>
      <c r="D37" s="577"/>
      <c r="E37" s="577"/>
      <c r="F37" s="60"/>
      <c r="G37" s="60"/>
      <c r="H37" s="60"/>
    </row>
    <row r="38" spans="1:8" s="18" customFormat="1" ht="12.75" x14ac:dyDescent="0.2">
      <c r="A38" s="578"/>
      <c r="B38" s="578"/>
      <c r="C38" s="578"/>
      <c r="D38" s="578"/>
      <c r="E38" s="578"/>
      <c r="F38" s="60"/>
      <c r="G38" s="60"/>
      <c r="H38" s="60"/>
    </row>
    <row r="39" spans="1:8" s="18" customFormat="1" ht="12.75" x14ac:dyDescent="0.2">
      <c r="A39" s="578"/>
      <c r="B39" s="578"/>
      <c r="C39" s="578"/>
      <c r="D39" s="578"/>
      <c r="E39" s="578"/>
      <c r="F39" s="60"/>
      <c r="G39" s="60"/>
      <c r="H39" s="60"/>
    </row>
    <row r="40" spans="1:8" s="18" customFormat="1" ht="12.75" x14ac:dyDescent="0.2">
      <c r="A40" s="578"/>
      <c r="B40" s="578"/>
      <c r="C40" s="578"/>
      <c r="D40" s="578"/>
      <c r="E40" s="578"/>
      <c r="F40" s="60"/>
      <c r="G40" s="60"/>
      <c r="H40" s="60"/>
    </row>
    <row r="41" spans="1:8" s="18" customFormat="1" ht="12.75" x14ac:dyDescent="0.2">
      <c r="A41" s="577"/>
      <c r="B41" s="577"/>
      <c r="C41" s="577"/>
      <c r="D41" s="577"/>
      <c r="E41" s="577"/>
      <c r="F41" s="60"/>
      <c r="G41" s="60"/>
      <c r="H41" s="60"/>
    </row>
    <row r="42" spans="1:8" s="18" customFormat="1" ht="12.75" x14ac:dyDescent="0.2">
      <c r="A42" s="582"/>
      <c r="B42" s="582"/>
      <c r="C42" s="582"/>
      <c r="D42" s="582"/>
      <c r="E42" s="582"/>
      <c r="F42" s="189"/>
      <c r="G42" s="189"/>
      <c r="H42" s="189"/>
    </row>
    <row r="43" spans="1:8" ht="12.75" x14ac:dyDescent="0.2">
      <c r="A43" s="579" t="s">
        <v>75</v>
      </c>
      <c r="B43" s="580"/>
      <c r="C43" s="580"/>
      <c r="D43" s="580"/>
      <c r="E43" s="580"/>
      <c r="F43" s="190">
        <f>F16+F17+F18</f>
        <v>14.25</v>
      </c>
      <c r="G43" s="190">
        <f>G16+G17+G18</f>
        <v>16.618075801749271</v>
      </c>
      <c r="H43" s="181">
        <f>SUM(H16:H42)</f>
        <v>14457.11</v>
      </c>
    </row>
    <row r="44" spans="1:8" ht="12.75" x14ac:dyDescent="0.2">
      <c r="A44" s="581" t="s">
        <v>76</v>
      </c>
      <c r="B44" s="581"/>
      <c r="C44" s="581"/>
      <c r="D44" s="581"/>
      <c r="E44" s="581"/>
      <c r="F44" s="581"/>
      <c r="G44" s="581"/>
      <c r="H44" s="581"/>
    </row>
    <row r="45" spans="1:8" x14ac:dyDescent="0.2">
      <c r="A45" s="583" t="s">
        <v>77</v>
      </c>
      <c r="B45" s="584"/>
      <c r="C45" s="584"/>
      <c r="D45" s="584"/>
      <c r="E45" s="584"/>
      <c r="F45" s="584"/>
      <c r="G45" s="584"/>
      <c r="H45" s="585"/>
    </row>
    <row r="46" spans="1:8" x14ac:dyDescent="0.2">
      <c r="A46" s="583"/>
      <c r="B46" s="584"/>
      <c r="C46" s="584"/>
      <c r="D46" s="584"/>
      <c r="E46" s="584"/>
      <c r="F46" s="584"/>
      <c r="G46" s="584"/>
      <c r="H46" s="585"/>
    </row>
    <row r="47" spans="1:8" ht="12.75" x14ac:dyDescent="0.2">
      <c r="A47" s="64" t="s">
        <v>78</v>
      </c>
      <c r="B47" s="65"/>
      <c r="C47" s="65"/>
      <c r="D47" s="65"/>
      <c r="E47" s="65"/>
      <c r="F47" s="65"/>
      <c r="G47" s="65"/>
      <c r="H47" s="66"/>
    </row>
    <row r="48" spans="1:8" ht="12.75" x14ac:dyDescent="0.2">
      <c r="A48" s="64" t="s">
        <v>79</v>
      </c>
      <c r="B48" s="65"/>
      <c r="C48" s="65"/>
      <c r="D48" s="65"/>
      <c r="E48" s="65"/>
      <c r="F48" s="65"/>
      <c r="G48" s="65"/>
      <c r="H48" s="66"/>
    </row>
    <row r="49" spans="1:8" ht="12.75" x14ac:dyDescent="0.2">
      <c r="A49" s="64" t="s">
        <v>80</v>
      </c>
      <c r="B49" s="65"/>
      <c r="C49" s="65"/>
      <c r="D49" s="65"/>
      <c r="E49" s="65"/>
      <c r="F49" s="65"/>
      <c r="G49" s="65"/>
      <c r="H49" s="66"/>
    </row>
    <row r="50" spans="1:8" ht="12.75" x14ac:dyDescent="0.2">
      <c r="A50" s="64" t="s">
        <v>81</v>
      </c>
      <c r="B50" s="65"/>
      <c r="C50" s="65"/>
      <c r="D50" s="65"/>
      <c r="E50" s="65"/>
      <c r="F50" s="65"/>
      <c r="G50" s="65"/>
      <c r="H50" s="66"/>
    </row>
    <row r="51" spans="1:8" ht="12.75" x14ac:dyDescent="0.2">
      <c r="A51" s="576"/>
      <c r="B51" s="576"/>
      <c r="C51" s="576"/>
      <c r="D51" s="576"/>
      <c r="E51" s="576"/>
      <c r="F51" s="576"/>
      <c r="G51" s="576"/>
      <c r="H51" s="576"/>
    </row>
    <row r="52" spans="1:8" ht="12.75" x14ac:dyDescent="0.2">
      <c r="A52" s="52"/>
      <c r="B52" s="53"/>
      <c r="C52" s="53"/>
      <c r="D52" s="53"/>
      <c r="E52" s="53"/>
      <c r="F52" s="53"/>
      <c r="G52" s="53"/>
      <c r="H52" s="54"/>
    </row>
  </sheetData>
  <mergeCells count="29">
    <mergeCell ref="A5:G6"/>
    <mergeCell ref="A7:H7"/>
    <mergeCell ref="A13:E14"/>
    <mergeCell ref="F13:H13"/>
    <mergeCell ref="A9:G12"/>
    <mergeCell ref="A15:E15"/>
    <mergeCell ref="A35:E35"/>
    <mergeCell ref="A17:E17"/>
    <mergeCell ref="A36:E36"/>
    <mergeCell ref="A16:E16"/>
    <mergeCell ref="A18:E18"/>
    <mergeCell ref="A33:E33"/>
    <mergeCell ref="A34:E34"/>
    <mergeCell ref="A29:E29"/>
    <mergeCell ref="A30:E30"/>
    <mergeCell ref="A19:E19"/>
    <mergeCell ref="A28:E28"/>
    <mergeCell ref="A31:E31"/>
    <mergeCell ref="A32:E32"/>
    <mergeCell ref="A51:H51"/>
    <mergeCell ref="A37:E37"/>
    <mergeCell ref="A38:E38"/>
    <mergeCell ref="A39:E39"/>
    <mergeCell ref="A40:E40"/>
    <mergeCell ref="A43:E43"/>
    <mergeCell ref="A44:H44"/>
    <mergeCell ref="A41:E41"/>
    <mergeCell ref="A42:E42"/>
    <mergeCell ref="A45:H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zoomScaleNormal="100" zoomScaleSheetLayoutView="100" workbookViewId="0">
      <selection activeCell="F47" sqref="F47"/>
    </sheetView>
  </sheetViews>
  <sheetFormatPr defaultColWidth="11.42578125" defaultRowHeight="12.75" x14ac:dyDescent="0.2"/>
  <cols>
    <col min="1" max="1" width="3.85546875" style="28" customWidth="1"/>
    <col min="2" max="2" width="26" style="28" customWidth="1"/>
    <col min="3" max="3" width="18" style="28" customWidth="1"/>
    <col min="4" max="4" width="6.7109375" style="28" customWidth="1"/>
    <col min="5" max="5" width="7.7109375" style="28" customWidth="1"/>
    <col min="6" max="6" width="13.140625" style="28" customWidth="1"/>
    <col min="7" max="7" width="12.85546875" style="28" customWidth="1"/>
    <col min="8" max="16384" width="11.42578125" style="28"/>
  </cols>
  <sheetData>
    <row r="1" spans="1:8" x14ac:dyDescent="0.2">
      <c r="C1" s="55" t="s">
        <v>0</v>
      </c>
    </row>
    <row r="2" spans="1:8" x14ac:dyDescent="0.2">
      <c r="C2" s="56" t="s">
        <v>1</v>
      </c>
    </row>
    <row r="3" spans="1:8" x14ac:dyDescent="0.2">
      <c r="C3" s="56" t="s">
        <v>145</v>
      </c>
    </row>
    <row r="5" spans="1:8" ht="13.5" thickBot="1" x14ac:dyDescent="0.25">
      <c r="A5" s="614" t="s">
        <v>82</v>
      </c>
      <c r="B5" s="615"/>
      <c r="C5" s="615"/>
      <c r="D5" s="615"/>
      <c r="E5" s="615"/>
      <c r="F5" s="616"/>
      <c r="G5" s="191" t="s">
        <v>3</v>
      </c>
    </row>
    <row r="6" spans="1:8" ht="13.5" thickTop="1" x14ac:dyDescent="0.2">
      <c r="A6" s="617"/>
      <c r="B6" s="618"/>
      <c r="C6" s="618"/>
      <c r="D6" s="618"/>
      <c r="E6" s="618"/>
      <c r="F6" s="619"/>
      <c r="G6" s="192" t="s">
        <v>83</v>
      </c>
    </row>
    <row r="7" spans="1:8" x14ac:dyDescent="0.2">
      <c r="A7" s="576" t="s">
        <v>5</v>
      </c>
      <c r="B7" s="576"/>
      <c r="C7" s="576"/>
      <c r="D7" s="576"/>
      <c r="E7" s="576"/>
      <c r="F7" s="576"/>
      <c r="G7" s="576"/>
    </row>
    <row r="8" spans="1:8" x14ac:dyDescent="0.2">
      <c r="A8" s="33"/>
      <c r="B8" s="34"/>
      <c r="C8" s="34"/>
      <c r="D8" s="34"/>
      <c r="E8" s="34"/>
      <c r="F8" s="34"/>
      <c r="G8" s="35"/>
    </row>
    <row r="9" spans="1:8" x14ac:dyDescent="0.2">
      <c r="A9" s="620" t="str">
        <f>PFS!A9</f>
        <v>OBJETO: ELABORAÇÃO DE PROJETOS EXECUTIVOS, PARA CONSTRUÇÃO DE BARREIROS DE ACUMULAÇÃO: LOTE 04 - 27 BARREIROS NOS MUNICIPIOS DE AQUIDABÃ, ITABÍ, CEDRO DE SÃO JOÃO E PROPRIÁ</v>
      </c>
      <c r="B9" s="621"/>
      <c r="C9" s="621"/>
      <c r="D9" s="621"/>
      <c r="E9" s="621"/>
      <c r="F9" s="622"/>
      <c r="G9" s="36" t="s">
        <v>6</v>
      </c>
    </row>
    <row r="10" spans="1:8" x14ac:dyDescent="0.2">
      <c r="A10" s="623"/>
      <c r="B10" s="584"/>
      <c r="C10" s="584"/>
      <c r="D10" s="584"/>
      <c r="E10" s="584"/>
      <c r="F10" s="624"/>
      <c r="G10" s="628"/>
    </row>
    <row r="11" spans="1:8" x14ac:dyDescent="0.2">
      <c r="A11" s="623"/>
      <c r="B11" s="584"/>
      <c r="C11" s="584"/>
      <c r="D11" s="584"/>
      <c r="E11" s="584"/>
      <c r="F11" s="624"/>
      <c r="G11" s="628"/>
    </row>
    <row r="12" spans="1:8" x14ac:dyDescent="0.2">
      <c r="A12" s="625"/>
      <c r="B12" s="626"/>
      <c r="C12" s="626"/>
      <c r="D12" s="626"/>
      <c r="E12" s="626"/>
      <c r="F12" s="627"/>
      <c r="G12" s="629"/>
    </row>
    <row r="13" spans="1:8" x14ac:dyDescent="0.2">
      <c r="A13" s="574" t="s">
        <v>45</v>
      </c>
      <c r="B13" s="574"/>
      <c r="C13" s="574"/>
      <c r="D13" s="574"/>
      <c r="E13" s="574"/>
      <c r="F13" s="575" t="s">
        <v>65</v>
      </c>
      <c r="G13" s="575"/>
    </row>
    <row r="14" spans="1:8" x14ac:dyDescent="0.2">
      <c r="A14" s="574"/>
      <c r="B14" s="574"/>
      <c r="C14" s="574"/>
      <c r="D14" s="574"/>
      <c r="E14" s="574"/>
      <c r="F14" s="37" t="s">
        <v>27</v>
      </c>
      <c r="G14" s="37" t="s">
        <v>66</v>
      </c>
    </row>
    <row r="15" spans="1:8" x14ac:dyDescent="0.2">
      <c r="A15" s="38" t="s">
        <v>84</v>
      </c>
      <c r="B15" s="635" t="s">
        <v>85</v>
      </c>
      <c r="C15" s="635"/>
      <c r="D15" s="635"/>
      <c r="E15" s="635"/>
      <c r="F15" s="38"/>
      <c r="G15" s="39"/>
    </row>
    <row r="16" spans="1:8" x14ac:dyDescent="0.2">
      <c r="A16" s="40" t="s">
        <v>128</v>
      </c>
      <c r="B16" s="638" t="s">
        <v>86</v>
      </c>
      <c r="C16" s="639"/>
      <c r="D16" s="639"/>
      <c r="E16" s="640"/>
      <c r="F16" s="41">
        <v>0.2</v>
      </c>
      <c r="G16" s="42">
        <f>ROUND((F16*'PFS_I Equipe'!$E$28),2)</f>
        <v>6641.5</v>
      </c>
      <c r="H16" s="57"/>
    </row>
    <row r="17" spans="1:8" x14ac:dyDescent="0.2">
      <c r="A17" s="40" t="s">
        <v>29</v>
      </c>
      <c r="B17" s="611" t="s">
        <v>129</v>
      </c>
      <c r="C17" s="612"/>
      <c r="D17" s="612"/>
      <c r="E17" s="613"/>
      <c r="F17" s="41">
        <v>1.4999999999999999E-2</v>
      </c>
      <c r="G17" s="42">
        <f>ROUND((F17*'PFS_I Equipe'!$E$28),2)</f>
        <v>498.11</v>
      </c>
      <c r="H17" s="57"/>
    </row>
    <row r="18" spans="1:8" x14ac:dyDescent="0.2">
      <c r="A18" s="40" t="s">
        <v>30</v>
      </c>
      <c r="B18" s="611" t="s">
        <v>130</v>
      </c>
      <c r="C18" s="612"/>
      <c r="D18" s="612"/>
      <c r="E18" s="613"/>
      <c r="F18" s="41">
        <v>0.01</v>
      </c>
      <c r="G18" s="42">
        <f>ROUND((F18*'PFS_I Equipe'!$E$28),2)</f>
        <v>332.08</v>
      </c>
      <c r="H18" s="57"/>
    </row>
    <row r="19" spans="1:8" x14ac:dyDescent="0.2">
      <c r="A19" s="40" t="s">
        <v>88</v>
      </c>
      <c r="B19" s="611" t="s">
        <v>131</v>
      </c>
      <c r="C19" s="612"/>
      <c r="D19" s="612"/>
      <c r="E19" s="613"/>
      <c r="F19" s="41">
        <v>2E-3</v>
      </c>
      <c r="G19" s="42">
        <f>ROUND((F19*'PFS_I Equipe'!$E$28),2)</f>
        <v>66.42</v>
      </c>
      <c r="H19" s="57"/>
    </row>
    <row r="20" spans="1:8" x14ac:dyDescent="0.2">
      <c r="A20" s="40" t="s">
        <v>89</v>
      </c>
      <c r="B20" s="611" t="s">
        <v>132</v>
      </c>
      <c r="C20" s="612"/>
      <c r="D20" s="612"/>
      <c r="E20" s="613"/>
      <c r="F20" s="41">
        <v>6.0000000000000001E-3</v>
      </c>
      <c r="G20" s="42">
        <f>ROUND((F20*'PFS_I Equipe'!$E$28),2)</f>
        <v>199.25</v>
      </c>
      <c r="H20" s="57"/>
    </row>
    <row r="21" spans="1:8" x14ac:dyDescent="0.2">
      <c r="A21" s="40" t="s">
        <v>89</v>
      </c>
      <c r="B21" s="611" t="s">
        <v>133</v>
      </c>
      <c r="C21" s="612"/>
      <c r="D21" s="612"/>
      <c r="E21" s="613"/>
      <c r="F21" s="41">
        <v>2.5000000000000001E-2</v>
      </c>
      <c r="G21" s="42">
        <f>ROUND((F21*'PFS_I Equipe'!$E$28),2)</f>
        <v>830.19</v>
      </c>
      <c r="H21" s="57"/>
    </row>
    <row r="22" spans="1:8" x14ac:dyDescent="0.2">
      <c r="A22" s="40" t="s">
        <v>90</v>
      </c>
      <c r="B22" s="611" t="s">
        <v>134</v>
      </c>
      <c r="C22" s="612"/>
      <c r="D22" s="612"/>
      <c r="E22" s="613"/>
      <c r="F22" s="41">
        <v>0.03</v>
      </c>
      <c r="G22" s="42">
        <f>ROUND((F22*'PFS_I Equipe'!$E$28),2)</f>
        <v>996.23</v>
      </c>
      <c r="H22" s="57"/>
    </row>
    <row r="23" spans="1:8" x14ac:dyDescent="0.2">
      <c r="A23" s="40" t="s">
        <v>91</v>
      </c>
      <c r="B23" s="611" t="s">
        <v>87</v>
      </c>
      <c r="C23" s="612"/>
      <c r="D23" s="612"/>
      <c r="E23" s="613"/>
      <c r="F23" s="41">
        <v>0.08</v>
      </c>
      <c r="G23" s="42">
        <f>ROUND((F23*'PFS_I Equipe'!$E$28),2)</f>
        <v>2656.6</v>
      </c>
      <c r="H23" s="57"/>
    </row>
    <row r="24" spans="1:8" x14ac:dyDescent="0.2">
      <c r="A24" s="40" t="s">
        <v>92</v>
      </c>
      <c r="B24" s="630" t="s">
        <v>135</v>
      </c>
      <c r="C24" s="631"/>
      <c r="D24" s="631"/>
      <c r="E24" s="632"/>
      <c r="F24" s="286">
        <v>0.01</v>
      </c>
      <c r="G24" s="42">
        <f>ROUND((F24*'PFS_I Equipe'!$E$28),2)</f>
        <v>332.08</v>
      </c>
    </row>
    <row r="25" spans="1:8" x14ac:dyDescent="0.2">
      <c r="A25" s="602" t="s">
        <v>93</v>
      </c>
      <c r="B25" s="602"/>
      <c r="C25" s="602"/>
      <c r="D25" s="602"/>
      <c r="E25" s="602"/>
      <c r="F25" s="193">
        <f>ROUND(SUM(F16:F24),4)</f>
        <v>0.378</v>
      </c>
      <c r="G25" s="194">
        <f>SUM(G16:G24)</f>
        <v>12552.46</v>
      </c>
    </row>
    <row r="26" spans="1:8" x14ac:dyDescent="0.2">
      <c r="A26" s="633"/>
      <c r="B26" s="634"/>
      <c r="C26" s="634"/>
      <c r="D26" s="634"/>
      <c r="E26" s="634"/>
      <c r="F26" s="634"/>
      <c r="G26" s="195"/>
    </row>
    <row r="27" spans="1:8" x14ac:dyDescent="0.2">
      <c r="A27" s="44" t="s">
        <v>94</v>
      </c>
      <c r="B27" s="606" t="s">
        <v>95</v>
      </c>
      <c r="C27" s="606"/>
      <c r="D27" s="606"/>
      <c r="E27" s="606"/>
      <c r="F27" s="44"/>
      <c r="G27" s="45"/>
    </row>
    <row r="28" spans="1:8" x14ac:dyDescent="0.2">
      <c r="A28" s="40" t="s">
        <v>120</v>
      </c>
      <c r="B28" s="46" t="s">
        <v>124</v>
      </c>
      <c r="C28" s="296"/>
      <c r="D28" s="296"/>
      <c r="E28" s="297"/>
      <c r="F28" s="47">
        <v>6.8999999999999999E-3</v>
      </c>
      <c r="G28" s="48">
        <f>ROUND((F28*'PFS_I Equipe'!$E$28),2)</f>
        <v>229.13</v>
      </c>
    </row>
    <row r="29" spans="1:8" x14ac:dyDescent="0.2">
      <c r="A29" s="40" t="s">
        <v>121</v>
      </c>
      <c r="B29" s="46" t="s">
        <v>125</v>
      </c>
      <c r="C29" s="296"/>
      <c r="D29" s="296"/>
      <c r="E29" s="297"/>
      <c r="F29" s="47">
        <v>8.3299999999999999E-2</v>
      </c>
      <c r="G29" s="48">
        <f>ROUND((F29*'PFS_I Equipe'!$E$28),2)</f>
        <v>2766.19</v>
      </c>
    </row>
    <row r="30" spans="1:8" x14ac:dyDescent="0.2">
      <c r="A30" s="40" t="s">
        <v>122</v>
      </c>
      <c r="B30" s="46" t="s">
        <v>126</v>
      </c>
      <c r="C30" s="296"/>
      <c r="D30" s="296"/>
      <c r="E30" s="297"/>
      <c r="F30" s="47">
        <v>5.9999999999999995E-4</v>
      </c>
      <c r="G30" s="48">
        <f>ROUND((F30*'PFS_I Equipe'!$E$28),2)</f>
        <v>19.920000000000002</v>
      </c>
    </row>
    <row r="31" spans="1:8" x14ac:dyDescent="0.2">
      <c r="A31" s="40" t="s">
        <v>123</v>
      </c>
      <c r="B31" s="49" t="s">
        <v>201</v>
      </c>
      <c r="C31" s="50"/>
      <c r="D31" s="50"/>
      <c r="E31" s="50"/>
      <c r="F31" s="47">
        <v>5.5999999999999999E-3</v>
      </c>
      <c r="G31" s="48">
        <f>ROUND((F31*'PFS_I Equipe'!$E$28),2)</f>
        <v>185.96</v>
      </c>
    </row>
    <row r="32" spans="1:8" x14ac:dyDescent="0.2">
      <c r="A32" s="40" t="s">
        <v>136</v>
      </c>
      <c r="B32" s="49" t="s">
        <v>202</v>
      </c>
      <c r="C32" s="50"/>
      <c r="D32" s="50"/>
      <c r="E32" s="50"/>
      <c r="F32" s="47">
        <v>8.9999999999999998E-4</v>
      </c>
      <c r="G32" s="48">
        <f>ROUND((F32*'PFS_I Equipe'!$E$28),2)</f>
        <v>29.89</v>
      </c>
    </row>
    <row r="33" spans="1:7" x14ac:dyDescent="0.2">
      <c r="A33" s="40" t="s">
        <v>123</v>
      </c>
      <c r="B33" s="49" t="s">
        <v>203</v>
      </c>
      <c r="C33" s="50"/>
      <c r="D33" s="50"/>
      <c r="E33" s="50"/>
      <c r="F33" s="47">
        <v>7.17E-2</v>
      </c>
      <c r="G33" s="48">
        <f>ROUND((F33*'PFS_I Equipe'!$E$28),2)</f>
        <v>2380.98</v>
      </c>
    </row>
    <row r="34" spans="1:7" x14ac:dyDescent="0.2">
      <c r="A34" s="40" t="s">
        <v>136</v>
      </c>
      <c r="B34" s="49" t="s">
        <v>204</v>
      </c>
      <c r="C34" s="50"/>
      <c r="D34" s="50"/>
      <c r="E34" s="50"/>
      <c r="F34" s="47">
        <v>2.0000000000000001E-4</v>
      </c>
      <c r="G34" s="48">
        <f>ROUND((F34*'PFS_I Equipe'!$E$28),2)</f>
        <v>6.64</v>
      </c>
    </row>
    <row r="35" spans="1:7" x14ac:dyDescent="0.2">
      <c r="A35" s="602" t="s">
        <v>96</v>
      </c>
      <c r="B35" s="602"/>
      <c r="C35" s="602"/>
      <c r="D35" s="602"/>
      <c r="E35" s="602"/>
      <c r="F35" s="193">
        <f>ROUND(SUM(F28:F34),4)</f>
        <v>0.16919999999999999</v>
      </c>
      <c r="G35" s="194">
        <f>SUM(G28:G34)</f>
        <v>5618.71</v>
      </c>
    </row>
    <row r="36" spans="1:7" x14ac:dyDescent="0.2">
      <c r="A36" s="196"/>
      <c r="B36" s="636"/>
      <c r="C36" s="636"/>
      <c r="D36" s="636"/>
      <c r="E36" s="636"/>
      <c r="F36" s="636"/>
      <c r="G36" s="637"/>
    </row>
    <row r="37" spans="1:7" x14ac:dyDescent="0.2">
      <c r="A37" s="44" t="s">
        <v>31</v>
      </c>
      <c r="B37" s="606" t="s">
        <v>97</v>
      </c>
      <c r="C37" s="606"/>
      <c r="D37" s="606"/>
      <c r="E37" s="606"/>
      <c r="F37" s="44"/>
      <c r="G37" s="45"/>
    </row>
    <row r="38" spans="1:7" x14ac:dyDescent="0.2">
      <c r="A38" s="40" t="s">
        <v>98</v>
      </c>
      <c r="B38" s="601" t="s">
        <v>207</v>
      </c>
      <c r="C38" s="601"/>
      <c r="D38" s="601"/>
      <c r="E38" s="601"/>
      <c r="F38" s="41">
        <v>4.3400000000000001E-2</v>
      </c>
      <c r="G38" s="42">
        <f>ROUND((F38*'PFS_I Equipe'!$E$28),2)</f>
        <v>1441.21</v>
      </c>
    </row>
    <row r="39" spans="1:7" x14ac:dyDescent="0.2">
      <c r="A39" s="40" t="s">
        <v>99</v>
      </c>
      <c r="B39" s="601" t="s">
        <v>208</v>
      </c>
      <c r="C39" s="601"/>
      <c r="D39" s="601"/>
      <c r="E39" s="601"/>
      <c r="F39" s="41">
        <v>2.3999999999999998E-3</v>
      </c>
      <c r="G39" s="42">
        <f>ROUND((F39*'PFS_I Equipe'!$E$28),2)</f>
        <v>79.7</v>
      </c>
    </row>
    <row r="40" spans="1:7" x14ac:dyDescent="0.2">
      <c r="A40" s="40" t="s">
        <v>99</v>
      </c>
      <c r="B40" s="601" t="s">
        <v>100</v>
      </c>
      <c r="C40" s="601"/>
      <c r="D40" s="601"/>
      <c r="E40" s="601"/>
      <c r="F40" s="41">
        <v>3.4099999999999998E-2</v>
      </c>
      <c r="G40" s="42">
        <f>ROUND((F40*'PFS_I Equipe'!$E$28),2)</f>
        <v>1132.3800000000001</v>
      </c>
    </row>
    <row r="41" spans="1:7" x14ac:dyDescent="0.2">
      <c r="A41" s="40" t="s">
        <v>205</v>
      </c>
      <c r="B41" s="601" t="s">
        <v>209</v>
      </c>
      <c r="C41" s="601"/>
      <c r="D41" s="601"/>
      <c r="E41" s="601"/>
      <c r="F41" s="41">
        <v>3.6700000000000003E-2</v>
      </c>
      <c r="G41" s="42">
        <f>ROUND((F41*'PFS_I Equipe'!$E$28),2)</f>
        <v>1218.72</v>
      </c>
    </row>
    <row r="42" spans="1:7" x14ac:dyDescent="0.2">
      <c r="A42" s="40" t="s">
        <v>206</v>
      </c>
      <c r="B42" s="601" t="s">
        <v>210</v>
      </c>
      <c r="C42" s="601"/>
      <c r="D42" s="601"/>
      <c r="E42" s="601"/>
      <c r="F42" s="41">
        <v>3.5999999999999999E-3</v>
      </c>
      <c r="G42" s="42">
        <f>ROUND((F42*'PFS_I Equipe'!$E$28),2)</f>
        <v>119.55</v>
      </c>
    </row>
    <row r="43" spans="1:7" x14ac:dyDescent="0.2">
      <c r="A43" s="602" t="s">
        <v>101</v>
      </c>
      <c r="B43" s="602"/>
      <c r="C43" s="602"/>
      <c r="D43" s="602"/>
      <c r="E43" s="602"/>
      <c r="F43" s="193">
        <f>ROUND(SUM(F38:F42),4)</f>
        <v>0.1202</v>
      </c>
      <c r="G43" s="194">
        <f>SUM(G38:G39)</f>
        <v>1520.91</v>
      </c>
    </row>
    <row r="44" spans="1:7" x14ac:dyDescent="0.2">
      <c r="A44" s="603"/>
      <c r="B44" s="604"/>
      <c r="C44" s="604"/>
      <c r="D44" s="604"/>
      <c r="E44" s="604"/>
      <c r="F44" s="604"/>
      <c r="G44" s="605"/>
    </row>
    <row r="45" spans="1:7" x14ac:dyDescent="0.2">
      <c r="A45" s="44" t="s">
        <v>102</v>
      </c>
      <c r="B45" s="606" t="s">
        <v>103</v>
      </c>
      <c r="C45" s="606"/>
      <c r="D45" s="606"/>
      <c r="E45" s="606"/>
      <c r="F45" s="44"/>
      <c r="G45" s="45"/>
    </row>
    <row r="46" spans="1:7" x14ac:dyDescent="0.2">
      <c r="A46" s="40" t="s">
        <v>104</v>
      </c>
      <c r="B46" s="610" t="s">
        <v>105</v>
      </c>
      <c r="C46" s="610"/>
      <c r="D46" s="610"/>
      <c r="E46" s="610"/>
      <c r="F46" s="41">
        <v>6.4000000000000001E-2</v>
      </c>
      <c r="G46" s="42">
        <f>ROUND((F46*'PFS_I Equipe'!$E$28),2)</f>
        <v>2125.2800000000002</v>
      </c>
    </row>
    <row r="47" spans="1:7" ht="25.5" customHeight="1" x14ac:dyDescent="0.2">
      <c r="A47" s="40" t="s">
        <v>211</v>
      </c>
      <c r="B47" s="607" t="s">
        <v>212</v>
      </c>
      <c r="C47" s="608"/>
      <c r="D47" s="608"/>
      <c r="E47" s="609"/>
      <c r="F47" s="41">
        <v>4.4000000000000003E-3</v>
      </c>
      <c r="G47" s="42">
        <f>ROUND((F47*'PFS_I Equipe'!$E$28),2)</f>
        <v>146.11000000000001</v>
      </c>
    </row>
    <row r="48" spans="1:7" x14ac:dyDescent="0.2">
      <c r="A48" s="602" t="s">
        <v>106</v>
      </c>
      <c r="B48" s="602"/>
      <c r="C48" s="602"/>
      <c r="D48" s="602"/>
      <c r="E48" s="602"/>
      <c r="F48" s="193">
        <f>SUM(F46:F47)</f>
        <v>6.8400000000000002E-2</v>
      </c>
      <c r="G48" s="194">
        <f>SUM(G47:G47)</f>
        <v>146.11000000000001</v>
      </c>
    </row>
    <row r="49" spans="1:7" x14ac:dyDescent="0.2">
      <c r="A49" s="197"/>
      <c r="B49" s="198"/>
      <c r="C49" s="198"/>
      <c r="D49" s="198"/>
      <c r="E49" s="198"/>
      <c r="F49" s="199"/>
      <c r="G49" s="200"/>
    </row>
    <row r="50" spans="1:7" x14ac:dyDescent="0.2">
      <c r="A50" s="599" t="s">
        <v>107</v>
      </c>
      <c r="B50" s="600"/>
      <c r="C50" s="600"/>
      <c r="D50" s="600"/>
      <c r="E50" s="600"/>
      <c r="F50" s="201">
        <f>ROUND(F25+F35+F43+F48,4)</f>
        <v>0.73580000000000001</v>
      </c>
      <c r="G50" s="202">
        <f>G25+G35+G43+G48+0.02</f>
        <v>19838.21</v>
      </c>
    </row>
  </sheetData>
  <mergeCells count="34">
    <mergeCell ref="B24:E24"/>
    <mergeCell ref="B37:E37"/>
    <mergeCell ref="B38:E38"/>
    <mergeCell ref="A26:F26"/>
    <mergeCell ref="B15:E15"/>
    <mergeCell ref="A25:E25"/>
    <mergeCell ref="B27:E27"/>
    <mergeCell ref="A35:E35"/>
    <mergeCell ref="B36:G36"/>
    <mergeCell ref="B16:E16"/>
    <mergeCell ref="B17:E17"/>
    <mergeCell ref="B18:E18"/>
    <mergeCell ref="B19:E19"/>
    <mergeCell ref="B20:E20"/>
    <mergeCell ref="B21:E21"/>
    <mergeCell ref="B22:E22"/>
    <mergeCell ref="B23:E23"/>
    <mergeCell ref="A5:F6"/>
    <mergeCell ref="A7:G7"/>
    <mergeCell ref="A13:E14"/>
    <mergeCell ref="F13:G13"/>
    <mergeCell ref="A9:F12"/>
    <mergeCell ref="G10:G12"/>
    <mergeCell ref="A50:E50"/>
    <mergeCell ref="B39:E39"/>
    <mergeCell ref="A43:E43"/>
    <mergeCell ref="A44:G44"/>
    <mergeCell ref="A48:E48"/>
    <mergeCell ref="B45:E45"/>
    <mergeCell ref="B47:E47"/>
    <mergeCell ref="B41:E41"/>
    <mergeCell ref="B42:E42"/>
    <mergeCell ref="B40:E40"/>
    <mergeCell ref="B46:E46"/>
  </mergeCells>
  <phoneticPr fontId="24" type="noConversion"/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horizontalDpi="300" verticalDpi="300" r:id="rId1"/>
  <headerFooter alignWithMargins="0">
    <oddFooter>&amp;R&amp;"Arial,Normal"&amp;8&amp;F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PFS</vt:lpstr>
      <vt:lpstr>PFS_I Equipe</vt:lpstr>
      <vt:lpstr>PFS_II Desp Viagens</vt:lpstr>
      <vt:lpstr>PFS_III Ser Graf</vt:lpstr>
      <vt:lpstr>PFS_IV Serv. top e Geo</vt:lpstr>
      <vt:lpstr>PFS_V Cronog Financ</vt:lpstr>
      <vt:lpstr>PFS_VI_ Det_ Custos Adm_</vt:lpstr>
      <vt:lpstr>PFS_VII Det_ Desp Fiscais</vt:lpstr>
      <vt:lpstr>PFS_VIII Det_ Enc_ Soc_</vt:lpstr>
      <vt:lpstr>SALARIOS</vt:lpstr>
      <vt:lpstr>PFS!Area_de_impressao</vt:lpstr>
      <vt:lpstr>'PFS_I Equipe'!Area_de_impressao</vt:lpstr>
      <vt:lpstr>'PFS_II Desp Viagens'!Area_de_impressao</vt:lpstr>
      <vt:lpstr>'PFS_IV Serv. top e Geo'!Area_de_impressao</vt:lpstr>
      <vt:lpstr>'PFS_VII Det_ Desp Fiscais'!Area_de_impressao</vt:lpstr>
      <vt:lpstr>SALARIOS!Area_de_impressao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Marcio Leite Soares de Melo</dc:creator>
  <cp:lastModifiedBy>George Marcelo Neves de Carvalho</cp:lastModifiedBy>
  <cp:lastPrinted>2014-01-31T12:23:32Z</cp:lastPrinted>
  <dcterms:created xsi:type="dcterms:W3CDTF">2009-12-08T14:34:18Z</dcterms:created>
  <dcterms:modified xsi:type="dcterms:W3CDTF">2014-02-25T12:51:43Z</dcterms:modified>
</cp:coreProperties>
</file>