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210" yWindow="75" windowWidth="11745" windowHeight="11370" tabRatio="539" activeTab="1"/>
  </bookViews>
  <sheets>
    <sheet name="PPU" sheetId="1" r:id="rId1"/>
    <sheet name="PPU SINAPI" sheetId="3" r:id="rId2"/>
    <sheet name="CPU" sheetId="2" r:id="rId3"/>
    <sheet name="cotações" sheetId="7" r:id="rId4"/>
    <sheet name="SERV SINAPI" sheetId="4" state="hidden" r:id="rId5"/>
    <sheet name="Encargos Sociais" sheetId="5" state="hidden" r:id="rId6"/>
    <sheet name="BDI" sheetId="6" r:id="rId7"/>
    <sheet name="Consumo" sheetId="8" state="hidden" r:id="rId8"/>
    <sheet name="Memorial de Cálculo" sheetId="9" r:id="rId9"/>
  </sheets>
  <definedNames>
    <definedName name="_xlnm.Print_Area" localSheetId="6">BDI!$C$1:$J$37</definedName>
    <definedName name="_xlnm.Print_Area" localSheetId="3">cotações!$1:$22</definedName>
    <definedName name="_xlnm.Print_Area" localSheetId="2">CPU!$A$1:$E$277</definedName>
    <definedName name="_xlnm.Print_Area" localSheetId="0">PPU!$A$1:$F$27</definedName>
    <definedName name="_xlnm.Print_Area" localSheetId="1">'PPU SINAPI'!$1:$69</definedName>
    <definedName name="Bebedouro" localSheetId="2">CPU!$A$4:$D$239</definedName>
    <definedName name="Excel_BuiltIn__FilterDatabase" localSheetId="2">CPU!$A$4:$A$240</definedName>
    <definedName name="Excel_BuiltIn__FilterDatabase" localSheetId="1">'PPU SINAPI'!$B$2:$B$56</definedName>
    <definedName name="Print_Area_1_1" localSheetId="6">BDI!#REF!</definedName>
    <definedName name="Print_Area_1_1" localSheetId="0">PPU!$B$2:$F$27</definedName>
    <definedName name="Print_Titles_1_1" localSheetId="1">'PPU SINAPI'!$B$2:$IU$6</definedName>
  </definedNames>
  <calcPr calcId="124519" fullCalcOnLoad="1"/>
</workbook>
</file>

<file path=xl/calcChain.xml><?xml version="1.0" encoding="utf-8"?>
<calcChain xmlns="http://schemas.openxmlformats.org/spreadsheetml/2006/main">
  <c r="D25" i="1"/>
  <c r="D24"/>
  <c r="D22"/>
  <c r="D20"/>
  <c r="D19"/>
  <c r="D18"/>
  <c r="D17"/>
  <c r="D16"/>
  <c r="D15"/>
  <c r="D14"/>
  <c r="D13"/>
  <c r="D12"/>
  <c r="B39" i="9"/>
  <c r="D34"/>
  <c r="D33"/>
  <c r="E34"/>
  <c r="E25"/>
  <c r="E22"/>
  <c r="B19"/>
  <c r="E19"/>
  <c r="E16"/>
  <c r="G13"/>
  <c r="D13"/>
  <c r="B13"/>
  <c r="D12"/>
  <c r="G12"/>
  <c r="E9"/>
  <c r="E6"/>
  <c r="D6"/>
  <c r="D5"/>
  <c r="D4"/>
  <c r="C191" i="2"/>
  <c r="A191"/>
  <c r="D191"/>
  <c r="E191"/>
  <c r="C215"/>
  <c r="C214"/>
  <c r="J18" i="7"/>
  <c r="J12"/>
  <c r="J13"/>
  <c r="J14"/>
  <c r="J15"/>
  <c r="J16"/>
  <c r="J17"/>
  <c r="G16"/>
  <c r="C16"/>
  <c r="C15"/>
  <c r="J11"/>
  <c r="E9"/>
  <c r="G9"/>
  <c r="J5"/>
  <c r="J10"/>
  <c r="J6"/>
  <c r="J7"/>
  <c r="J8"/>
  <c r="C195" i="2"/>
  <c r="C194"/>
  <c r="C192"/>
  <c r="C193"/>
  <c r="C224"/>
  <c r="C223"/>
  <c r="C222"/>
  <c r="E272"/>
  <c r="E265"/>
  <c r="E257"/>
  <c r="E241"/>
  <c r="E230"/>
  <c r="E220"/>
  <c r="E212"/>
  <c r="E200"/>
  <c r="E188"/>
  <c r="E180"/>
  <c r="E169"/>
  <c r="E161"/>
  <c r="E151"/>
  <c r="E143"/>
  <c r="E136"/>
  <c r="E125"/>
  <c r="E115"/>
  <c r="E107"/>
  <c r="E96"/>
  <c r="E85"/>
  <c r="E76"/>
  <c r="E68"/>
  <c r="E56"/>
  <c r="E48"/>
  <c r="E13"/>
  <c r="E41"/>
  <c r="E31"/>
  <c r="D173"/>
  <c r="E173" s="1"/>
  <c r="D11" i="3"/>
  <c r="D259" i="2" s="1"/>
  <c r="E259" s="1"/>
  <c r="E261" s="1"/>
  <c r="D12" i="3"/>
  <c r="D128" i="2"/>
  <c r="E128" s="1"/>
  <c r="D236"/>
  <c r="E236" s="1"/>
  <c r="D235"/>
  <c r="E235" s="1"/>
  <c r="D33" i="3"/>
  <c r="D61" i="2" s="1"/>
  <c r="E61" s="1"/>
  <c r="D118"/>
  <c r="E118" s="1"/>
  <c r="E121" s="1"/>
  <c r="D13" i="3"/>
  <c r="D131" i="2" s="1"/>
  <c r="E131" s="1"/>
  <c r="D36" i="3"/>
  <c r="D102" i="2" s="1"/>
  <c r="E102" s="1"/>
  <c r="D50"/>
  <c r="E50" s="1"/>
  <c r="I28" i="6"/>
  <c r="F24"/>
  <c r="I20"/>
  <c r="I22"/>
  <c r="E18"/>
  <c r="I18"/>
  <c r="F33"/>
  <c r="D35"/>
  <c r="D36"/>
  <c r="F13"/>
  <c r="I13"/>
  <c r="D55" i="3"/>
  <c r="D190" i="2" s="1"/>
  <c r="E190" s="1"/>
  <c r="D250"/>
  <c r="E250" s="1"/>
  <c r="E252" s="1"/>
  <c r="D15" i="3"/>
  <c r="D195" i="2" s="1"/>
  <c r="E195" s="1"/>
  <c r="C156"/>
  <c r="C155"/>
  <c r="C225"/>
  <c r="D22" i="3"/>
  <c r="D182" i="2"/>
  <c r="E182" s="1"/>
  <c r="D56" i="3"/>
  <c r="D183" i="2"/>
  <c r="E183" s="1"/>
  <c r="D54" i="3"/>
  <c r="D60" i="2"/>
  <c r="E60" s="1"/>
  <c r="D18" i="3"/>
  <c r="D194" i="2" s="1"/>
  <c r="E194" s="1"/>
  <c r="D14" i="3"/>
  <c r="D192" i="2" s="1"/>
  <c r="E192" s="1"/>
  <c r="D28" i="3"/>
  <c r="D224" i="2" s="1"/>
  <c r="E224" s="1"/>
  <c r="D19" i="3"/>
  <c r="D223" i="2"/>
  <c r="E223" s="1"/>
  <c r="D35" i="3"/>
  <c r="D129" i="2" s="1"/>
  <c r="E129" s="1"/>
  <c r="D44" i="3"/>
  <c r="D193" i="2" s="1"/>
  <c r="E193" s="1"/>
  <c r="D154"/>
  <c r="E154" s="1"/>
  <c r="D153"/>
  <c r="E153" s="1"/>
  <c r="D204"/>
  <c r="E204" s="1"/>
  <c r="D202"/>
  <c r="D214"/>
  <c r="D215"/>
  <c r="E215" s="1"/>
  <c r="D156"/>
  <c r="E156"/>
  <c r="D8"/>
  <c r="E8" s="1"/>
  <c r="C190"/>
  <c r="E6" i="8"/>
  <c r="C202" i="2"/>
  <c r="E202" s="1"/>
  <c r="D6"/>
  <c r="E6" s="1"/>
  <c r="D7"/>
  <c r="E7" s="1"/>
  <c r="D17"/>
  <c r="E17"/>
  <c r="D18"/>
  <c r="E18" s="1"/>
  <c r="D19"/>
  <c r="E19"/>
  <c r="D26"/>
  <c r="E26" s="1"/>
  <c r="E27" s="1"/>
  <c r="C60"/>
  <c r="C62"/>
  <c r="D62"/>
  <c r="E62" s="1"/>
  <c r="D71"/>
  <c r="E71" s="1"/>
  <c r="D89"/>
  <c r="E89" s="1"/>
  <c r="D90"/>
  <c r="E90" s="1"/>
  <c r="D100"/>
  <c r="E100" s="1"/>
  <c r="D101"/>
  <c r="E101" s="1"/>
  <c r="D119"/>
  <c r="E119" s="1"/>
  <c r="D120"/>
  <c r="E120" s="1"/>
  <c r="D130"/>
  <c r="E130" s="1"/>
  <c r="D138"/>
  <c r="E138" s="1"/>
  <c r="E139" s="1"/>
  <c r="D155"/>
  <c r="E155" s="1"/>
  <c r="D163"/>
  <c r="E163" s="1"/>
  <c r="D164"/>
  <c r="E164" s="1"/>
  <c r="D171"/>
  <c r="E171" s="1"/>
  <c r="D172"/>
  <c r="E172" s="1"/>
  <c r="D174"/>
  <c r="E174" s="1"/>
  <c r="D175"/>
  <c r="E175" s="1"/>
  <c r="D205"/>
  <c r="E205" s="1"/>
  <c r="D206"/>
  <c r="E206" s="1"/>
  <c r="D207"/>
  <c r="E207" s="1"/>
  <c r="D222"/>
  <c r="E222" s="1"/>
  <c r="E226" s="1"/>
  <c r="D225"/>
  <c r="E225" s="1"/>
  <c r="D232"/>
  <c r="E232" s="1"/>
  <c r="E237" s="1"/>
  <c r="D267"/>
  <c r="E267"/>
  <c r="E268" s="1"/>
  <c r="D274"/>
  <c r="E274" s="1"/>
  <c r="E275" s="1"/>
  <c r="F19" i="5"/>
  <c r="F23"/>
  <c r="F29"/>
  <c r="F34"/>
  <c r="F36"/>
  <c r="F67"/>
  <c r="F75"/>
  <c r="F88"/>
  <c r="F81"/>
  <c r="F86"/>
  <c r="D58" i="2"/>
  <c r="E58" s="1"/>
  <c r="D62" i="3"/>
  <c r="D260" i="2"/>
  <c r="J5" i="4"/>
  <c r="J6"/>
  <c r="J7"/>
  <c r="J8"/>
  <c r="J9"/>
  <c r="J10"/>
  <c r="J11"/>
  <c r="J12"/>
  <c r="J13"/>
  <c r="J14"/>
  <c r="J15"/>
  <c r="C1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E36"/>
  <c r="J36"/>
  <c r="J37"/>
  <c r="J38"/>
  <c r="J39"/>
  <c r="J40"/>
  <c r="J41"/>
  <c r="D59" i="2"/>
  <c r="E59" s="1"/>
  <c r="D79"/>
  <c r="E79"/>
  <c r="D99"/>
  <c r="E99" s="1"/>
  <c r="D117"/>
  <c r="E117"/>
  <c r="D16"/>
  <c r="E16" s="1"/>
  <c r="D88"/>
  <c r="E88"/>
  <c r="D109"/>
  <c r="E109" s="1"/>
  <c r="E110" s="1"/>
  <c r="D243"/>
  <c r="E243" s="1"/>
  <c r="E244" s="1"/>
  <c r="D233"/>
  <c r="E233"/>
  <c r="D87"/>
  <c r="E87" s="1"/>
  <c r="E92" s="1"/>
  <c r="D15"/>
  <c r="E15"/>
  <c r="D98"/>
  <c r="E98" s="1"/>
  <c r="D78"/>
  <c r="E78" s="1"/>
  <c r="D12" i="4"/>
  <c r="E12"/>
  <c r="D16"/>
  <c r="E16" s="1"/>
  <c r="D15"/>
  <c r="E15" s="1"/>
  <c r="D251" i="2"/>
  <c r="E251"/>
  <c r="D234"/>
  <c r="E234"/>
  <c r="D70"/>
  <c r="E70" s="1"/>
  <c r="E72" s="1"/>
  <c r="D51"/>
  <c r="E51" s="1"/>
  <c r="D127"/>
  <c r="E127"/>
  <c r="D43"/>
  <c r="E43" s="1"/>
  <c r="E44" s="1"/>
  <c r="D11" i="4"/>
  <c r="E11" s="1"/>
  <c r="E10" s="1"/>
  <c r="D32"/>
  <c r="E32"/>
  <c r="E31" s="1"/>
  <c r="D64"/>
  <c r="D25"/>
  <c r="E25"/>
  <c r="D41"/>
  <c r="E41" s="1"/>
  <c r="D57"/>
  <c r="D58"/>
  <c r="D30"/>
  <c r="E30" s="1"/>
  <c r="E29" s="1"/>
  <c r="D26"/>
  <c r="E26" s="1"/>
  <c r="D91" i="2"/>
  <c r="E91"/>
  <c r="E260"/>
  <c r="D217"/>
  <c r="D269"/>
  <c r="D253"/>
  <c r="D238"/>
  <c r="D209"/>
  <c r="D185"/>
  <c r="D166"/>
  <c r="D148"/>
  <c r="D133"/>
  <c r="D111"/>
  <c r="D93"/>
  <c r="D73"/>
  <c r="D53"/>
  <c r="D28"/>
  <c r="D2" i="3"/>
  <c r="D38" i="2"/>
  <c r="D276"/>
  <c r="D262"/>
  <c r="D245"/>
  <c r="D227"/>
  <c r="D197"/>
  <c r="D177"/>
  <c r="D158"/>
  <c r="D140"/>
  <c r="D122"/>
  <c r="D104"/>
  <c r="D82"/>
  <c r="D65"/>
  <c r="D45"/>
  <c r="D10"/>
  <c r="D21"/>
  <c r="E33"/>
  <c r="E214"/>
  <c r="E216" s="1"/>
  <c r="E33" i="9"/>
  <c r="E35"/>
  <c r="D39"/>
  <c r="D38" i="4" l="1"/>
  <c r="E38" s="1"/>
  <c r="D14"/>
  <c r="E14" s="1"/>
  <c r="E13" s="1"/>
  <c r="E45" i="2"/>
  <c r="E46" s="1"/>
  <c r="E12" i="1" s="1"/>
  <c r="F12" s="1"/>
  <c r="E227" i="2"/>
  <c r="E228"/>
  <c r="D55" i="4"/>
  <c r="E254" i="2"/>
  <c r="D60" i="4"/>
  <c r="E253" i="2"/>
  <c r="E176"/>
  <c r="E245"/>
  <c r="D59" i="4"/>
  <c r="E246" i="2"/>
  <c r="E276"/>
  <c r="E277"/>
  <c r="D63" i="4"/>
  <c r="D34"/>
  <c r="E34" s="1"/>
  <c r="E140" i="2"/>
  <c r="E141"/>
  <c r="E24" i="1" s="1"/>
  <c r="F24" s="1"/>
  <c r="D7" i="4"/>
  <c r="E7" s="1"/>
  <c r="E28" i="2"/>
  <c r="E29" s="1"/>
  <c r="E8" i="1" s="1"/>
  <c r="F8" s="1"/>
  <c r="E239" i="2"/>
  <c r="E238"/>
  <c r="D56" i="4"/>
  <c r="E263" i="2"/>
  <c r="D203" s="1"/>
  <c r="E203" s="1"/>
  <c r="E208" s="1"/>
  <c r="D61" i="4"/>
  <c r="E262" i="2"/>
  <c r="E20"/>
  <c r="E103"/>
  <c r="E9"/>
  <c r="E184"/>
  <c r="D19" i="4"/>
  <c r="E19" s="1"/>
  <c r="E73" i="2"/>
  <c r="E74" s="1"/>
  <c r="E15" i="1" s="1"/>
  <c r="F15" s="1"/>
  <c r="D62" i="4"/>
  <c r="E269" i="2"/>
  <c r="E270" s="1"/>
  <c r="E123"/>
  <c r="E20" i="1" s="1"/>
  <c r="F20" s="1"/>
  <c r="E122" i="2"/>
  <c r="D24" i="4"/>
  <c r="E24" s="1"/>
  <c r="D54"/>
  <c r="D35" i="2"/>
  <c r="E35" s="1"/>
  <c r="E217"/>
  <c r="E218" s="1"/>
  <c r="D21" i="4"/>
  <c r="E21" s="1"/>
  <c r="E93" i="2"/>
  <c r="E94" s="1"/>
  <c r="E17" i="1" s="1"/>
  <c r="F17" s="1"/>
  <c r="E111" i="2"/>
  <c r="E112" s="1"/>
  <c r="E19" i="1" s="1"/>
  <c r="F19" s="1"/>
  <c r="D23" i="4"/>
  <c r="E23" s="1"/>
  <c r="E132" i="2"/>
  <c r="E165"/>
  <c r="E157"/>
  <c r="E196"/>
  <c r="E52"/>
  <c r="D53" i="4" l="1"/>
  <c r="E209" i="2"/>
  <c r="D34"/>
  <c r="E34" s="1"/>
  <c r="E210"/>
  <c r="D39" i="4"/>
  <c r="E39" s="1"/>
  <c r="D63" i="2"/>
  <c r="E63" s="1"/>
  <c r="E64" s="1"/>
  <c r="D17" i="4"/>
  <c r="E17" s="1"/>
  <c r="E53" i="2"/>
  <c r="E54" s="1"/>
  <c r="E13" i="1" s="1"/>
  <c r="F13" s="1"/>
  <c r="D145" i="2"/>
  <c r="E145" s="1"/>
  <c r="E178"/>
  <c r="E177"/>
  <c r="D50" i="4"/>
  <c r="D52"/>
  <c r="D36" i="2"/>
  <c r="E36" s="1"/>
  <c r="E197"/>
  <c r="E198"/>
  <c r="E133"/>
  <c r="E134" s="1"/>
  <c r="E22" i="1" s="1"/>
  <c r="F22" s="1"/>
  <c r="F21" s="1"/>
  <c r="D28" i="4"/>
  <c r="E28" s="1"/>
  <c r="E27" s="1"/>
  <c r="D80" i="2"/>
  <c r="E80" s="1"/>
  <c r="E81" s="1"/>
  <c r="E185"/>
  <c r="E186"/>
  <c r="D51" i="4"/>
  <c r="E167" i="2"/>
  <c r="D49" i="4"/>
  <c r="E166" i="2"/>
  <c r="D146"/>
  <c r="E146" s="1"/>
  <c r="E105"/>
  <c r="E18" i="1" s="1"/>
  <c r="F18" s="1"/>
  <c r="E104" i="2"/>
  <c r="D22" i="4"/>
  <c r="E22" s="1"/>
  <c r="E22" i="2"/>
  <c r="E7" i="1" s="1"/>
  <c r="F7" s="1"/>
  <c r="E21" i="2"/>
  <c r="D6" i="4"/>
  <c r="E6" s="1"/>
  <c r="E158" i="2"/>
  <c r="E159"/>
  <c r="E26" i="1" s="1"/>
  <c r="F26" s="1"/>
  <c r="D5" i="4"/>
  <c r="E5" s="1"/>
  <c r="E11" i="2"/>
  <c r="E6" i="1" s="1"/>
  <c r="F6" s="1"/>
  <c r="E10" i="2"/>
  <c r="E65" l="1"/>
  <c r="E66" s="1"/>
  <c r="E14" i="1" s="1"/>
  <c r="F14" s="1"/>
  <c r="F11" s="1"/>
  <c r="D18" i="4"/>
  <c r="E18" s="1"/>
  <c r="D40"/>
  <c r="E40" s="1"/>
  <c r="E37" s="1"/>
  <c r="E4"/>
  <c r="D20"/>
  <c r="E20" s="1"/>
  <c r="E82" i="2"/>
  <c r="E83"/>
  <c r="E16" i="1" s="1"/>
  <c r="F16" s="1"/>
  <c r="F5"/>
  <c r="E147" i="2"/>
  <c r="E37"/>
  <c r="E148" l="1"/>
  <c r="E149"/>
  <c r="E25" i="1" s="1"/>
  <c r="F25" s="1"/>
  <c r="F23" s="1"/>
  <c r="D35" i="4"/>
  <c r="E35" s="1"/>
  <c r="E33" s="1"/>
  <c r="D9"/>
  <c r="E9" s="1"/>
  <c r="E8" s="1"/>
  <c r="E38" i="2"/>
  <c r="E39" s="1"/>
  <c r="E10" i="1" s="1"/>
  <c r="F10" s="1"/>
  <c r="F9" s="1"/>
  <c r="E27" s="1"/>
  <c r="D42" i="4"/>
</calcChain>
</file>

<file path=xl/sharedStrings.xml><?xml version="1.0" encoding="utf-8"?>
<sst xmlns="http://schemas.openxmlformats.org/spreadsheetml/2006/main" count="1146" uniqueCount="454">
  <si>
    <t>REABILITAÇÃO DOS CANAIS DO PERÍMETRO DE IRRIGAÇÃO BEBEDOURO</t>
  </si>
  <si>
    <t>Descrição</t>
  </si>
  <si>
    <t>Unidade</t>
  </si>
  <si>
    <t>Quantid.</t>
  </si>
  <si>
    <t>Valor Unit.</t>
  </si>
  <si>
    <t>Valor Parcial</t>
  </si>
  <si>
    <t>SERVIÇOS PRELIMINARES</t>
  </si>
  <si>
    <t>Mobilização e desmobilização</t>
  </si>
  <si>
    <t>UN</t>
  </si>
  <si>
    <t>Placa de identificação da obra</t>
  </si>
  <si>
    <t>M2</t>
  </si>
  <si>
    <t>Canteiro de obras</t>
  </si>
  <si>
    <t>mês</t>
  </si>
  <si>
    <t>ADMINISTRAÇÃO LOCAL</t>
  </si>
  <si>
    <t>Administração Local</t>
  </si>
  <si>
    <t>Mês</t>
  </si>
  <si>
    <t>DESMATAMENTO E LIMPEZA</t>
  </si>
  <si>
    <t>Desmatamento e Limpeza</t>
  </si>
  <si>
    <t>Roço e Limpeza</t>
  </si>
  <si>
    <t>CANAIS</t>
  </si>
  <si>
    <t>Limpeza manual dos canais</t>
  </si>
  <si>
    <t>Retirada de manta asfáltica existente</t>
  </si>
  <si>
    <t>M3xKM</t>
  </si>
  <si>
    <t>Limpeza das placas com hidrojato</t>
  </si>
  <si>
    <t>Regularização/construção de junta de dilatação</t>
  </si>
  <si>
    <t>M</t>
  </si>
  <si>
    <t xml:space="preserve">Esgotamento do canal </t>
  </si>
  <si>
    <t>H</t>
  </si>
  <si>
    <t>Demolição de placas em concreto, inclusive carga, transporte e descarga, DMT até 3km</t>
  </si>
  <si>
    <t>M3</t>
  </si>
  <si>
    <t>Recomposição de placas de canais com concreto  15 Mpa</t>
  </si>
  <si>
    <t>Revestimento de canais com placas de concreto usinado -15 Mpa</t>
  </si>
  <si>
    <t>Escavação manual em solo saturado - aterro da seção do canal - até 2m de prof.</t>
  </si>
  <si>
    <t>Aterro compactado p/ regularização dos taludes dos canais com solo cimento</t>
  </si>
  <si>
    <t>Geomembrana esp = 0,8mm (fornec, transporte e instalação)</t>
  </si>
  <si>
    <t>Recrava de geomembrana</t>
  </si>
  <si>
    <t>ENSECADEIRAS</t>
  </si>
  <si>
    <t>Ensecadeira com saco de areia</t>
  </si>
  <si>
    <t>EMBASAMENTO C/ PEDRA ARGAMASSADA</t>
  </si>
  <si>
    <t>embasamento c/ pedra argamassada</t>
  </si>
  <si>
    <t>ENROCAMENTO</t>
  </si>
  <si>
    <t>Enrocamento com pedra rachão em taludes dos canais</t>
  </si>
  <si>
    <t>SERVIÇOS E EQUIPAMENTOS DE APOIO</t>
  </si>
  <si>
    <t>Grupo gerador</t>
  </si>
  <si>
    <t>Caminhão Pipa</t>
  </si>
  <si>
    <t>Serviços topográficos</t>
  </si>
  <si>
    <t>CORPO DO AQUEDUTO</t>
  </si>
  <si>
    <t>Revestimento e impermeabilização com argamassa polimérica</t>
  </si>
  <si>
    <t>TOTAL DA OBRA</t>
  </si>
  <si>
    <t>Mobilização e desmobilição</t>
  </si>
  <si>
    <t>Coeficiente</t>
  </si>
  <si>
    <t>Valor unit.</t>
  </si>
  <si>
    <t>RETROESCAVADEIRA</t>
  </si>
  <si>
    <t>Hprod</t>
  </si>
  <si>
    <t>CAMINHÃO MUNCK</t>
  </si>
  <si>
    <t>SERVENTE</t>
  </si>
  <si>
    <t>CUSTO DIRETO</t>
  </si>
  <si>
    <t>BDI</t>
  </si>
  <si>
    <t>TOTAL (CUSTO DIRETO + BDI)</t>
  </si>
  <si>
    <t>PEDREIRO</t>
  </si>
  <si>
    <t>PREGO DE ACO 18 X 30 C/ CABEÇA</t>
  </si>
  <si>
    <t>KG</t>
  </si>
  <si>
    <t>PONTALETE DE MADEIRA DE LEI 8 X 8 CM</t>
  </si>
  <si>
    <t>PLACA DE OBRA (IDENTIFICACAO) PARA CONSTRUCAO CVIL EM CHAPA GALVANIZADA</t>
  </si>
  <si>
    <t>Locação de casa para instalação do canteiro de obras</t>
  </si>
  <si>
    <t>Administração local</t>
  </si>
  <si>
    <t>EPI - EQUIPAMENTOS DE SEGURANÇA</t>
  </si>
  <si>
    <t>CONSUMO ADMINISTRATIVO</t>
  </si>
  <si>
    <t>PESSOAL ADMINISTRATIVO</t>
  </si>
  <si>
    <t>VEICULO E EQUIPAMENTOS</t>
  </si>
  <si>
    <t>h</t>
  </si>
  <si>
    <t>Limpeza manual</t>
  </si>
  <si>
    <t>Limpeza das placas com jato de alta pressão de ar e água</t>
  </si>
  <si>
    <t>LAVADORA DE ALTA PRESSAO ( LAVA-JATO) PARA AGUA FRIA DE 140 A 1900 LIBRAS , VAZAO DE 150 A 600 LITROS/HORA</t>
  </si>
  <si>
    <t>un</t>
  </si>
  <si>
    <t>310 ml</t>
  </si>
  <si>
    <t>DELIMITADOR DE PROFUNDIDADE, ESPUMA POLIETILENO DE BAIXA DENSIDADE</t>
  </si>
  <si>
    <t>m</t>
  </si>
  <si>
    <t>TINTA BETUMINOSA (PRIMER)</t>
  </si>
  <si>
    <t>l</t>
  </si>
  <si>
    <t>SECAGEM DAS JUNTAS DAS PLACAS COM AR COMPRIMIDO</t>
  </si>
  <si>
    <t>m2</t>
  </si>
  <si>
    <t>Esgotamento do Canal</t>
  </si>
  <si>
    <t>CHP</t>
  </si>
  <si>
    <t>Demolição de placas em concreto, inclusive, carga, transporte e descarga</t>
  </si>
  <si>
    <t>Carga, transporte e descarga de material (bota fora) até 5 km</t>
  </si>
  <si>
    <t>Recomposição de placas de canais com concreto usinado bombeado de 15 MPA</t>
  </si>
  <si>
    <t>ADITIVO DE PEGA RAPIDA VEDACIT OU ADESIVO EQU</t>
  </si>
  <si>
    <t>L</t>
  </si>
  <si>
    <t>CONCRETO USINADO BOMBEADO FCK 15 Mpa - FORNECIMENTO</t>
  </si>
  <si>
    <t>GABARITO METALON 50 X 20 MM</t>
  </si>
  <si>
    <t>Revestimento de canais com placas de concreto usinado bombeado dfe 15 MPA</t>
  </si>
  <si>
    <t>Escavação manual em solo saturado - Aterro da seção do canal - Até 2 m de profundidade</t>
  </si>
  <si>
    <t>Aterro compactado p/ regularização dos taludes dos canais com solo cimento (6%)</t>
  </si>
  <si>
    <t>MATERIAL PARA ATERRO RETIRADO NA JAZIDA - COM TRANSPORTE ATÉ 10 KM (*)</t>
  </si>
  <si>
    <t>CIMENTO PORTLAND COMUM</t>
  </si>
  <si>
    <t>(*) Empolamento já incluso no custo unit. do material</t>
  </si>
  <si>
    <t>74138/01</t>
  </si>
  <si>
    <t>Ensecadeira com sacos de areia</t>
  </si>
  <si>
    <t>AGULHA 125 PARA SACO</t>
  </si>
  <si>
    <t>FIO PARA COSTURAR SACO</t>
  </si>
  <si>
    <t>SACO PLASTICO EM POLIPROPILENO PARA 50kg</t>
  </si>
  <si>
    <t>AREIA P/ ATERRO(EXTRAÍDO DE CÓRREGOS E MANANCIAIS LOCAIS)</t>
  </si>
  <si>
    <t>GRUPO GERADOR DE  5 ATE 20KVA</t>
  </si>
  <si>
    <t>CAMINHAO PIPA 10000L TRUCADO, 208CV, TaNQUE DE ACO PARA TRANSPORTE DE AGUA E MOTOBOMBA CENTRIFUGA</t>
  </si>
  <si>
    <t>CHI</t>
  </si>
  <si>
    <t>SERVIÇOS TOPOGRAFICA</t>
  </si>
  <si>
    <t>NÍVEL CLASSE 4 N3</t>
  </si>
  <si>
    <t>MIRAS</t>
  </si>
  <si>
    <t>TOPOGRAFO</t>
  </si>
  <si>
    <t>74066/02</t>
  </si>
  <si>
    <t>CAMINHÃO PIPA 1000 – MAO-DE-OBRA DIURNA NA OPERACAO</t>
  </si>
  <si>
    <t>CAMINHÃO PIPA 1000 – DEPRECIACAO E JUROS</t>
  </si>
  <si>
    <t>CAMINHÃO PIPA 1000 – MANUTENCAO</t>
  </si>
  <si>
    <t>CAMINHÃO PIPA 1000 – MATERIAL DE OPERAÇÃO</t>
  </si>
  <si>
    <t>CAMINHÃO BASCULANTE</t>
  </si>
  <si>
    <t>RETRO ESCAVADEIRA</t>
  </si>
  <si>
    <t>Veiculo e equipamentos</t>
  </si>
  <si>
    <t>BEBEDOURO</t>
  </si>
  <si>
    <t>VEICULO LEVE TIPO HATCH 1.0 FLEX (S/MOTORISTA)</t>
  </si>
  <si>
    <t>ARMARIO DE AÇO</t>
  </si>
  <si>
    <t>MESA DE ESCRITÓRIO</t>
  </si>
  <si>
    <t>CADEIRA</t>
  </si>
  <si>
    <t>BANHEIRO QUIMICO</t>
  </si>
  <si>
    <t>CONSUMO DE ENERGIA</t>
  </si>
  <si>
    <t>KW</t>
  </si>
  <si>
    <t>CONSUMO DE ÁGUA</t>
  </si>
  <si>
    <t>DESPESAS COM TELEFONE CELULAR</t>
  </si>
  <si>
    <t>MATERIAL DE ESCRITORIO</t>
  </si>
  <si>
    <t>MATERIAL DE LIMPEZA</t>
  </si>
  <si>
    <t>INTERNET</t>
  </si>
  <si>
    <t>Pessoal Administrativo</t>
  </si>
  <si>
    <t>ENGENHEIRO JUNIOR</t>
  </si>
  <si>
    <t>Epi - equipamentos de segurança</t>
  </si>
  <si>
    <t>BOTA DE COURO PRETA COM ELÁSTICO</t>
  </si>
  <si>
    <t>PAR</t>
  </si>
  <si>
    <t>CALÇA</t>
  </si>
  <si>
    <t>CAMISA COM LOGOMARCA</t>
  </si>
  <si>
    <t>CAPACETE MSA COM APOIO JUGULAR</t>
  </si>
  <si>
    <t>CONCRETO USINADO BOMBEADO, FCK = 15 MPA – INCLUSIVE COLOCAÇÃO, ESPALHAMENTO E ADENSAMENTO MECÂNICO-NBR 6118</t>
  </si>
  <si>
    <t>SINAPI</t>
  </si>
  <si>
    <t>VIBRADOR DE IMERSAO MOTOR ELETR 2CV (CP) TUBO DE 48X48 C/MANGOTE DE 5M COMP -EXCL OPERADOR</t>
  </si>
  <si>
    <t>VIBRADOR DE IMERSAO MOTOR ELETR 2CV (CI) TUBO DE 48X48 C/MANGOTE DE 5M COMP -EXCL OPERADOR</t>
  </si>
  <si>
    <t>76444/1</t>
  </si>
  <si>
    <t>Escavação manual de vala em solo compactado - Até 1,5 m de profundidade</t>
  </si>
  <si>
    <t>Secagem das placas com ar comprimido</t>
  </si>
  <si>
    <t>COMPRESSOR DE AR (200 PSI)</t>
  </si>
  <si>
    <t>ÁGUA MINERAL  (GARRAFÃO DE 20 LITROS)</t>
  </si>
  <si>
    <t>ÁGUA ENCANADA</t>
  </si>
  <si>
    <t>m3</t>
  </si>
  <si>
    <t>Despesas com telefone celular</t>
  </si>
  <si>
    <t>PLANO EMPRESARIAL MÓVEL</t>
  </si>
  <si>
    <t>Consumo de energia</t>
  </si>
  <si>
    <t>ARGAMASSA CIMENTO E AREIA 1:4 PREPARO MECÂNICO</t>
  </si>
  <si>
    <t>Valor Unitário</t>
  </si>
  <si>
    <t>Valor</t>
  </si>
  <si>
    <t>CÓDIGO SINAPI</t>
  </si>
  <si>
    <t>CONCRETO USINADO BOMBEADO FCK 15 MPa</t>
  </si>
  <si>
    <t>00001523</t>
  </si>
  <si>
    <t>ADITIVO DE PEGA RAPIDA VEDACIT OU ADESIVO EQUIV</t>
  </si>
  <si>
    <t>00000124</t>
  </si>
  <si>
    <t>SELANTE ELÁSTICO MONOCOMPONENTE À BASE DE POLIURETANO SIKAFLEX 1A PLUS OU EQUIVALENTE</t>
  </si>
  <si>
    <t>310 ML</t>
  </si>
  <si>
    <t>LAVADORA DE ALTA PRESSAO DE 140 A 1900 LIBRAS , VAZAO DE 150 A 600 LITROS/HORA</t>
  </si>
  <si>
    <t>000746</t>
  </si>
  <si>
    <t>AREIA P/ ATERRO (EXTRAÍDO DE CÓRREGOS E MANANCIAIS LOCAIS)</t>
  </si>
  <si>
    <t>MATERIAL PARA ATERRO/ REATERRO, INCLUSO TRANSPORTE ATÉ 10 KM</t>
  </si>
  <si>
    <t>BANHEIRO QUÍMICO</t>
  </si>
  <si>
    <t>GABARITO METALON 5 X 2 cm</t>
  </si>
  <si>
    <t>Locação de casa instalação da canteiro de obras</t>
  </si>
  <si>
    <t>00012893</t>
  </si>
  <si>
    <t>CARRINHO DE MÃO</t>
  </si>
  <si>
    <t>00002711</t>
  </si>
  <si>
    <t>PLACA DE OBRA (IDENTIFICACAO) PARA CONSTRUCAO CIVIL EM CHAPA GALVANIZADA NUM 22 (NAO INCLUI COLOCACAO)</t>
  </si>
  <si>
    <t>00004813</t>
  </si>
  <si>
    <t>MATERIAL DE ESCRITÓRIO</t>
  </si>
  <si>
    <t>*</t>
  </si>
  <si>
    <t>ARMÁRIO DE AÇO</t>
  </si>
  <si>
    <t>00004433</t>
  </si>
  <si>
    <t>SUPORTE P/BEBEDOURO</t>
  </si>
  <si>
    <t>00005075</t>
  </si>
  <si>
    <t>TINTA BETUMINOSA (PRIMER) -</t>
  </si>
  <si>
    <t>511</t>
  </si>
  <si>
    <t>TARIFA COMPESA</t>
  </si>
  <si>
    <t>TARIFA CELPE</t>
  </si>
  <si>
    <t>kW</t>
  </si>
  <si>
    <t>* Preço recomendado pela Codevasf mais encargos sociais com composição anexa.</t>
  </si>
  <si>
    <t>Valor Unit. (S/BDI)</t>
  </si>
  <si>
    <t>Preço</t>
  </si>
  <si>
    <t>Código</t>
  </si>
  <si>
    <t>74209/001</t>
  </si>
  <si>
    <t>73822/001</t>
  </si>
  <si>
    <t>73822/002</t>
  </si>
  <si>
    <t>73948/016</t>
  </si>
  <si>
    <t>Transporte de manta asfáltica</t>
  </si>
  <si>
    <t>20,2 (1X1cm)</t>
  </si>
  <si>
    <t>74121/01</t>
  </si>
  <si>
    <t>Esgotamento do canal</t>
  </si>
  <si>
    <t>HP H</t>
  </si>
  <si>
    <t>73757/001</t>
  </si>
  <si>
    <t>79517/002</t>
  </si>
  <si>
    <t>74033/001</t>
  </si>
  <si>
    <t>SERVIÇOS AUXILIARES</t>
  </si>
  <si>
    <t>CAMINHAO PIPA 10000L TRUCADO, 208CV, TANQUE DE ACO PARA TRANSPORTE DE AGUA E MOTOBOMBA CENTRIFUGA</t>
  </si>
  <si>
    <t xml:space="preserve"> CARGA, TRANSPORTE E DESCARGA DE MATERIAL (BOTA FORA) ATÉ 5 KM </t>
  </si>
  <si>
    <t>74140/002</t>
  </si>
  <si>
    <t xml:space="preserve"> VEICULO E EQUIPAMENTOS </t>
  </si>
  <si>
    <t xml:space="preserve"> MANUTENÇÃO DO CANTEIRO </t>
  </si>
  <si>
    <t xml:space="preserve"> PESSOAL ADMINISTRATIVO </t>
  </si>
  <si>
    <t xml:space="preserve"> EPI - EQUIPAMENTOS DE SEGURANÇA </t>
  </si>
  <si>
    <t xml:space="preserve"> CONCRETO USINADO BOMBEADO, FCK = 15 MPA - FORNECIMENTO E APLICAÇÃO </t>
  </si>
  <si>
    <t xml:space="preserve"> REATERRO DE RECRAVA DA MANTA </t>
  </si>
  <si>
    <t xml:space="preserve"> CAMINHAO BASCULANTE 6,0M3 FORD F-14000 1 </t>
  </si>
  <si>
    <t>0001150</t>
  </si>
  <si>
    <t xml:space="preserve"> ESCAVAÇÃO MANUAL DE VALA EM SOLO COMPACTADO - ATÉ 1,5 M DE PROFUNDIDADE </t>
  </si>
  <si>
    <t>73965/010</t>
  </si>
  <si>
    <t xml:space="preserve"> SECAGEM DAS PLACAS COM AR COMPRIMIDO </t>
  </si>
  <si>
    <t>73806/001</t>
  </si>
  <si>
    <t>MÊS</t>
  </si>
  <si>
    <t>CODEVASF</t>
  </si>
  <si>
    <t>DETALHAMENTO DOS ENCARGOS SOCIAIS - MENSALISTA</t>
  </si>
  <si>
    <t>QUADRO PO - XIV</t>
  </si>
  <si>
    <t>NOME DA CONSTRUTORA</t>
  </si>
  <si>
    <t>PROJETO</t>
  </si>
  <si>
    <t>EDITAL</t>
  </si>
  <si>
    <t>LOTE</t>
  </si>
  <si>
    <t>FOLHA</t>
  </si>
  <si>
    <t>/</t>
  </si>
  <si>
    <t>___/___</t>
  </si>
  <si>
    <t>GRUPO "A" - ENCARGOS SOCIAIS BÁSICOS</t>
  </si>
  <si>
    <t>%</t>
  </si>
  <si>
    <t>Seconci</t>
  </si>
  <si>
    <t>INSS</t>
  </si>
  <si>
    <t>FGTS</t>
  </si>
  <si>
    <t>Incra</t>
  </si>
  <si>
    <t>Salário Educação</t>
  </si>
  <si>
    <t>Sebrae</t>
  </si>
  <si>
    <t>Seguro contra acidente</t>
  </si>
  <si>
    <t>Senai</t>
  </si>
  <si>
    <t>Sesi</t>
  </si>
  <si>
    <t>SUBTOTAL DO GRUPO "A"</t>
  </si>
  <si>
    <t>GRUPO "B" - ENCARGOS SOCIAIS QUE RECEBEM INCIDÊNCIAS GLOBAIS DE "A"</t>
  </si>
  <si>
    <t>13º Salário</t>
  </si>
  <si>
    <t>SUBTOTAL DO GRUPO "B"</t>
  </si>
  <si>
    <t>GRUPO "C" - ENCARGOS SOCIAIS QUE NÃO RECEBEM INCIDÊNCIAS GLOBAIS DE "A"</t>
  </si>
  <si>
    <t>Depósito por despedida sem justa causa</t>
  </si>
  <si>
    <t>Férias</t>
  </si>
  <si>
    <t>Aviso prévio</t>
  </si>
  <si>
    <t>SUBTOTAL DO GRUPO "C"</t>
  </si>
  <si>
    <t>GRUPO "D" - TAXAS DAS REINCIDÊNCIAS</t>
  </si>
  <si>
    <t>Reincidência de "A" sobre "B"</t>
  </si>
  <si>
    <t>Reincidência do FGTS sobre aviso prévio</t>
  </si>
  <si>
    <t>SUBTOTAL DO GRUPO "D"</t>
  </si>
  <si>
    <t>TOTAL GERAL</t>
  </si>
  <si>
    <t>NOME DO INFORMANTE</t>
  </si>
  <si>
    <t>DATA</t>
  </si>
  <si>
    <t>A CARGO DA CODEVASF</t>
  </si>
  <si>
    <t>/      /</t>
  </si>
  <si>
    <t>QUALIFICAÇÃO</t>
  </si>
  <si>
    <t>ASSINATURA</t>
  </si>
  <si>
    <t>DETALHAMENTO DOS ENCARGOS SOCIAIS - HORISTA</t>
  </si>
  <si>
    <t>Repouso Semanal Remunerado e Feriados</t>
  </si>
  <si>
    <t>Auxílio-Enfermidade</t>
  </si>
  <si>
    <t>Licença Paternidade</t>
  </si>
  <si>
    <t>Ausencias Abonadas/Dias de Chuvas</t>
  </si>
  <si>
    <t>Aviso Prévio</t>
  </si>
  <si>
    <t>ADMINISTRAÇÃO CENTRAL</t>
  </si>
  <si>
    <t>IMPOSTOS E TAXAS</t>
  </si>
  <si>
    <t>2.1</t>
  </si>
  <si>
    <t>ISS</t>
  </si>
  <si>
    <t>2.2</t>
  </si>
  <si>
    <t>PIS</t>
  </si>
  <si>
    <t>2.3</t>
  </si>
  <si>
    <t>Cofins</t>
  </si>
  <si>
    <t>3.1</t>
  </si>
  <si>
    <t>3.2</t>
  </si>
  <si>
    <t>Riscos</t>
  </si>
  <si>
    <t>DESPESAS FINANCEIRAS</t>
  </si>
  <si>
    <t>LUCRO</t>
  </si>
  <si>
    <t>Discrição</t>
  </si>
  <si>
    <t>unid.</t>
  </si>
  <si>
    <t>Pesquisa de mercado</t>
  </si>
  <si>
    <t>Cot. 1</t>
  </si>
  <si>
    <t>Fl.</t>
  </si>
  <si>
    <t>Cot. 2</t>
  </si>
  <si>
    <t>Cot. 3</t>
  </si>
  <si>
    <t>Água Mineral  (garrafão de 20 litros)</t>
  </si>
  <si>
    <t>20L</t>
  </si>
  <si>
    <t>PÇ C/ 1185m</t>
  </si>
  <si>
    <t>Item</t>
  </si>
  <si>
    <t>Desc.</t>
  </si>
  <si>
    <t>Quant.</t>
  </si>
  <si>
    <t>Cons. Unit.</t>
  </si>
  <si>
    <t>Cons. Tot</t>
  </si>
  <si>
    <t>REFRIGERADOR</t>
  </si>
  <si>
    <t>270L</t>
  </si>
  <si>
    <t>ILUMINAÇÃO</t>
  </si>
  <si>
    <t>11w (compacta)</t>
  </si>
  <si>
    <t>Custo total</t>
  </si>
  <si>
    <t>SACO DE RAFIA PARA ENTULHO, NOVO, LISO (SEM CLICHE), *60 x 90* CM</t>
  </si>
  <si>
    <t>BOTA DE SEGURANCA COM BIQUEIRA DE ACO E COLARINHO ACOLCHOADO</t>
  </si>
  <si>
    <t>CAPACETE DE SEGURANCA ABA FRONTAL COM SUSPENSAO DE POLIETILENO</t>
  </si>
  <si>
    <t>LOCACAO DE GRUPO GERADOR ACIMA DE * 20 A 80* KVA, MOTOR DIESEL, REBOCAVEL, ACIONAMENTO MANUAL</t>
  </si>
  <si>
    <t>PLANO TELEFONIA MÓVEL</t>
  </si>
  <si>
    <t>GRUPO GERADOR ACIMA DE * 20 A 80* KVA, MOTOR DIESEL, REBOCAVEL, ACIONAMENTO MANUAL</t>
  </si>
  <si>
    <t>AUXILIAR DE TOPÓGRAFO</t>
  </si>
  <si>
    <t>BOMBA SUBMERSIVEL ELETRICA TRIFASICA, POTÊNCIA 2,96 HP, BOCAL DE SAÍDA 2",  5M³/H.</t>
  </si>
  <si>
    <t xml:space="preserve">CALÇA Brim </t>
  </si>
  <si>
    <t>CAMISA EM BRIM</t>
  </si>
  <si>
    <t>5678 SINAPI x 200 h/mês</t>
  </si>
  <si>
    <t>5811 SINAPI x 200 h/mês</t>
  </si>
  <si>
    <t xml:space="preserve">SELANTE ELÁSTICO MONOCOMPONENTE À BASE DE POLIURETANO </t>
  </si>
  <si>
    <t xml:space="preserve"> </t>
  </si>
  <si>
    <t>Descrição dos Serviços</t>
  </si>
  <si>
    <t>VARIÁVEIS CORRELATAS DE INTERESSE</t>
  </si>
  <si>
    <t>PV</t>
  </si>
  <si>
    <t>CD</t>
  </si>
  <si>
    <t>a =</t>
  </si>
  <si>
    <t>Administração Central</t>
  </si>
  <si>
    <t>1.1</t>
  </si>
  <si>
    <t>i =</t>
  </si>
  <si>
    <t>Impostos</t>
  </si>
  <si>
    <t>r =</t>
  </si>
  <si>
    <t>Taxa de Risco</t>
  </si>
  <si>
    <t>f =</t>
  </si>
  <si>
    <t>Despesas Financeiras</t>
  </si>
  <si>
    <t>TAXA DE RISCO</t>
  </si>
  <si>
    <t>l =</t>
  </si>
  <si>
    <t>Lucro</t>
  </si>
  <si>
    <t>BDI =  ((1+AC+S+R+G)(1+DF)(1+L)/(1-I))-1</t>
  </si>
  <si>
    <t>Acórdão nº 2369/2011</t>
  </si>
  <si>
    <t>BDI (%)</t>
  </si>
  <si>
    <t>BDI =</t>
  </si>
  <si>
    <t>calculado</t>
  </si>
  <si>
    <t>adotado</t>
  </si>
  <si>
    <t>COMPACTADOR DE SOLOS DE PERCUSÃO (SOQUETE) COM MOTOR A GASOLINA, POTÊNCIA 3 CV</t>
  </si>
  <si>
    <t>GUINDAUTO HIDRÁULICO, CAPACIDADE MÁXIMA DE CARGA 6500 KG, INCLUSIVE CAMIMHÃO</t>
  </si>
  <si>
    <t>90586</t>
  </si>
  <si>
    <t>90587</t>
  </si>
  <si>
    <t>** Fonte: Tabela de Serviços de Topografia da Codevasf -2017.</t>
  </si>
  <si>
    <t>GABARITO METALON 50 X 20 mm</t>
  </si>
  <si>
    <t>LOCAÇÃO DE BOMBA SUBMERSIVEL ELETRICA TRIFASICA, POTÊNCIA 3 CV, Diâmetro de recalque 3"</t>
  </si>
  <si>
    <t>CAMINHÃO PIPA 1000 –  JUROS</t>
  </si>
  <si>
    <t>CAMINHÃO PIPA 1000 – DEPRECIACAO</t>
  </si>
  <si>
    <t xml:space="preserve">CAMINHÃO PIPA 1000 – DEPRECIACAO </t>
  </si>
  <si>
    <t>CAMINHÃO PIPA 1000 – JUROS</t>
  </si>
  <si>
    <t>***</t>
  </si>
  <si>
    <t>*** Preços praticados na região</t>
  </si>
  <si>
    <t>**</t>
  </si>
  <si>
    <t xml:space="preserve">Cotação </t>
  </si>
  <si>
    <t>m²</t>
  </si>
  <si>
    <t>m³</t>
  </si>
  <si>
    <t>BDI %</t>
  </si>
  <si>
    <t>Leis Sociais HORISTAS 89,83%</t>
  </si>
  <si>
    <t>Leis Sociais MENSALISTAS 50,22%</t>
  </si>
  <si>
    <t>Sinapi: Jun/2017</t>
  </si>
  <si>
    <t>CAMINHAO BASCULANTE 6,0M3 FORD F-14000 162HP (VU=6ANOS) - CHP DIURNA</t>
  </si>
  <si>
    <t xml:space="preserve">MESTRE DE OBRAS </t>
  </si>
  <si>
    <t xml:space="preserve">CONSUMO DE ÁGUA </t>
  </si>
  <si>
    <t>Planilha demonstrativa de cotação de custos unitários (Pesquisa de mercado e Painel de preços do Ministério do planejamento)</t>
  </si>
  <si>
    <t>Painel de Preços</t>
  </si>
  <si>
    <t>Cotação mediana</t>
  </si>
  <si>
    <t>Para critério de composição foi realizado pesquisas de mercado em mídias especializadas e no painel de preços do ministério do planejamento. De ambos foi tirado o preço mediano, sendo adotado aquele que apresentou o menor valor.</t>
  </si>
  <si>
    <t>Adotado</t>
  </si>
  <si>
    <t xml:space="preserve">Custo unit. Mediano </t>
  </si>
  <si>
    <t>Seguro+garantia</t>
  </si>
  <si>
    <t>Administraçõ central</t>
  </si>
  <si>
    <t>ROL DE INSUMOS NECESSÁRIOS ÀS COMPOSIÇÕES DOS SERVIÇOS OBJETOS DESTA PLANILHA (SEM DESONERAÇÃO) E SEUS RESPECTIVOS PREÇOS EXTRAÍDOS DO SINAPI NA DATA BASE JUL/2017</t>
  </si>
  <si>
    <t>DETALHAMENTO DO BDI (SEM DESONERAÇÃO) - SERVIÇOS</t>
  </si>
  <si>
    <t>88316</t>
  </si>
  <si>
    <t>90777</t>
  </si>
  <si>
    <t>88309</t>
  </si>
  <si>
    <t>1.2</t>
  </si>
  <si>
    <t>1.3</t>
  </si>
  <si>
    <t>3.3</t>
  </si>
  <si>
    <t>3.4</t>
  </si>
  <si>
    <t>3.5</t>
  </si>
  <si>
    <t>3.6</t>
  </si>
  <si>
    <t>3.7</t>
  </si>
  <si>
    <t>3.8</t>
  </si>
  <si>
    <t>3.9</t>
  </si>
  <si>
    <t>4.1</t>
  </si>
  <si>
    <t>5.1</t>
  </si>
  <si>
    <t>5.2</t>
  </si>
  <si>
    <t>5.3</t>
  </si>
  <si>
    <t xml:space="preserve">Item </t>
  </si>
  <si>
    <t>Item 1.1</t>
  </si>
  <si>
    <t>Item 1.2</t>
  </si>
  <si>
    <t>Item 1.3</t>
  </si>
  <si>
    <t>Item 2</t>
  </si>
  <si>
    <t>Item 3.1</t>
  </si>
  <si>
    <t>Item 3.2</t>
  </si>
  <si>
    <t>Item 3.4</t>
  </si>
  <si>
    <t>Item 3.3</t>
  </si>
  <si>
    <t>Item 3.5</t>
  </si>
  <si>
    <t>Item 3.6</t>
  </si>
  <si>
    <t>Item 3.7</t>
  </si>
  <si>
    <t>Item 3.8</t>
  </si>
  <si>
    <t>Item 3.9</t>
  </si>
  <si>
    <t>Item 4.1</t>
  </si>
  <si>
    <t>Item 5.3</t>
  </si>
  <si>
    <t>Item 5.2</t>
  </si>
  <si>
    <t>Item 5.1</t>
  </si>
  <si>
    <t xml:space="preserve">Em virtude do quantitativo de </t>
  </si>
  <si>
    <t xml:space="preserve">Em virtude da natureza do serviço, do regime diferenciado de trabalho, do quantitativo de ferramentas e de outros insumos (transporte, alimentação, etc.) foi adotado como valor unitário para composição da mão de obra, os preços da "hora" com encargos complementares, que já contemplam todos esses custos.  </t>
  </si>
  <si>
    <t>MESTRE DE OBRAS COM ENC. COMPLEMENTARES</t>
  </si>
  <si>
    <t>PEDREIRO COM ENC. COMPLEMENTARES</t>
  </si>
  <si>
    <t>TOPOGRAFO COM ENC. COMPLEMENTARES</t>
  </si>
  <si>
    <t>AUXILIAR DE TOPOGRAFO COM ENC. COMPLEMENTARES</t>
  </si>
  <si>
    <t>SERVENTE COM ENC. COMPLEMENTARES</t>
  </si>
  <si>
    <t>ENGENHEIRO CIVIL JUNIOR COM ENC. COMPLEMENTARES</t>
  </si>
  <si>
    <t>PLANILHA FINACEIRA (SEM DESONERAÇÃO) PARA RECUPERAÇÃO DO CANAL PRINCIPAL DE IRRIGAÇÃO DO PERÍMETRO DE IRRIGAÇÃO BEBEDOURO</t>
  </si>
  <si>
    <t>COMPOSIÇÃO DE PREÇOS UNITÁRIOS (SEM DESONERAÇÃO) PARA RECUPERAÇÃO DO CANAL PRINCIPAL DE IRRIGAÇÃO DO PERÍMETRO DE IRRIGAÇÃO BEBEDOURO</t>
  </si>
  <si>
    <t>,</t>
  </si>
  <si>
    <t>Demolição de placas em concreto, inclusive carga, transporte e descarga, DMT até 5km</t>
  </si>
  <si>
    <t>Memorial de cálculo dos serviços a serem executados</t>
  </si>
  <si>
    <t>Comprimento linear do trecho (m)</t>
  </si>
  <si>
    <t>comprimento (borda a borda)</t>
  </si>
  <si>
    <t>Área (m²)</t>
  </si>
  <si>
    <t>Volume para uma camada de 5 cm (m³)</t>
  </si>
  <si>
    <t>2,7+2,7+1,3=6,7</t>
  </si>
  <si>
    <t xml:space="preserve">quantidade de juntas </t>
  </si>
  <si>
    <t>Comprimento linear de juntas (m)</t>
  </si>
  <si>
    <t>Regularização/recuperação de junta de dilatação</t>
  </si>
  <si>
    <t>1200 /3,3=363,6363</t>
  </si>
  <si>
    <t>estimativa do % de placas a serem demolidas</t>
  </si>
  <si>
    <t>Altura da placa a ser reconstruida (m)</t>
  </si>
  <si>
    <t>Volume de demolição (m³)</t>
  </si>
  <si>
    <t xml:space="preserve">Tempo de operação </t>
  </si>
  <si>
    <t xml:space="preserve">Quantidade de dias/mês </t>
  </si>
  <si>
    <t>quantidade de meses</t>
  </si>
  <si>
    <t>Total (horas)</t>
  </si>
  <si>
    <t>Área (m)</t>
  </si>
  <si>
    <t>Largura da ensecadeira (m)</t>
  </si>
  <si>
    <t>Quantidade de ocorrência</t>
  </si>
  <si>
    <t>Total (m³)</t>
  </si>
  <si>
    <t>Tempo de operação (h)</t>
  </si>
  <si>
    <t>Quantitativo de horas (h)</t>
  </si>
  <si>
    <t>Caminhão pipa</t>
  </si>
  <si>
    <t>VOLUME DE MATERIAL A SER ESCAVADO NO CANAL PRINCIPAL BEBEDOURO</t>
  </si>
  <si>
    <t>Localidade:Município de Petrolina</t>
  </si>
  <si>
    <t>Lavantamento topográfico</t>
  </si>
  <si>
    <t>Estacas</t>
  </si>
  <si>
    <t>Àreas</t>
  </si>
  <si>
    <t>Semi-Dist</t>
  </si>
  <si>
    <t>Volumes</t>
  </si>
  <si>
    <t>Unitários</t>
  </si>
  <si>
    <t>Acumulados</t>
  </si>
  <si>
    <t>-</t>
  </si>
  <si>
    <t>TOTAL</t>
  </si>
  <si>
    <t>Estimativa de recomposição de placas (m³)</t>
  </si>
  <si>
    <t xml:space="preserve">Previsão de escavação  de 25 cm abaixo da placa demolida </t>
  </si>
  <si>
    <t>Total</t>
  </si>
  <si>
    <t>Escavação</t>
  </si>
</sst>
</file>

<file path=xl/styles.xml><?xml version="1.0" encoding="utf-8"?>
<styleSheet xmlns="http://schemas.openxmlformats.org/spreadsheetml/2006/main">
  <numFmts count="8">
    <numFmt numFmtId="164" formatCode="_(* #,##0.00_);_(* \(#,##0.00\);_(* \-??_);_(@_)"/>
    <numFmt numFmtId="165" formatCode="0.0%"/>
    <numFmt numFmtId="166" formatCode="0.0000"/>
    <numFmt numFmtId="167" formatCode="_(&quot;R$ &quot;* #,##0.00_);_(&quot;R$ &quot;* \(#,##0.00\);_(&quot;R$ &quot;* \-??_);_(@_)"/>
    <numFmt numFmtId="168" formatCode="0.000000"/>
    <numFmt numFmtId="169" formatCode="0.000"/>
    <numFmt numFmtId="170" formatCode="#,##0.000"/>
    <numFmt numFmtId="172" formatCode="&quot;R$ &quot;#,##0.00"/>
  </numFmts>
  <fonts count="51">
    <font>
      <sz val="11"/>
      <color indexed="63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Tahoma"/>
      <family val="2"/>
      <charset val="1"/>
    </font>
    <font>
      <sz val="8"/>
      <name val="Tahoma"/>
      <family val="2"/>
      <charset val="1"/>
    </font>
    <font>
      <sz val="11"/>
      <name val="Calibri"/>
      <family val="2"/>
    </font>
    <font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CALIBRI"/>
      <family val="2"/>
      <charset val="1"/>
    </font>
    <font>
      <sz val="8"/>
      <color indexed="8"/>
      <name val="Tahoma"/>
      <family val="2"/>
      <charset val="1"/>
    </font>
    <font>
      <sz val="8"/>
      <color indexed="8"/>
      <name val="Arial"/>
      <family val="2"/>
      <charset val="1"/>
    </font>
    <font>
      <sz val="8"/>
      <color indexed="8"/>
      <name val="Calibri"/>
      <family val="2"/>
    </font>
    <font>
      <b/>
      <sz val="12"/>
      <color indexed="63"/>
      <name val="Calibri"/>
      <family val="2"/>
      <charset val="1"/>
    </font>
    <font>
      <sz val="12"/>
      <color indexed="63"/>
      <name val="Arial"/>
      <family val="2"/>
      <charset val="1"/>
    </font>
    <font>
      <sz val="11"/>
      <color indexed="8"/>
      <name val="Calibri"/>
      <family val="2"/>
      <charset val="1"/>
    </font>
    <font>
      <sz val="12"/>
      <name val="Arial"/>
      <family val="2"/>
      <charset val="1"/>
    </font>
    <font>
      <sz val="10"/>
      <color indexed="8"/>
      <name val="Arial"/>
      <family val="2"/>
      <charset val="1"/>
    </font>
    <font>
      <b/>
      <sz val="8"/>
      <color indexed="8"/>
      <name val="Tahoma"/>
      <family val="2"/>
      <charset val="1"/>
    </font>
    <font>
      <b/>
      <sz val="10"/>
      <color indexed="8"/>
      <name val="Arial"/>
      <family val="2"/>
      <charset val="1"/>
    </font>
    <font>
      <sz val="11"/>
      <color indexed="63"/>
      <name val="Arial"/>
      <family val="2"/>
      <charset val="1"/>
    </font>
    <font>
      <b/>
      <sz val="8"/>
      <color indexed="63"/>
      <name val="Arial"/>
      <family val="2"/>
      <charset val="1"/>
    </font>
    <font>
      <sz val="8"/>
      <color indexed="63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10"/>
      <color indexed="63"/>
      <name val="Arial"/>
      <family val="2"/>
      <charset val="1"/>
    </font>
    <font>
      <b/>
      <sz val="10"/>
      <color indexed="63"/>
      <name val="Calibri"/>
      <family val="2"/>
      <charset val="1"/>
    </font>
    <font>
      <sz val="10"/>
      <color indexed="63"/>
      <name val="Calibri"/>
      <family val="2"/>
      <charset val="1"/>
    </font>
    <font>
      <sz val="10"/>
      <name val="Calibri"/>
      <family val="2"/>
      <charset val="1"/>
    </font>
    <font>
      <sz val="10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11"/>
      <color indexed="63"/>
      <name val="Calibri"/>
      <family val="2"/>
      <charset val="1"/>
    </font>
    <font>
      <b/>
      <sz val="11"/>
      <name val="Calibri"/>
      <family val="2"/>
    </font>
    <font>
      <sz val="11"/>
      <name val="Calibri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1"/>
      <color indexed="63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63"/>
      <name val="Times New Roman"/>
      <family val="1"/>
    </font>
    <font>
      <b/>
      <sz val="14"/>
      <color indexed="63"/>
      <name val="Calibri"/>
      <family val="2"/>
      <charset val="1"/>
    </font>
    <font>
      <b/>
      <sz val="10"/>
      <name val="Times New Roman"/>
      <family val="1"/>
    </font>
    <font>
      <b/>
      <sz val="10"/>
      <color indexed="63"/>
      <name val="Calibri"/>
      <family val="2"/>
    </font>
    <font>
      <sz val="12"/>
      <color indexed="63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b/>
      <sz val="10"/>
      <color indexed="63"/>
      <name val="Arial"/>
      <family val="2"/>
    </font>
    <font>
      <sz val="10"/>
      <color rgb="FFFF0000"/>
      <name val="Arial"/>
      <family val="2"/>
      <charset val="1"/>
    </font>
    <font>
      <sz val="11"/>
      <color rgb="FFFF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56"/>
      </patternFill>
    </fill>
  </fills>
  <borders count="10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7" fontId="30" fillId="0" borderId="0"/>
    <xf numFmtId="0" fontId="35" fillId="0" borderId="0"/>
    <xf numFmtId="0" fontId="35" fillId="0" borderId="0"/>
    <xf numFmtId="9" fontId="30" fillId="0" borderId="0"/>
    <xf numFmtId="164" fontId="30" fillId="0" borderId="0"/>
  </cellStyleXfs>
  <cellXfs count="656">
    <xf numFmtId="0" fontId="0" fillId="0" borderId="0" xfId="0"/>
    <xf numFmtId="164" fontId="1" fillId="0" borderId="0" xfId="5" applyFont="1"/>
    <xf numFmtId="164" fontId="1" fillId="0" borderId="0" xfId="5" applyFont="1" applyAlignment="1">
      <alignment horizontal="center"/>
    </xf>
    <xf numFmtId="164" fontId="1" fillId="0" borderId="0" xfId="5" applyFont="1" applyBorder="1" applyAlignment="1" applyProtection="1"/>
    <xf numFmtId="165" fontId="1" fillId="0" borderId="0" xfId="4" applyNumberFormat="1" applyFont="1" applyBorder="1" applyAlignment="1" applyProtection="1"/>
    <xf numFmtId="0" fontId="0" fillId="0" borderId="0" xfId="0" applyFont="1"/>
    <xf numFmtId="164" fontId="6" fillId="0" borderId="0" xfId="5" applyFont="1"/>
    <xf numFmtId="164" fontId="0" fillId="0" borderId="0" xfId="5" applyFont="1" applyBorder="1" applyAlignment="1" applyProtection="1"/>
    <xf numFmtId="0" fontId="0" fillId="0" borderId="0" xfId="0" applyFont="1" applyAlignment="1">
      <alignment wrapText="1"/>
    </xf>
    <xf numFmtId="0" fontId="0" fillId="0" borderId="0" xfId="0" applyFont="1" applyAlignment="1"/>
    <xf numFmtId="164" fontId="8" fillId="0" borderId="1" xfId="5" applyFont="1" applyBorder="1" applyAlignment="1" applyProtection="1">
      <alignment horizontal="right" wrapText="1"/>
    </xf>
    <xf numFmtId="0" fontId="11" fillId="0" borderId="1" xfId="0" applyFont="1" applyBorder="1" applyAlignment="1">
      <alignment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4" fontId="15" fillId="0" borderId="0" xfId="0" applyNumberFormat="1" applyFont="1" applyBorder="1" applyAlignment="1">
      <alignment horizontal="center"/>
    </xf>
    <xf numFmtId="4" fontId="15" fillId="0" borderId="0" xfId="0" applyNumberFormat="1" applyFont="1" applyBorder="1"/>
    <xf numFmtId="4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64" fontId="1" fillId="0" borderId="0" xfId="5" applyFont="1" applyAlignment="1">
      <alignment wrapText="1"/>
    </xf>
    <xf numFmtId="164" fontId="7" fillId="0" borderId="1" xfId="5" applyFont="1" applyBorder="1" applyAlignment="1">
      <alignment horizontal="center"/>
    </xf>
    <xf numFmtId="164" fontId="16" fillId="0" borderId="0" xfId="5" applyFont="1"/>
    <xf numFmtId="49" fontId="17" fillId="0" borderId="1" xfId="5" applyNumberFormat="1" applyFont="1" applyBorder="1" applyAlignment="1" applyProtection="1">
      <alignment horizontal="center" vertical="top" wrapText="1"/>
    </xf>
    <xf numFmtId="164" fontId="7" fillId="0" borderId="1" xfId="5" applyFont="1" applyBorder="1" applyAlignment="1">
      <alignment horizontal="center" wrapText="1"/>
    </xf>
    <xf numFmtId="49" fontId="17" fillId="0" borderId="1" xfId="5" applyNumberFormat="1" applyFont="1" applyBorder="1" applyAlignment="1" applyProtection="1">
      <alignment horizontal="left" vertical="center" wrapText="1"/>
    </xf>
    <xf numFmtId="164" fontId="17" fillId="0" borderId="1" xfId="5" applyFont="1" applyBorder="1" applyAlignment="1" applyProtection="1">
      <alignment horizontal="center" vertical="center" wrapText="1"/>
    </xf>
    <xf numFmtId="4" fontId="17" fillId="0" borderId="1" xfId="5" applyNumberFormat="1" applyFont="1" applyBorder="1" applyAlignment="1" applyProtection="1">
      <alignment horizontal="right" vertical="center" wrapText="1"/>
    </xf>
    <xf numFmtId="4" fontId="17" fillId="0" borderId="1" xfId="5" applyNumberFormat="1" applyFont="1" applyFill="1" applyBorder="1" applyAlignment="1" applyProtection="1">
      <alignment horizontal="right" vertical="center" wrapText="1"/>
    </xf>
    <xf numFmtId="164" fontId="10" fillId="0" borderId="1" xfId="5" applyFont="1" applyFill="1" applyBorder="1" applyAlignment="1">
      <alignment wrapText="1"/>
    </xf>
    <xf numFmtId="164" fontId="10" fillId="0" borderId="1" xfId="5" applyFont="1" applyBorder="1" applyAlignment="1">
      <alignment horizontal="center"/>
    </xf>
    <xf numFmtId="49" fontId="9" fillId="0" borderId="1" xfId="5" applyNumberFormat="1" applyFont="1" applyBorder="1" applyAlignment="1" applyProtection="1">
      <alignment horizontal="left" vertical="center" wrapText="1"/>
    </xf>
    <xf numFmtId="49" fontId="9" fillId="0" borderId="1" xfId="5" applyNumberFormat="1" applyFont="1" applyBorder="1" applyAlignment="1" applyProtection="1">
      <alignment horizontal="center" vertical="center" wrapText="1"/>
    </xf>
    <xf numFmtId="4" fontId="9" fillId="0" borderId="1" xfId="5" applyNumberFormat="1" applyFont="1" applyBorder="1" applyAlignment="1" applyProtection="1">
      <alignment horizontal="right" vertical="center" wrapText="1"/>
    </xf>
    <xf numFmtId="4" fontId="9" fillId="0" borderId="1" xfId="5" applyNumberFormat="1" applyFont="1" applyFill="1" applyBorder="1" applyAlignment="1" applyProtection="1">
      <alignment horizontal="right" vertical="center" wrapText="1"/>
    </xf>
    <xf numFmtId="164" fontId="10" fillId="0" borderId="1" xfId="5" applyFont="1" applyBorder="1" applyAlignment="1" applyProtection="1">
      <alignment horizontal="center"/>
    </xf>
    <xf numFmtId="165" fontId="10" fillId="0" borderId="1" xfId="4" applyNumberFormat="1" applyFont="1" applyBorder="1" applyAlignment="1" applyProtection="1">
      <alignment horizontal="center"/>
    </xf>
    <xf numFmtId="49" fontId="9" fillId="0" borderId="1" xfId="5" applyNumberFormat="1" applyFont="1" applyFill="1" applyBorder="1" applyAlignment="1" applyProtection="1">
      <alignment horizontal="left" vertical="center" wrapText="1"/>
    </xf>
    <xf numFmtId="49" fontId="9" fillId="0" borderId="1" xfId="5" applyNumberFormat="1" applyFont="1" applyFill="1" applyBorder="1" applyAlignment="1" applyProtection="1">
      <alignment horizontal="center" vertical="center" wrapText="1"/>
    </xf>
    <xf numFmtId="164" fontId="10" fillId="0" borderId="1" xfId="5" applyFont="1" applyFill="1" applyBorder="1" applyAlignment="1">
      <alignment horizontal="center"/>
    </xf>
    <xf numFmtId="164" fontId="16" fillId="0" borderId="0" xfId="5" applyFont="1" applyFill="1"/>
    <xf numFmtId="164" fontId="1" fillId="0" borderId="0" xfId="5" applyFont="1" applyFill="1" applyBorder="1" applyAlignment="1" applyProtection="1"/>
    <xf numFmtId="164" fontId="1" fillId="0" borderId="0" xfId="5" applyFont="1" applyFill="1"/>
    <xf numFmtId="0" fontId="10" fillId="0" borderId="1" xfId="5" applyNumberFormat="1" applyFont="1" applyBorder="1" applyAlignment="1">
      <alignment horizontal="center"/>
    </xf>
    <xf numFmtId="4" fontId="10" fillId="0" borderId="1" xfId="5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164" fontId="10" fillId="0" borderId="0" xfId="5" applyFont="1"/>
    <xf numFmtId="164" fontId="10" fillId="0" borderId="0" xfId="5" applyFont="1" applyFill="1" applyAlignment="1">
      <alignment wrapText="1"/>
    </xf>
    <xf numFmtId="164" fontId="10" fillId="0" borderId="0" xfId="5" applyFont="1" applyAlignment="1">
      <alignment horizontal="center"/>
    </xf>
    <xf numFmtId="164" fontId="16" fillId="0" borderId="0" xfId="5" applyFont="1" applyAlignment="1">
      <alignment horizontal="center"/>
    </xf>
    <xf numFmtId="164" fontId="16" fillId="0" borderId="0" xfId="5" applyFont="1" applyFill="1" applyAlignment="1">
      <alignment wrapText="1"/>
    </xf>
    <xf numFmtId="164" fontId="18" fillId="0" borderId="1" xfId="5" applyFont="1" applyBorder="1"/>
    <xf numFmtId="164" fontId="16" fillId="0" borderId="1" xfId="5" applyFont="1" applyBorder="1" applyAlignment="1">
      <alignment horizontal="center"/>
    </xf>
    <xf numFmtId="164" fontId="16" fillId="0" borderId="1" xfId="5" applyFont="1" applyBorder="1"/>
    <xf numFmtId="164" fontId="16" fillId="0" borderId="1" xfId="5" applyFont="1" applyBorder="1" applyAlignment="1">
      <alignment wrapText="1"/>
    </xf>
    <xf numFmtId="164" fontId="18" fillId="0" borderId="1" xfId="5" applyFont="1" applyBorder="1" applyAlignment="1">
      <alignment horizontal="center"/>
    </xf>
    <xf numFmtId="164" fontId="18" fillId="0" borderId="1" xfId="5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left"/>
    </xf>
    <xf numFmtId="164" fontId="8" fillId="0" borderId="1" xfId="5" applyFont="1" applyBorder="1" applyAlignment="1" applyProtection="1">
      <alignment horizontal="right"/>
    </xf>
    <xf numFmtId="164" fontId="8" fillId="0" borderId="1" xfId="5" applyFont="1" applyBorder="1" applyAlignment="1">
      <alignment horizontal="left"/>
    </xf>
    <xf numFmtId="0" fontId="8" fillId="0" borderId="1" xfId="5" applyNumberFormat="1" applyFont="1" applyBorder="1" applyAlignment="1">
      <alignment horizontal="center"/>
    </xf>
    <xf numFmtId="164" fontId="8" fillId="0" borderId="1" xfId="5" applyFont="1" applyBorder="1" applyAlignment="1">
      <alignment horizontal="center"/>
    </xf>
    <xf numFmtId="164" fontId="8" fillId="0" borderId="1" xfId="5" applyFont="1" applyBorder="1" applyAlignment="1" applyProtection="1">
      <alignment horizontal="left" wrapText="1"/>
    </xf>
    <xf numFmtId="0" fontId="8" fillId="0" borderId="1" xfId="0" applyFont="1" applyBorder="1" applyAlignment="1">
      <alignment horizontal="center"/>
    </xf>
    <xf numFmtId="164" fontId="8" fillId="0" borderId="1" xfId="5" applyFont="1" applyFill="1" applyBorder="1" applyAlignment="1">
      <alignment horizontal="center"/>
    </xf>
    <xf numFmtId="164" fontId="8" fillId="0" borderId="1" xfId="5" applyFont="1" applyFill="1" applyBorder="1"/>
    <xf numFmtId="164" fontId="8" fillId="0" borderId="1" xfId="5" applyFont="1" applyFill="1" applyBorder="1" applyAlignment="1">
      <alignment horizontal="right"/>
    </xf>
    <xf numFmtId="164" fontId="8" fillId="0" borderId="1" xfId="5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center"/>
    </xf>
    <xf numFmtId="164" fontId="10" fillId="0" borderId="1" xfId="5" applyFont="1" applyBorder="1"/>
    <xf numFmtId="164" fontId="10" fillId="0" borderId="1" xfId="5" applyFont="1" applyBorder="1" applyAlignment="1">
      <alignment wrapText="1"/>
    </xf>
    <xf numFmtId="0" fontId="19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3" xfId="0" applyFont="1" applyBorder="1" applyAlignment="1">
      <alignment horizontal="center"/>
    </xf>
    <xf numFmtId="164" fontId="23" fillId="0" borderId="1" xfId="5" applyFont="1" applyBorder="1" applyAlignment="1">
      <alignment horizontal="center" vertical="center"/>
    </xf>
    <xf numFmtId="10" fontId="22" fillId="0" borderId="2" xfId="5" applyNumberFormat="1" applyFont="1" applyBorder="1" applyAlignment="1" applyProtection="1">
      <alignment horizontal="center"/>
    </xf>
    <xf numFmtId="10" fontId="22" fillId="0" borderId="4" xfId="5" applyNumberFormat="1" applyFont="1" applyBorder="1" applyAlignment="1" applyProtection="1">
      <alignment horizontal="center"/>
    </xf>
    <xf numFmtId="10" fontId="22" fillId="0" borderId="3" xfId="0" applyNumberFormat="1" applyFont="1" applyBorder="1" applyAlignment="1">
      <alignment horizontal="center"/>
    </xf>
    <xf numFmtId="10" fontId="22" fillId="0" borderId="1" xfId="0" applyNumberFormat="1" applyFont="1" applyBorder="1" applyAlignment="1">
      <alignment horizontal="center"/>
    </xf>
    <xf numFmtId="10" fontId="22" fillId="0" borderId="5" xfId="5" applyNumberFormat="1" applyFont="1" applyBorder="1" applyAlignment="1" applyProtection="1">
      <alignment horizontal="center"/>
    </xf>
    <xf numFmtId="10" fontId="22" fillId="0" borderId="1" xfId="5" applyNumberFormat="1" applyFont="1" applyBorder="1" applyAlignment="1" applyProtection="1">
      <alignment horizontal="center"/>
    </xf>
    <xf numFmtId="10" fontId="21" fillId="0" borderId="1" xfId="4" applyNumberFormat="1" applyFont="1" applyBorder="1" applyAlignment="1" applyProtection="1">
      <alignment horizontal="center"/>
    </xf>
    <xf numFmtId="0" fontId="24" fillId="0" borderId="6" xfId="0" applyFont="1" applyBorder="1" applyAlignment="1">
      <alignment vertical="top" wrapText="1"/>
    </xf>
    <xf numFmtId="0" fontId="24" fillId="0" borderId="5" xfId="0" applyFont="1" applyBorder="1" applyAlignment="1">
      <alignment vertical="top" wrapText="1"/>
    </xf>
    <xf numFmtId="0" fontId="24" fillId="0" borderId="2" xfId="0" applyFont="1" applyBorder="1" applyAlignment="1">
      <alignment horizontal="center" vertical="top" wrapText="1"/>
    </xf>
    <xf numFmtId="0" fontId="24" fillId="0" borderId="7" xfId="0" applyFont="1" applyBorder="1" applyAlignment="1">
      <alignment horizontal="center" vertical="top" wrapText="1"/>
    </xf>
    <xf numFmtId="0" fontId="24" fillId="0" borderId="8" xfId="0" applyFont="1" applyBorder="1" applyAlignment="1">
      <alignment horizontal="center" vertical="top" wrapText="1"/>
    </xf>
    <xf numFmtId="0" fontId="24" fillId="0" borderId="9" xfId="0" applyFont="1" applyBorder="1" applyAlignment="1">
      <alignment vertical="top" wrapText="1"/>
    </xf>
    <xf numFmtId="0" fontId="24" fillId="0" borderId="10" xfId="0" applyFont="1" applyBorder="1" applyAlignment="1">
      <alignment vertical="top" wrapText="1"/>
    </xf>
    <xf numFmtId="0" fontId="24" fillId="0" borderId="7" xfId="0" applyFont="1" applyBorder="1" applyAlignment="1">
      <alignment vertical="top" wrapText="1"/>
    </xf>
    <xf numFmtId="0" fontId="24" fillId="0" borderId="8" xfId="0" applyFont="1" applyBorder="1" applyAlignment="1">
      <alignment vertical="top" wrapText="1"/>
    </xf>
    <xf numFmtId="10" fontId="19" fillId="0" borderId="0" xfId="4" applyNumberFormat="1" applyFont="1" applyBorder="1" applyAlignment="1" applyProtection="1">
      <alignment horizontal="left"/>
    </xf>
    <xf numFmtId="10" fontId="19" fillId="0" borderId="0" xfId="0" applyNumberFormat="1" applyFont="1" applyAlignment="1">
      <alignment horizontal="left"/>
    </xf>
    <xf numFmtId="0" fontId="24" fillId="0" borderId="4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3" xfId="0" applyFont="1" applyBorder="1" applyAlignment="1">
      <alignment vertical="top" wrapText="1"/>
    </xf>
    <xf numFmtId="0" fontId="24" fillId="0" borderId="11" xfId="0" applyFont="1" applyBorder="1" applyAlignment="1">
      <alignment vertical="top" wrapText="1"/>
    </xf>
    <xf numFmtId="0" fontId="29" fillId="0" borderId="12" xfId="0" applyFont="1" applyBorder="1"/>
    <xf numFmtId="0" fontId="0" fillId="0" borderId="12" xfId="0" applyFont="1" applyBorder="1"/>
    <xf numFmtId="4" fontId="5" fillId="0" borderId="13" xfId="0" applyNumberFormat="1" applyFont="1" applyBorder="1" applyAlignment="1">
      <alignment horizontal="center"/>
    </xf>
    <xf numFmtId="169" fontId="5" fillId="2" borderId="13" xfId="0" applyNumberFormat="1" applyFont="1" applyFill="1" applyBorder="1" applyAlignment="1">
      <alignment horizontal="center"/>
    </xf>
    <xf numFmtId="169" fontId="5" fillId="0" borderId="13" xfId="0" applyNumberFormat="1" applyFont="1" applyFill="1" applyBorder="1" applyAlignment="1">
      <alignment horizontal="center"/>
    </xf>
    <xf numFmtId="169" fontId="5" fillId="0" borderId="13" xfId="0" applyNumberFormat="1" applyFont="1" applyBorder="1" applyAlignment="1">
      <alignment horizontal="center"/>
    </xf>
    <xf numFmtId="164" fontId="49" fillId="0" borderId="0" xfId="5" applyFont="1"/>
    <xf numFmtId="0" fontId="50" fillId="0" borderId="0" xfId="0" applyFont="1"/>
    <xf numFmtId="164" fontId="1" fillId="0" borderId="0" xfId="5" applyFont="1" applyFill="1" applyBorder="1" applyAlignment="1">
      <alignment horizontal="center"/>
    </xf>
    <xf numFmtId="164" fontId="1" fillId="0" borderId="13" xfId="5" applyFont="1" applyBorder="1" applyAlignment="1">
      <alignment horizontal="left"/>
    </xf>
    <xf numFmtId="164" fontId="1" fillId="0" borderId="14" xfId="5" applyFont="1" applyBorder="1" applyAlignment="1">
      <alignment horizontal="left"/>
    </xf>
    <xf numFmtId="0" fontId="5" fillId="0" borderId="15" xfId="0" applyFont="1" applyBorder="1" applyAlignment="1">
      <alignment wrapText="1"/>
    </xf>
    <xf numFmtId="0" fontId="5" fillId="0" borderId="13" xfId="0" applyFont="1" applyBorder="1" applyAlignment="1">
      <alignment horizontal="center"/>
    </xf>
    <xf numFmtId="166" fontId="5" fillId="0" borderId="13" xfId="0" applyNumberFormat="1" applyFont="1" applyBorder="1"/>
    <xf numFmtId="2" fontId="5" fillId="0" borderId="13" xfId="0" applyNumberFormat="1" applyFont="1" applyBorder="1"/>
    <xf numFmtId="2" fontId="5" fillId="0" borderId="16" xfId="0" applyNumberFormat="1" applyFont="1" applyBorder="1"/>
    <xf numFmtId="0" fontId="5" fillId="0" borderId="13" xfId="0" applyFont="1" applyBorder="1"/>
    <xf numFmtId="167" fontId="31" fillId="0" borderId="16" xfId="1" applyFont="1" applyBorder="1" applyAlignment="1" applyProtection="1"/>
    <xf numFmtId="10" fontId="31" fillId="0" borderId="13" xfId="4" applyNumberFormat="1" applyFont="1" applyBorder="1" applyAlignment="1" applyProtection="1"/>
    <xf numFmtId="0" fontId="31" fillId="0" borderId="13" xfId="0" applyFont="1" applyBorder="1" applyAlignment="1"/>
    <xf numFmtId="0" fontId="32" fillId="0" borderId="0" xfId="0" applyFont="1"/>
    <xf numFmtId="0" fontId="5" fillId="0" borderId="17" xfId="0" applyFont="1" applyBorder="1" applyAlignment="1">
      <alignment wrapText="1"/>
    </xf>
    <xf numFmtId="0" fontId="5" fillId="0" borderId="18" xfId="0" applyFont="1" applyBorder="1"/>
    <xf numFmtId="0" fontId="5" fillId="0" borderId="14" xfId="0" applyFont="1" applyBorder="1" applyAlignment="1">
      <alignment horizontal="center"/>
    </xf>
    <xf numFmtId="2" fontId="32" fillId="0" borderId="0" xfId="0" applyNumberFormat="1" applyFont="1"/>
    <xf numFmtId="167" fontId="31" fillId="0" borderId="13" xfId="1" applyFont="1" applyBorder="1" applyAlignment="1" applyProtection="1"/>
    <xf numFmtId="0" fontId="31" fillId="0" borderId="13" xfId="0" applyFont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166" fontId="5" fillId="0" borderId="13" xfId="0" applyNumberFormat="1" applyFont="1" applyFill="1" applyBorder="1"/>
    <xf numFmtId="2" fontId="5" fillId="0" borderId="13" xfId="0" applyNumberFormat="1" applyFont="1" applyFill="1" applyBorder="1"/>
    <xf numFmtId="0" fontId="32" fillId="0" borderId="0" xfId="0" applyFont="1" applyFill="1"/>
    <xf numFmtId="0" fontId="5" fillId="0" borderId="13" xfId="0" applyFont="1" applyFill="1" applyBorder="1"/>
    <xf numFmtId="167" fontId="32" fillId="0" borderId="0" xfId="0" applyNumberFormat="1" applyFont="1"/>
    <xf numFmtId="168" fontId="5" fillId="0" borderId="13" xfId="0" applyNumberFormat="1" applyFont="1" applyBorder="1"/>
    <xf numFmtId="166" fontId="5" fillId="0" borderId="13" xfId="0" applyNumberFormat="1" applyFont="1" applyFill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39" fontId="5" fillId="0" borderId="13" xfId="1" applyNumberFormat="1" applyFont="1" applyBorder="1" applyAlignment="1" applyProtection="1">
      <alignment horizontal="center"/>
    </xf>
    <xf numFmtId="9" fontId="32" fillId="0" borderId="0" xfId="4" applyFont="1" applyBorder="1" applyAlignment="1" applyProtection="1"/>
    <xf numFmtId="164" fontId="32" fillId="0" borderId="0" xfId="5" applyFont="1" applyBorder="1" applyAlignment="1" applyProtection="1"/>
    <xf numFmtId="10" fontId="31" fillId="0" borderId="13" xfId="4" applyNumberFormat="1" applyFont="1" applyBorder="1"/>
    <xf numFmtId="166" fontId="5" fillId="0" borderId="13" xfId="0" applyNumberFormat="1" applyFont="1" applyBorder="1" applyAlignment="1">
      <alignment horizontal="right"/>
    </xf>
    <xf numFmtId="0" fontId="5" fillId="0" borderId="13" xfId="0" applyFont="1" applyBorder="1" applyAlignment="1">
      <alignment horizontal="right"/>
    </xf>
    <xf numFmtId="169" fontId="5" fillId="0" borderId="13" xfId="0" applyNumberFormat="1" applyFont="1" applyFill="1" applyBorder="1"/>
    <xf numFmtId="2" fontId="5" fillId="0" borderId="13" xfId="0" applyNumberFormat="1" applyFont="1" applyBorder="1" applyAlignment="1">
      <alignment wrapText="1"/>
    </xf>
    <xf numFmtId="164" fontId="5" fillId="0" borderId="13" xfId="5" applyFont="1" applyBorder="1" applyAlignment="1" applyProtection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6" fontId="5" fillId="0" borderId="0" xfId="0" applyNumberFormat="1" applyFont="1"/>
    <xf numFmtId="0" fontId="5" fillId="0" borderId="0" xfId="0" applyFont="1"/>
    <xf numFmtId="0" fontId="31" fillId="6" borderId="15" xfId="0" applyFont="1" applyFill="1" applyBorder="1" applyAlignment="1">
      <alignment horizontal="center" wrapText="1"/>
    </xf>
    <xf numFmtId="0" fontId="31" fillId="6" borderId="13" xfId="0" applyFont="1" applyFill="1" applyBorder="1" applyAlignment="1">
      <alignment horizontal="center"/>
    </xf>
    <xf numFmtId="166" fontId="31" fillId="6" borderId="13" xfId="0" applyNumberFormat="1" applyFont="1" applyFill="1" applyBorder="1" applyAlignment="1">
      <alignment horizontal="center"/>
    </xf>
    <xf numFmtId="0" fontId="31" fillId="6" borderId="16" xfId="0" applyFont="1" applyFill="1" applyBorder="1" applyAlignment="1">
      <alignment horizontal="center"/>
    </xf>
    <xf numFmtId="167" fontId="31" fillId="0" borderId="19" xfId="1" applyFont="1" applyBorder="1" applyAlignment="1" applyProtection="1"/>
    <xf numFmtId="0" fontId="32" fillId="7" borderId="0" xfId="0" applyFont="1" applyFill="1"/>
    <xf numFmtId="0" fontId="31" fillId="7" borderId="20" xfId="0" applyFont="1" applyFill="1" applyBorder="1" applyAlignment="1">
      <alignment horizontal="center" wrapText="1"/>
    </xf>
    <xf numFmtId="0" fontId="31" fillId="7" borderId="21" xfId="0" applyFont="1" applyFill="1" applyBorder="1" applyAlignment="1">
      <alignment horizontal="center"/>
    </xf>
    <xf numFmtId="166" fontId="31" fillId="7" borderId="21" xfId="0" applyNumberFormat="1" applyFont="1" applyFill="1" applyBorder="1" applyAlignment="1">
      <alignment horizontal="center"/>
    </xf>
    <xf numFmtId="0" fontId="31" fillId="7" borderId="22" xfId="0" applyFont="1" applyFill="1" applyBorder="1" applyAlignment="1">
      <alignment horizontal="center"/>
    </xf>
    <xf numFmtId="0" fontId="31" fillId="0" borderId="15" xfId="0" applyFont="1" applyBorder="1" applyAlignment="1">
      <alignment horizontal="center" wrapText="1"/>
    </xf>
    <xf numFmtId="166" fontId="31" fillId="0" borderId="13" xfId="0" applyNumberFormat="1" applyFont="1" applyBorder="1" applyAlignment="1">
      <alignment horizontal="center"/>
    </xf>
    <xf numFmtId="0" fontId="31" fillId="0" borderId="16" xfId="0" applyFont="1" applyBorder="1" applyAlignment="1">
      <alignment horizontal="center"/>
    </xf>
    <xf numFmtId="0" fontId="5" fillId="0" borderId="14" xfId="0" applyFont="1" applyBorder="1" applyAlignment="1">
      <alignment wrapText="1"/>
    </xf>
    <xf numFmtId="0" fontId="5" fillId="0" borderId="14" xfId="0" applyFont="1" applyBorder="1"/>
    <xf numFmtId="2" fontId="5" fillId="0" borderId="16" xfId="0" applyNumberFormat="1" applyFont="1" applyFill="1" applyBorder="1"/>
    <xf numFmtId="0" fontId="5" fillId="0" borderId="15" xfId="0" applyFont="1" applyFill="1" applyBorder="1" applyAlignment="1">
      <alignment wrapText="1"/>
    </xf>
    <xf numFmtId="167" fontId="31" fillId="0" borderId="16" xfId="1" applyFont="1" applyFill="1" applyBorder="1" applyAlignment="1" applyProtection="1"/>
    <xf numFmtId="0" fontId="31" fillId="0" borderId="18" xfId="0" applyFont="1" applyBorder="1" applyAlignment="1"/>
    <xf numFmtId="0" fontId="31" fillId="7" borderId="0" xfId="0" applyFont="1" applyFill="1"/>
    <xf numFmtId="0" fontId="31" fillId="0" borderId="0" xfId="0" applyFont="1"/>
    <xf numFmtId="0" fontId="5" fillId="0" borderId="23" xfId="0" applyFont="1" applyBorder="1" applyAlignment="1">
      <alignment wrapText="1"/>
    </xf>
    <xf numFmtId="0" fontId="31" fillId="0" borderId="23" xfId="0" applyFont="1" applyBorder="1" applyAlignment="1">
      <alignment horizontal="center"/>
    </xf>
    <xf numFmtId="166" fontId="31" fillId="0" borderId="23" xfId="0" applyNumberFormat="1" applyFont="1" applyBorder="1" applyAlignment="1">
      <alignment horizontal="left"/>
    </xf>
    <xf numFmtId="0" fontId="5" fillId="0" borderId="23" xfId="0" applyFont="1" applyBorder="1"/>
    <xf numFmtId="167" fontId="31" fillId="0" borderId="23" xfId="1" applyFont="1" applyBorder="1" applyAlignment="1" applyProtection="1"/>
    <xf numFmtId="166" fontId="5" fillId="0" borderId="14" xfId="0" applyNumberFormat="1" applyFont="1" applyBorder="1"/>
    <xf numFmtId="2" fontId="5" fillId="0" borderId="16" xfId="0" applyNumberFormat="1" applyFont="1" applyBorder="1" applyAlignment="1">
      <alignment horizontal="center"/>
    </xf>
    <xf numFmtId="0" fontId="31" fillId="8" borderId="20" xfId="0" applyFont="1" applyFill="1" applyBorder="1" applyAlignment="1">
      <alignment horizontal="center" wrapText="1"/>
    </xf>
    <xf numFmtId="0" fontId="31" fillId="0" borderId="13" xfId="0" applyFont="1" applyFill="1" applyBorder="1" applyAlignment="1">
      <alignment horizontal="center"/>
    </xf>
    <xf numFmtId="0" fontId="5" fillId="0" borderId="23" xfId="0" applyFont="1" applyBorder="1" applyAlignment="1">
      <alignment horizontal="center"/>
    </xf>
    <xf numFmtId="166" fontId="5" fillId="0" borderId="23" xfId="0" applyNumberFormat="1" applyFont="1" applyBorder="1"/>
    <xf numFmtId="0" fontId="31" fillId="7" borderId="20" xfId="0" applyFont="1" applyFill="1" applyBorder="1" applyAlignment="1">
      <alignment wrapText="1"/>
    </xf>
    <xf numFmtId="0" fontId="31" fillId="7" borderId="20" xfId="0" applyFont="1" applyFill="1" applyBorder="1" applyAlignment="1">
      <alignment horizontal="left" wrapText="1"/>
    </xf>
    <xf numFmtId="166" fontId="31" fillId="0" borderId="13" xfId="0" applyNumberFormat="1" applyFont="1" applyFill="1" applyBorder="1" applyAlignment="1">
      <alignment horizontal="center"/>
    </xf>
    <xf numFmtId="0" fontId="31" fillId="0" borderId="0" xfId="0" applyFont="1" applyFill="1"/>
    <xf numFmtId="0" fontId="5" fillId="0" borderId="24" xfId="0" applyFont="1" applyBorder="1" applyAlignment="1">
      <alignment wrapText="1"/>
    </xf>
    <xf numFmtId="0" fontId="31" fillId="0" borderId="24" xfId="0" applyFont="1" applyBorder="1" applyAlignment="1">
      <alignment horizontal="center"/>
    </xf>
    <xf numFmtId="166" fontId="31" fillId="0" borderId="24" xfId="0" applyNumberFormat="1" applyFont="1" applyBorder="1" applyAlignment="1">
      <alignment horizontal="left"/>
    </xf>
    <xf numFmtId="0" fontId="5" fillId="0" borderId="24" xfId="0" applyFont="1" applyBorder="1"/>
    <xf numFmtId="167" fontId="31" fillId="0" borderId="24" xfId="1" applyFont="1" applyBorder="1" applyAlignment="1" applyProtection="1"/>
    <xf numFmtId="0" fontId="31" fillId="0" borderId="15" xfId="0" applyFont="1" applyFill="1" applyBorder="1" applyAlignment="1">
      <alignment horizontal="center" wrapText="1"/>
    </xf>
    <xf numFmtId="0" fontId="31" fillId="0" borderId="16" xfId="0" applyFont="1" applyFill="1" applyBorder="1" applyAlignment="1">
      <alignment horizontal="center"/>
    </xf>
    <xf numFmtId="0" fontId="5" fillId="0" borderId="15" xfId="0" applyFont="1" applyBorder="1" applyAlignment="1">
      <alignment vertical="top" wrapText="1"/>
    </xf>
    <xf numFmtId="167" fontId="31" fillId="0" borderId="16" xfId="1" applyFont="1" applyBorder="1"/>
    <xf numFmtId="167" fontId="31" fillId="0" borderId="19" xfId="1" applyFont="1" applyBorder="1"/>
    <xf numFmtId="0" fontId="32" fillId="0" borderId="0" xfId="0" applyFont="1" applyFill="1" applyBorder="1"/>
    <xf numFmtId="0" fontId="32" fillId="0" borderId="0" xfId="0" applyFont="1" applyBorder="1"/>
    <xf numFmtId="167" fontId="31" fillId="0" borderId="18" xfId="1" applyFont="1" applyBorder="1" applyAlignment="1" applyProtection="1"/>
    <xf numFmtId="0" fontId="32" fillId="0" borderId="25" xfId="0" applyFont="1" applyBorder="1"/>
    <xf numFmtId="0" fontId="31" fillId="0" borderId="0" xfId="0" applyFont="1" applyFill="1" applyBorder="1"/>
    <xf numFmtId="0" fontId="31" fillId="7" borderId="26" xfId="0" applyFont="1" applyFill="1" applyBorder="1"/>
    <xf numFmtId="0" fontId="31" fillId="0" borderId="23" xfId="0" applyFont="1" applyBorder="1" applyAlignment="1"/>
    <xf numFmtId="4" fontId="5" fillId="0" borderId="23" xfId="0" applyNumberFormat="1" applyFont="1" applyBorder="1"/>
    <xf numFmtId="0" fontId="31" fillId="6" borderId="0" xfId="0" applyFont="1" applyFill="1"/>
    <xf numFmtId="0" fontId="5" fillId="0" borderId="16" xfId="0" applyFont="1" applyBorder="1"/>
    <xf numFmtId="49" fontId="31" fillId="7" borderId="20" xfId="5" applyNumberFormat="1" applyFont="1" applyFill="1" applyBorder="1" applyAlignment="1" applyProtection="1">
      <alignment vertical="center" wrapText="1"/>
    </xf>
    <xf numFmtId="0" fontId="5" fillId="0" borderId="24" xfId="0" applyFont="1" applyBorder="1" applyAlignment="1">
      <alignment horizontal="center"/>
    </xf>
    <xf numFmtId="166" fontId="5" fillId="0" borderId="24" xfId="0" applyNumberFormat="1" applyFont="1" applyBorder="1"/>
    <xf numFmtId="0" fontId="31" fillId="0" borderId="0" xfId="0" applyFont="1" applyBorder="1"/>
    <xf numFmtId="0" fontId="5" fillId="0" borderId="27" xfId="0" applyFont="1" applyBorder="1" applyAlignment="1">
      <alignment wrapText="1"/>
    </xf>
    <xf numFmtId="167" fontId="31" fillId="0" borderId="28" xfId="1" applyFont="1" applyBorder="1" applyAlignment="1" applyProtection="1"/>
    <xf numFmtId="2" fontId="5" fillId="6" borderId="13" xfId="0" applyNumberFormat="1" applyFont="1" applyFill="1" applyBorder="1"/>
    <xf numFmtId="0" fontId="5" fillId="0" borderId="13" xfId="0" applyFont="1" applyBorder="1" applyAlignment="1">
      <alignment horizontal="center" vertical="center"/>
    </xf>
    <xf numFmtId="166" fontId="5" fillId="0" borderId="13" xfId="0" applyNumberFormat="1" applyFont="1" applyBorder="1" applyAlignment="1">
      <alignment vertical="center"/>
    </xf>
    <xf numFmtId="2" fontId="5" fillId="0" borderId="13" xfId="0" applyNumberFormat="1" applyFont="1" applyBorder="1" applyAlignment="1">
      <alignment vertical="center"/>
    </xf>
    <xf numFmtId="2" fontId="5" fillId="0" borderId="16" xfId="0" applyNumberFormat="1" applyFont="1" applyBorder="1" applyAlignment="1">
      <alignment vertical="center"/>
    </xf>
    <xf numFmtId="0" fontId="0" fillId="0" borderId="29" xfId="0" applyBorder="1"/>
    <xf numFmtId="0" fontId="0" fillId="0" borderId="26" xfId="0" applyBorder="1"/>
    <xf numFmtId="0" fontId="0" fillId="0" borderId="30" xfId="0" applyBorder="1"/>
    <xf numFmtId="0" fontId="0" fillId="0" borderId="31" xfId="0" applyBorder="1"/>
    <xf numFmtId="0" fontId="0" fillId="0" borderId="0" xfId="0" applyBorder="1"/>
    <xf numFmtId="0" fontId="0" fillId="0" borderId="32" xfId="0" applyBorder="1"/>
    <xf numFmtId="0" fontId="0" fillId="0" borderId="33" xfId="0" applyBorder="1"/>
    <xf numFmtId="0" fontId="0" fillId="0" borderId="25" xfId="0" applyBorder="1"/>
    <xf numFmtId="0" fontId="0" fillId="0" borderId="34" xfId="0" applyBorder="1"/>
    <xf numFmtId="0" fontId="33" fillId="0" borderId="0" xfId="0" applyFont="1"/>
    <xf numFmtId="0" fontId="34" fillId="0" borderId="0" xfId="0" applyFont="1" applyFill="1" applyBorder="1" applyAlignment="1"/>
    <xf numFmtId="0" fontId="33" fillId="0" borderId="0" xfId="0" applyFont="1" applyFill="1" applyBorder="1"/>
    <xf numFmtId="0" fontId="34" fillId="0" borderId="0" xfId="0" applyFont="1" applyBorder="1" applyAlignment="1">
      <alignment horizontal="center"/>
    </xf>
    <xf numFmtId="0" fontId="34" fillId="3" borderId="35" xfId="0" applyFont="1" applyFill="1" applyBorder="1" applyAlignment="1">
      <alignment horizontal="center"/>
    </xf>
    <xf numFmtId="0" fontId="34" fillId="0" borderId="0" xfId="0" applyFont="1" applyBorder="1" applyAlignment="1"/>
    <xf numFmtId="0" fontId="34" fillId="0" borderId="4" xfId="0" applyFont="1" applyBorder="1"/>
    <xf numFmtId="2" fontId="34" fillId="0" borderId="4" xfId="0" applyNumberFormat="1" applyFont="1" applyBorder="1" applyAlignment="1">
      <alignment horizontal="right"/>
    </xf>
    <xf numFmtId="0" fontId="34" fillId="0" borderId="1" xfId="0" applyFont="1" applyBorder="1" applyAlignment="1">
      <alignment horizontal="right" vertical="center"/>
    </xf>
    <xf numFmtId="10" fontId="34" fillId="0" borderId="1" xfId="0" applyNumberFormat="1" applyFont="1" applyBorder="1" applyAlignment="1"/>
    <xf numFmtId="0" fontId="0" fillId="0" borderId="4" xfId="2" applyFont="1" applyBorder="1"/>
    <xf numFmtId="0" fontId="34" fillId="0" borderId="0" xfId="0" applyFont="1" applyBorder="1" applyAlignment="1">
      <alignment horizontal="right" vertical="center"/>
    </xf>
    <xf numFmtId="10" fontId="34" fillId="0" borderId="0" xfId="0" applyNumberFormat="1" applyFont="1" applyBorder="1" applyAlignment="1"/>
    <xf numFmtId="0" fontId="34" fillId="0" borderId="0" xfId="0" applyFont="1" applyFill="1" applyBorder="1" applyAlignment="1">
      <alignment horizontal="left" vertical="center"/>
    </xf>
    <xf numFmtId="0" fontId="33" fillId="0" borderId="4" xfId="0" applyFont="1" applyBorder="1"/>
    <xf numFmtId="2" fontId="33" fillId="0" borderId="4" xfId="0" applyNumberFormat="1" applyFont="1" applyBorder="1"/>
    <xf numFmtId="2" fontId="34" fillId="0" borderId="4" xfId="0" applyNumberFormat="1" applyFont="1" applyFill="1" applyBorder="1"/>
    <xf numFmtId="0" fontId="33" fillId="0" borderId="4" xfId="0" applyFont="1" applyBorder="1" applyAlignment="1">
      <alignment horizontal="left"/>
    </xf>
    <xf numFmtId="2" fontId="33" fillId="0" borderId="4" xfId="0" applyNumberFormat="1" applyFont="1" applyFill="1" applyBorder="1"/>
    <xf numFmtId="2" fontId="33" fillId="0" borderId="4" xfId="0" applyNumberFormat="1" applyFont="1" applyFill="1" applyBorder="1" applyAlignment="1">
      <alignment horizontal="right"/>
    </xf>
    <xf numFmtId="0" fontId="34" fillId="0" borderId="1" xfId="0" applyFont="1" applyFill="1" applyBorder="1" applyAlignment="1">
      <alignment horizontal="right" vertical="center"/>
    </xf>
    <xf numFmtId="10" fontId="34" fillId="0" borderId="1" xfId="0" applyNumberFormat="1" applyFont="1" applyFill="1" applyBorder="1" applyAlignment="1"/>
    <xf numFmtId="0" fontId="33" fillId="0" borderId="0" xfId="0" applyFont="1" applyFill="1"/>
    <xf numFmtId="2" fontId="34" fillId="0" borderId="0" xfId="0" applyNumberFormat="1" applyFont="1" applyFill="1" applyBorder="1"/>
    <xf numFmtId="0" fontId="33" fillId="0" borderId="1" xfId="0" applyFont="1" applyBorder="1" applyAlignment="1">
      <alignment horizontal="center"/>
    </xf>
    <xf numFmtId="0" fontId="34" fillId="3" borderId="4" xfId="0" applyFont="1" applyFill="1" applyBorder="1" applyAlignment="1">
      <alignment horizontal="center" vertical="center"/>
    </xf>
    <xf numFmtId="0" fontId="34" fillId="3" borderId="4" xfId="0" applyFont="1" applyFill="1" applyBorder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34" fillId="3" borderId="36" xfId="0" applyFont="1" applyFill="1" applyBorder="1" applyAlignment="1">
      <alignment horizontal="center" vertical="center"/>
    </xf>
    <xf numFmtId="0" fontId="34" fillId="4" borderId="1" xfId="0" applyFont="1" applyFill="1" applyBorder="1" applyAlignment="1">
      <alignment horizontal="center" vertical="center" wrapText="1"/>
    </xf>
    <xf numFmtId="0" fontId="36" fillId="0" borderId="37" xfId="3" applyFont="1" applyBorder="1" applyAlignment="1"/>
    <xf numFmtId="0" fontId="0" fillId="6" borderId="0" xfId="0" applyFont="1" applyFill="1"/>
    <xf numFmtId="10" fontId="37" fillId="0" borderId="0" xfId="4" applyNumberFormat="1" applyFont="1"/>
    <xf numFmtId="0" fontId="34" fillId="0" borderId="38" xfId="0" applyFont="1" applyFill="1" applyBorder="1" applyAlignment="1">
      <alignment horizontal="left" vertical="center"/>
    </xf>
    <xf numFmtId="0" fontId="34" fillId="0" borderId="38" xfId="0" applyFont="1" applyFill="1" applyBorder="1" applyAlignment="1"/>
    <xf numFmtId="0" fontId="33" fillId="0" borderId="0" xfId="0" applyFont="1" applyBorder="1"/>
    <xf numFmtId="0" fontId="33" fillId="0" borderId="32" xfId="0" applyFont="1" applyBorder="1"/>
    <xf numFmtId="0" fontId="33" fillId="0" borderId="31" xfId="0" applyFont="1" applyBorder="1"/>
    <xf numFmtId="0" fontId="34" fillId="4" borderId="32" xfId="0" applyFont="1" applyFill="1" applyBorder="1" applyAlignment="1">
      <alignment horizontal="center" vertical="center" wrapText="1"/>
    </xf>
    <xf numFmtId="0" fontId="34" fillId="3" borderId="39" xfId="0" applyFont="1" applyFill="1" applyBorder="1" applyAlignment="1">
      <alignment horizontal="center" vertical="center"/>
    </xf>
    <xf numFmtId="0" fontId="34" fillId="4" borderId="40" xfId="0" applyFont="1" applyFill="1" applyBorder="1" applyAlignment="1">
      <alignment horizontal="center" vertical="center" wrapText="1"/>
    </xf>
    <xf numFmtId="0" fontId="34" fillId="3" borderId="41" xfId="0" applyFont="1" applyFill="1" applyBorder="1" applyAlignment="1">
      <alignment horizontal="center" vertical="center"/>
    </xf>
    <xf numFmtId="0" fontId="34" fillId="0" borderId="41" xfId="0" applyFont="1" applyBorder="1" applyAlignment="1">
      <alignment horizontal="center"/>
    </xf>
    <xf numFmtId="0" fontId="34" fillId="0" borderId="40" xfId="0" applyFont="1" applyFill="1" applyBorder="1" applyAlignment="1">
      <alignment horizontal="left" vertical="center"/>
    </xf>
    <xf numFmtId="0" fontId="33" fillId="0" borderId="41" xfId="0" applyFont="1" applyBorder="1" applyAlignment="1">
      <alignment horizontal="center"/>
    </xf>
    <xf numFmtId="0" fontId="34" fillId="0" borderId="32" xfId="0" applyFont="1" applyFill="1" applyBorder="1" applyAlignment="1">
      <alignment horizontal="left" vertical="center"/>
    </xf>
    <xf numFmtId="0" fontId="34" fillId="0" borderId="32" xfId="0" applyFont="1" applyBorder="1" applyAlignment="1"/>
    <xf numFmtId="0" fontId="33" fillId="0" borderId="41" xfId="0" applyFont="1" applyBorder="1" applyAlignment="1">
      <alignment horizontal="center" vertical="center"/>
    </xf>
    <xf numFmtId="0" fontId="33" fillId="0" borderId="41" xfId="0" applyFont="1" applyBorder="1" applyAlignment="1">
      <alignment horizontal="right"/>
    </xf>
    <xf numFmtId="0" fontId="33" fillId="0" borderId="32" xfId="0" applyFont="1" applyFill="1" applyBorder="1"/>
    <xf numFmtId="10" fontId="30" fillId="0" borderId="0" xfId="4" applyNumberFormat="1" applyBorder="1"/>
    <xf numFmtId="172" fontId="33" fillId="0" borderId="0" xfId="0" applyNumberFormat="1" applyFont="1" applyBorder="1"/>
    <xf numFmtId="167" fontId="33" fillId="0" borderId="0" xfId="0" applyNumberFormat="1" applyFont="1" applyBorder="1"/>
    <xf numFmtId="0" fontId="34" fillId="0" borderId="42" xfId="0" applyFont="1" applyBorder="1"/>
    <xf numFmtId="0" fontId="33" fillId="0" borderId="43" xfId="0" applyFont="1" applyBorder="1" applyAlignment="1"/>
    <xf numFmtId="0" fontId="33" fillId="0" borderId="44" xfId="0" applyFont="1" applyBorder="1" applyAlignment="1"/>
    <xf numFmtId="0" fontId="33" fillId="0" borderId="25" xfId="0" applyFont="1" applyBorder="1"/>
    <xf numFmtId="0" fontId="33" fillId="0" borderId="25" xfId="0" applyFont="1" applyFill="1" applyBorder="1"/>
    <xf numFmtId="0" fontId="33" fillId="0" borderId="34" xfId="0" applyFont="1" applyFill="1" applyBorder="1"/>
    <xf numFmtId="0" fontId="34" fillId="0" borderId="13" xfId="0" applyFont="1" applyBorder="1" applyAlignment="1">
      <alignment horizontal="right" vertical="center"/>
    </xf>
    <xf numFmtId="10" fontId="34" fillId="0" borderId="13" xfId="0" applyNumberFormat="1" applyFont="1" applyBorder="1" applyAlignment="1"/>
    <xf numFmtId="0" fontId="34" fillId="0" borderId="13" xfId="0" applyFont="1" applyFill="1" applyBorder="1" applyAlignment="1">
      <alignment horizontal="left" vertical="center"/>
    </xf>
    <xf numFmtId="0" fontId="34" fillId="0" borderId="13" xfId="0" applyFont="1" applyBorder="1" applyAlignment="1"/>
    <xf numFmtId="0" fontId="34" fillId="3" borderId="45" xfId="0" applyFont="1" applyFill="1" applyBorder="1" applyAlignment="1">
      <alignment horizontal="center" vertical="center"/>
    </xf>
    <xf numFmtId="0" fontId="34" fillId="3" borderId="46" xfId="0" applyFont="1" applyFill="1" applyBorder="1" applyAlignment="1">
      <alignment horizontal="center" vertical="center"/>
    </xf>
    <xf numFmtId="0" fontId="33" fillId="3" borderId="47" xfId="0" applyFont="1" applyFill="1" applyBorder="1" applyAlignment="1">
      <alignment horizontal="center"/>
    </xf>
    <xf numFmtId="0" fontId="33" fillId="3" borderId="48" xfId="0" applyFont="1" applyFill="1" applyBorder="1" applyAlignment="1">
      <alignment horizontal="center"/>
    </xf>
    <xf numFmtId="0" fontId="34" fillId="3" borderId="49" xfId="0" applyFont="1" applyFill="1" applyBorder="1" applyAlignment="1">
      <alignment horizontal="center"/>
    </xf>
    <xf numFmtId="0" fontId="34" fillId="3" borderId="50" xfId="0" applyFont="1" applyFill="1" applyBorder="1" applyAlignment="1">
      <alignment horizontal="center"/>
    </xf>
    <xf numFmtId="2" fontId="34" fillId="0" borderId="50" xfId="0" applyNumberFormat="1" applyFont="1" applyFill="1" applyBorder="1" applyAlignment="1">
      <alignment horizontal="right"/>
    </xf>
    <xf numFmtId="2" fontId="33" fillId="0" borderId="50" xfId="0" applyNumberFormat="1" applyFont="1" applyFill="1" applyBorder="1"/>
    <xf numFmtId="2" fontId="34" fillId="0" borderId="50" xfId="0" applyNumberFormat="1" applyFont="1" applyFill="1" applyBorder="1"/>
    <xf numFmtId="2" fontId="33" fillId="0" borderId="50" xfId="0" applyNumberFormat="1" applyFont="1" applyBorder="1"/>
    <xf numFmtId="2" fontId="34" fillId="0" borderId="50" xfId="0" applyNumberFormat="1" applyFont="1" applyBorder="1"/>
    <xf numFmtId="0" fontId="33" fillId="0" borderId="51" xfId="0" applyFont="1" applyBorder="1" applyAlignment="1">
      <alignment horizontal="right"/>
    </xf>
    <xf numFmtId="0" fontId="33" fillId="0" borderId="52" xfId="0" applyFont="1" applyBorder="1"/>
    <xf numFmtId="2" fontId="33" fillId="0" borderId="52" xfId="0" applyNumberFormat="1" applyFont="1" applyFill="1" applyBorder="1"/>
    <xf numFmtId="2" fontId="33" fillId="0" borderId="53" xfId="0" applyNumberFormat="1" applyFont="1" applyBorder="1"/>
    <xf numFmtId="0" fontId="39" fillId="0" borderId="0" xfId="0" applyFont="1"/>
    <xf numFmtId="0" fontId="39" fillId="0" borderId="0" xfId="0" applyFont="1" applyBorder="1" applyAlignment="1">
      <alignment vertical="top" wrapText="1"/>
    </xf>
    <xf numFmtId="4" fontId="39" fillId="0" borderId="0" xfId="0" applyNumberFormat="1" applyFont="1" applyBorder="1" applyAlignment="1">
      <alignment horizontal="center"/>
    </xf>
    <xf numFmtId="164" fontId="39" fillId="0" borderId="54" xfId="5" applyFont="1" applyFill="1" applyBorder="1" applyAlignment="1" applyProtection="1">
      <alignment horizontal="right" vertical="center" wrapText="1"/>
    </xf>
    <xf numFmtId="0" fontId="39" fillId="0" borderId="55" xfId="0" applyFont="1" applyFill="1" applyBorder="1" applyAlignment="1" applyProtection="1">
      <alignment horizontal="right" vertical="center" wrapText="1"/>
    </xf>
    <xf numFmtId="0" fontId="39" fillId="0" borderId="0" xfId="0" applyFont="1" applyAlignment="1">
      <alignment wrapText="1"/>
    </xf>
    <xf numFmtId="4" fontId="39" fillId="0" borderId="0" xfId="0" applyNumberFormat="1" applyFont="1" applyBorder="1" applyAlignment="1">
      <alignment horizontal="center" wrapText="1"/>
    </xf>
    <xf numFmtId="0" fontId="39" fillId="6" borderId="13" xfId="0" applyFont="1" applyFill="1" applyBorder="1" applyAlignment="1">
      <alignment wrapText="1"/>
    </xf>
    <xf numFmtId="0" fontId="39" fillId="6" borderId="13" xfId="0" applyFont="1" applyFill="1" applyBorder="1" applyAlignment="1"/>
    <xf numFmtId="164" fontId="39" fillId="6" borderId="13" xfId="5" applyFont="1" applyFill="1" applyBorder="1" applyAlignment="1" applyProtection="1"/>
    <xf numFmtId="167" fontId="30" fillId="0" borderId="13" xfId="1" applyBorder="1"/>
    <xf numFmtId="0" fontId="26" fillId="6" borderId="13" xfId="0" applyFont="1" applyFill="1" applyBorder="1"/>
    <xf numFmtId="0" fontId="26" fillId="0" borderId="13" xfId="0" applyFont="1" applyBorder="1"/>
    <xf numFmtId="0" fontId="28" fillId="0" borderId="13" xfId="0" applyFont="1" applyFill="1" applyBorder="1"/>
    <xf numFmtId="164" fontId="2" fillId="0" borderId="30" xfId="5" applyFont="1" applyBorder="1" applyAlignment="1">
      <alignment vertical="center"/>
    </xf>
    <xf numFmtId="164" fontId="2" fillId="0" borderId="32" xfId="5" applyFont="1" applyBorder="1" applyAlignment="1">
      <alignment vertical="center"/>
    </xf>
    <xf numFmtId="164" fontId="1" fillId="0" borderId="56" xfId="5" applyFont="1" applyBorder="1" applyAlignment="1">
      <alignment horizontal="left"/>
    </xf>
    <xf numFmtId="164" fontId="1" fillId="0" borderId="56" xfId="5" applyFont="1" applyFill="1" applyBorder="1" applyAlignment="1">
      <alignment horizontal="left"/>
    </xf>
    <xf numFmtId="164" fontId="49" fillId="0" borderId="56" xfId="5" applyFont="1" applyBorder="1" applyAlignment="1">
      <alignment horizontal="left"/>
    </xf>
    <xf numFmtId="4" fontId="1" fillId="0" borderId="56" xfId="5" applyNumberFormat="1" applyFont="1" applyBorder="1" applyAlignment="1">
      <alignment horizontal="left"/>
    </xf>
    <xf numFmtId="164" fontId="1" fillId="0" borderId="57" xfId="5" applyFont="1" applyBorder="1" applyAlignment="1">
      <alignment horizontal="left"/>
    </xf>
    <xf numFmtId="164" fontId="1" fillId="0" borderId="0" xfId="5" applyFont="1" applyBorder="1" applyAlignment="1">
      <alignment horizontal="left"/>
    </xf>
    <xf numFmtId="0" fontId="32" fillId="0" borderId="0" xfId="0" applyFont="1" applyAlignment="1">
      <alignment horizontal="center"/>
    </xf>
    <xf numFmtId="0" fontId="26" fillId="0" borderId="42" xfId="0" applyFont="1" applyBorder="1"/>
    <xf numFmtId="0" fontId="27" fillId="6" borderId="58" xfId="0" applyFont="1" applyFill="1" applyBorder="1" applyAlignment="1" applyProtection="1">
      <alignment horizontal="left" vertical="center" wrapText="1"/>
    </xf>
    <xf numFmtId="0" fontId="27" fillId="0" borderId="58" xfId="0" applyFont="1" applyBorder="1" applyAlignment="1" applyProtection="1">
      <alignment horizontal="left" vertical="center" wrapText="1"/>
    </xf>
    <xf numFmtId="0" fontId="27" fillId="9" borderId="58" xfId="0" applyFont="1" applyFill="1" applyBorder="1" applyAlignment="1" applyProtection="1">
      <alignment horizontal="left" vertical="center" wrapText="1"/>
    </xf>
    <xf numFmtId="0" fontId="28" fillId="0" borderId="43" xfId="0" applyFont="1" applyFill="1" applyBorder="1" applyAlignment="1" applyProtection="1">
      <alignment horizontal="left" vertical="center" wrapText="1"/>
    </xf>
    <xf numFmtId="167" fontId="30" fillId="0" borderId="18" xfId="1" applyBorder="1"/>
    <xf numFmtId="0" fontId="28" fillId="0" borderId="18" xfId="0" applyFont="1" applyFill="1" applyBorder="1"/>
    <xf numFmtId="10" fontId="30" fillId="0" borderId="0" xfId="4" applyNumberFormat="1"/>
    <xf numFmtId="0" fontId="27" fillId="6" borderId="58" xfId="0" applyFont="1" applyFill="1" applyBorder="1" applyAlignment="1">
      <alignment horizontal="left"/>
    </xf>
    <xf numFmtId="167" fontId="30" fillId="6" borderId="13" xfId="1" applyFill="1" applyBorder="1"/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9" fillId="10" borderId="0" xfId="0" applyFont="1" applyFill="1" applyAlignment="1">
      <alignment wrapText="1"/>
    </xf>
    <xf numFmtId="0" fontId="0" fillId="10" borderId="0" xfId="0" applyFont="1" applyFill="1" applyAlignment="1">
      <alignment wrapText="1"/>
    </xf>
    <xf numFmtId="0" fontId="0" fillId="10" borderId="0" xfId="0" applyFill="1" applyAlignment="1">
      <alignment wrapText="1"/>
    </xf>
    <xf numFmtId="0" fontId="39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39" fillId="11" borderId="0" xfId="0" applyFont="1" applyFill="1" applyAlignment="1">
      <alignment wrapText="1"/>
    </xf>
    <xf numFmtId="0" fontId="0" fillId="11" borderId="0" xfId="0" applyFont="1" applyFill="1" applyAlignment="1">
      <alignment wrapText="1"/>
    </xf>
    <xf numFmtId="0" fontId="0" fillId="11" borderId="0" xfId="0" applyFill="1" applyAlignment="1">
      <alignment wrapText="1"/>
    </xf>
    <xf numFmtId="0" fontId="38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9" fillId="0" borderId="0" xfId="0" applyFont="1" applyFill="1" applyAlignment="1">
      <alignment wrapText="1"/>
    </xf>
    <xf numFmtId="0" fontId="41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9" fillId="0" borderId="0" xfId="0" applyFont="1" applyFill="1" applyBorder="1" applyAlignment="1">
      <alignment wrapText="1"/>
    </xf>
    <xf numFmtId="4" fontId="13" fillId="0" borderId="0" xfId="0" applyNumberFormat="1" applyFont="1" applyBorder="1" applyAlignment="1">
      <alignment horizontal="center" wrapText="1"/>
    </xf>
    <xf numFmtId="0" fontId="26" fillId="0" borderId="6" xfId="0" applyFont="1" applyBorder="1"/>
    <xf numFmtId="0" fontId="26" fillId="0" borderId="59" xfId="0" applyFont="1" applyBorder="1"/>
    <xf numFmtId="0" fontId="26" fillId="6" borderId="59" xfId="0" applyFont="1" applyFill="1" applyBorder="1"/>
    <xf numFmtId="0" fontId="28" fillId="0" borderId="59" xfId="0" applyFont="1" applyFill="1" applyBorder="1"/>
    <xf numFmtId="0" fontId="28" fillId="0" borderId="60" xfId="0" applyFont="1" applyFill="1" applyBorder="1"/>
    <xf numFmtId="0" fontId="25" fillId="0" borderId="4" xfId="0" applyFont="1" applyBorder="1"/>
    <xf numFmtId="0" fontId="26" fillId="0" borderId="4" xfId="0" applyFont="1" applyBorder="1"/>
    <xf numFmtId="0" fontId="26" fillId="0" borderId="9" xfId="0" applyFont="1" applyBorder="1"/>
    <xf numFmtId="0" fontId="26" fillId="0" borderId="59" xfId="0" applyFont="1" applyBorder="1" applyAlignment="1">
      <alignment horizontal="center"/>
    </xf>
    <xf numFmtId="0" fontId="26" fillId="6" borderId="59" xfId="0" applyFont="1" applyFill="1" applyBorder="1" applyAlignment="1">
      <alignment horizontal="center"/>
    </xf>
    <xf numFmtId="0" fontId="28" fillId="0" borderId="59" xfId="0" applyFont="1" applyFill="1" applyBorder="1" applyAlignment="1">
      <alignment horizontal="center"/>
    </xf>
    <xf numFmtId="0" fontId="28" fillId="0" borderId="60" xfId="0" applyFont="1" applyFill="1" applyBorder="1" applyAlignment="1">
      <alignment horizontal="center"/>
    </xf>
    <xf numFmtId="0" fontId="25" fillId="0" borderId="41" xfId="0" applyFont="1" applyBorder="1"/>
    <xf numFmtId="167" fontId="30" fillId="0" borderId="15" xfId="1" applyBorder="1"/>
    <xf numFmtId="167" fontId="30" fillId="6" borderId="15" xfId="1" applyFill="1" applyBorder="1"/>
    <xf numFmtId="167" fontId="30" fillId="0" borderId="17" xfId="1" applyBorder="1"/>
    <xf numFmtId="0" fontId="25" fillId="0" borderId="61" xfId="0" applyFont="1" applyFill="1" applyBorder="1"/>
    <xf numFmtId="167" fontId="30" fillId="0" borderId="61" xfId="1" applyFill="1" applyBorder="1"/>
    <xf numFmtId="0" fontId="0" fillId="6" borderId="61" xfId="0" applyFont="1" applyFill="1" applyBorder="1"/>
    <xf numFmtId="167" fontId="30" fillId="0" borderId="61" xfId="1" applyBorder="1"/>
    <xf numFmtId="167" fontId="30" fillId="0" borderId="62" xfId="1" applyBorder="1"/>
    <xf numFmtId="167" fontId="30" fillId="10" borderId="13" xfId="1" applyFill="1" applyBorder="1"/>
    <xf numFmtId="167" fontId="30" fillId="10" borderId="61" xfId="1" applyFill="1" applyBorder="1"/>
    <xf numFmtId="167" fontId="30" fillId="10" borderId="15" xfId="1" applyFill="1" applyBorder="1"/>
    <xf numFmtId="0" fontId="27" fillId="0" borderId="59" xfId="0" applyFont="1" applyBorder="1" applyAlignment="1">
      <alignment horizontal="center"/>
    </xf>
    <xf numFmtId="167" fontId="32" fillId="0" borderId="15" xfId="1" applyFont="1" applyBorder="1"/>
    <xf numFmtId="0" fontId="27" fillId="0" borderId="13" xfId="0" applyFont="1" applyBorder="1"/>
    <xf numFmtId="167" fontId="32" fillId="0" borderId="13" xfId="1" applyFont="1" applyBorder="1"/>
    <xf numFmtId="0" fontId="27" fillId="0" borderId="59" xfId="0" applyFont="1" applyBorder="1"/>
    <xf numFmtId="167" fontId="32" fillId="0" borderId="61" xfId="1" applyFont="1" applyBorder="1"/>
    <xf numFmtId="167" fontId="32" fillId="10" borderId="13" xfId="1" applyFont="1" applyFill="1" applyBorder="1"/>
    <xf numFmtId="0" fontId="25" fillId="0" borderId="63" xfId="0" applyFont="1" applyBorder="1" applyAlignment="1">
      <alignment vertical="center"/>
    </xf>
    <xf numFmtId="0" fontId="37" fillId="12" borderId="64" xfId="0" applyFont="1" applyFill="1" applyBorder="1" applyAlignment="1">
      <alignment horizontal="center" vertical="center"/>
    </xf>
    <xf numFmtId="0" fontId="29" fillId="12" borderId="32" xfId="0" applyFont="1" applyFill="1" applyBorder="1" applyAlignment="1">
      <alignment horizontal="center" vertical="center" wrapText="1"/>
    </xf>
    <xf numFmtId="0" fontId="44" fillId="12" borderId="56" xfId="0" applyFont="1" applyFill="1" applyBorder="1" applyAlignment="1">
      <alignment horizontal="center" vertical="center" wrapText="1"/>
    </xf>
    <xf numFmtId="2" fontId="0" fillId="12" borderId="56" xfId="0" applyNumberFormat="1" applyFont="1" applyFill="1" applyBorder="1" applyAlignment="1">
      <alignment wrapText="1"/>
    </xf>
    <xf numFmtId="2" fontId="14" fillId="12" borderId="56" xfId="0" applyNumberFormat="1" applyFont="1" applyFill="1" applyBorder="1" applyAlignment="1">
      <alignment wrapText="1"/>
    </xf>
    <xf numFmtId="167" fontId="14" fillId="12" borderId="57" xfId="0" applyNumberFormat="1" applyFont="1" applyFill="1" applyBorder="1" applyAlignment="1">
      <alignment wrapText="1"/>
    </xf>
    <xf numFmtId="0" fontId="28" fillId="0" borderId="65" xfId="0" applyFont="1" applyBorder="1" applyAlignment="1">
      <alignment wrapText="1"/>
    </xf>
    <xf numFmtId="0" fontId="25" fillId="0" borderId="7" xfId="0" applyFont="1" applyBorder="1" applyAlignment="1">
      <alignment horizontal="center" vertical="center"/>
    </xf>
    <xf numFmtId="0" fontId="45" fillId="0" borderId="4" xfId="2" applyFont="1" applyBorder="1"/>
    <xf numFmtId="0" fontId="34" fillId="0" borderId="66" xfId="0" applyFont="1" applyBorder="1" applyAlignment="1">
      <alignment horizontal="center"/>
    </xf>
    <xf numFmtId="0" fontId="34" fillId="0" borderId="67" xfId="0" applyFont="1" applyBorder="1" applyAlignment="1">
      <alignment horizontal="center"/>
    </xf>
    <xf numFmtId="0" fontId="34" fillId="0" borderId="68" xfId="0" applyFont="1" applyBorder="1" applyAlignment="1">
      <alignment horizontal="center"/>
    </xf>
    <xf numFmtId="10" fontId="30" fillId="0" borderId="69" xfId="4" applyNumberFormat="1" applyBorder="1"/>
    <xf numFmtId="0" fontId="5" fillId="10" borderId="15" xfId="0" applyFont="1" applyFill="1" applyBorder="1" applyAlignment="1">
      <alignment wrapText="1"/>
    </xf>
    <xf numFmtId="1" fontId="5" fillId="0" borderId="13" xfId="0" applyNumberFormat="1" applyFont="1" applyBorder="1"/>
    <xf numFmtId="0" fontId="31" fillId="10" borderId="20" xfId="0" applyFont="1" applyFill="1" applyBorder="1" applyAlignment="1">
      <alignment horizontal="left" wrapText="1"/>
    </xf>
    <xf numFmtId="0" fontId="31" fillId="10" borderId="21" xfId="0" applyFont="1" applyFill="1" applyBorder="1" applyAlignment="1">
      <alignment horizontal="center"/>
    </xf>
    <xf numFmtId="166" fontId="31" fillId="10" borderId="21" xfId="0" applyNumberFormat="1" applyFont="1" applyFill="1" applyBorder="1" applyAlignment="1">
      <alignment horizontal="center"/>
    </xf>
    <xf numFmtId="0" fontId="31" fillId="10" borderId="22" xfId="0" applyFont="1" applyFill="1" applyBorder="1" applyAlignment="1">
      <alignment horizontal="center"/>
    </xf>
    <xf numFmtId="0" fontId="32" fillId="10" borderId="0" xfId="0" applyFont="1" applyFill="1"/>
    <xf numFmtId="0" fontId="31" fillId="10" borderId="15" xfId="0" applyFont="1" applyFill="1" applyBorder="1" applyAlignment="1">
      <alignment horizontal="center" wrapText="1"/>
    </xf>
    <xf numFmtId="0" fontId="31" fillId="10" borderId="13" xfId="0" applyFont="1" applyFill="1" applyBorder="1" applyAlignment="1">
      <alignment horizontal="center"/>
    </xf>
    <xf numFmtId="166" fontId="31" fillId="10" borderId="13" xfId="0" applyNumberFormat="1" applyFont="1" applyFill="1" applyBorder="1" applyAlignment="1">
      <alignment horizontal="center"/>
    </xf>
    <xf numFmtId="0" fontId="31" fillId="10" borderId="16" xfId="0" applyFont="1" applyFill="1" applyBorder="1" applyAlignment="1">
      <alignment horizontal="center"/>
    </xf>
    <xf numFmtId="0" fontId="5" fillId="10" borderId="13" xfId="0" applyFont="1" applyFill="1" applyBorder="1" applyAlignment="1">
      <alignment horizontal="center"/>
    </xf>
    <xf numFmtId="166" fontId="5" fillId="10" borderId="13" xfId="0" applyNumberFormat="1" applyFont="1" applyFill="1" applyBorder="1"/>
    <xf numFmtId="2" fontId="5" fillId="10" borderId="13" xfId="0" applyNumberFormat="1" applyFont="1" applyFill="1" applyBorder="1"/>
    <xf numFmtId="2" fontId="5" fillId="10" borderId="16" xfId="0" applyNumberFormat="1" applyFont="1" applyFill="1" applyBorder="1"/>
    <xf numFmtId="0" fontId="5" fillId="10" borderId="13" xfId="0" applyFont="1" applyFill="1" applyBorder="1"/>
    <xf numFmtId="167" fontId="31" fillId="10" borderId="16" xfId="1" applyFont="1" applyFill="1" applyBorder="1" applyAlignment="1" applyProtection="1"/>
    <xf numFmtId="10" fontId="31" fillId="10" borderId="13" xfId="4" applyNumberFormat="1" applyFont="1" applyFill="1" applyBorder="1" applyAlignment="1" applyProtection="1"/>
    <xf numFmtId="0" fontId="5" fillId="10" borderId="17" xfId="0" applyFont="1" applyFill="1" applyBorder="1" applyAlignment="1">
      <alignment wrapText="1"/>
    </xf>
    <xf numFmtId="0" fontId="31" fillId="10" borderId="18" xfId="0" applyFont="1" applyFill="1" applyBorder="1" applyAlignment="1"/>
    <xf numFmtId="0" fontId="5" fillId="10" borderId="18" xfId="0" applyFont="1" applyFill="1" applyBorder="1"/>
    <xf numFmtId="167" fontId="31" fillId="10" borderId="19" xfId="1" applyFont="1" applyFill="1" applyBorder="1" applyAlignment="1" applyProtection="1"/>
    <xf numFmtId="0" fontId="31" fillId="10" borderId="0" xfId="0" applyFont="1" applyFill="1"/>
    <xf numFmtId="49" fontId="3" fillId="0" borderId="13" xfId="5" applyNumberFormat="1" applyFont="1" applyBorder="1" applyAlignment="1" applyProtection="1">
      <alignment horizontal="left" vertical="center" wrapText="1"/>
    </xf>
    <xf numFmtId="164" fontId="3" fillId="0" borderId="13" xfId="5" applyFont="1" applyBorder="1" applyAlignment="1" applyProtection="1">
      <alignment horizontal="center" vertical="center" wrapText="1"/>
    </xf>
    <xf numFmtId="4" fontId="3" fillId="0" borderId="13" xfId="5" applyNumberFormat="1" applyFont="1" applyBorder="1" applyAlignment="1" applyProtection="1">
      <alignment horizontal="right" vertical="center" wrapText="1"/>
    </xf>
    <xf numFmtId="49" fontId="4" fillId="0" borderId="13" xfId="5" applyNumberFormat="1" applyFont="1" applyBorder="1" applyAlignment="1" applyProtection="1">
      <alignment horizontal="left" vertical="center" wrapText="1"/>
    </xf>
    <xf numFmtId="49" fontId="4" fillId="0" borderId="13" xfId="5" applyNumberFormat="1" applyFont="1" applyBorder="1" applyAlignment="1" applyProtection="1">
      <alignment horizontal="center" vertical="center" wrapText="1"/>
    </xf>
    <xf numFmtId="4" fontId="4" fillId="0" borderId="13" xfId="5" applyNumberFormat="1" applyFont="1" applyBorder="1" applyAlignment="1" applyProtection="1">
      <alignment horizontal="right" vertical="center" wrapText="1"/>
    </xf>
    <xf numFmtId="4" fontId="4" fillId="6" borderId="13" xfId="5" applyNumberFormat="1" applyFont="1" applyFill="1" applyBorder="1" applyAlignment="1" applyProtection="1">
      <alignment horizontal="right" vertical="center" wrapText="1"/>
    </xf>
    <xf numFmtId="49" fontId="4" fillId="0" borderId="13" xfId="5" applyNumberFormat="1" applyFont="1" applyFill="1" applyBorder="1" applyAlignment="1" applyProtection="1">
      <alignment horizontal="left" vertical="center" wrapText="1"/>
    </xf>
    <xf numFmtId="49" fontId="4" fillId="0" borderId="13" xfId="5" applyNumberFormat="1" applyFont="1" applyFill="1" applyBorder="1" applyAlignment="1" applyProtection="1">
      <alignment horizontal="center" vertical="center" wrapText="1"/>
    </xf>
    <xf numFmtId="4" fontId="4" fillId="0" borderId="13" xfId="5" applyNumberFormat="1" applyFont="1" applyFill="1" applyBorder="1" applyAlignment="1" applyProtection="1">
      <alignment horizontal="right" vertical="center" wrapText="1"/>
    </xf>
    <xf numFmtId="49" fontId="4" fillId="6" borderId="13" xfId="5" applyNumberFormat="1" applyFont="1" applyFill="1" applyBorder="1" applyAlignment="1" applyProtection="1">
      <alignment horizontal="left" vertical="center" wrapText="1"/>
    </xf>
    <xf numFmtId="0" fontId="0" fillId="0" borderId="15" xfId="0" applyBorder="1"/>
    <xf numFmtId="4" fontId="3" fillId="0" borderId="16" xfId="5" applyNumberFormat="1" applyFont="1" applyBorder="1" applyAlignment="1" applyProtection="1">
      <alignment horizontal="right" vertical="center" wrapText="1"/>
    </xf>
    <xf numFmtId="4" fontId="4" fillId="0" borderId="16" xfId="5" applyNumberFormat="1" applyFont="1" applyBorder="1" applyAlignment="1" applyProtection="1">
      <alignment horizontal="right" vertical="center" wrapText="1"/>
    </xf>
    <xf numFmtId="4" fontId="4" fillId="6" borderId="16" xfId="5" applyNumberFormat="1" applyFont="1" applyFill="1" applyBorder="1" applyAlignment="1" applyProtection="1">
      <alignment horizontal="right" vertical="center" wrapText="1"/>
    </xf>
    <xf numFmtId="164" fontId="1" fillId="0" borderId="18" xfId="5" applyFont="1" applyBorder="1"/>
    <xf numFmtId="0" fontId="0" fillId="0" borderId="1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7" xfId="0" applyBorder="1" applyAlignment="1">
      <alignment horizontal="center"/>
    </xf>
    <xf numFmtId="0" fontId="37" fillId="0" borderId="15" xfId="0" applyFont="1" applyBorder="1" applyAlignment="1">
      <alignment horizontal="center"/>
    </xf>
    <xf numFmtId="0" fontId="37" fillId="0" borderId="70" xfId="0" applyFont="1" applyBorder="1" applyAlignment="1">
      <alignment horizontal="center"/>
    </xf>
    <xf numFmtId="49" fontId="3" fillId="0" borderId="14" xfId="5" applyNumberFormat="1" applyFont="1" applyBorder="1" applyAlignment="1" applyProtection="1">
      <alignment horizontal="center" vertical="center" wrapText="1"/>
    </xf>
    <xf numFmtId="49" fontId="3" fillId="0" borderId="71" xfId="5" applyNumberFormat="1" applyFont="1" applyBorder="1" applyAlignment="1" applyProtection="1">
      <alignment horizontal="center" vertical="center" wrapText="1"/>
    </xf>
    <xf numFmtId="166" fontId="31" fillId="7" borderId="21" xfId="0" applyNumberFormat="1" applyFont="1" applyFill="1" applyBorder="1" applyAlignment="1">
      <alignment horizontal="center" vertical="center"/>
    </xf>
    <xf numFmtId="0" fontId="31" fillId="7" borderId="20" xfId="0" applyFont="1" applyFill="1" applyBorder="1" applyAlignment="1">
      <alignment vertical="center" wrapText="1"/>
    </xf>
    <xf numFmtId="0" fontId="31" fillId="7" borderId="21" xfId="0" applyFont="1" applyFill="1" applyBorder="1" applyAlignment="1">
      <alignment horizontal="center" vertical="center"/>
    </xf>
    <xf numFmtId="0" fontId="31" fillId="7" borderId="22" xfId="0" applyFont="1" applyFill="1" applyBorder="1" applyAlignment="1">
      <alignment horizontal="center" vertical="center"/>
    </xf>
    <xf numFmtId="0" fontId="38" fillId="13" borderId="72" xfId="0" applyFont="1" applyFill="1" applyBorder="1" applyAlignment="1" applyProtection="1">
      <alignment horizontal="center" wrapText="1"/>
    </xf>
    <xf numFmtId="0" fontId="38" fillId="13" borderId="2" xfId="0" applyFont="1" applyFill="1" applyBorder="1" applyAlignment="1" applyProtection="1">
      <alignment horizontal="center" vertical="center" wrapText="1"/>
    </xf>
    <xf numFmtId="164" fontId="38" fillId="13" borderId="2" xfId="5" applyFont="1" applyFill="1" applyBorder="1" applyAlignment="1" applyProtection="1">
      <alignment horizontal="center" wrapText="1"/>
    </xf>
    <xf numFmtId="0" fontId="38" fillId="13" borderId="73" xfId="0" applyFont="1" applyFill="1" applyBorder="1" applyAlignment="1" applyProtection="1">
      <alignment horizontal="center" wrapText="1"/>
    </xf>
    <xf numFmtId="0" fontId="39" fillId="6" borderId="13" xfId="0" applyFont="1" applyFill="1" applyBorder="1" applyAlignment="1" applyProtection="1">
      <alignment horizontal="left" wrapText="1"/>
    </xf>
    <xf numFmtId="0" fontId="39" fillId="6" borderId="13" xfId="0" applyFont="1" applyFill="1" applyBorder="1" applyAlignment="1" applyProtection="1">
      <alignment wrapText="1"/>
    </xf>
    <xf numFmtId="164" fontId="39" fillId="6" borderId="13" xfId="5" applyFont="1" applyFill="1" applyBorder="1" applyAlignment="1" applyProtection="1">
      <alignment horizontal="right" wrapText="1"/>
    </xf>
    <xf numFmtId="0" fontId="39" fillId="6" borderId="13" xfId="0" applyFont="1" applyFill="1" applyBorder="1" applyAlignment="1">
      <alignment horizontal="right" wrapText="1"/>
    </xf>
    <xf numFmtId="164" fontId="39" fillId="6" borderId="13" xfId="5" applyFont="1" applyFill="1" applyBorder="1" applyAlignment="1">
      <alignment horizontal="right" wrapText="1"/>
    </xf>
    <xf numFmtId="0" fontId="39" fillId="6" borderId="13" xfId="0" applyFont="1" applyFill="1" applyBorder="1" applyAlignment="1">
      <alignment vertical="center" wrapText="1"/>
    </xf>
    <xf numFmtId="166" fontId="39" fillId="6" borderId="13" xfId="0" applyNumberFormat="1" applyFont="1" applyFill="1" applyBorder="1" applyAlignment="1">
      <alignment horizontal="right" wrapText="1"/>
    </xf>
    <xf numFmtId="0" fontId="39" fillId="6" borderId="13" xfId="0" applyFont="1" applyFill="1" applyBorder="1" applyAlignment="1">
      <alignment horizontal="left" vertical="center" wrapText="1"/>
    </xf>
    <xf numFmtId="164" fontId="39" fillId="6" borderId="13" xfId="5" applyFont="1" applyFill="1" applyBorder="1" applyAlignment="1" applyProtection="1">
      <alignment horizontal="right" vertical="center" wrapText="1"/>
    </xf>
    <xf numFmtId="4" fontId="39" fillId="6" borderId="13" xfId="5" applyNumberFormat="1" applyFont="1" applyFill="1" applyBorder="1" applyAlignment="1" applyProtection="1">
      <alignment horizontal="right" wrapText="1"/>
    </xf>
    <xf numFmtId="170" fontId="39" fillId="6" borderId="13" xfId="5" applyNumberFormat="1" applyFont="1" applyFill="1" applyBorder="1" applyAlignment="1" applyProtection="1">
      <alignment horizontal="right" wrapText="1"/>
    </xf>
    <xf numFmtId="2" fontId="39" fillId="6" borderId="13" xfId="5" applyNumberFormat="1" applyFont="1" applyFill="1" applyBorder="1" applyAlignment="1" applyProtection="1">
      <alignment horizontal="right" wrapText="1"/>
    </xf>
    <xf numFmtId="0" fontId="40" fillId="6" borderId="13" xfId="0" applyFont="1" applyFill="1" applyBorder="1" applyAlignment="1">
      <alignment horizontal="right" wrapText="1"/>
    </xf>
    <xf numFmtId="2" fontId="39" fillId="6" borderId="13" xfId="0" applyNumberFormat="1" applyFont="1" applyFill="1" applyBorder="1" applyAlignment="1">
      <alignment horizontal="right" wrapText="1"/>
    </xf>
    <xf numFmtId="166" fontId="39" fillId="6" borderId="13" xfId="5" applyNumberFormat="1" applyFont="1" applyFill="1" applyBorder="1" applyAlignment="1" applyProtection="1">
      <alignment horizontal="right" wrapText="1"/>
    </xf>
    <xf numFmtId="164" fontId="39" fillId="6" borderId="13" xfId="5" applyFont="1" applyFill="1" applyBorder="1" applyAlignment="1" applyProtection="1">
      <alignment horizontal="right"/>
    </xf>
    <xf numFmtId="0" fontId="39" fillId="6" borderId="13" xfId="0" applyFont="1" applyFill="1" applyBorder="1" applyAlignment="1">
      <alignment horizontal="right"/>
    </xf>
    <xf numFmtId="0" fontId="0" fillId="0" borderId="20" xfId="0" applyBorder="1" applyAlignment="1">
      <alignment wrapText="1"/>
    </xf>
    <xf numFmtId="0" fontId="0" fillId="0" borderId="15" xfId="0" applyBorder="1" applyAlignment="1">
      <alignment wrapText="1"/>
    </xf>
    <xf numFmtId="49" fontId="39" fillId="6" borderId="16" xfId="0" applyNumberFormat="1" applyFont="1" applyFill="1" applyBorder="1" applyAlignment="1" applyProtection="1">
      <alignment horizontal="right" wrapText="1"/>
    </xf>
    <xf numFmtId="0" fontId="39" fillId="6" borderId="16" xfId="0" applyFont="1" applyFill="1" applyBorder="1" applyAlignment="1">
      <alignment horizontal="right" wrapText="1"/>
    </xf>
    <xf numFmtId="0" fontId="39" fillId="6" borderId="16" xfId="0" applyFont="1" applyFill="1" applyBorder="1" applyAlignment="1" applyProtection="1">
      <alignment horizontal="right" wrapText="1"/>
    </xf>
    <xf numFmtId="0" fontId="39" fillId="6" borderId="16" xfId="0" applyFont="1" applyFill="1" applyBorder="1" applyAlignment="1">
      <alignment horizontal="right" vertical="center" wrapText="1"/>
    </xf>
    <xf numFmtId="0" fontId="39" fillId="9" borderId="16" xfId="0" applyFont="1" applyFill="1" applyBorder="1" applyAlignment="1">
      <alignment horizontal="right" wrapText="1"/>
    </xf>
    <xf numFmtId="0" fontId="37" fillId="0" borderId="74" xfId="0" applyFont="1" applyBorder="1"/>
    <xf numFmtId="0" fontId="39" fillId="6" borderId="16" xfId="0" applyFont="1" applyFill="1" applyBorder="1" applyAlignment="1"/>
    <xf numFmtId="0" fontId="39" fillId="6" borderId="18" xfId="0" applyFont="1" applyFill="1" applyBorder="1" applyAlignment="1">
      <alignment wrapText="1"/>
    </xf>
    <xf numFmtId="0" fontId="39" fillId="6" borderId="18" xfId="0" applyFont="1" applyFill="1" applyBorder="1" applyAlignment="1"/>
    <xf numFmtId="164" fontId="39" fillId="6" borderId="18" xfId="5" applyFont="1" applyFill="1" applyBorder="1" applyAlignment="1" applyProtection="1"/>
    <xf numFmtId="0" fontId="39" fillId="6" borderId="19" xfId="0" applyFont="1" applyFill="1" applyBorder="1" applyAlignment="1"/>
    <xf numFmtId="0" fontId="39" fillId="6" borderId="14" xfId="0" applyFont="1" applyFill="1" applyBorder="1" applyAlignment="1">
      <alignment wrapText="1"/>
    </xf>
    <xf numFmtId="0" fontId="39" fillId="6" borderId="14" xfId="0" applyFont="1" applyFill="1" applyBorder="1" applyAlignment="1"/>
    <xf numFmtId="164" fontId="39" fillId="6" borderId="14" xfId="5" applyFont="1" applyFill="1" applyBorder="1" applyAlignment="1" applyProtection="1"/>
    <xf numFmtId="0" fontId="39" fillId="6" borderId="71" xfId="0" applyFont="1" applyFill="1" applyBorder="1" applyAlignment="1"/>
    <xf numFmtId="0" fontId="5" fillId="6" borderId="15" xfId="0" applyFont="1" applyFill="1" applyBorder="1" applyAlignment="1">
      <alignment wrapText="1"/>
    </xf>
    <xf numFmtId="0" fontId="39" fillId="6" borderId="21" xfId="0" applyFont="1" applyFill="1" applyBorder="1" applyAlignment="1" applyProtection="1">
      <alignment horizontal="left" wrapText="1"/>
    </xf>
    <xf numFmtId="0" fontId="39" fillId="6" borderId="21" xfId="0" applyFont="1" applyFill="1" applyBorder="1" applyAlignment="1" applyProtection="1">
      <alignment wrapText="1"/>
    </xf>
    <xf numFmtId="164" fontId="39" fillId="6" borderId="21" xfId="5" applyFont="1" applyFill="1" applyBorder="1" applyAlignment="1" applyProtection="1">
      <alignment horizontal="right" wrapText="1"/>
    </xf>
    <xf numFmtId="0" fontId="39" fillId="6" borderId="22" xfId="0" applyFont="1" applyFill="1" applyBorder="1" applyAlignment="1" applyProtection="1">
      <alignment horizontal="right" wrapText="1"/>
    </xf>
    <xf numFmtId="0" fontId="47" fillId="0" borderId="0" xfId="0" applyFont="1"/>
    <xf numFmtId="164" fontId="46" fillId="0" borderId="75" xfId="5" applyFont="1" applyBorder="1" applyAlignment="1">
      <alignment horizontal="center" wrapText="1"/>
    </xf>
    <xf numFmtId="164" fontId="46" fillId="0" borderId="76" xfId="5" applyFont="1" applyBorder="1" applyAlignment="1">
      <alignment horizontal="center"/>
    </xf>
    <xf numFmtId="164" fontId="46" fillId="0" borderId="56" xfId="5" applyFont="1" applyBorder="1" applyAlignment="1">
      <alignment horizontal="center"/>
    </xf>
    <xf numFmtId="164" fontId="35" fillId="0" borderId="15" xfId="5" applyFont="1" applyBorder="1" applyAlignment="1">
      <alignment wrapText="1"/>
    </xf>
    <xf numFmtId="164" fontId="46" fillId="0" borderId="13" xfId="5" applyFont="1" applyBorder="1" applyAlignment="1">
      <alignment horizontal="center" vertical="center" wrapText="1"/>
    </xf>
    <xf numFmtId="0" fontId="48" fillId="0" borderId="16" xfId="0" applyFont="1" applyBorder="1" applyAlignment="1">
      <alignment horizontal="center" vertical="center" wrapText="1"/>
    </xf>
    <xf numFmtId="0" fontId="47" fillId="0" borderId="15" xfId="0" applyFont="1" applyBorder="1" applyAlignment="1">
      <alignment wrapText="1"/>
    </xf>
    <xf numFmtId="4" fontId="35" fillId="6" borderId="13" xfId="5" applyNumberFormat="1" applyFont="1" applyFill="1" applyBorder="1" applyAlignment="1" applyProtection="1">
      <alignment horizontal="right" vertical="center" wrapText="1"/>
    </xf>
    <xf numFmtId="4" fontId="35" fillId="0" borderId="13" xfId="5" quotePrefix="1" applyNumberFormat="1" applyFont="1" applyBorder="1" applyAlignment="1" applyProtection="1">
      <alignment horizontal="right" vertical="center" wrapText="1"/>
    </xf>
    <xf numFmtId="4" fontId="46" fillId="0" borderId="13" xfId="5" applyNumberFormat="1" applyFont="1" applyBorder="1" applyAlignment="1" applyProtection="1">
      <alignment horizontal="right" vertical="center" wrapText="1"/>
    </xf>
    <xf numFmtId="0" fontId="47" fillId="0" borderId="16" xfId="0" applyFont="1" applyBorder="1"/>
    <xf numFmtId="4" fontId="35" fillId="0" borderId="13" xfId="5" applyNumberFormat="1" applyFont="1" applyBorder="1" applyAlignment="1" applyProtection="1">
      <alignment horizontal="right" vertical="center" wrapText="1"/>
    </xf>
    <xf numFmtId="0" fontId="48" fillId="0" borderId="16" xfId="0" applyFont="1" applyBorder="1"/>
    <xf numFmtId="49" fontId="35" fillId="0" borderId="15" xfId="5" applyNumberFormat="1" applyFont="1" applyBorder="1" applyAlignment="1" applyProtection="1">
      <alignment horizontal="left" vertical="center" wrapText="1"/>
    </xf>
    <xf numFmtId="0" fontId="48" fillId="0" borderId="13" xfId="0" applyFont="1" applyBorder="1" applyAlignment="1">
      <alignment horizontal="center" vertical="center" wrapText="1"/>
    </xf>
    <xf numFmtId="0" fontId="47" fillId="0" borderId="13" xfId="0" quotePrefix="1" applyFont="1" applyBorder="1"/>
    <xf numFmtId="2" fontId="48" fillId="0" borderId="28" xfId="0" applyNumberFormat="1" applyFont="1" applyBorder="1"/>
    <xf numFmtId="49" fontId="46" fillId="0" borderId="15" xfId="5" applyNumberFormat="1" applyFont="1" applyBorder="1" applyAlignment="1" applyProtection="1">
      <alignment horizontal="left" vertical="center" wrapText="1"/>
    </xf>
    <xf numFmtId="2" fontId="48" fillId="0" borderId="13" xfId="0" applyNumberFormat="1" applyFont="1" applyBorder="1" applyAlignment="1">
      <alignment horizontal="center" vertical="center" wrapText="1"/>
    </xf>
    <xf numFmtId="0" fontId="48" fillId="0" borderId="77" xfId="0" applyFont="1" applyBorder="1" applyAlignment="1">
      <alignment horizontal="center" vertical="center" wrapText="1"/>
    </xf>
    <xf numFmtId="164" fontId="46" fillId="0" borderId="22" xfId="5" applyFont="1" applyFill="1" applyBorder="1" applyAlignment="1">
      <alignment horizontal="center" vertical="center" wrapText="1"/>
    </xf>
    <xf numFmtId="9" fontId="47" fillId="0" borderId="14" xfId="0" applyNumberFormat="1" applyFont="1" applyBorder="1"/>
    <xf numFmtId="0" fontId="47" fillId="0" borderId="78" xfId="0" applyFont="1" applyBorder="1"/>
    <xf numFmtId="0" fontId="47" fillId="0" borderId="79" xfId="0" applyFont="1" applyBorder="1"/>
    <xf numFmtId="0" fontId="48" fillId="0" borderId="19" xfId="0" applyFont="1" applyBorder="1"/>
    <xf numFmtId="0" fontId="47" fillId="0" borderId="0" xfId="0" applyFont="1" applyBorder="1"/>
    <xf numFmtId="0" fontId="48" fillId="0" borderId="0" xfId="0" applyFont="1" applyBorder="1"/>
    <xf numFmtId="49" fontId="46" fillId="6" borderId="15" xfId="5" applyNumberFormat="1" applyFont="1" applyFill="1" applyBorder="1" applyAlignment="1" applyProtection="1">
      <alignment horizontal="left" vertical="center" wrapText="1"/>
    </xf>
    <xf numFmtId="4" fontId="46" fillId="6" borderId="13" xfId="5" applyNumberFormat="1" applyFont="1" applyFill="1" applyBorder="1" applyAlignment="1" applyProtection="1">
      <alignment horizontal="center" vertical="center" wrapText="1"/>
    </xf>
    <xf numFmtId="4" fontId="46" fillId="0" borderId="13" xfId="5" quotePrefix="1" applyNumberFormat="1" applyFont="1" applyBorder="1" applyAlignment="1" applyProtection="1">
      <alignment horizontal="center" vertical="center" wrapText="1"/>
    </xf>
    <xf numFmtId="4" fontId="46" fillId="0" borderId="13" xfId="5" applyNumberFormat="1" applyFont="1" applyBorder="1" applyAlignment="1" applyProtection="1">
      <alignment horizontal="center" vertical="center" wrapText="1"/>
    </xf>
    <xf numFmtId="9" fontId="48" fillId="0" borderId="71" xfId="0" applyNumberFormat="1" applyFont="1" applyBorder="1" applyAlignment="1">
      <alignment horizontal="center" vertical="center"/>
    </xf>
    <xf numFmtId="4" fontId="35" fillId="0" borderId="13" xfId="5" applyNumberFormat="1" applyFont="1" applyFill="1" applyBorder="1" applyAlignment="1" applyProtection="1">
      <alignment horizontal="right" vertical="center" wrapText="1"/>
    </xf>
    <xf numFmtId="49" fontId="46" fillId="6" borderId="15" xfId="5" applyNumberFormat="1" applyFont="1" applyFill="1" applyBorder="1" applyAlignment="1" applyProtection="1">
      <alignment horizontal="center" vertical="center" wrapText="1"/>
    </xf>
    <xf numFmtId="49" fontId="46" fillId="6" borderId="13" xfId="5" applyNumberFormat="1" applyFont="1" applyFill="1" applyBorder="1" applyAlignment="1" applyProtection="1">
      <alignment horizontal="center" vertical="center" wrapText="1"/>
    </xf>
    <xf numFmtId="49" fontId="46" fillId="6" borderId="16" xfId="5" applyNumberFormat="1" applyFont="1" applyFill="1" applyBorder="1" applyAlignment="1" applyProtection="1">
      <alignment horizontal="center" vertical="center" wrapText="1"/>
    </xf>
    <xf numFmtId="0" fontId="47" fillId="0" borderId="13" xfId="0" applyFont="1" applyBorder="1"/>
    <xf numFmtId="0" fontId="47" fillId="0" borderId="31" xfId="0" applyFont="1" applyBorder="1" applyAlignment="1">
      <alignment wrapText="1"/>
    </xf>
    <xf numFmtId="0" fontId="48" fillId="0" borderId="32" xfId="0" applyFont="1" applyBorder="1"/>
    <xf numFmtId="0" fontId="47" fillId="0" borderId="70" xfId="0" applyFont="1" applyBorder="1" applyAlignment="1">
      <alignment wrapText="1"/>
    </xf>
    <xf numFmtId="0" fontId="47" fillId="0" borderId="14" xfId="0" applyFont="1" applyBorder="1"/>
    <xf numFmtId="0" fontId="48" fillId="0" borderId="71" xfId="0" applyFont="1" applyBorder="1"/>
    <xf numFmtId="0" fontId="47" fillId="0" borderId="13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0" fontId="47" fillId="0" borderId="13" xfId="0" applyFont="1" applyBorder="1" applyAlignment="1">
      <alignment horizontal="center" vertical="center"/>
    </xf>
    <xf numFmtId="0" fontId="47" fillId="0" borderId="16" xfId="0" applyFont="1" applyBorder="1" applyAlignment="1">
      <alignment horizontal="center" vertical="center"/>
    </xf>
    <xf numFmtId="0" fontId="47" fillId="0" borderId="15" xfId="0" applyFont="1" applyBorder="1" applyAlignment="1">
      <alignment horizontal="left" wrapText="1"/>
    </xf>
    <xf numFmtId="170" fontId="47" fillId="0" borderId="13" xfId="0" applyNumberFormat="1" applyFont="1" applyBorder="1"/>
    <xf numFmtId="4" fontId="47" fillId="0" borderId="13" xfId="0" applyNumberFormat="1" applyFont="1" applyBorder="1" applyAlignment="1">
      <alignment horizontal="right"/>
    </xf>
    <xf numFmtId="4" fontId="47" fillId="0" borderId="13" xfId="0" applyNumberFormat="1" applyFont="1" applyBorder="1"/>
    <xf numFmtId="4" fontId="47" fillId="0" borderId="16" xfId="0" applyNumberFormat="1" applyFont="1" applyBorder="1" applyAlignment="1"/>
    <xf numFmtId="0" fontId="46" fillId="0" borderId="80" xfId="0" applyFont="1" applyFill="1" applyBorder="1" applyAlignment="1">
      <alignment horizontal="left" wrapText="1"/>
    </xf>
    <xf numFmtId="0" fontId="47" fillId="0" borderId="81" xfId="0" applyFont="1" applyBorder="1"/>
    <xf numFmtId="4" fontId="46" fillId="0" borderId="19" xfId="0" applyNumberFormat="1" applyFont="1" applyBorder="1" applyAlignment="1"/>
    <xf numFmtId="0" fontId="47" fillId="0" borderId="17" xfId="0" applyFont="1" applyBorder="1" applyAlignment="1">
      <alignment wrapText="1"/>
    </xf>
    <xf numFmtId="164" fontId="2" fillId="0" borderId="18" xfId="5" applyFont="1" applyBorder="1" applyAlignment="1">
      <alignment horizontal="center"/>
    </xf>
    <xf numFmtId="4" fontId="2" fillId="0" borderId="18" xfId="5" applyNumberFormat="1" applyFont="1" applyBorder="1" applyAlignment="1">
      <alignment horizontal="center"/>
    </xf>
    <xf numFmtId="4" fontId="2" fillId="0" borderId="19" xfId="5" applyNumberFormat="1" applyFont="1" applyBorder="1" applyAlignment="1">
      <alignment horizontal="center"/>
    </xf>
    <xf numFmtId="164" fontId="2" fillId="0" borderId="29" xfId="5" applyFont="1" applyBorder="1" applyAlignment="1">
      <alignment horizontal="center" vertical="center" wrapText="1"/>
    </xf>
    <xf numFmtId="164" fontId="2" fillId="0" borderId="26" xfId="5" applyFont="1" applyBorder="1" applyAlignment="1">
      <alignment horizontal="center" vertical="center" wrapText="1"/>
    </xf>
    <xf numFmtId="164" fontId="2" fillId="0" borderId="30" xfId="5" applyFont="1" applyBorder="1" applyAlignment="1">
      <alignment horizontal="center" vertical="center" wrapText="1"/>
    </xf>
    <xf numFmtId="164" fontId="2" fillId="0" borderId="33" xfId="5" applyFont="1" applyBorder="1" applyAlignment="1">
      <alignment horizontal="center" vertical="center" wrapText="1"/>
    </xf>
    <xf numFmtId="164" fontId="2" fillId="0" borderId="25" xfId="5" applyFont="1" applyBorder="1" applyAlignment="1">
      <alignment horizontal="center" vertical="center" wrapText="1"/>
    </xf>
    <xf numFmtId="164" fontId="2" fillId="0" borderId="34" xfId="5" applyFont="1" applyBorder="1" applyAlignment="1">
      <alignment horizontal="center" vertical="center" wrapText="1"/>
    </xf>
    <xf numFmtId="0" fontId="39" fillId="0" borderId="0" xfId="0" applyFont="1" applyBorder="1" applyAlignment="1">
      <alignment horizontal="center" wrapText="1"/>
    </xf>
    <xf numFmtId="0" fontId="39" fillId="0" borderId="0" xfId="0" applyFont="1" applyFill="1" applyBorder="1" applyAlignment="1">
      <alignment horizontal="center" wrapText="1"/>
    </xf>
    <xf numFmtId="0" fontId="39" fillId="6" borderId="26" xfId="0" applyFont="1" applyFill="1" applyBorder="1" applyAlignment="1">
      <alignment horizontal="left" vertical="center" wrapText="1"/>
    </xf>
    <xf numFmtId="0" fontId="39" fillId="6" borderId="82" xfId="0" applyFont="1" applyFill="1" applyBorder="1" applyAlignment="1">
      <alignment horizontal="left" vertical="center" wrapText="1"/>
    </xf>
    <xf numFmtId="4" fontId="43" fillId="5" borderId="13" xfId="0" applyNumberFormat="1" applyFont="1" applyFill="1" applyBorder="1" applyAlignment="1">
      <alignment horizontal="center" vertical="center"/>
    </xf>
    <xf numFmtId="4" fontId="43" fillId="5" borderId="24" xfId="0" applyNumberFormat="1" applyFont="1" applyFill="1" applyBorder="1" applyAlignment="1">
      <alignment horizontal="center" vertical="center"/>
    </xf>
    <xf numFmtId="4" fontId="43" fillId="0" borderId="15" xfId="0" applyNumberFormat="1" applyFont="1" applyBorder="1" applyAlignment="1">
      <alignment horizontal="center" vertical="center" wrapText="1"/>
    </xf>
    <xf numFmtId="4" fontId="43" fillId="0" borderId="13" xfId="0" applyNumberFormat="1" applyFont="1" applyBorder="1" applyAlignment="1">
      <alignment horizontal="center" vertical="center" wrapText="1"/>
    </xf>
    <xf numFmtId="4" fontId="43" fillId="0" borderId="16" xfId="0" applyNumberFormat="1" applyFont="1" applyBorder="1" applyAlignment="1">
      <alignment horizontal="center" vertical="center" wrapText="1"/>
    </xf>
    <xf numFmtId="10" fontId="40" fillId="5" borderId="13" xfId="4" applyNumberFormat="1" applyFont="1" applyFill="1" applyBorder="1" applyAlignment="1">
      <alignment horizontal="center" vertical="center"/>
    </xf>
    <xf numFmtId="10" fontId="40" fillId="5" borderId="16" xfId="4" applyNumberFormat="1" applyFont="1" applyFill="1" applyBorder="1" applyAlignment="1">
      <alignment horizontal="center" vertical="center"/>
    </xf>
    <xf numFmtId="10" fontId="40" fillId="5" borderId="24" xfId="4" applyNumberFormat="1" applyFont="1" applyFill="1" applyBorder="1" applyAlignment="1">
      <alignment horizontal="center" vertical="center"/>
    </xf>
    <xf numFmtId="10" fontId="40" fillId="5" borderId="28" xfId="4" applyNumberFormat="1" applyFont="1" applyFill="1" applyBorder="1" applyAlignment="1">
      <alignment horizontal="center" vertical="center"/>
    </xf>
    <xf numFmtId="4" fontId="43" fillId="0" borderId="29" xfId="0" applyNumberFormat="1" applyFont="1" applyBorder="1" applyAlignment="1">
      <alignment horizontal="center" vertical="center" wrapText="1"/>
    </xf>
    <xf numFmtId="4" fontId="43" fillId="0" borderId="26" xfId="0" applyNumberFormat="1" applyFont="1" applyBorder="1" applyAlignment="1">
      <alignment horizontal="center" vertical="center" wrapText="1"/>
    </xf>
    <xf numFmtId="4" fontId="43" fillId="0" borderId="30" xfId="0" applyNumberFormat="1" applyFont="1" applyBorder="1" applyAlignment="1">
      <alignment horizontal="center" vertical="center" wrapText="1"/>
    </xf>
    <xf numFmtId="4" fontId="43" fillId="0" borderId="33" xfId="0" applyNumberFormat="1" applyFont="1" applyBorder="1" applyAlignment="1">
      <alignment horizontal="center" vertical="center" wrapText="1"/>
    </xf>
    <xf numFmtId="4" fontId="43" fillId="0" borderId="25" xfId="0" applyNumberFormat="1" applyFont="1" applyBorder="1" applyAlignment="1">
      <alignment horizontal="center" vertical="center" wrapText="1"/>
    </xf>
    <xf numFmtId="4" fontId="43" fillId="0" borderId="34" xfId="0" applyNumberFormat="1" applyFont="1" applyBorder="1" applyAlignment="1">
      <alignment horizontal="center" vertical="center" wrapText="1"/>
    </xf>
    <xf numFmtId="4" fontId="43" fillId="5" borderId="13" xfId="0" applyNumberFormat="1" applyFont="1" applyFill="1" applyBorder="1" applyAlignment="1">
      <alignment horizontal="center" vertical="center" wrapText="1"/>
    </xf>
    <xf numFmtId="0" fontId="5" fillId="0" borderId="83" xfId="0" applyFont="1" applyBorder="1" applyAlignment="1">
      <alignment horizontal="center" wrapText="1"/>
    </xf>
    <xf numFmtId="0" fontId="5" fillId="0" borderId="84" xfId="0" applyFont="1" applyBorder="1" applyAlignment="1">
      <alignment horizontal="center" wrapText="1"/>
    </xf>
    <xf numFmtId="0" fontId="5" fillId="0" borderId="85" xfId="0" applyFont="1" applyBorder="1" applyAlignment="1">
      <alignment horizontal="center" wrapText="1"/>
    </xf>
    <xf numFmtId="0" fontId="5" fillId="0" borderId="86" xfId="0" applyFont="1" applyBorder="1" applyAlignment="1">
      <alignment horizontal="center" wrapText="1"/>
    </xf>
    <xf numFmtId="0" fontId="5" fillId="0" borderId="69" xfId="0" applyFont="1" applyBorder="1" applyAlignment="1">
      <alignment horizontal="center" wrapText="1"/>
    </xf>
    <xf numFmtId="0" fontId="5" fillId="0" borderId="87" xfId="0" applyFont="1" applyBorder="1" applyAlignment="1">
      <alignment horizontal="center" wrapText="1"/>
    </xf>
    <xf numFmtId="0" fontId="5" fillId="0" borderId="88" xfId="0" applyFont="1" applyBorder="1" applyAlignment="1">
      <alignment horizontal="center" wrapText="1"/>
    </xf>
    <xf numFmtId="0" fontId="5" fillId="0" borderId="57" xfId="0" applyFont="1" applyBorder="1" applyAlignment="1">
      <alignment horizontal="center" wrapText="1"/>
    </xf>
    <xf numFmtId="0" fontId="31" fillId="0" borderId="13" xfId="0" applyFont="1" applyBorder="1" applyAlignment="1">
      <alignment horizontal="left"/>
    </xf>
    <xf numFmtId="0" fontId="31" fillId="0" borderId="13" xfId="0" applyFont="1" applyFill="1" applyBorder="1" applyAlignment="1">
      <alignment horizontal="left"/>
    </xf>
    <xf numFmtId="0" fontId="31" fillId="10" borderId="13" xfId="0" applyFont="1" applyFill="1" applyBorder="1" applyAlignment="1">
      <alignment horizontal="left"/>
    </xf>
    <xf numFmtId="0" fontId="42" fillId="0" borderId="86" xfId="0" applyFont="1" applyBorder="1" applyAlignment="1">
      <alignment horizontal="center" vertical="center" wrapText="1"/>
    </xf>
    <xf numFmtId="0" fontId="42" fillId="0" borderId="84" xfId="0" applyFont="1" applyBorder="1" applyAlignment="1">
      <alignment horizontal="center" vertical="center" wrapText="1"/>
    </xf>
    <xf numFmtId="0" fontId="42" fillId="0" borderId="69" xfId="0" applyFont="1" applyBorder="1" applyAlignment="1">
      <alignment horizontal="center" vertical="center" wrapText="1"/>
    </xf>
    <xf numFmtId="164" fontId="1" fillId="0" borderId="86" xfId="5" applyFont="1" applyBorder="1" applyAlignment="1">
      <alignment horizontal="center"/>
    </xf>
    <xf numFmtId="164" fontId="1" fillId="0" borderId="84" xfId="5" applyFont="1" applyBorder="1" applyAlignment="1">
      <alignment horizontal="center"/>
    </xf>
    <xf numFmtId="164" fontId="1" fillId="0" borderId="69" xfId="5" applyFont="1" applyBorder="1" applyAlignment="1">
      <alignment horizontal="center"/>
    </xf>
    <xf numFmtId="0" fontId="37" fillId="0" borderId="0" xfId="0" applyFont="1" applyAlignment="1">
      <alignment horizontal="left" vertical="center" wrapText="1"/>
    </xf>
    <xf numFmtId="0" fontId="42" fillId="12" borderId="89" xfId="0" applyFont="1" applyFill="1" applyBorder="1" applyAlignment="1">
      <alignment horizontal="center" vertical="center"/>
    </xf>
    <xf numFmtId="0" fontId="42" fillId="12" borderId="90" xfId="0" applyFont="1" applyFill="1" applyBorder="1" applyAlignment="1">
      <alignment horizontal="center" vertical="center"/>
    </xf>
    <xf numFmtId="0" fontId="42" fillId="12" borderId="91" xfId="0" applyFont="1" applyFill="1" applyBorder="1" applyAlignment="1">
      <alignment horizontal="center" vertical="center"/>
    </xf>
    <xf numFmtId="164" fontId="7" fillId="0" borderId="1" xfId="5" applyFont="1" applyBorder="1" applyAlignment="1">
      <alignment horizontal="left" vertical="center"/>
    </xf>
    <xf numFmtId="164" fontId="7" fillId="0" borderId="1" xfId="5" applyFont="1" applyBorder="1" applyAlignment="1">
      <alignment horizontal="center"/>
    </xf>
    <xf numFmtId="164" fontId="7" fillId="0" borderId="3" xfId="5" applyFont="1" applyBorder="1" applyAlignment="1">
      <alignment horizontal="center"/>
    </xf>
    <xf numFmtId="4" fontId="7" fillId="0" borderId="3" xfId="5" applyNumberFormat="1" applyFont="1" applyFill="1" applyBorder="1" applyAlignment="1">
      <alignment horizontal="center"/>
    </xf>
    <xf numFmtId="164" fontId="18" fillId="0" borderId="1" xfId="5" applyFont="1" applyBorder="1" applyAlignment="1">
      <alignment horizontal="left" vertical="center"/>
    </xf>
    <xf numFmtId="164" fontId="18" fillId="0" borderId="1" xfId="5" applyFont="1" applyBorder="1" applyAlignment="1">
      <alignment horizontal="center"/>
    </xf>
    <xf numFmtId="0" fontId="20" fillId="0" borderId="1" xfId="0" applyFont="1" applyBorder="1" applyAlignment="1">
      <alignment horizontal="left"/>
    </xf>
    <xf numFmtId="164" fontId="22" fillId="0" borderId="1" xfId="5" applyFont="1" applyBorder="1" applyAlignment="1">
      <alignment horizontal="left" vertical="center"/>
    </xf>
    <xf numFmtId="0" fontId="22" fillId="0" borderId="6" xfId="0" applyFont="1" applyBorder="1" applyAlignment="1">
      <alignment horizontal="left"/>
    </xf>
    <xf numFmtId="0" fontId="22" fillId="0" borderId="9" xfId="0" applyFont="1" applyBorder="1" applyAlignment="1">
      <alignment horizontal="left"/>
    </xf>
    <xf numFmtId="0" fontId="22" fillId="0" borderId="7" xfId="0" applyFont="1" applyBorder="1" applyAlignment="1">
      <alignment horizontal="left"/>
    </xf>
    <xf numFmtId="0" fontId="22" fillId="0" borderId="1" xfId="0" applyFont="1" applyBorder="1" applyAlignment="1">
      <alignment horizontal="left"/>
    </xf>
    <xf numFmtId="0" fontId="21" fillId="0" borderId="1" xfId="0" applyFont="1" applyBorder="1" applyAlignment="1">
      <alignment horizontal="center"/>
    </xf>
    <xf numFmtId="0" fontId="24" fillId="0" borderId="1" xfId="0" applyFont="1" applyBorder="1" applyAlignment="1">
      <alignment horizontal="center" vertical="top" wrapText="1"/>
    </xf>
    <xf numFmtId="0" fontId="24" fillId="0" borderId="2" xfId="0" applyFont="1" applyBorder="1" applyAlignment="1">
      <alignment horizontal="left" vertical="top" wrapText="1"/>
    </xf>
    <xf numFmtId="0" fontId="36" fillId="0" borderId="37" xfId="3" applyFont="1" applyBorder="1" applyAlignment="1">
      <alignment horizontal="center"/>
    </xf>
    <xf numFmtId="0" fontId="36" fillId="0" borderId="92" xfId="3" applyFont="1" applyBorder="1" applyAlignment="1">
      <alignment horizontal="center"/>
    </xf>
    <xf numFmtId="0" fontId="34" fillId="4" borderId="0" xfId="0" applyFont="1" applyFill="1" applyBorder="1" applyAlignment="1">
      <alignment horizontal="center" vertical="center" wrapText="1"/>
    </xf>
    <xf numFmtId="0" fontId="34" fillId="4" borderId="32" xfId="0" applyFont="1" applyFill="1" applyBorder="1" applyAlignment="1">
      <alignment horizontal="center" vertical="center" wrapText="1"/>
    </xf>
    <xf numFmtId="0" fontId="34" fillId="4" borderId="11" xfId="0" applyFont="1" applyFill="1" applyBorder="1" applyAlignment="1">
      <alignment horizontal="center" vertical="center" wrapText="1"/>
    </xf>
    <xf numFmtId="0" fontId="34" fillId="4" borderId="93" xfId="0" applyFont="1" applyFill="1" applyBorder="1" applyAlignment="1">
      <alignment horizontal="center" vertical="center" wrapText="1"/>
    </xf>
    <xf numFmtId="0" fontId="34" fillId="5" borderId="75" xfId="0" applyFont="1" applyFill="1" applyBorder="1" applyAlignment="1">
      <alignment horizontal="center"/>
    </xf>
    <xf numFmtId="0" fontId="34" fillId="5" borderId="76" xfId="0" applyFont="1" applyFill="1" applyBorder="1" applyAlignment="1">
      <alignment horizontal="center"/>
    </xf>
    <xf numFmtId="0" fontId="34" fillId="5" borderId="78" xfId="0" applyFont="1" applyFill="1" applyBorder="1" applyAlignment="1">
      <alignment horizontal="center"/>
    </xf>
    <xf numFmtId="0" fontId="34" fillId="0" borderId="94" xfId="0" applyFont="1" applyFill="1" applyBorder="1" applyAlignment="1">
      <alignment horizontal="center"/>
    </xf>
    <xf numFmtId="0" fontId="34" fillId="0" borderId="95" xfId="0" applyFont="1" applyFill="1" applyBorder="1" applyAlignment="1">
      <alignment horizontal="center"/>
    </xf>
    <xf numFmtId="0" fontId="34" fillId="0" borderId="96" xfId="0" applyFont="1" applyFill="1" applyBorder="1" applyAlignment="1">
      <alignment horizontal="center"/>
    </xf>
    <xf numFmtId="0" fontId="29" fillId="0" borderId="12" xfId="0" applyFont="1" applyBorder="1" applyAlignment="1">
      <alignment horizontal="center" vertical="center"/>
    </xf>
    <xf numFmtId="164" fontId="46" fillId="0" borderId="89" xfId="5" applyFont="1" applyBorder="1" applyAlignment="1">
      <alignment horizontal="center"/>
    </xf>
    <xf numFmtId="164" fontId="46" fillId="0" borderId="90" xfId="5" applyFont="1" applyBorder="1" applyAlignment="1">
      <alignment horizontal="center"/>
    </xf>
    <xf numFmtId="164" fontId="46" fillId="0" borderId="91" xfId="5" applyFont="1" applyBorder="1" applyAlignment="1">
      <alignment horizontal="center"/>
    </xf>
    <xf numFmtId="49" fontId="35" fillId="0" borderId="75" xfId="5" applyNumberFormat="1" applyFont="1" applyBorder="1" applyAlignment="1" applyProtection="1">
      <alignment horizontal="center" vertical="center" wrapText="1"/>
    </xf>
    <xf numFmtId="49" fontId="35" fillId="0" borderId="76" xfId="5" applyNumberFormat="1" applyFont="1" applyBorder="1" applyAlignment="1" applyProtection="1">
      <alignment horizontal="center" vertical="center" wrapText="1"/>
    </xf>
    <xf numFmtId="49" fontId="35" fillId="0" borderId="56" xfId="5" applyNumberFormat="1" applyFont="1" applyBorder="1" applyAlignment="1" applyProtection="1">
      <alignment horizontal="center" vertical="center" wrapText="1"/>
    </xf>
    <xf numFmtId="49" fontId="35" fillId="6" borderId="75" xfId="5" applyNumberFormat="1" applyFont="1" applyFill="1" applyBorder="1" applyAlignment="1" applyProtection="1">
      <alignment horizontal="center" vertical="center" wrapText="1"/>
    </xf>
    <xf numFmtId="49" fontId="35" fillId="6" borderId="76" xfId="5" applyNumberFormat="1" applyFont="1" applyFill="1" applyBorder="1" applyAlignment="1" applyProtection="1">
      <alignment horizontal="center" vertical="center" wrapText="1"/>
    </xf>
    <xf numFmtId="49" fontId="35" fillId="6" borderId="56" xfId="5" applyNumberFormat="1" applyFont="1" applyFill="1" applyBorder="1" applyAlignment="1" applyProtection="1">
      <alignment horizontal="center" vertical="center" wrapText="1"/>
    </xf>
    <xf numFmtId="0" fontId="46" fillId="0" borderId="20" xfId="0" applyFont="1" applyBorder="1" applyAlignment="1">
      <alignment horizontal="center"/>
    </xf>
    <xf numFmtId="0" fontId="46" fillId="0" borderId="21" xfId="0" applyFont="1" applyBorder="1" applyAlignment="1">
      <alignment horizontal="center"/>
    </xf>
    <xf numFmtId="0" fontId="46" fillId="0" borderId="22" xfId="0" applyFont="1" applyBorder="1" applyAlignment="1">
      <alignment horizontal="center"/>
    </xf>
    <xf numFmtId="0" fontId="47" fillId="0" borderId="15" xfId="0" applyFont="1" applyBorder="1" applyAlignment="1">
      <alignment horizontal="center"/>
    </xf>
    <xf numFmtId="0" fontId="47" fillId="0" borderId="13" xfId="0" applyFont="1" applyBorder="1" applyAlignment="1">
      <alignment horizontal="center"/>
    </xf>
    <xf numFmtId="0" fontId="47" fillId="0" borderId="16" xfId="0" applyFont="1" applyBorder="1" applyAlignment="1">
      <alignment horizontal="center"/>
    </xf>
    <xf numFmtId="0" fontId="48" fillId="0" borderId="15" xfId="0" applyFont="1" applyBorder="1" applyAlignment="1">
      <alignment horizontal="center"/>
    </xf>
    <xf numFmtId="0" fontId="48" fillId="0" borderId="13" xfId="0" applyFont="1" applyBorder="1" applyAlignment="1">
      <alignment horizontal="center"/>
    </xf>
    <xf numFmtId="0" fontId="48" fillId="0" borderId="16" xfId="0" applyFont="1" applyBorder="1" applyAlignment="1">
      <alignment horizontal="center"/>
    </xf>
    <xf numFmtId="0" fontId="47" fillId="0" borderId="15" xfId="0" applyFont="1" applyBorder="1" applyAlignment="1">
      <alignment horizontal="center" vertical="center" wrapText="1"/>
    </xf>
    <xf numFmtId="0" fontId="47" fillId="0" borderId="13" xfId="0" applyFont="1" applyBorder="1" applyAlignment="1">
      <alignment horizontal="center" vertical="center"/>
    </xf>
    <xf numFmtId="0" fontId="48" fillId="0" borderId="15" xfId="0" applyFont="1" applyBorder="1" applyAlignment="1">
      <alignment horizontal="center" vertical="center" wrapText="1"/>
    </xf>
    <xf numFmtId="0" fontId="48" fillId="0" borderId="97" xfId="0" applyFont="1" applyBorder="1" applyAlignment="1">
      <alignment horizontal="center" vertical="center" wrapText="1"/>
    </xf>
    <xf numFmtId="0" fontId="48" fillId="0" borderId="98" xfId="0" applyFont="1" applyBorder="1" applyAlignment="1">
      <alignment horizontal="center" vertical="center" wrapText="1"/>
    </xf>
    <xf numFmtId="0" fontId="48" fillId="0" borderId="99" xfId="0" applyFont="1" applyBorder="1" applyAlignment="1">
      <alignment horizontal="center" vertical="center" wrapText="1"/>
    </xf>
    <xf numFmtId="0" fontId="48" fillId="0" borderId="100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48" fillId="0" borderId="16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/>
    </xf>
    <xf numFmtId="4" fontId="48" fillId="0" borderId="60" xfId="0" applyNumberFormat="1" applyFont="1" applyBorder="1" applyAlignment="1">
      <alignment horizontal="center" vertical="center" wrapText="1"/>
    </xf>
    <xf numFmtId="0" fontId="48" fillId="0" borderId="57" xfId="0" applyFont="1" applyBorder="1" applyAlignment="1">
      <alignment horizontal="center" vertical="center" wrapText="1"/>
    </xf>
  </cellXfs>
  <cellStyles count="6">
    <cellStyle name="Moeda" xfId="1" builtinId="4"/>
    <cellStyle name="Normal" xfId="0" builtinId="0"/>
    <cellStyle name="Normal 2 2" xfId="2"/>
    <cellStyle name="Normal 3 3" xfId="3"/>
    <cellStyle name="Porcentagem" xfId="4" builtinId="5"/>
    <cellStyle name="TableStyleLight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1700647</xdr:colOff>
      <xdr:row>0</xdr:row>
      <xdr:rowOff>85725</xdr:rowOff>
    </xdr:from>
    <xdr:to>
      <xdr:col>5</xdr:col>
      <xdr:colOff>1000125</xdr:colOff>
      <xdr:row>0</xdr:row>
      <xdr:rowOff>649143</xdr:rowOff>
    </xdr:to>
    <xdr:sp macro="" textlink="" fLocksText="0">
      <xdr:nvSpPr>
        <xdr:cNvPr id="4" name="Text Box 2"/>
        <xdr:cNvSpPr txBox="1">
          <a:spLocks noChangeArrowheads="1"/>
        </xdr:cNvSpPr>
      </xdr:nvSpPr>
      <xdr:spPr bwMode="auto">
        <a:xfrm>
          <a:off x="1700647" y="85725"/>
          <a:ext cx="472872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1</xdr:col>
      <xdr:colOff>0</xdr:colOff>
      <xdr:row>0</xdr:row>
      <xdr:rowOff>85725</xdr:rowOff>
    </xdr:from>
    <xdr:to>
      <xdr:col>1</xdr:col>
      <xdr:colOff>1638300</xdr:colOff>
      <xdr:row>0</xdr:row>
      <xdr:rowOff>590550</xdr:rowOff>
    </xdr:to>
    <xdr:pic>
      <xdr:nvPicPr>
        <xdr:cNvPr id="422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" y="857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1700647</xdr:colOff>
      <xdr:row>0</xdr:row>
      <xdr:rowOff>0</xdr:rowOff>
    </xdr:from>
    <xdr:to>
      <xdr:col>6</xdr:col>
      <xdr:colOff>3464</xdr:colOff>
      <xdr:row>0</xdr:row>
      <xdr:rowOff>666750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4424794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1</xdr:col>
      <xdr:colOff>0</xdr:colOff>
      <xdr:row>0</xdr:row>
      <xdr:rowOff>47625</xdr:rowOff>
    </xdr:from>
    <xdr:to>
      <xdr:col>1</xdr:col>
      <xdr:colOff>1638300</xdr:colOff>
      <xdr:row>0</xdr:row>
      <xdr:rowOff>552450</xdr:rowOff>
    </xdr:to>
    <xdr:pic>
      <xdr:nvPicPr>
        <xdr:cNvPr id="319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1475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1700647</xdr:colOff>
      <xdr:row>0</xdr:row>
      <xdr:rowOff>0</xdr:rowOff>
    </xdr:from>
    <xdr:to>
      <xdr:col>4</xdr:col>
      <xdr:colOff>1000125</xdr:colOff>
      <xdr:row>0</xdr:row>
      <xdr:rowOff>563418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472872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0</xdr:col>
      <xdr:colOff>0</xdr:colOff>
      <xdr:row>0</xdr:row>
      <xdr:rowOff>47625</xdr:rowOff>
    </xdr:from>
    <xdr:to>
      <xdr:col>0</xdr:col>
      <xdr:colOff>1638300</xdr:colOff>
      <xdr:row>0</xdr:row>
      <xdr:rowOff>552450</xdr:rowOff>
    </xdr:to>
    <xdr:pic>
      <xdr:nvPicPr>
        <xdr:cNvPr id="2170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1700647</xdr:colOff>
      <xdr:row>0</xdr:row>
      <xdr:rowOff>0</xdr:rowOff>
    </xdr:from>
    <xdr:to>
      <xdr:col>9</xdr:col>
      <xdr:colOff>397565</xdr:colOff>
      <xdr:row>0</xdr:row>
      <xdr:rowOff>670890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5588048" cy="67089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lnSpc>
              <a:spcPts val="9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0</xdr:col>
      <xdr:colOff>0</xdr:colOff>
      <xdr:row>0</xdr:row>
      <xdr:rowOff>47625</xdr:rowOff>
    </xdr:from>
    <xdr:to>
      <xdr:col>0</xdr:col>
      <xdr:colOff>1638300</xdr:colOff>
      <xdr:row>0</xdr:row>
      <xdr:rowOff>552450</xdr:rowOff>
    </xdr:to>
    <xdr:pic>
      <xdr:nvPicPr>
        <xdr:cNvPr id="524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19050</xdr:rowOff>
    </xdr:from>
    <xdr:to>
      <xdr:col>3</xdr:col>
      <xdr:colOff>1638300</xdr:colOff>
      <xdr:row>4</xdr:row>
      <xdr:rowOff>161925</xdr:rowOff>
    </xdr:to>
    <xdr:pic>
      <xdr:nvPicPr>
        <xdr:cNvPr id="1209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62050" y="19050"/>
          <a:ext cx="26193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1690690</xdr:colOff>
      <xdr:row>0</xdr:row>
      <xdr:rowOff>119063</xdr:rowOff>
    </xdr:from>
    <xdr:to>
      <xdr:col>9</xdr:col>
      <xdr:colOff>2159000</xdr:colOff>
      <xdr:row>4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3833815" y="119063"/>
          <a:ext cx="7342185" cy="7461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GRI/UGE - 3ª Superintendência Regional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8"/>
  <sheetViews>
    <sheetView showGridLines="0" view="pageBreakPreview" zoomScale="115" zoomScaleNormal="145" zoomScaleSheetLayoutView="115" workbookViewId="0">
      <selection activeCell="H33" sqref="G1:H33"/>
    </sheetView>
  </sheetViews>
  <sheetFormatPr defaultColWidth="10.140625" defaultRowHeight="15"/>
  <cols>
    <col min="1" max="1" width="5.140625" style="439" bestFit="1" customWidth="1"/>
    <col min="2" max="2" width="54.5703125" style="1" customWidth="1"/>
    <col min="3" max="3" width="7.5703125" style="2" bestFit="1" customWidth="1"/>
    <col min="4" max="4" width="8.140625" style="1" bestFit="1" customWidth="1"/>
    <col min="5" max="5" width="9.28515625" style="1" bestFit="1" customWidth="1"/>
    <col min="6" max="6" width="11" style="1" bestFit="1" customWidth="1"/>
    <col min="7" max="7" width="10.140625" style="108"/>
    <col min="8" max="8" width="12.7109375" style="1" customWidth="1"/>
    <col min="9" max="16384" width="10.140625" style="1"/>
  </cols>
  <sheetData>
    <row r="1" spans="1:256" ht="53.25" customHeight="1" thickBot="1">
      <c r="G1" s="323"/>
    </row>
    <row r="2" spans="1:256" ht="18.75" customHeight="1">
      <c r="A2" s="551" t="s">
        <v>411</v>
      </c>
      <c r="B2" s="552"/>
      <c r="C2" s="552"/>
      <c r="D2" s="552"/>
      <c r="E2" s="552"/>
      <c r="F2" s="553"/>
      <c r="G2" s="316"/>
    </row>
    <row r="3" spans="1:256" ht="17.25" customHeight="1" thickBot="1">
      <c r="A3" s="554"/>
      <c r="B3" s="555"/>
      <c r="C3" s="555"/>
      <c r="D3" s="555"/>
      <c r="E3" s="555"/>
      <c r="F3" s="556"/>
      <c r="G3" s="317"/>
    </row>
    <row r="4" spans="1:256" ht="18.75" customHeight="1">
      <c r="A4" s="442" t="s">
        <v>289</v>
      </c>
      <c r="B4" s="443" t="s">
        <v>1</v>
      </c>
      <c r="C4" s="443" t="s">
        <v>2</v>
      </c>
      <c r="D4" s="443" t="s">
        <v>3</v>
      </c>
      <c r="E4" s="443" t="s">
        <v>4</v>
      </c>
      <c r="F4" s="444" t="s">
        <v>5</v>
      </c>
      <c r="G4" s="318"/>
    </row>
    <row r="5" spans="1:256">
      <c r="A5" s="441">
        <v>1</v>
      </c>
      <c r="B5" s="422" t="s">
        <v>6</v>
      </c>
      <c r="C5" s="423"/>
      <c r="D5" s="424"/>
      <c r="E5" s="424"/>
      <c r="F5" s="434">
        <f>SUM(F6:F8)</f>
        <v>12782.098960899842</v>
      </c>
      <c r="G5" s="318"/>
    </row>
    <row r="6" spans="1:256">
      <c r="A6" s="438" t="s">
        <v>319</v>
      </c>
      <c r="B6" s="425" t="s">
        <v>7</v>
      </c>
      <c r="C6" s="426" t="s">
        <v>8</v>
      </c>
      <c r="D6" s="427">
        <v>2</v>
      </c>
      <c r="E6" s="427">
        <f>ROUND(CPU!E11,2)</f>
        <v>2407.31</v>
      </c>
      <c r="F6" s="435">
        <f>D6*E6</f>
        <v>4814.62</v>
      </c>
      <c r="G6" s="318"/>
      <c r="H6" s="3"/>
    </row>
    <row r="7" spans="1:256">
      <c r="A7" s="438" t="s">
        <v>372</v>
      </c>
      <c r="B7" s="425" t="s">
        <v>9</v>
      </c>
      <c r="C7" s="426" t="s">
        <v>351</v>
      </c>
      <c r="D7" s="427">
        <v>6</v>
      </c>
      <c r="E7" s="427">
        <f>ROUND(CPU!E22,2)</f>
        <v>338.89</v>
      </c>
      <c r="F7" s="435">
        <f>D7*E7</f>
        <v>2033.34</v>
      </c>
      <c r="G7" s="318"/>
      <c r="H7" s="4"/>
    </row>
    <row r="8" spans="1:256">
      <c r="A8" s="438" t="s">
        <v>373</v>
      </c>
      <c r="B8" s="425" t="s">
        <v>11</v>
      </c>
      <c r="C8" s="426" t="s">
        <v>12</v>
      </c>
      <c r="D8" s="427">
        <v>12</v>
      </c>
      <c r="E8" s="427">
        <f>CPU!E29</f>
        <v>494.5115800749868</v>
      </c>
      <c r="F8" s="435">
        <f>D8*E8</f>
        <v>5934.1389608998415</v>
      </c>
      <c r="G8" s="318"/>
    </row>
    <row r="9" spans="1:256">
      <c r="A9" s="441">
        <v>2</v>
      </c>
      <c r="B9" s="422" t="s">
        <v>13</v>
      </c>
      <c r="C9" s="423"/>
      <c r="D9" s="424"/>
      <c r="E9" s="424"/>
      <c r="F9" s="434">
        <f>SUM(F10)</f>
        <v>78035.759999999995</v>
      </c>
      <c r="G9" s="318"/>
    </row>
    <row r="10" spans="1:256">
      <c r="A10" s="438" t="s">
        <v>268</v>
      </c>
      <c r="B10" s="425" t="s">
        <v>14</v>
      </c>
      <c r="C10" s="426" t="s">
        <v>15</v>
      </c>
      <c r="D10" s="427">
        <v>12</v>
      </c>
      <c r="E10" s="427">
        <f>ROUND(CPU!E39,2)</f>
        <v>6502.98</v>
      </c>
      <c r="F10" s="435">
        <f>D10*E10</f>
        <v>78035.759999999995</v>
      </c>
      <c r="G10" s="318"/>
    </row>
    <row r="11" spans="1:256">
      <c r="A11" s="441">
        <v>3</v>
      </c>
      <c r="B11" s="422" t="s">
        <v>19</v>
      </c>
      <c r="C11" s="423"/>
      <c r="D11" s="424"/>
      <c r="E11" s="424"/>
      <c r="F11" s="434">
        <f>SUM(F12:F20)</f>
        <v>477792.52987655427</v>
      </c>
      <c r="G11" s="318"/>
      <c r="K11" s="332"/>
    </row>
    <row r="12" spans="1:256">
      <c r="A12" s="438" t="s">
        <v>274</v>
      </c>
      <c r="B12" s="425" t="s">
        <v>20</v>
      </c>
      <c r="C12" s="426" t="s">
        <v>350</v>
      </c>
      <c r="D12" s="428">
        <f>'Memorial de Cálculo'!D4</f>
        <v>8040</v>
      </c>
      <c r="E12" s="427">
        <f>ROUND(CPU!E46,2)</f>
        <v>4.88</v>
      </c>
      <c r="F12" s="435">
        <f t="shared" ref="F12:F20" si="0">D12*E12</f>
        <v>39235.199999999997</v>
      </c>
      <c r="G12" s="318"/>
    </row>
    <row r="13" spans="1:256">
      <c r="A13" s="438" t="s">
        <v>275</v>
      </c>
      <c r="B13" s="425" t="s">
        <v>23</v>
      </c>
      <c r="C13" s="426" t="s">
        <v>350</v>
      </c>
      <c r="D13" s="428">
        <f>'Memorial de Cálculo'!D5</f>
        <v>8040</v>
      </c>
      <c r="E13" s="427">
        <f>CPU!E54</f>
        <v>1.9928198537546873</v>
      </c>
      <c r="F13" s="435">
        <f t="shared" si="0"/>
        <v>16022.271624187686</v>
      </c>
      <c r="G13" s="318"/>
    </row>
    <row r="14" spans="1:256">
      <c r="A14" s="438" t="s">
        <v>374</v>
      </c>
      <c r="B14" s="425" t="s">
        <v>24</v>
      </c>
      <c r="C14" s="426" t="s">
        <v>25</v>
      </c>
      <c r="D14" s="428">
        <f>'Memorial de Cálculo'!E9</f>
        <v>2436.3636363636324</v>
      </c>
      <c r="E14" s="428">
        <f>ROUND(CPU!E66,2)</f>
        <v>30.24</v>
      </c>
      <c r="F14" s="435">
        <f t="shared" si="0"/>
        <v>73675.636363636237</v>
      </c>
      <c r="G14" s="318"/>
    </row>
    <row r="15" spans="1:256">
      <c r="A15" s="438" t="s">
        <v>375</v>
      </c>
      <c r="B15" s="429" t="s">
        <v>26</v>
      </c>
      <c r="C15" s="430" t="s">
        <v>27</v>
      </c>
      <c r="D15" s="431">
        <f>'Memorial de Cálculo'!E16</f>
        <v>1152</v>
      </c>
      <c r="E15" s="428">
        <f>ROUND(CPU!E74,2)</f>
        <v>2.94</v>
      </c>
      <c r="F15" s="435">
        <f t="shared" si="0"/>
        <v>3386.88</v>
      </c>
      <c r="G15" s="319"/>
      <c r="H15" s="107"/>
      <c r="I15" s="107"/>
    </row>
    <row r="16" spans="1:256" s="106" customFormat="1" ht="21">
      <c r="A16" s="438" t="s">
        <v>376</v>
      </c>
      <c r="B16" s="432" t="s">
        <v>414</v>
      </c>
      <c r="C16" s="426" t="s">
        <v>351</v>
      </c>
      <c r="D16" s="428">
        <f>'Memorial de Cálculo'!G12</f>
        <v>80.40000000000002</v>
      </c>
      <c r="E16" s="428">
        <f>ROUND(CPU!E83,2)</f>
        <v>278.79000000000002</v>
      </c>
      <c r="F16" s="436">
        <f t="shared" si="0"/>
        <v>22414.716000000008</v>
      </c>
      <c r="G16" s="320"/>
      <c r="H16" s="105"/>
      <c r="I16" s="105"/>
      <c r="J16" s="105"/>
      <c r="K16" s="105"/>
      <c r="L16" s="105"/>
      <c r="M16" s="105"/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DW16" s="105"/>
      <c r="DX16" s="105"/>
      <c r="DY16" s="105"/>
      <c r="DZ16" s="105"/>
      <c r="EA16" s="105"/>
      <c r="EB16" s="105"/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  <c r="GA16" s="105"/>
      <c r="GB16" s="105"/>
      <c r="GC16" s="105"/>
      <c r="GD16" s="105"/>
      <c r="GE16" s="105"/>
      <c r="GF16" s="105"/>
      <c r="GG16" s="105"/>
      <c r="GH16" s="105"/>
      <c r="GI16" s="105"/>
      <c r="GJ16" s="105"/>
      <c r="GK16" s="105"/>
      <c r="GL16" s="105"/>
      <c r="GM16" s="105"/>
      <c r="GN16" s="105"/>
      <c r="GO16" s="105"/>
      <c r="GP16" s="105"/>
      <c r="GQ16" s="105"/>
      <c r="GR16" s="105"/>
      <c r="GS16" s="105"/>
      <c r="GT16" s="105"/>
      <c r="GU16" s="105"/>
      <c r="GV16" s="105"/>
      <c r="GW16" s="105"/>
      <c r="GX16" s="105"/>
      <c r="GY16" s="105"/>
      <c r="GZ16" s="105"/>
      <c r="HA16" s="105"/>
      <c r="HB16" s="105"/>
      <c r="HC16" s="105"/>
      <c r="HD16" s="105"/>
      <c r="HE16" s="105"/>
      <c r="HF16" s="105"/>
      <c r="HG16" s="105"/>
      <c r="HH16" s="105"/>
      <c r="HI16" s="105"/>
      <c r="HJ16" s="105"/>
      <c r="HK16" s="105"/>
      <c r="HL16" s="105"/>
      <c r="HM16" s="105"/>
      <c r="HN16" s="105"/>
      <c r="HO16" s="105"/>
      <c r="HP16" s="105"/>
      <c r="HQ16" s="105"/>
      <c r="HR16" s="105"/>
      <c r="HS16" s="105"/>
      <c r="HT16" s="105"/>
      <c r="HU16" s="105"/>
      <c r="HV16" s="105"/>
      <c r="HW16" s="105"/>
      <c r="HX16" s="105"/>
      <c r="HY16" s="105"/>
      <c r="HZ16" s="105"/>
      <c r="IA16" s="105"/>
      <c r="IB16" s="105"/>
      <c r="IC16" s="105"/>
      <c r="ID16" s="105"/>
      <c r="IE16" s="105"/>
      <c r="IF16" s="105"/>
      <c r="IG16" s="105"/>
      <c r="IH16" s="105"/>
      <c r="II16" s="105"/>
      <c r="IJ16" s="105"/>
      <c r="IK16" s="105"/>
      <c r="IL16" s="105"/>
      <c r="IM16" s="105"/>
      <c r="IN16" s="105"/>
      <c r="IO16" s="105"/>
      <c r="IP16" s="105"/>
      <c r="IQ16" s="105"/>
      <c r="IR16" s="105"/>
      <c r="IS16" s="105"/>
      <c r="IT16" s="105"/>
      <c r="IU16" s="105"/>
      <c r="IV16" s="105"/>
    </row>
    <row r="17" spans="1:11">
      <c r="A17" s="438" t="s">
        <v>377</v>
      </c>
      <c r="B17" s="432" t="s">
        <v>30</v>
      </c>
      <c r="C17" s="426" t="s">
        <v>351</v>
      </c>
      <c r="D17" s="428">
        <f>'Memorial de Cálculo'!G13</f>
        <v>80.40000000000002</v>
      </c>
      <c r="E17" s="428">
        <f>ROUND(CPU!E94,2)</f>
        <v>470.46</v>
      </c>
      <c r="F17" s="436">
        <f t="shared" si="0"/>
        <v>37824.984000000011</v>
      </c>
      <c r="G17" s="318"/>
    </row>
    <row r="18" spans="1:11">
      <c r="A18" s="438" t="s">
        <v>378</v>
      </c>
      <c r="B18" s="432" t="s">
        <v>31</v>
      </c>
      <c r="C18" s="426" t="s">
        <v>351</v>
      </c>
      <c r="D18" s="428">
        <f>'Memorial de Cálculo'!E6</f>
        <v>402</v>
      </c>
      <c r="E18" s="428">
        <f>ROUND(CPU!E105,2)</f>
        <v>470.46</v>
      </c>
      <c r="F18" s="436">
        <f t="shared" si="0"/>
        <v>189124.91999999998</v>
      </c>
      <c r="G18" s="318"/>
    </row>
    <row r="19" spans="1:11" ht="21">
      <c r="A19" s="438" t="s">
        <v>379</v>
      </c>
      <c r="B19" s="432" t="s">
        <v>32</v>
      </c>
      <c r="C19" s="426" t="s">
        <v>351</v>
      </c>
      <c r="D19" s="428">
        <f>'Memorial de Cálculo'!D39:E39</f>
        <v>636.6</v>
      </c>
      <c r="E19" s="428">
        <f>ROUND(CPU!E112,2)</f>
        <v>57.19</v>
      </c>
      <c r="F19" s="436">
        <f t="shared" si="0"/>
        <v>36407.154000000002</v>
      </c>
      <c r="G19" s="319"/>
    </row>
    <row r="20" spans="1:11" ht="21">
      <c r="A20" s="438" t="s">
        <v>380</v>
      </c>
      <c r="B20" s="425" t="s">
        <v>33</v>
      </c>
      <c r="C20" s="426" t="s">
        <v>351</v>
      </c>
      <c r="D20" s="427">
        <f>'Memorial de Cálculo'!D39:E39</f>
        <v>636.6</v>
      </c>
      <c r="E20" s="427">
        <f>CPU!E123</f>
        <v>93.780659580160702</v>
      </c>
      <c r="F20" s="435">
        <f t="shared" si="0"/>
        <v>59700.767888730305</v>
      </c>
      <c r="G20" s="321"/>
      <c r="K20" s="332"/>
    </row>
    <row r="21" spans="1:11">
      <c r="A21" s="441">
        <v>4</v>
      </c>
      <c r="B21" s="422" t="s">
        <v>36</v>
      </c>
      <c r="C21" s="423"/>
      <c r="D21" s="424"/>
      <c r="E21" s="424"/>
      <c r="F21" s="434">
        <f>SUM(F22)</f>
        <v>28084.055999999997</v>
      </c>
      <c r="G21" s="318"/>
    </row>
    <row r="22" spans="1:11">
      <c r="A22" s="438" t="s">
        <v>381</v>
      </c>
      <c r="B22" s="425" t="s">
        <v>37</v>
      </c>
      <c r="C22" s="426" t="s">
        <v>351</v>
      </c>
      <c r="D22" s="427">
        <f>'Memorial de Cálculo'!E19</f>
        <v>109.19999999999999</v>
      </c>
      <c r="E22" s="427">
        <f>ROUND(CPU!E134,2)</f>
        <v>257.18</v>
      </c>
      <c r="F22" s="435">
        <f>D22*E22</f>
        <v>28084.055999999997</v>
      </c>
      <c r="G22" s="319"/>
    </row>
    <row r="23" spans="1:11">
      <c r="A23" s="441">
        <v>5</v>
      </c>
      <c r="B23" s="422" t="s">
        <v>42</v>
      </c>
      <c r="C23" s="423"/>
      <c r="D23" s="424"/>
      <c r="E23" s="424"/>
      <c r="F23" s="434">
        <f>SUM(F24:F26)</f>
        <v>115090.68</v>
      </c>
      <c r="G23" s="318"/>
      <c r="I23" s="332"/>
    </row>
    <row r="24" spans="1:11">
      <c r="A24" s="438" t="s">
        <v>382</v>
      </c>
      <c r="B24" s="425" t="s">
        <v>43</v>
      </c>
      <c r="C24" s="426" t="s">
        <v>27</v>
      </c>
      <c r="D24" s="427">
        <f>'Memorial de Cálculo'!E22</f>
        <v>768</v>
      </c>
      <c r="E24" s="427">
        <f>ROUND(CPU!E141,2)</f>
        <v>10.92</v>
      </c>
      <c r="F24" s="435">
        <f>D24*E24</f>
        <v>8386.56</v>
      </c>
      <c r="G24" s="318"/>
    </row>
    <row r="25" spans="1:11">
      <c r="A25" s="438" t="s">
        <v>383</v>
      </c>
      <c r="B25" s="425" t="s">
        <v>44</v>
      </c>
      <c r="C25" s="426" t="s">
        <v>27</v>
      </c>
      <c r="D25" s="427">
        <f>'Memorial de Cálculo'!E25</f>
        <v>384</v>
      </c>
      <c r="E25" s="427">
        <f>ROUND(CPU!E149,2)</f>
        <v>152.22</v>
      </c>
      <c r="F25" s="435">
        <f>D25*E25</f>
        <v>58452.479999999996</v>
      </c>
      <c r="G25" s="318"/>
    </row>
    <row r="26" spans="1:11">
      <c r="A26" s="438" t="s">
        <v>384</v>
      </c>
      <c r="B26" s="425" t="s">
        <v>45</v>
      </c>
      <c r="C26" s="426" t="s">
        <v>15</v>
      </c>
      <c r="D26" s="427">
        <v>12</v>
      </c>
      <c r="E26" s="427">
        <f>ROUND(CPU!E159,2)</f>
        <v>4020.97</v>
      </c>
      <c r="F26" s="435">
        <f>D26*E26</f>
        <v>48251.64</v>
      </c>
      <c r="G26" s="318"/>
    </row>
    <row r="27" spans="1:11" ht="15.75" thickBot="1">
      <c r="A27" s="440"/>
      <c r="B27" s="437"/>
      <c r="C27" s="548" t="s">
        <v>48</v>
      </c>
      <c r="D27" s="548"/>
      <c r="E27" s="549">
        <f>F5+F9+F11+F21+F23</f>
        <v>711785.12483745418</v>
      </c>
      <c r="F27" s="550"/>
      <c r="G27" s="322"/>
      <c r="H27" s="332"/>
    </row>
    <row r="28" spans="1:11">
      <c r="C28" s="2" t="s">
        <v>413</v>
      </c>
      <c r="G28" s="109"/>
    </row>
  </sheetData>
  <sheetProtection selectLockedCells="1" selectUnlockedCells="1"/>
  <mergeCells count="3">
    <mergeCell ref="C27:D27"/>
    <mergeCell ref="E27:F27"/>
    <mergeCell ref="A2:F3"/>
  </mergeCells>
  <pageMargins left="0.78749999999999998" right="0.20972222222222223" top="0.98402777777777772" bottom="0.98402777777777772" header="0.51180555555555551" footer="0.51180555555555551"/>
  <pageSetup paperSize="9" scale="90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69"/>
  <sheetViews>
    <sheetView showGridLines="0" tabSelected="1" view="pageBreakPreview" zoomScale="110" zoomScaleSheetLayoutView="110" workbookViewId="0">
      <pane ySplit="1" topLeftCell="A2" activePane="bottomLeft" state="frozen"/>
      <selection pane="bottomLeft" activeCell="K65" sqref="K65"/>
    </sheetView>
  </sheetViews>
  <sheetFormatPr defaultColWidth="8.5703125" defaultRowHeight="15"/>
  <cols>
    <col min="1" max="1" width="5.5703125" bestFit="1" customWidth="1"/>
    <col min="2" max="2" width="58.85546875" style="8" customWidth="1"/>
    <col min="3" max="3" width="8.5703125" style="9" customWidth="1"/>
    <col min="4" max="4" width="12.42578125" style="7" customWidth="1"/>
    <col min="5" max="5" width="0" style="7" hidden="1" customWidth="1"/>
    <col min="6" max="6" width="12" style="9" customWidth="1"/>
    <col min="7" max="7" width="8.5703125" style="5"/>
    <col min="8" max="8" width="16.42578125" style="5" customWidth="1"/>
    <col min="9" max="9" width="16" style="5" customWidth="1"/>
    <col min="10" max="10" width="18.5703125" style="5" customWidth="1"/>
    <col min="11" max="11" width="15.7109375" style="5" customWidth="1"/>
    <col min="12" max="16384" width="8.5703125" style="5"/>
  </cols>
  <sheetData>
    <row r="1" spans="1:256" ht="53.25" customHeight="1">
      <c r="B1" s="1"/>
      <c r="C1" s="2"/>
      <c r="D1" s="1"/>
      <c r="E1" s="1"/>
      <c r="F1" s="1"/>
      <c r="G1" s="323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>
      <c r="A2" s="576" t="s">
        <v>352</v>
      </c>
      <c r="B2" s="576"/>
      <c r="C2" s="576"/>
      <c r="D2" s="566">
        <f>BDI!D36</f>
        <v>0.23627895018746692</v>
      </c>
      <c r="E2" s="566"/>
      <c r="F2" s="567"/>
      <c r="G2" s="302"/>
      <c r="H2" s="302"/>
    </row>
    <row r="3" spans="1:256">
      <c r="A3" s="561" t="s">
        <v>353</v>
      </c>
      <c r="B3" s="561"/>
      <c r="C3" s="561"/>
      <c r="D3" s="566">
        <v>1.1938</v>
      </c>
      <c r="E3" s="566"/>
      <c r="F3" s="567"/>
      <c r="G3" s="302"/>
      <c r="H3" s="302"/>
    </row>
    <row r="4" spans="1:256" ht="15.75" thickBot="1">
      <c r="A4" s="562" t="s">
        <v>354</v>
      </c>
      <c r="B4" s="562"/>
      <c r="C4" s="562"/>
      <c r="D4" s="568">
        <v>0.73699999999999999</v>
      </c>
      <c r="E4" s="568"/>
      <c r="F4" s="569"/>
      <c r="G4" s="302"/>
      <c r="H4" s="302"/>
    </row>
    <row r="5" spans="1:256" ht="21.75" customHeight="1">
      <c r="A5" s="570" t="s">
        <v>367</v>
      </c>
      <c r="B5" s="571"/>
      <c r="C5" s="571"/>
      <c r="D5" s="571"/>
      <c r="E5" s="571"/>
      <c r="F5" s="572"/>
      <c r="G5" s="302"/>
      <c r="H5" s="302"/>
    </row>
    <row r="6" spans="1:256" ht="21.75" customHeight="1" thickBot="1">
      <c r="A6" s="573"/>
      <c r="B6" s="574"/>
      <c r="C6" s="574"/>
      <c r="D6" s="574"/>
      <c r="E6" s="574"/>
      <c r="F6" s="575"/>
      <c r="G6" s="302"/>
      <c r="H6" s="302"/>
    </row>
    <row r="7" spans="1:256" ht="27" thickBot="1">
      <c r="A7" s="477" t="s">
        <v>385</v>
      </c>
      <c r="B7" s="449" t="s">
        <v>1</v>
      </c>
      <c r="C7" s="450" t="s">
        <v>2</v>
      </c>
      <c r="D7" s="451" t="s">
        <v>154</v>
      </c>
      <c r="E7" s="451" t="s">
        <v>155</v>
      </c>
      <c r="F7" s="452" t="s">
        <v>156</v>
      </c>
      <c r="G7" s="302"/>
      <c r="H7" s="563"/>
      <c r="I7" s="564"/>
      <c r="J7" s="564"/>
      <c r="K7" s="564"/>
      <c r="L7" s="565"/>
    </row>
    <row r="8" spans="1:256" s="335" customFormat="1">
      <c r="A8" s="470">
        <v>1</v>
      </c>
      <c r="B8" s="488" t="s">
        <v>408</v>
      </c>
      <c r="C8" s="489" t="s">
        <v>27</v>
      </c>
      <c r="D8" s="490">
        <v>17.73</v>
      </c>
      <c r="E8" s="490"/>
      <c r="F8" s="491">
        <v>88253</v>
      </c>
      <c r="G8" s="307"/>
      <c r="H8" s="307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s="335" customFormat="1">
      <c r="A9" s="471">
        <v>2</v>
      </c>
      <c r="B9" s="453" t="s">
        <v>409</v>
      </c>
      <c r="C9" s="454" t="s">
        <v>27</v>
      </c>
      <c r="D9" s="455">
        <v>15.68</v>
      </c>
      <c r="E9" s="455"/>
      <c r="F9" s="472" t="s">
        <v>369</v>
      </c>
      <c r="G9" s="307"/>
      <c r="H9" s="303"/>
      <c r="I9" s="12"/>
      <c r="J9" s="336"/>
      <c r="K9" s="336"/>
      <c r="L9" s="1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s="337" customFormat="1">
      <c r="A10" s="471">
        <v>3</v>
      </c>
      <c r="B10" s="453" t="s">
        <v>159</v>
      </c>
      <c r="C10" s="454" t="s">
        <v>88</v>
      </c>
      <c r="D10" s="455">
        <v>12.58</v>
      </c>
      <c r="E10" s="455"/>
      <c r="F10" s="472" t="s">
        <v>160</v>
      </c>
      <c r="G10" s="558"/>
      <c r="H10" s="558"/>
    </row>
    <row r="11" spans="1:256" s="335" customFormat="1">
      <c r="A11" s="471">
        <v>4</v>
      </c>
      <c r="B11" s="309" t="s">
        <v>147</v>
      </c>
      <c r="C11" s="309" t="s">
        <v>74</v>
      </c>
      <c r="D11" s="455">
        <f>cotações!J8</f>
        <v>7.2</v>
      </c>
      <c r="E11" s="455"/>
      <c r="F11" s="473" t="s">
        <v>349</v>
      </c>
      <c r="G11" s="307"/>
      <c r="H11" s="307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s="335" customFormat="1">
      <c r="A12" s="471">
        <v>5</v>
      </c>
      <c r="B12" s="453" t="s">
        <v>99</v>
      </c>
      <c r="C12" s="454" t="s">
        <v>8</v>
      </c>
      <c r="D12" s="455">
        <f>cotações!J16</f>
        <v>0.76</v>
      </c>
      <c r="E12" s="455"/>
      <c r="F12" s="473" t="s">
        <v>349</v>
      </c>
      <c r="G12" s="557"/>
      <c r="H12" s="557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335" customFormat="1" ht="26.25">
      <c r="A13" s="471">
        <v>6</v>
      </c>
      <c r="B13" s="453" t="s">
        <v>165</v>
      </c>
      <c r="C13" s="454" t="s">
        <v>29</v>
      </c>
      <c r="D13" s="455">
        <f>45</f>
        <v>45</v>
      </c>
      <c r="E13" s="455"/>
      <c r="F13" s="474">
        <v>368</v>
      </c>
      <c r="G13" s="307"/>
      <c r="H13" s="307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</row>
    <row r="14" spans="1:256" s="335" customFormat="1">
      <c r="A14" s="471">
        <v>7</v>
      </c>
      <c r="B14" s="453" t="s">
        <v>177</v>
      </c>
      <c r="C14" s="454" t="s">
        <v>15</v>
      </c>
      <c r="D14" s="455">
        <f>cotações!J6</f>
        <v>294</v>
      </c>
      <c r="E14" s="455"/>
      <c r="F14" s="473" t="s">
        <v>349</v>
      </c>
      <c r="G14" s="307"/>
      <c r="H14" s="307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 s="335" customFormat="1">
      <c r="A15" s="471">
        <v>8</v>
      </c>
      <c r="B15" s="453" t="s">
        <v>167</v>
      </c>
      <c r="C15" s="454" t="s">
        <v>15</v>
      </c>
      <c r="D15" s="455">
        <f>cotações!J13</f>
        <v>970</v>
      </c>
      <c r="E15" s="455"/>
      <c r="F15" s="473" t="s">
        <v>349</v>
      </c>
      <c r="G15" s="307"/>
      <c r="H15" s="307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 s="335" customFormat="1" ht="26.25">
      <c r="A16" s="471">
        <v>9</v>
      </c>
      <c r="B16" s="453" t="s">
        <v>300</v>
      </c>
      <c r="C16" s="454" t="s">
        <v>135</v>
      </c>
      <c r="D16" s="455">
        <v>59.76</v>
      </c>
      <c r="E16" s="455"/>
      <c r="F16" s="474" t="s">
        <v>170</v>
      </c>
      <c r="G16" s="557"/>
      <c r="H16" s="557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 s="335" customFormat="1" ht="26.25">
      <c r="A17" s="471">
        <v>10</v>
      </c>
      <c r="B17" s="453" t="s">
        <v>341</v>
      </c>
      <c r="C17" s="454" t="s">
        <v>27</v>
      </c>
      <c r="D17" s="455">
        <v>1.44</v>
      </c>
      <c r="E17" s="455"/>
      <c r="F17" s="474">
        <v>40294</v>
      </c>
      <c r="G17" s="307"/>
      <c r="H17" s="307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s="340" customFormat="1">
      <c r="A18" s="471">
        <v>11</v>
      </c>
      <c r="B18" s="453" t="s">
        <v>122</v>
      </c>
      <c r="C18" s="454" t="s">
        <v>15</v>
      </c>
      <c r="D18" s="455">
        <f>cotações!J7</f>
        <v>76.989999999999995</v>
      </c>
      <c r="E18" s="455"/>
      <c r="F18" s="473" t="s">
        <v>349</v>
      </c>
      <c r="G18" s="338"/>
      <c r="H18" s="338"/>
      <c r="I18" s="339"/>
      <c r="J18" s="339"/>
      <c r="K18" s="339"/>
      <c r="L18" s="339"/>
      <c r="M18" s="339"/>
      <c r="N18" s="339"/>
      <c r="O18" s="339"/>
      <c r="P18" s="339"/>
      <c r="Q18" s="339"/>
      <c r="R18" s="339"/>
      <c r="S18" s="339"/>
      <c r="T18" s="339"/>
      <c r="U18" s="339"/>
      <c r="V18" s="339"/>
      <c r="W18" s="339"/>
      <c r="X18" s="339"/>
      <c r="Y18" s="339"/>
      <c r="Z18" s="339"/>
      <c r="AA18" s="339"/>
      <c r="AB18" s="339"/>
      <c r="AC18" s="339"/>
      <c r="AD18" s="339"/>
      <c r="AE18" s="339"/>
      <c r="AF18" s="339"/>
      <c r="AG18" s="339"/>
      <c r="AH18" s="339"/>
      <c r="AI18" s="339"/>
      <c r="AJ18" s="339"/>
      <c r="AK18" s="339"/>
      <c r="AL18" s="339"/>
      <c r="AM18" s="339"/>
      <c r="AN18" s="339"/>
      <c r="AO18" s="339"/>
      <c r="AP18" s="339"/>
      <c r="AQ18" s="339"/>
      <c r="AR18" s="339"/>
      <c r="AS18" s="339"/>
      <c r="AT18" s="339"/>
      <c r="AU18" s="339"/>
      <c r="AV18" s="339"/>
      <c r="AW18" s="339"/>
      <c r="AX18" s="339"/>
      <c r="AY18" s="339"/>
      <c r="AZ18" s="339"/>
      <c r="BA18" s="339"/>
      <c r="BB18" s="339"/>
      <c r="BC18" s="339"/>
      <c r="BD18" s="339"/>
      <c r="BE18" s="339"/>
      <c r="BF18" s="339"/>
      <c r="BG18" s="339"/>
      <c r="BH18" s="339"/>
      <c r="BI18" s="339"/>
      <c r="BJ18" s="339"/>
      <c r="BK18" s="339"/>
      <c r="BL18" s="339"/>
      <c r="BM18" s="339"/>
      <c r="BN18" s="339"/>
      <c r="BO18" s="339"/>
      <c r="BP18" s="339"/>
      <c r="BQ18" s="339"/>
      <c r="BR18" s="339"/>
      <c r="BS18" s="339"/>
      <c r="BT18" s="339"/>
      <c r="BU18" s="339"/>
      <c r="BV18" s="339"/>
      <c r="BW18" s="339"/>
      <c r="BX18" s="339"/>
      <c r="BY18" s="339"/>
      <c r="BZ18" s="339"/>
      <c r="CA18" s="339"/>
      <c r="CB18" s="339"/>
      <c r="CC18" s="339"/>
      <c r="CD18" s="339"/>
      <c r="CE18" s="339"/>
      <c r="CF18" s="339"/>
      <c r="CG18" s="339"/>
      <c r="CH18" s="339"/>
      <c r="CI18" s="339"/>
      <c r="CJ18" s="339"/>
      <c r="CK18" s="339"/>
      <c r="CL18" s="339"/>
      <c r="CM18" s="339"/>
      <c r="CN18" s="339"/>
      <c r="CO18" s="339"/>
      <c r="CP18" s="339"/>
      <c r="CQ18" s="339"/>
      <c r="CR18" s="339"/>
      <c r="CS18" s="339"/>
      <c r="CT18" s="339"/>
      <c r="CU18" s="339"/>
      <c r="CV18" s="339"/>
      <c r="CW18" s="339"/>
      <c r="CX18" s="339"/>
      <c r="CY18" s="339"/>
      <c r="CZ18" s="339"/>
      <c r="DA18" s="339"/>
      <c r="DB18" s="339"/>
      <c r="DC18" s="339"/>
      <c r="DD18" s="339"/>
      <c r="DE18" s="339"/>
      <c r="DF18" s="339"/>
      <c r="DG18" s="339"/>
      <c r="DH18" s="339"/>
      <c r="DI18" s="339"/>
      <c r="DJ18" s="339"/>
      <c r="DK18" s="339"/>
      <c r="DL18" s="339"/>
      <c r="DM18" s="339"/>
      <c r="DN18" s="339"/>
      <c r="DO18" s="339"/>
      <c r="DP18" s="339"/>
      <c r="DQ18" s="339"/>
      <c r="DR18" s="339"/>
      <c r="DS18" s="339"/>
      <c r="DT18" s="339"/>
      <c r="DU18" s="339"/>
      <c r="DV18" s="339"/>
      <c r="DW18" s="339"/>
      <c r="DX18" s="339"/>
      <c r="DY18" s="339"/>
      <c r="DZ18" s="339"/>
      <c r="EA18" s="339"/>
      <c r="EB18" s="339"/>
      <c r="EC18" s="339"/>
      <c r="ED18" s="339"/>
      <c r="EE18" s="339"/>
      <c r="EF18" s="339"/>
      <c r="EG18" s="339"/>
      <c r="EH18" s="339"/>
      <c r="EI18" s="339"/>
      <c r="EJ18" s="339"/>
      <c r="EK18" s="339"/>
      <c r="EL18" s="339"/>
      <c r="EM18" s="339"/>
      <c r="EN18" s="339"/>
      <c r="EO18" s="339"/>
      <c r="EP18" s="339"/>
      <c r="EQ18" s="339"/>
      <c r="ER18" s="339"/>
      <c r="ES18" s="339"/>
      <c r="ET18" s="339"/>
      <c r="EU18" s="339"/>
      <c r="EV18" s="339"/>
      <c r="EW18" s="339"/>
      <c r="EX18" s="339"/>
      <c r="EY18" s="339"/>
      <c r="EZ18" s="339"/>
      <c r="FA18" s="339"/>
      <c r="FB18" s="339"/>
      <c r="FC18" s="339"/>
      <c r="FD18" s="339"/>
      <c r="FE18" s="339"/>
      <c r="FF18" s="339"/>
      <c r="FG18" s="339"/>
      <c r="FH18" s="339"/>
      <c r="FI18" s="339"/>
      <c r="FJ18" s="339"/>
      <c r="FK18" s="339"/>
      <c r="FL18" s="339"/>
      <c r="FM18" s="339"/>
      <c r="FN18" s="339"/>
      <c r="FO18" s="339"/>
      <c r="FP18" s="339"/>
      <c r="FQ18" s="339"/>
      <c r="FR18" s="339"/>
      <c r="FS18" s="339"/>
      <c r="FT18" s="339"/>
      <c r="FU18" s="339"/>
      <c r="FV18" s="339"/>
      <c r="FW18" s="339"/>
      <c r="FX18" s="339"/>
      <c r="FY18" s="339"/>
      <c r="FZ18" s="339"/>
      <c r="GA18" s="339"/>
      <c r="GB18" s="339"/>
      <c r="GC18" s="339"/>
      <c r="GD18" s="339"/>
      <c r="GE18" s="339"/>
      <c r="GF18" s="339"/>
      <c r="GG18" s="339"/>
      <c r="GH18" s="339"/>
      <c r="GI18" s="339"/>
      <c r="GJ18" s="339"/>
      <c r="GK18" s="339"/>
      <c r="GL18" s="339"/>
      <c r="GM18" s="339"/>
      <c r="GN18" s="339"/>
      <c r="GO18" s="339"/>
      <c r="GP18" s="339"/>
      <c r="GQ18" s="339"/>
      <c r="GR18" s="339"/>
      <c r="GS18" s="339"/>
      <c r="GT18" s="339"/>
      <c r="GU18" s="339"/>
      <c r="GV18" s="339"/>
      <c r="GW18" s="339"/>
      <c r="GX18" s="339"/>
      <c r="GY18" s="339"/>
      <c r="GZ18" s="339"/>
      <c r="HA18" s="339"/>
      <c r="HB18" s="339"/>
      <c r="HC18" s="339"/>
      <c r="HD18" s="339"/>
      <c r="HE18" s="339"/>
      <c r="HF18" s="339"/>
      <c r="HG18" s="339"/>
      <c r="HH18" s="339"/>
      <c r="HI18" s="339"/>
      <c r="HJ18" s="339"/>
      <c r="HK18" s="339"/>
      <c r="HL18" s="339"/>
      <c r="HM18" s="339"/>
      <c r="HN18" s="339"/>
      <c r="HO18" s="339"/>
      <c r="HP18" s="339"/>
      <c r="HQ18" s="339"/>
      <c r="HR18" s="339"/>
      <c r="HS18" s="339"/>
      <c r="HT18" s="339"/>
      <c r="HU18" s="339"/>
      <c r="HV18" s="339"/>
      <c r="HW18" s="339"/>
      <c r="HX18" s="339"/>
      <c r="HY18" s="339"/>
      <c r="HZ18" s="339"/>
      <c r="IA18" s="339"/>
      <c r="IB18" s="339"/>
      <c r="IC18" s="339"/>
      <c r="ID18" s="339"/>
      <c r="IE18" s="339"/>
      <c r="IF18" s="339"/>
      <c r="IG18" s="339"/>
      <c r="IH18" s="339"/>
      <c r="II18" s="339"/>
      <c r="IJ18" s="339"/>
      <c r="IK18" s="339"/>
      <c r="IL18" s="339"/>
      <c r="IM18" s="339"/>
      <c r="IN18" s="339"/>
      <c r="IO18" s="339"/>
      <c r="IP18" s="339"/>
      <c r="IQ18" s="339"/>
      <c r="IR18" s="339"/>
      <c r="IS18" s="339"/>
      <c r="IT18" s="339"/>
      <c r="IU18" s="339"/>
      <c r="IV18" s="339"/>
    </row>
    <row r="19" spans="1:256" s="343" customFormat="1">
      <c r="A19" s="471">
        <v>12</v>
      </c>
      <c r="B19" s="453" t="s">
        <v>136</v>
      </c>
      <c r="C19" s="454" t="s">
        <v>8</v>
      </c>
      <c r="D19" s="455">
        <f>cotações!J10</f>
        <v>30.5</v>
      </c>
      <c r="E19" s="455"/>
      <c r="F19" s="473" t="s">
        <v>349</v>
      </c>
      <c r="G19" s="341"/>
      <c r="H19" s="341"/>
      <c r="I19" s="342"/>
      <c r="J19" s="342"/>
      <c r="K19" s="342"/>
      <c r="L19" s="342"/>
      <c r="M19" s="342"/>
      <c r="N19" s="342"/>
      <c r="O19" s="342"/>
      <c r="P19" s="342"/>
      <c r="Q19" s="342"/>
      <c r="R19" s="342"/>
      <c r="S19" s="342"/>
      <c r="T19" s="342"/>
      <c r="U19" s="342"/>
      <c r="V19" s="342"/>
      <c r="W19" s="342"/>
      <c r="X19" s="342"/>
      <c r="Y19" s="342"/>
      <c r="Z19" s="342"/>
      <c r="AA19" s="342"/>
      <c r="AB19" s="342"/>
      <c r="AC19" s="342"/>
      <c r="AD19" s="342"/>
      <c r="AE19" s="342"/>
      <c r="AF19" s="342"/>
      <c r="AG19" s="342"/>
      <c r="AH19" s="342"/>
      <c r="AI19" s="342"/>
      <c r="AJ19" s="342"/>
      <c r="AK19" s="342"/>
      <c r="AL19" s="342"/>
      <c r="AM19" s="342"/>
      <c r="AN19" s="342"/>
      <c r="AO19" s="342"/>
      <c r="AP19" s="342"/>
      <c r="AQ19" s="342"/>
      <c r="AR19" s="342"/>
      <c r="AS19" s="342"/>
      <c r="AT19" s="342"/>
      <c r="AU19" s="342"/>
      <c r="AV19" s="342"/>
      <c r="AW19" s="342"/>
      <c r="AX19" s="342"/>
      <c r="AY19" s="342"/>
      <c r="AZ19" s="342"/>
      <c r="BA19" s="342"/>
      <c r="BB19" s="342"/>
      <c r="BC19" s="342"/>
      <c r="BD19" s="342"/>
      <c r="BE19" s="342"/>
      <c r="BF19" s="342"/>
      <c r="BG19" s="342"/>
      <c r="BH19" s="342"/>
      <c r="BI19" s="342"/>
      <c r="BJ19" s="342"/>
      <c r="BK19" s="342"/>
      <c r="BL19" s="342"/>
      <c r="BM19" s="342"/>
      <c r="BN19" s="342"/>
      <c r="BO19" s="342"/>
      <c r="BP19" s="342"/>
      <c r="BQ19" s="342"/>
      <c r="BR19" s="342"/>
      <c r="BS19" s="342"/>
      <c r="BT19" s="342"/>
      <c r="BU19" s="342"/>
      <c r="BV19" s="342"/>
      <c r="BW19" s="342"/>
      <c r="BX19" s="342"/>
      <c r="BY19" s="342"/>
      <c r="BZ19" s="342"/>
      <c r="CA19" s="342"/>
      <c r="CB19" s="342"/>
      <c r="CC19" s="342"/>
      <c r="CD19" s="342"/>
      <c r="CE19" s="342"/>
      <c r="CF19" s="342"/>
      <c r="CG19" s="342"/>
      <c r="CH19" s="342"/>
      <c r="CI19" s="342"/>
      <c r="CJ19" s="342"/>
      <c r="CK19" s="342"/>
      <c r="CL19" s="342"/>
      <c r="CM19" s="342"/>
      <c r="CN19" s="342"/>
      <c r="CO19" s="342"/>
      <c r="CP19" s="342"/>
      <c r="CQ19" s="342"/>
      <c r="CR19" s="342"/>
      <c r="CS19" s="342"/>
      <c r="CT19" s="342"/>
      <c r="CU19" s="342"/>
      <c r="CV19" s="342"/>
      <c r="CW19" s="342"/>
      <c r="CX19" s="342"/>
      <c r="CY19" s="342"/>
      <c r="CZ19" s="342"/>
      <c r="DA19" s="342"/>
      <c r="DB19" s="342"/>
      <c r="DC19" s="342"/>
      <c r="DD19" s="342"/>
      <c r="DE19" s="342"/>
      <c r="DF19" s="342"/>
      <c r="DG19" s="342"/>
      <c r="DH19" s="342"/>
      <c r="DI19" s="342"/>
      <c r="DJ19" s="342"/>
      <c r="DK19" s="342"/>
      <c r="DL19" s="342"/>
      <c r="DM19" s="342"/>
      <c r="DN19" s="342"/>
      <c r="DO19" s="342"/>
      <c r="DP19" s="342"/>
      <c r="DQ19" s="342"/>
      <c r="DR19" s="342"/>
      <c r="DS19" s="342"/>
      <c r="DT19" s="342"/>
      <c r="DU19" s="342"/>
      <c r="DV19" s="342"/>
      <c r="DW19" s="342"/>
      <c r="DX19" s="342"/>
      <c r="DY19" s="342"/>
      <c r="DZ19" s="342"/>
      <c r="EA19" s="342"/>
      <c r="EB19" s="342"/>
      <c r="EC19" s="342"/>
      <c r="ED19" s="342"/>
      <c r="EE19" s="342"/>
      <c r="EF19" s="342"/>
      <c r="EG19" s="342"/>
      <c r="EH19" s="342"/>
      <c r="EI19" s="342"/>
      <c r="EJ19" s="342"/>
      <c r="EK19" s="342"/>
      <c r="EL19" s="342"/>
      <c r="EM19" s="342"/>
      <c r="EN19" s="342"/>
      <c r="EO19" s="342"/>
      <c r="EP19" s="342"/>
      <c r="EQ19" s="342"/>
      <c r="ER19" s="342"/>
      <c r="ES19" s="342"/>
      <c r="ET19" s="342"/>
      <c r="EU19" s="342"/>
      <c r="EV19" s="342"/>
      <c r="EW19" s="342"/>
      <c r="EX19" s="342"/>
      <c r="EY19" s="342"/>
      <c r="EZ19" s="342"/>
      <c r="FA19" s="342"/>
      <c r="FB19" s="342"/>
      <c r="FC19" s="342"/>
      <c r="FD19" s="342"/>
      <c r="FE19" s="342"/>
      <c r="FF19" s="342"/>
      <c r="FG19" s="342"/>
      <c r="FH19" s="342"/>
      <c r="FI19" s="342"/>
      <c r="FJ19" s="342"/>
      <c r="FK19" s="342"/>
      <c r="FL19" s="342"/>
      <c r="FM19" s="342"/>
      <c r="FN19" s="342"/>
      <c r="FO19" s="342"/>
      <c r="FP19" s="342"/>
      <c r="FQ19" s="342"/>
      <c r="FR19" s="342"/>
      <c r="FS19" s="342"/>
      <c r="FT19" s="342"/>
      <c r="FU19" s="342"/>
      <c r="FV19" s="342"/>
      <c r="FW19" s="342"/>
      <c r="FX19" s="342"/>
      <c r="FY19" s="342"/>
      <c r="FZ19" s="342"/>
      <c r="GA19" s="342"/>
      <c r="GB19" s="342"/>
      <c r="GC19" s="342"/>
      <c r="GD19" s="342"/>
      <c r="GE19" s="342"/>
      <c r="GF19" s="342"/>
      <c r="GG19" s="342"/>
      <c r="GH19" s="342"/>
      <c r="GI19" s="342"/>
      <c r="GJ19" s="342"/>
      <c r="GK19" s="342"/>
      <c r="GL19" s="342"/>
      <c r="GM19" s="342"/>
      <c r="GN19" s="342"/>
      <c r="GO19" s="342"/>
      <c r="GP19" s="342"/>
      <c r="GQ19" s="342"/>
      <c r="GR19" s="342"/>
      <c r="GS19" s="342"/>
      <c r="GT19" s="342"/>
      <c r="GU19" s="342"/>
      <c r="GV19" s="342"/>
      <c r="GW19" s="342"/>
      <c r="GX19" s="342"/>
      <c r="GY19" s="342"/>
      <c r="GZ19" s="342"/>
      <c r="HA19" s="342"/>
      <c r="HB19" s="342"/>
      <c r="HC19" s="342"/>
      <c r="HD19" s="342"/>
      <c r="HE19" s="342"/>
      <c r="HF19" s="342"/>
      <c r="HG19" s="342"/>
      <c r="HH19" s="342"/>
      <c r="HI19" s="342"/>
      <c r="HJ19" s="342"/>
      <c r="HK19" s="342"/>
      <c r="HL19" s="342"/>
      <c r="HM19" s="342"/>
      <c r="HN19" s="342"/>
      <c r="HO19" s="342"/>
      <c r="HP19" s="342"/>
      <c r="HQ19" s="342"/>
      <c r="HR19" s="342"/>
      <c r="HS19" s="342"/>
      <c r="HT19" s="342"/>
      <c r="HU19" s="342"/>
      <c r="HV19" s="342"/>
      <c r="HW19" s="342"/>
      <c r="HX19" s="342"/>
      <c r="HY19" s="342"/>
      <c r="HZ19" s="342"/>
      <c r="IA19" s="342"/>
      <c r="IB19" s="342"/>
      <c r="IC19" s="342"/>
      <c r="ID19" s="342"/>
      <c r="IE19" s="342"/>
      <c r="IF19" s="342"/>
      <c r="IG19" s="342"/>
      <c r="IH19" s="342"/>
      <c r="II19" s="342"/>
      <c r="IJ19" s="342"/>
      <c r="IK19" s="342"/>
      <c r="IL19" s="342"/>
      <c r="IM19" s="342"/>
      <c r="IN19" s="342"/>
      <c r="IO19" s="342"/>
      <c r="IP19" s="342"/>
      <c r="IQ19" s="342"/>
      <c r="IR19" s="342"/>
      <c r="IS19" s="342"/>
      <c r="IT19" s="342"/>
      <c r="IU19" s="342"/>
      <c r="IV19" s="342"/>
    </row>
    <row r="20" spans="1:256" s="335" customFormat="1" ht="26.25">
      <c r="A20" s="471">
        <v>13</v>
      </c>
      <c r="B20" s="453" t="s">
        <v>356</v>
      </c>
      <c r="C20" s="454" t="s">
        <v>83</v>
      </c>
      <c r="D20" s="457">
        <v>146.75</v>
      </c>
      <c r="E20" s="455"/>
      <c r="F20" s="474">
        <v>5811</v>
      </c>
      <c r="G20" s="307"/>
      <c r="H20" s="307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 s="335" customFormat="1" ht="26.25">
      <c r="A21" s="471">
        <v>14</v>
      </c>
      <c r="B21" s="453" t="s">
        <v>301</v>
      </c>
      <c r="C21" s="454" t="s">
        <v>8</v>
      </c>
      <c r="D21" s="455">
        <v>12.45</v>
      </c>
      <c r="E21" s="455"/>
      <c r="F21" s="474">
        <v>12895</v>
      </c>
      <c r="G21" s="307"/>
      <c r="H21" s="308"/>
      <c r="I21" s="16"/>
      <c r="J21" s="16"/>
      <c r="K21" s="17"/>
      <c r="L21" s="1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 s="335" customFormat="1" ht="26.25">
      <c r="A22" s="471">
        <v>15</v>
      </c>
      <c r="B22" s="453" t="s">
        <v>115</v>
      </c>
      <c r="C22" s="454" t="s">
        <v>15</v>
      </c>
      <c r="D22" s="455">
        <f>D20*176</f>
        <v>25828</v>
      </c>
      <c r="E22" s="455"/>
      <c r="F22" s="474" t="s">
        <v>310</v>
      </c>
      <c r="G22" s="307"/>
      <c r="H22" s="308"/>
      <c r="I22" s="16"/>
      <c r="J22" s="16"/>
      <c r="K22" s="17"/>
      <c r="L22" s="1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335" customFormat="1" ht="27.75" customHeight="1">
      <c r="A23" s="471">
        <v>16</v>
      </c>
      <c r="B23" s="458" t="s">
        <v>111</v>
      </c>
      <c r="C23" s="309" t="s">
        <v>27</v>
      </c>
      <c r="D23" s="459">
        <v>28.3</v>
      </c>
      <c r="E23" s="455"/>
      <c r="F23" s="473">
        <v>88282</v>
      </c>
      <c r="G23" s="307"/>
      <c r="H23" s="308"/>
      <c r="I23" s="16"/>
      <c r="J23" s="16"/>
      <c r="K23" s="17"/>
      <c r="L23" s="1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s="335" customFormat="1" ht="15.75">
      <c r="A24" s="471">
        <v>17</v>
      </c>
      <c r="B24" s="309" t="s">
        <v>113</v>
      </c>
      <c r="C24" s="309" t="s">
        <v>27</v>
      </c>
      <c r="D24" s="459">
        <v>18.600000000000001</v>
      </c>
      <c r="E24" s="455"/>
      <c r="F24" s="473">
        <v>5763</v>
      </c>
      <c r="G24" s="307"/>
      <c r="H24" s="308"/>
      <c r="I24" s="16"/>
      <c r="J24" s="16"/>
      <c r="K24" s="17"/>
      <c r="L24" s="1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 s="335" customFormat="1" ht="15.75">
      <c r="A25" s="471">
        <v>18</v>
      </c>
      <c r="B25" s="309" t="s">
        <v>343</v>
      </c>
      <c r="C25" s="309" t="s">
        <v>27</v>
      </c>
      <c r="D25" s="459">
        <v>14.87</v>
      </c>
      <c r="E25" s="455"/>
      <c r="F25" s="473">
        <v>91396</v>
      </c>
      <c r="G25" s="307"/>
      <c r="H25" s="308"/>
      <c r="I25" s="16"/>
      <c r="J25" s="16"/>
      <c r="K25" s="17"/>
      <c r="L25" s="1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 s="335" customFormat="1">
      <c r="A26" s="471">
        <v>19</v>
      </c>
      <c r="B26" s="309" t="s">
        <v>342</v>
      </c>
      <c r="C26" s="309" t="s">
        <v>27</v>
      </c>
      <c r="D26" s="459">
        <v>3.79</v>
      </c>
      <c r="E26" s="455"/>
      <c r="F26" s="473">
        <v>91397</v>
      </c>
      <c r="G26" s="307"/>
      <c r="H26" s="307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s="346" customFormat="1">
      <c r="A27" s="471">
        <v>20</v>
      </c>
      <c r="B27" s="309" t="s">
        <v>114</v>
      </c>
      <c r="C27" s="309" t="s">
        <v>27</v>
      </c>
      <c r="D27" s="459">
        <v>73.63</v>
      </c>
      <c r="E27" s="455"/>
      <c r="F27" s="473">
        <v>53831</v>
      </c>
      <c r="G27" s="344"/>
      <c r="H27" s="344"/>
      <c r="I27" s="345"/>
      <c r="J27" s="345"/>
      <c r="K27" s="345"/>
      <c r="L27" s="345"/>
      <c r="M27" s="345"/>
      <c r="N27" s="345"/>
      <c r="O27" s="345"/>
      <c r="P27" s="345"/>
      <c r="Q27" s="345"/>
      <c r="R27" s="345"/>
      <c r="S27" s="345"/>
      <c r="T27" s="345"/>
      <c r="U27" s="345"/>
      <c r="V27" s="345"/>
      <c r="W27" s="345"/>
      <c r="X27" s="345"/>
      <c r="Y27" s="345"/>
      <c r="Z27" s="345"/>
      <c r="AA27" s="345"/>
      <c r="AB27" s="345"/>
      <c r="AC27" s="345"/>
      <c r="AD27" s="345"/>
      <c r="AE27" s="345"/>
      <c r="AF27" s="345"/>
      <c r="AG27" s="345"/>
      <c r="AH27" s="345"/>
      <c r="AI27" s="345"/>
      <c r="AJ27" s="345"/>
      <c r="AK27" s="345"/>
      <c r="AL27" s="345"/>
      <c r="AM27" s="345"/>
      <c r="AN27" s="345"/>
      <c r="AO27" s="345"/>
      <c r="AP27" s="345"/>
      <c r="AQ27" s="345"/>
      <c r="AR27" s="345"/>
      <c r="AS27" s="345"/>
      <c r="AT27" s="345"/>
      <c r="AU27" s="345"/>
      <c r="AV27" s="345"/>
      <c r="AW27" s="345"/>
      <c r="AX27" s="345"/>
      <c r="AY27" s="345"/>
      <c r="AZ27" s="345"/>
      <c r="BA27" s="345"/>
      <c r="BB27" s="345"/>
      <c r="BC27" s="345"/>
      <c r="BD27" s="345"/>
      <c r="BE27" s="345"/>
      <c r="BF27" s="345"/>
      <c r="BG27" s="345"/>
      <c r="BH27" s="345"/>
      <c r="BI27" s="345"/>
      <c r="BJ27" s="345"/>
      <c r="BK27" s="345"/>
      <c r="BL27" s="345"/>
      <c r="BM27" s="345"/>
      <c r="BN27" s="345"/>
      <c r="BO27" s="345"/>
      <c r="BP27" s="345"/>
      <c r="BQ27" s="345"/>
      <c r="BR27" s="345"/>
      <c r="BS27" s="345"/>
      <c r="BT27" s="345"/>
      <c r="BU27" s="345"/>
      <c r="BV27" s="345"/>
      <c r="BW27" s="345"/>
      <c r="BX27" s="345"/>
      <c r="BY27" s="345"/>
      <c r="BZ27" s="345"/>
      <c r="CA27" s="345"/>
      <c r="CB27" s="345"/>
      <c r="CC27" s="345"/>
      <c r="CD27" s="345"/>
      <c r="CE27" s="345"/>
      <c r="CF27" s="345"/>
      <c r="CG27" s="345"/>
      <c r="CH27" s="345"/>
      <c r="CI27" s="345"/>
      <c r="CJ27" s="345"/>
      <c r="CK27" s="345"/>
      <c r="CL27" s="345"/>
      <c r="CM27" s="345"/>
      <c r="CN27" s="345"/>
      <c r="CO27" s="345"/>
      <c r="CP27" s="345"/>
      <c r="CQ27" s="345"/>
      <c r="CR27" s="345"/>
      <c r="CS27" s="345"/>
      <c r="CT27" s="345"/>
      <c r="CU27" s="345"/>
      <c r="CV27" s="345"/>
      <c r="CW27" s="345"/>
      <c r="CX27" s="345"/>
      <c r="CY27" s="345"/>
      <c r="CZ27" s="345"/>
      <c r="DA27" s="345"/>
      <c r="DB27" s="345"/>
      <c r="DC27" s="345"/>
      <c r="DD27" s="345"/>
      <c r="DE27" s="345"/>
      <c r="DF27" s="345"/>
      <c r="DG27" s="345"/>
      <c r="DH27" s="345"/>
      <c r="DI27" s="345"/>
      <c r="DJ27" s="345"/>
      <c r="DK27" s="345"/>
      <c r="DL27" s="345"/>
      <c r="DM27" s="345"/>
      <c r="DN27" s="345"/>
      <c r="DO27" s="345"/>
      <c r="DP27" s="345"/>
      <c r="DQ27" s="345"/>
      <c r="DR27" s="345"/>
      <c r="DS27" s="345"/>
      <c r="DT27" s="345"/>
      <c r="DU27" s="345"/>
      <c r="DV27" s="345"/>
      <c r="DW27" s="345"/>
      <c r="DX27" s="345"/>
      <c r="DY27" s="345"/>
      <c r="DZ27" s="345"/>
      <c r="EA27" s="345"/>
      <c r="EB27" s="345"/>
      <c r="EC27" s="345"/>
      <c r="ED27" s="345"/>
      <c r="EE27" s="345"/>
      <c r="EF27" s="345"/>
      <c r="EG27" s="345"/>
      <c r="EH27" s="345"/>
      <c r="EI27" s="345"/>
      <c r="EJ27" s="345"/>
      <c r="EK27" s="345"/>
      <c r="EL27" s="345"/>
      <c r="EM27" s="345"/>
      <c r="EN27" s="345"/>
      <c r="EO27" s="345"/>
      <c r="EP27" s="345"/>
      <c r="EQ27" s="345"/>
      <c r="ER27" s="345"/>
      <c r="ES27" s="345"/>
      <c r="ET27" s="345"/>
      <c r="EU27" s="345"/>
      <c r="EV27" s="345"/>
      <c r="EW27" s="345"/>
      <c r="EX27" s="345"/>
      <c r="EY27" s="345"/>
      <c r="EZ27" s="345"/>
      <c r="FA27" s="345"/>
      <c r="FB27" s="345"/>
      <c r="FC27" s="345"/>
      <c r="FD27" s="345"/>
      <c r="FE27" s="345"/>
      <c r="FF27" s="345"/>
      <c r="FG27" s="345"/>
      <c r="FH27" s="345"/>
      <c r="FI27" s="345"/>
      <c r="FJ27" s="345"/>
      <c r="FK27" s="345"/>
      <c r="FL27" s="345"/>
      <c r="FM27" s="345"/>
      <c r="FN27" s="345"/>
      <c r="FO27" s="345"/>
      <c r="FP27" s="345"/>
      <c r="FQ27" s="345"/>
      <c r="FR27" s="345"/>
      <c r="FS27" s="345"/>
      <c r="FT27" s="345"/>
      <c r="FU27" s="345"/>
      <c r="FV27" s="345"/>
      <c r="FW27" s="345"/>
      <c r="FX27" s="345"/>
      <c r="FY27" s="345"/>
      <c r="FZ27" s="345"/>
      <c r="GA27" s="345"/>
      <c r="GB27" s="345"/>
      <c r="GC27" s="345"/>
      <c r="GD27" s="345"/>
      <c r="GE27" s="345"/>
      <c r="GF27" s="345"/>
      <c r="GG27" s="345"/>
      <c r="GH27" s="345"/>
      <c r="GI27" s="345"/>
      <c r="GJ27" s="345"/>
      <c r="GK27" s="345"/>
      <c r="GL27" s="345"/>
      <c r="GM27" s="345"/>
      <c r="GN27" s="345"/>
      <c r="GO27" s="345"/>
      <c r="GP27" s="345"/>
      <c r="GQ27" s="345"/>
      <c r="GR27" s="345"/>
      <c r="GS27" s="345"/>
      <c r="GT27" s="345"/>
      <c r="GU27" s="345"/>
      <c r="GV27" s="345"/>
      <c r="GW27" s="345"/>
      <c r="GX27" s="345"/>
      <c r="GY27" s="345"/>
      <c r="GZ27" s="345"/>
      <c r="HA27" s="345"/>
      <c r="HB27" s="345"/>
      <c r="HC27" s="345"/>
      <c r="HD27" s="345"/>
      <c r="HE27" s="345"/>
      <c r="HF27" s="345"/>
      <c r="HG27" s="345"/>
      <c r="HH27" s="345"/>
      <c r="HI27" s="345"/>
      <c r="HJ27" s="345"/>
      <c r="HK27" s="345"/>
      <c r="HL27" s="345"/>
      <c r="HM27" s="345"/>
      <c r="HN27" s="345"/>
      <c r="HO27" s="345"/>
      <c r="HP27" s="345"/>
      <c r="HQ27" s="345"/>
      <c r="HR27" s="345"/>
      <c r="HS27" s="345"/>
      <c r="HT27" s="345"/>
      <c r="HU27" s="345"/>
      <c r="HV27" s="345"/>
      <c r="HW27" s="345"/>
      <c r="HX27" s="345"/>
      <c r="HY27" s="345"/>
      <c r="HZ27" s="345"/>
      <c r="IA27" s="345"/>
      <c r="IB27" s="345"/>
      <c r="IC27" s="345"/>
      <c r="ID27" s="345"/>
      <c r="IE27" s="345"/>
      <c r="IF27" s="345"/>
      <c r="IG27" s="345"/>
      <c r="IH27" s="345"/>
      <c r="II27" s="345"/>
      <c r="IJ27" s="345"/>
      <c r="IK27" s="345"/>
      <c r="IL27" s="345"/>
      <c r="IM27" s="345"/>
      <c r="IN27" s="345"/>
      <c r="IO27" s="345"/>
      <c r="IP27" s="345"/>
      <c r="IQ27" s="345"/>
      <c r="IR27" s="345"/>
      <c r="IS27" s="345"/>
      <c r="IT27" s="345"/>
      <c r="IU27" s="345"/>
      <c r="IV27" s="345"/>
    </row>
    <row r="28" spans="1:256" s="335" customFormat="1">
      <c r="A28" s="471">
        <v>21</v>
      </c>
      <c r="B28" s="453" t="s">
        <v>137</v>
      </c>
      <c r="C28" s="454" t="s">
        <v>8</v>
      </c>
      <c r="D28" s="455">
        <f>cotações!J11</f>
        <v>25.5</v>
      </c>
      <c r="E28" s="455"/>
      <c r="F28" s="473" t="s">
        <v>349</v>
      </c>
      <c r="G28" s="307"/>
      <c r="H28" s="307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335" customFormat="1" ht="15.75">
      <c r="A29" s="471">
        <v>22</v>
      </c>
      <c r="B29" s="453" t="s">
        <v>171</v>
      </c>
      <c r="C29" s="454" t="s">
        <v>8</v>
      </c>
      <c r="D29" s="455">
        <v>102.95</v>
      </c>
      <c r="E29" s="455"/>
      <c r="F29" s="474" t="s">
        <v>172</v>
      </c>
      <c r="G29" s="307"/>
      <c r="H29" s="308"/>
      <c r="I29" s="16"/>
      <c r="J29" s="16"/>
      <c r="K29" s="17"/>
      <c r="L29" s="1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 s="335" customFormat="1">
      <c r="A30" s="471">
        <v>23</v>
      </c>
      <c r="B30" s="309" t="s">
        <v>95</v>
      </c>
      <c r="C30" s="309" t="s">
        <v>61</v>
      </c>
      <c r="D30" s="455">
        <v>0.36</v>
      </c>
      <c r="E30" s="455"/>
      <c r="F30" s="473">
        <v>1379</v>
      </c>
      <c r="G30" s="307"/>
      <c r="H30" s="307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pans="1:256" s="335" customFormat="1" ht="25.5">
      <c r="A31" s="471">
        <v>24</v>
      </c>
      <c r="B31" s="460" t="s">
        <v>335</v>
      </c>
      <c r="C31" s="460" t="s">
        <v>83</v>
      </c>
      <c r="D31" s="461">
        <v>3.62</v>
      </c>
      <c r="E31" s="461"/>
      <c r="F31" s="475">
        <v>95264</v>
      </c>
      <c r="G31" s="307"/>
      <c r="H31" s="347"/>
      <c r="I31" s="348"/>
      <c r="J31" s="34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pans="1:256" s="335" customFormat="1">
      <c r="A32" s="471">
        <v>25</v>
      </c>
      <c r="B32" s="453" t="s">
        <v>157</v>
      </c>
      <c r="C32" s="454" t="s">
        <v>29</v>
      </c>
      <c r="D32" s="455">
        <v>251.12</v>
      </c>
      <c r="E32" s="455"/>
      <c r="F32" s="472" t="s">
        <v>158</v>
      </c>
      <c r="G32" s="307"/>
      <c r="H32" s="307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s="337" customFormat="1" ht="26.25">
      <c r="A33" s="471">
        <v>26</v>
      </c>
      <c r="B33" s="309" t="s">
        <v>76</v>
      </c>
      <c r="C33" s="454" t="s">
        <v>25</v>
      </c>
      <c r="D33" s="462">
        <f>cotações!J17</f>
        <v>1.38</v>
      </c>
      <c r="E33" s="455"/>
      <c r="F33" s="473" t="s">
        <v>349</v>
      </c>
      <c r="G33" s="558"/>
      <c r="H33" s="558"/>
    </row>
    <row r="34" spans="1:256" s="337" customFormat="1">
      <c r="A34" s="471">
        <v>27</v>
      </c>
      <c r="B34" s="453" t="s">
        <v>410</v>
      </c>
      <c r="C34" s="454" t="s">
        <v>27</v>
      </c>
      <c r="D34" s="455">
        <v>80.790000000000006</v>
      </c>
      <c r="E34" s="455"/>
      <c r="F34" s="472" t="s">
        <v>370</v>
      </c>
      <c r="G34" s="349"/>
      <c r="H34" s="349"/>
    </row>
    <row r="35" spans="1:256" s="346" customFormat="1">
      <c r="A35" s="471">
        <v>28</v>
      </c>
      <c r="B35" s="453" t="s">
        <v>100</v>
      </c>
      <c r="C35" s="454" t="s">
        <v>25</v>
      </c>
      <c r="D35" s="463">
        <f>cotações!J15/1185</f>
        <v>7.9324894514767944E-3</v>
      </c>
      <c r="E35" s="455"/>
      <c r="F35" s="473" t="s">
        <v>349</v>
      </c>
      <c r="G35" s="344"/>
      <c r="H35" s="344"/>
      <c r="I35" s="345"/>
      <c r="J35" s="345"/>
      <c r="K35" s="345"/>
      <c r="L35" s="345"/>
      <c r="M35" s="345"/>
      <c r="N35" s="345"/>
      <c r="O35" s="345"/>
      <c r="P35" s="345"/>
      <c r="Q35" s="345"/>
      <c r="R35" s="345"/>
      <c r="S35" s="345"/>
      <c r="T35" s="345"/>
      <c r="U35" s="345"/>
      <c r="V35" s="345"/>
      <c r="W35" s="345"/>
      <c r="X35" s="345"/>
      <c r="Y35" s="345"/>
      <c r="Z35" s="345"/>
      <c r="AA35" s="345"/>
      <c r="AB35" s="345"/>
      <c r="AC35" s="345"/>
      <c r="AD35" s="345"/>
      <c r="AE35" s="345"/>
      <c r="AF35" s="345"/>
      <c r="AG35" s="345"/>
      <c r="AH35" s="345"/>
      <c r="AI35" s="345"/>
      <c r="AJ35" s="345"/>
      <c r="AK35" s="345"/>
      <c r="AL35" s="345"/>
      <c r="AM35" s="345"/>
      <c r="AN35" s="345"/>
      <c r="AO35" s="345"/>
      <c r="AP35" s="345"/>
      <c r="AQ35" s="345"/>
      <c r="AR35" s="345"/>
      <c r="AS35" s="345"/>
      <c r="AT35" s="345"/>
      <c r="AU35" s="345"/>
      <c r="AV35" s="345"/>
      <c r="AW35" s="345"/>
      <c r="AX35" s="345"/>
      <c r="AY35" s="345"/>
      <c r="AZ35" s="345"/>
      <c r="BA35" s="345"/>
      <c r="BB35" s="345"/>
      <c r="BC35" s="345"/>
      <c r="BD35" s="345"/>
      <c r="BE35" s="345"/>
      <c r="BF35" s="345"/>
      <c r="BG35" s="345"/>
      <c r="BH35" s="345"/>
      <c r="BI35" s="345"/>
      <c r="BJ35" s="345"/>
      <c r="BK35" s="345"/>
      <c r="BL35" s="345"/>
      <c r="BM35" s="345"/>
      <c r="BN35" s="345"/>
      <c r="BO35" s="345"/>
      <c r="BP35" s="345"/>
      <c r="BQ35" s="345"/>
      <c r="BR35" s="345"/>
      <c r="BS35" s="345"/>
      <c r="BT35" s="345"/>
      <c r="BU35" s="345"/>
      <c r="BV35" s="345"/>
      <c r="BW35" s="345"/>
      <c r="BX35" s="345"/>
      <c r="BY35" s="345"/>
      <c r="BZ35" s="345"/>
      <c r="CA35" s="345"/>
      <c r="CB35" s="345"/>
      <c r="CC35" s="345"/>
      <c r="CD35" s="345"/>
      <c r="CE35" s="345"/>
      <c r="CF35" s="345"/>
      <c r="CG35" s="345"/>
      <c r="CH35" s="345"/>
      <c r="CI35" s="345"/>
      <c r="CJ35" s="345"/>
      <c r="CK35" s="345"/>
      <c r="CL35" s="345"/>
      <c r="CM35" s="345"/>
      <c r="CN35" s="345"/>
      <c r="CO35" s="345"/>
      <c r="CP35" s="345"/>
      <c r="CQ35" s="345"/>
      <c r="CR35" s="345"/>
      <c r="CS35" s="345"/>
      <c r="CT35" s="345"/>
      <c r="CU35" s="345"/>
      <c r="CV35" s="345"/>
      <c r="CW35" s="345"/>
      <c r="CX35" s="345"/>
      <c r="CY35" s="345"/>
      <c r="CZ35" s="345"/>
      <c r="DA35" s="345"/>
      <c r="DB35" s="345"/>
      <c r="DC35" s="345"/>
      <c r="DD35" s="345"/>
      <c r="DE35" s="345"/>
      <c r="DF35" s="345"/>
      <c r="DG35" s="345"/>
      <c r="DH35" s="345"/>
      <c r="DI35" s="345"/>
      <c r="DJ35" s="345"/>
      <c r="DK35" s="345"/>
      <c r="DL35" s="345"/>
      <c r="DM35" s="345"/>
      <c r="DN35" s="345"/>
      <c r="DO35" s="345"/>
      <c r="DP35" s="345"/>
      <c r="DQ35" s="345"/>
      <c r="DR35" s="345"/>
      <c r="DS35" s="345"/>
      <c r="DT35" s="345"/>
      <c r="DU35" s="345"/>
      <c r="DV35" s="345"/>
      <c r="DW35" s="345"/>
      <c r="DX35" s="345"/>
      <c r="DY35" s="345"/>
      <c r="DZ35" s="345"/>
      <c r="EA35" s="345"/>
      <c r="EB35" s="345"/>
      <c r="EC35" s="345"/>
      <c r="ED35" s="345"/>
      <c r="EE35" s="345"/>
      <c r="EF35" s="345"/>
      <c r="EG35" s="345"/>
      <c r="EH35" s="345"/>
      <c r="EI35" s="345"/>
      <c r="EJ35" s="345"/>
      <c r="EK35" s="345"/>
      <c r="EL35" s="345"/>
      <c r="EM35" s="345"/>
      <c r="EN35" s="345"/>
      <c r="EO35" s="345"/>
      <c r="EP35" s="345"/>
      <c r="EQ35" s="345"/>
      <c r="ER35" s="345"/>
      <c r="ES35" s="345"/>
      <c r="ET35" s="345"/>
      <c r="EU35" s="345"/>
      <c r="EV35" s="345"/>
      <c r="EW35" s="345"/>
      <c r="EX35" s="345"/>
      <c r="EY35" s="345"/>
      <c r="EZ35" s="345"/>
      <c r="FA35" s="345"/>
      <c r="FB35" s="345"/>
      <c r="FC35" s="345"/>
      <c r="FD35" s="345"/>
      <c r="FE35" s="345"/>
      <c r="FF35" s="345"/>
      <c r="FG35" s="345"/>
      <c r="FH35" s="345"/>
      <c r="FI35" s="345"/>
      <c r="FJ35" s="345"/>
      <c r="FK35" s="345"/>
      <c r="FL35" s="345"/>
      <c r="FM35" s="345"/>
      <c r="FN35" s="345"/>
      <c r="FO35" s="345"/>
      <c r="FP35" s="345"/>
      <c r="FQ35" s="345"/>
      <c r="FR35" s="345"/>
      <c r="FS35" s="345"/>
      <c r="FT35" s="345"/>
      <c r="FU35" s="345"/>
      <c r="FV35" s="345"/>
      <c r="FW35" s="345"/>
      <c r="FX35" s="345"/>
      <c r="FY35" s="345"/>
      <c r="FZ35" s="345"/>
      <c r="GA35" s="345"/>
      <c r="GB35" s="345"/>
      <c r="GC35" s="345"/>
      <c r="GD35" s="345"/>
      <c r="GE35" s="345"/>
      <c r="GF35" s="345"/>
      <c r="GG35" s="345"/>
      <c r="GH35" s="345"/>
      <c r="GI35" s="345"/>
      <c r="GJ35" s="345"/>
      <c r="GK35" s="345"/>
      <c r="GL35" s="345"/>
      <c r="GM35" s="345"/>
      <c r="GN35" s="345"/>
      <c r="GO35" s="345"/>
      <c r="GP35" s="345"/>
      <c r="GQ35" s="345"/>
      <c r="GR35" s="345"/>
      <c r="GS35" s="345"/>
      <c r="GT35" s="345"/>
      <c r="GU35" s="345"/>
      <c r="GV35" s="345"/>
      <c r="GW35" s="345"/>
      <c r="GX35" s="345"/>
      <c r="GY35" s="345"/>
      <c r="GZ35" s="345"/>
      <c r="HA35" s="345"/>
      <c r="HB35" s="345"/>
      <c r="HC35" s="345"/>
      <c r="HD35" s="345"/>
      <c r="HE35" s="345"/>
      <c r="HF35" s="345"/>
      <c r="HG35" s="345"/>
      <c r="HH35" s="345"/>
      <c r="HI35" s="345"/>
      <c r="HJ35" s="345"/>
      <c r="HK35" s="345"/>
      <c r="HL35" s="345"/>
      <c r="HM35" s="345"/>
      <c r="HN35" s="345"/>
      <c r="HO35" s="345"/>
      <c r="HP35" s="345"/>
      <c r="HQ35" s="345"/>
      <c r="HR35" s="345"/>
      <c r="HS35" s="345"/>
      <c r="HT35" s="345"/>
      <c r="HU35" s="345"/>
      <c r="HV35" s="345"/>
      <c r="HW35" s="345"/>
      <c r="HX35" s="345"/>
      <c r="HY35" s="345"/>
      <c r="HZ35" s="345"/>
      <c r="IA35" s="345"/>
      <c r="IB35" s="345"/>
      <c r="IC35" s="345"/>
      <c r="ID35" s="345"/>
      <c r="IE35" s="345"/>
      <c r="IF35" s="345"/>
      <c r="IG35" s="345"/>
      <c r="IH35" s="345"/>
      <c r="II35" s="345"/>
      <c r="IJ35" s="345"/>
      <c r="IK35" s="345"/>
      <c r="IL35" s="345"/>
      <c r="IM35" s="345"/>
      <c r="IN35" s="345"/>
      <c r="IO35" s="345"/>
      <c r="IP35" s="345"/>
      <c r="IQ35" s="345"/>
      <c r="IR35" s="345"/>
      <c r="IS35" s="345"/>
      <c r="IT35" s="345"/>
      <c r="IU35" s="345"/>
      <c r="IV35" s="345"/>
    </row>
    <row r="36" spans="1:256" s="335" customFormat="1">
      <c r="A36" s="471">
        <v>29</v>
      </c>
      <c r="B36" s="453" t="s">
        <v>340</v>
      </c>
      <c r="C36" s="454" t="s">
        <v>25</v>
      </c>
      <c r="D36" s="455">
        <f>cotações!J9</f>
        <v>35.33</v>
      </c>
      <c r="E36" s="455"/>
      <c r="F36" s="473" t="s">
        <v>349</v>
      </c>
      <c r="G36" s="307"/>
      <c r="H36" s="307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s="346" customFormat="1" ht="26.25">
      <c r="A37" s="471">
        <v>30</v>
      </c>
      <c r="B37" s="453" t="s">
        <v>336</v>
      </c>
      <c r="C37" s="454" t="s">
        <v>53</v>
      </c>
      <c r="D37" s="455">
        <v>116.5</v>
      </c>
      <c r="E37" s="455"/>
      <c r="F37" s="474">
        <v>91634</v>
      </c>
      <c r="G37" s="344"/>
      <c r="H37" s="344"/>
      <c r="I37" s="345"/>
      <c r="J37" s="345"/>
      <c r="K37" s="345"/>
      <c r="L37" s="345"/>
      <c r="M37" s="345"/>
      <c r="N37" s="345"/>
      <c r="O37" s="345"/>
      <c r="P37" s="345"/>
      <c r="Q37" s="345"/>
      <c r="R37" s="345"/>
      <c r="S37" s="345"/>
      <c r="T37" s="345"/>
      <c r="U37" s="345"/>
      <c r="V37" s="345"/>
      <c r="W37" s="345"/>
      <c r="X37" s="345"/>
      <c r="Y37" s="345"/>
      <c r="Z37" s="345"/>
      <c r="AA37" s="345"/>
      <c r="AB37" s="345"/>
      <c r="AC37" s="345"/>
      <c r="AD37" s="345"/>
      <c r="AE37" s="345"/>
      <c r="AF37" s="345"/>
      <c r="AG37" s="345"/>
      <c r="AH37" s="345"/>
      <c r="AI37" s="345"/>
      <c r="AJ37" s="345"/>
      <c r="AK37" s="345"/>
      <c r="AL37" s="345"/>
      <c r="AM37" s="345"/>
      <c r="AN37" s="345"/>
      <c r="AO37" s="345"/>
      <c r="AP37" s="345"/>
      <c r="AQ37" s="345"/>
      <c r="AR37" s="345"/>
      <c r="AS37" s="345"/>
      <c r="AT37" s="345"/>
      <c r="AU37" s="345"/>
      <c r="AV37" s="345"/>
      <c r="AW37" s="345"/>
      <c r="AX37" s="345"/>
      <c r="AY37" s="345"/>
      <c r="AZ37" s="345"/>
      <c r="BA37" s="345"/>
      <c r="BB37" s="345"/>
      <c r="BC37" s="345"/>
      <c r="BD37" s="345"/>
      <c r="BE37" s="345"/>
      <c r="BF37" s="345"/>
      <c r="BG37" s="345"/>
      <c r="BH37" s="345"/>
      <c r="BI37" s="345"/>
      <c r="BJ37" s="345"/>
      <c r="BK37" s="345"/>
      <c r="BL37" s="345"/>
      <c r="BM37" s="345"/>
      <c r="BN37" s="345"/>
      <c r="BO37" s="345"/>
      <c r="BP37" s="345"/>
      <c r="BQ37" s="345"/>
      <c r="BR37" s="345"/>
      <c r="BS37" s="345"/>
      <c r="BT37" s="345"/>
      <c r="BU37" s="345"/>
      <c r="BV37" s="345"/>
      <c r="BW37" s="345"/>
      <c r="BX37" s="345"/>
      <c r="BY37" s="345"/>
      <c r="BZ37" s="345"/>
      <c r="CA37" s="345"/>
      <c r="CB37" s="345"/>
      <c r="CC37" s="345"/>
      <c r="CD37" s="345"/>
      <c r="CE37" s="345"/>
      <c r="CF37" s="345"/>
      <c r="CG37" s="345"/>
      <c r="CH37" s="345"/>
      <c r="CI37" s="345"/>
      <c r="CJ37" s="345"/>
      <c r="CK37" s="345"/>
      <c r="CL37" s="345"/>
      <c r="CM37" s="345"/>
      <c r="CN37" s="345"/>
      <c r="CO37" s="345"/>
      <c r="CP37" s="345"/>
      <c r="CQ37" s="345"/>
      <c r="CR37" s="345"/>
      <c r="CS37" s="345"/>
      <c r="CT37" s="345"/>
      <c r="CU37" s="345"/>
      <c r="CV37" s="345"/>
      <c r="CW37" s="345"/>
      <c r="CX37" s="345"/>
      <c r="CY37" s="345"/>
      <c r="CZ37" s="345"/>
      <c r="DA37" s="345"/>
      <c r="DB37" s="345"/>
      <c r="DC37" s="345"/>
      <c r="DD37" s="345"/>
      <c r="DE37" s="345"/>
      <c r="DF37" s="345"/>
      <c r="DG37" s="345"/>
      <c r="DH37" s="345"/>
      <c r="DI37" s="345"/>
      <c r="DJ37" s="345"/>
      <c r="DK37" s="345"/>
      <c r="DL37" s="345"/>
      <c r="DM37" s="345"/>
      <c r="DN37" s="345"/>
      <c r="DO37" s="345"/>
      <c r="DP37" s="345"/>
      <c r="DQ37" s="345"/>
      <c r="DR37" s="345"/>
      <c r="DS37" s="345"/>
      <c r="DT37" s="345"/>
      <c r="DU37" s="345"/>
      <c r="DV37" s="345"/>
      <c r="DW37" s="345"/>
      <c r="DX37" s="345"/>
      <c r="DY37" s="345"/>
      <c r="DZ37" s="345"/>
      <c r="EA37" s="345"/>
      <c r="EB37" s="345"/>
      <c r="EC37" s="345"/>
      <c r="ED37" s="345"/>
      <c r="EE37" s="345"/>
      <c r="EF37" s="345"/>
      <c r="EG37" s="345"/>
      <c r="EH37" s="345"/>
      <c r="EI37" s="345"/>
      <c r="EJ37" s="345"/>
      <c r="EK37" s="345"/>
      <c r="EL37" s="345"/>
      <c r="EM37" s="345"/>
      <c r="EN37" s="345"/>
      <c r="EO37" s="345"/>
      <c r="EP37" s="345"/>
      <c r="EQ37" s="345"/>
      <c r="ER37" s="345"/>
      <c r="ES37" s="345"/>
      <c r="ET37" s="345"/>
      <c r="EU37" s="345"/>
      <c r="EV37" s="345"/>
      <c r="EW37" s="345"/>
      <c r="EX37" s="345"/>
      <c r="EY37" s="345"/>
      <c r="EZ37" s="345"/>
      <c r="FA37" s="345"/>
      <c r="FB37" s="345"/>
      <c r="FC37" s="345"/>
      <c r="FD37" s="345"/>
      <c r="FE37" s="345"/>
      <c r="FF37" s="345"/>
      <c r="FG37" s="345"/>
      <c r="FH37" s="345"/>
      <c r="FI37" s="345"/>
      <c r="FJ37" s="345"/>
      <c r="FK37" s="345"/>
      <c r="FL37" s="345"/>
      <c r="FM37" s="345"/>
      <c r="FN37" s="345"/>
      <c r="FO37" s="345"/>
      <c r="FP37" s="345"/>
      <c r="FQ37" s="345"/>
      <c r="FR37" s="345"/>
      <c r="FS37" s="345"/>
      <c r="FT37" s="345"/>
      <c r="FU37" s="345"/>
      <c r="FV37" s="345"/>
      <c r="FW37" s="345"/>
      <c r="FX37" s="345"/>
      <c r="FY37" s="345"/>
      <c r="FZ37" s="345"/>
      <c r="GA37" s="345"/>
      <c r="GB37" s="345"/>
      <c r="GC37" s="345"/>
      <c r="GD37" s="345"/>
      <c r="GE37" s="345"/>
      <c r="GF37" s="345"/>
      <c r="GG37" s="345"/>
      <c r="GH37" s="345"/>
      <c r="GI37" s="345"/>
      <c r="GJ37" s="345"/>
      <c r="GK37" s="345"/>
      <c r="GL37" s="345"/>
      <c r="GM37" s="345"/>
      <c r="GN37" s="345"/>
      <c r="GO37" s="345"/>
      <c r="GP37" s="345"/>
      <c r="GQ37" s="345"/>
      <c r="GR37" s="345"/>
      <c r="GS37" s="345"/>
      <c r="GT37" s="345"/>
      <c r="GU37" s="345"/>
      <c r="GV37" s="345"/>
      <c r="GW37" s="345"/>
      <c r="GX37" s="345"/>
      <c r="GY37" s="345"/>
      <c r="GZ37" s="345"/>
      <c r="HA37" s="345"/>
      <c r="HB37" s="345"/>
      <c r="HC37" s="345"/>
      <c r="HD37" s="345"/>
      <c r="HE37" s="345"/>
      <c r="HF37" s="345"/>
      <c r="HG37" s="345"/>
      <c r="HH37" s="345"/>
      <c r="HI37" s="345"/>
      <c r="HJ37" s="345"/>
      <c r="HK37" s="345"/>
      <c r="HL37" s="345"/>
      <c r="HM37" s="345"/>
      <c r="HN37" s="345"/>
      <c r="HO37" s="345"/>
      <c r="HP37" s="345"/>
      <c r="HQ37" s="345"/>
      <c r="HR37" s="345"/>
      <c r="HS37" s="345"/>
      <c r="HT37" s="345"/>
      <c r="HU37" s="345"/>
      <c r="HV37" s="345"/>
      <c r="HW37" s="345"/>
      <c r="HX37" s="345"/>
      <c r="HY37" s="345"/>
      <c r="HZ37" s="345"/>
      <c r="IA37" s="345"/>
      <c r="IB37" s="345"/>
      <c r="IC37" s="345"/>
      <c r="ID37" s="345"/>
      <c r="IE37" s="345"/>
      <c r="IF37" s="345"/>
      <c r="IG37" s="345"/>
      <c r="IH37" s="345"/>
      <c r="II37" s="345"/>
      <c r="IJ37" s="345"/>
      <c r="IK37" s="345"/>
      <c r="IL37" s="345"/>
      <c r="IM37" s="345"/>
      <c r="IN37" s="345"/>
      <c r="IO37" s="345"/>
      <c r="IP37" s="345"/>
      <c r="IQ37" s="345"/>
      <c r="IR37" s="345"/>
      <c r="IS37" s="345"/>
      <c r="IT37" s="345"/>
      <c r="IU37" s="345"/>
      <c r="IV37" s="345"/>
    </row>
    <row r="38" spans="1:256" s="335" customFormat="1" ht="26.25">
      <c r="A38" s="471">
        <v>31</v>
      </c>
      <c r="B38" s="309" t="s">
        <v>163</v>
      </c>
      <c r="C38" s="454" t="s">
        <v>8</v>
      </c>
      <c r="D38" s="457">
        <v>1758</v>
      </c>
      <c r="E38" s="455"/>
      <c r="F38" s="474" t="s">
        <v>164</v>
      </c>
      <c r="G38" s="307"/>
      <c r="H38" s="307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s="335" customFormat="1">
      <c r="A39" s="471">
        <v>32</v>
      </c>
      <c r="B39" s="453" t="s">
        <v>169</v>
      </c>
      <c r="C39" s="454" t="s">
        <v>15</v>
      </c>
      <c r="D39" s="455">
        <v>400</v>
      </c>
      <c r="E39" s="455"/>
      <c r="F39" s="474" t="s">
        <v>346</v>
      </c>
      <c r="G39" s="307"/>
      <c r="H39" s="307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335" customFormat="1" ht="26.25">
      <c r="A40" s="471">
        <v>33</v>
      </c>
      <c r="B40" s="453" t="s">
        <v>302</v>
      </c>
      <c r="C40" s="454" t="s">
        <v>27</v>
      </c>
      <c r="D40" s="455">
        <v>8.83</v>
      </c>
      <c r="E40" s="455"/>
      <c r="F40" s="474">
        <v>3345</v>
      </c>
      <c r="G40" s="307"/>
      <c r="H40" s="307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pans="1:256" s="335" customFormat="1">
      <c r="A41" s="471">
        <v>34</v>
      </c>
      <c r="B41" s="453" t="s">
        <v>175</v>
      </c>
      <c r="C41" s="454" t="s">
        <v>15</v>
      </c>
      <c r="D41" s="455">
        <v>50</v>
      </c>
      <c r="E41" s="455"/>
      <c r="F41" s="473"/>
      <c r="G41" s="307"/>
      <c r="H41" s="307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pans="1:256" s="335" customFormat="1">
      <c r="A42" s="471">
        <v>35</v>
      </c>
      <c r="B42" s="453" t="s">
        <v>129</v>
      </c>
      <c r="C42" s="454" t="s">
        <v>15</v>
      </c>
      <c r="D42" s="455">
        <v>50</v>
      </c>
      <c r="E42" s="455"/>
      <c r="F42" s="474"/>
      <c r="G42" s="557"/>
      <c r="H42" s="557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s="335" customFormat="1" ht="26.25">
      <c r="A43" s="471">
        <v>36</v>
      </c>
      <c r="B43" s="453" t="s">
        <v>166</v>
      </c>
      <c r="C43" s="454" t="s">
        <v>29</v>
      </c>
      <c r="D43" s="455">
        <v>37.18</v>
      </c>
      <c r="E43" s="455"/>
      <c r="F43" s="474">
        <v>6081</v>
      </c>
      <c r="G43" s="307"/>
      <c r="H43" s="307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335" customFormat="1">
      <c r="A44" s="471">
        <v>37</v>
      </c>
      <c r="B44" s="453" t="s">
        <v>121</v>
      </c>
      <c r="C44" s="454" t="s">
        <v>15</v>
      </c>
      <c r="D44" s="455">
        <f>cotações!J5</f>
        <v>377.9</v>
      </c>
      <c r="E44" s="455"/>
      <c r="F44" s="473" t="s">
        <v>349</v>
      </c>
      <c r="G44" s="307"/>
      <c r="H44" s="307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s="335" customFormat="1">
      <c r="A45" s="471">
        <v>38</v>
      </c>
      <c r="B45" s="453" t="s">
        <v>405</v>
      </c>
      <c r="C45" s="454" t="s">
        <v>27</v>
      </c>
      <c r="D45" s="455">
        <v>55.01</v>
      </c>
      <c r="E45" s="455"/>
      <c r="F45" s="474">
        <v>90780</v>
      </c>
      <c r="G45" s="307"/>
      <c r="H45" s="307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335" customFormat="1">
      <c r="A46" s="471">
        <v>39</v>
      </c>
      <c r="B46" s="453" t="s">
        <v>108</v>
      </c>
      <c r="C46" s="454" t="s">
        <v>15</v>
      </c>
      <c r="D46" s="464">
        <v>400</v>
      </c>
      <c r="E46" s="455"/>
      <c r="F46" s="472" t="s">
        <v>348</v>
      </c>
      <c r="G46" s="350"/>
      <c r="H46" s="307"/>
      <c r="I46" s="8"/>
      <c r="J46" s="351">
        <v>12.45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s="335" customFormat="1">
      <c r="A47" s="471">
        <v>40</v>
      </c>
      <c r="B47" s="453" t="s">
        <v>107</v>
      </c>
      <c r="C47" s="454" t="s">
        <v>15</v>
      </c>
      <c r="D47" s="464">
        <v>400</v>
      </c>
      <c r="E47" s="455"/>
      <c r="F47" s="472" t="s">
        <v>348</v>
      </c>
      <c r="G47" s="307"/>
      <c r="H47" s="307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s="346" customFormat="1">
      <c r="A48" s="471">
        <v>41</v>
      </c>
      <c r="B48" s="453" t="s">
        <v>406</v>
      </c>
      <c r="C48" s="454" t="s">
        <v>27</v>
      </c>
      <c r="D48" s="455">
        <v>19.3</v>
      </c>
      <c r="E48" s="455"/>
      <c r="F48" s="472" t="s">
        <v>371</v>
      </c>
      <c r="G48" s="344"/>
      <c r="H48" s="344"/>
      <c r="I48" s="345"/>
      <c r="J48" s="345"/>
      <c r="K48" s="345"/>
      <c r="L48" s="345"/>
      <c r="M48" s="345"/>
      <c r="N48" s="345"/>
      <c r="O48" s="345"/>
      <c r="P48" s="345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5"/>
      <c r="AB48" s="345"/>
      <c r="AC48" s="345"/>
      <c r="AD48" s="345"/>
      <c r="AE48" s="345"/>
      <c r="AF48" s="345"/>
      <c r="AG48" s="345"/>
      <c r="AH48" s="345"/>
      <c r="AI48" s="345"/>
      <c r="AJ48" s="345"/>
      <c r="AK48" s="345"/>
      <c r="AL48" s="345"/>
      <c r="AM48" s="345"/>
      <c r="AN48" s="345"/>
      <c r="AO48" s="345"/>
      <c r="AP48" s="345"/>
      <c r="AQ48" s="345"/>
      <c r="AR48" s="345"/>
      <c r="AS48" s="345"/>
      <c r="AT48" s="345"/>
      <c r="AU48" s="345"/>
      <c r="AV48" s="345"/>
      <c r="AW48" s="345"/>
      <c r="AX48" s="345"/>
      <c r="AY48" s="345"/>
      <c r="AZ48" s="345"/>
      <c r="BA48" s="345"/>
      <c r="BB48" s="345"/>
      <c r="BC48" s="345"/>
      <c r="BD48" s="345"/>
      <c r="BE48" s="345"/>
      <c r="BF48" s="345"/>
      <c r="BG48" s="345"/>
      <c r="BH48" s="345"/>
      <c r="BI48" s="345"/>
      <c r="BJ48" s="345"/>
      <c r="BK48" s="345"/>
      <c r="BL48" s="345"/>
      <c r="BM48" s="345"/>
      <c r="BN48" s="345"/>
      <c r="BO48" s="345"/>
      <c r="BP48" s="345"/>
      <c r="BQ48" s="345"/>
      <c r="BR48" s="345"/>
      <c r="BS48" s="345"/>
      <c r="BT48" s="345"/>
      <c r="BU48" s="345"/>
      <c r="BV48" s="345"/>
      <c r="BW48" s="345"/>
      <c r="BX48" s="345"/>
      <c r="BY48" s="345"/>
      <c r="BZ48" s="345"/>
      <c r="CA48" s="345"/>
      <c r="CB48" s="345"/>
      <c r="CC48" s="345"/>
      <c r="CD48" s="345"/>
      <c r="CE48" s="345"/>
      <c r="CF48" s="345"/>
      <c r="CG48" s="345"/>
      <c r="CH48" s="345"/>
      <c r="CI48" s="345"/>
      <c r="CJ48" s="345"/>
      <c r="CK48" s="345"/>
      <c r="CL48" s="345"/>
      <c r="CM48" s="345"/>
      <c r="CN48" s="345"/>
      <c r="CO48" s="345"/>
      <c r="CP48" s="345"/>
      <c r="CQ48" s="345"/>
      <c r="CR48" s="345"/>
      <c r="CS48" s="345"/>
      <c r="CT48" s="345"/>
      <c r="CU48" s="345"/>
      <c r="CV48" s="345"/>
      <c r="CW48" s="345"/>
      <c r="CX48" s="345"/>
      <c r="CY48" s="345"/>
      <c r="CZ48" s="345"/>
      <c r="DA48" s="345"/>
      <c r="DB48" s="345"/>
      <c r="DC48" s="345"/>
      <c r="DD48" s="345"/>
      <c r="DE48" s="345"/>
      <c r="DF48" s="345"/>
      <c r="DG48" s="345"/>
      <c r="DH48" s="345"/>
      <c r="DI48" s="345"/>
      <c r="DJ48" s="345"/>
      <c r="DK48" s="345"/>
      <c r="DL48" s="345"/>
      <c r="DM48" s="345"/>
      <c r="DN48" s="345"/>
      <c r="DO48" s="345"/>
      <c r="DP48" s="345"/>
      <c r="DQ48" s="345"/>
      <c r="DR48" s="345"/>
      <c r="DS48" s="345"/>
      <c r="DT48" s="345"/>
      <c r="DU48" s="345"/>
      <c r="DV48" s="345"/>
      <c r="DW48" s="345"/>
      <c r="DX48" s="345"/>
      <c r="DY48" s="345"/>
      <c r="DZ48" s="345"/>
      <c r="EA48" s="345"/>
      <c r="EB48" s="345"/>
      <c r="EC48" s="345"/>
      <c r="ED48" s="345"/>
      <c r="EE48" s="345"/>
      <c r="EF48" s="345"/>
      <c r="EG48" s="345"/>
      <c r="EH48" s="345"/>
      <c r="EI48" s="345"/>
      <c r="EJ48" s="345"/>
      <c r="EK48" s="345"/>
      <c r="EL48" s="345"/>
      <c r="EM48" s="345"/>
      <c r="EN48" s="345"/>
      <c r="EO48" s="345"/>
      <c r="EP48" s="345"/>
      <c r="EQ48" s="345"/>
      <c r="ER48" s="345"/>
      <c r="ES48" s="345"/>
      <c r="ET48" s="345"/>
      <c r="EU48" s="345"/>
      <c r="EV48" s="345"/>
      <c r="EW48" s="345"/>
      <c r="EX48" s="345"/>
      <c r="EY48" s="345"/>
      <c r="EZ48" s="345"/>
      <c r="FA48" s="345"/>
      <c r="FB48" s="345"/>
      <c r="FC48" s="345"/>
      <c r="FD48" s="345"/>
      <c r="FE48" s="345"/>
      <c r="FF48" s="345"/>
      <c r="FG48" s="345"/>
      <c r="FH48" s="345"/>
      <c r="FI48" s="345"/>
      <c r="FJ48" s="345"/>
      <c r="FK48" s="345"/>
      <c r="FL48" s="345"/>
      <c r="FM48" s="345"/>
      <c r="FN48" s="345"/>
      <c r="FO48" s="345"/>
      <c r="FP48" s="345"/>
      <c r="FQ48" s="345"/>
      <c r="FR48" s="345"/>
      <c r="FS48" s="345"/>
      <c r="FT48" s="345"/>
      <c r="FU48" s="345"/>
      <c r="FV48" s="345"/>
      <c r="FW48" s="345"/>
      <c r="FX48" s="345"/>
      <c r="FY48" s="345"/>
      <c r="FZ48" s="345"/>
      <c r="GA48" s="345"/>
      <c r="GB48" s="345"/>
      <c r="GC48" s="345"/>
      <c r="GD48" s="345"/>
      <c r="GE48" s="345"/>
      <c r="GF48" s="345"/>
      <c r="GG48" s="345"/>
      <c r="GH48" s="345"/>
      <c r="GI48" s="345"/>
      <c r="GJ48" s="345"/>
      <c r="GK48" s="345"/>
      <c r="GL48" s="345"/>
      <c r="GM48" s="345"/>
      <c r="GN48" s="345"/>
      <c r="GO48" s="345"/>
      <c r="GP48" s="345"/>
      <c r="GQ48" s="345"/>
      <c r="GR48" s="345"/>
      <c r="GS48" s="345"/>
      <c r="GT48" s="345"/>
      <c r="GU48" s="345"/>
      <c r="GV48" s="345"/>
      <c r="GW48" s="345"/>
      <c r="GX48" s="345"/>
      <c r="GY48" s="345"/>
      <c r="GZ48" s="345"/>
      <c r="HA48" s="345"/>
      <c r="HB48" s="345"/>
      <c r="HC48" s="345"/>
      <c r="HD48" s="345"/>
      <c r="HE48" s="345"/>
      <c r="HF48" s="345"/>
      <c r="HG48" s="345"/>
      <c r="HH48" s="345"/>
      <c r="HI48" s="345"/>
      <c r="HJ48" s="345"/>
      <c r="HK48" s="345"/>
      <c r="HL48" s="345"/>
      <c r="HM48" s="345"/>
      <c r="HN48" s="345"/>
      <c r="HO48" s="345"/>
      <c r="HP48" s="345"/>
      <c r="HQ48" s="345"/>
      <c r="HR48" s="345"/>
      <c r="HS48" s="345"/>
      <c r="HT48" s="345"/>
      <c r="HU48" s="345"/>
      <c r="HV48" s="345"/>
      <c r="HW48" s="345"/>
      <c r="HX48" s="345"/>
      <c r="HY48" s="345"/>
      <c r="HZ48" s="345"/>
      <c r="IA48" s="345"/>
      <c r="IB48" s="345"/>
      <c r="IC48" s="345"/>
      <c r="ID48" s="345"/>
      <c r="IE48" s="345"/>
      <c r="IF48" s="345"/>
      <c r="IG48" s="345"/>
      <c r="IH48" s="345"/>
      <c r="II48" s="345"/>
      <c r="IJ48" s="345"/>
      <c r="IK48" s="345"/>
      <c r="IL48" s="345"/>
      <c r="IM48" s="345"/>
      <c r="IN48" s="345"/>
      <c r="IO48" s="345"/>
      <c r="IP48" s="345"/>
      <c r="IQ48" s="345"/>
      <c r="IR48" s="345"/>
      <c r="IS48" s="345"/>
      <c r="IT48" s="345"/>
      <c r="IU48" s="345"/>
      <c r="IV48" s="345"/>
    </row>
    <row r="49" spans="1:256" s="335" customFormat="1" ht="41.25" customHeight="1">
      <c r="A49" s="471">
        <v>42</v>
      </c>
      <c r="B49" s="453" t="s">
        <v>173</v>
      </c>
      <c r="C49" s="454" t="s">
        <v>10</v>
      </c>
      <c r="D49" s="455">
        <v>225</v>
      </c>
      <c r="E49" s="455"/>
      <c r="F49" s="474" t="s">
        <v>174</v>
      </c>
      <c r="G49" s="307"/>
      <c r="H49" s="307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s="346" customFormat="1">
      <c r="A50" s="471">
        <v>43</v>
      </c>
      <c r="B50" s="453" t="s">
        <v>62</v>
      </c>
      <c r="C50" s="454" t="s">
        <v>25</v>
      </c>
      <c r="D50" s="455">
        <v>12.5</v>
      </c>
      <c r="E50" s="455"/>
      <c r="F50" s="474" t="s">
        <v>178</v>
      </c>
      <c r="G50" s="344"/>
      <c r="H50" s="344"/>
      <c r="I50" s="345"/>
      <c r="J50" s="345"/>
      <c r="K50" s="345"/>
      <c r="L50" s="345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45"/>
      <c r="Z50" s="345"/>
      <c r="AA50" s="345"/>
      <c r="AB50" s="345"/>
      <c r="AC50" s="345"/>
      <c r="AD50" s="345"/>
      <c r="AE50" s="345"/>
      <c r="AF50" s="345"/>
      <c r="AG50" s="345"/>
      <c r="AH50" s="345"/>
      <c r="AI50" s="345"/>
      <c r="AJ50" s="345"/>
      <c r="AK50" s="345"/>
      <c r="AL50" s="345"/>
      <c r="AM50" s="345"/>
      <c r="AN50" s="345"/>
      <c r="AO50" s="345"/>
      <c r="AP50" s="345"/>
      <c r="AQ50" s="345"/>
      <c r="AR50" s="345"/>
      <c r="AS50" s="345"/>
      <c r="AT50" s="345"/>
      <c r="AU50" s="345"/>
      <c r="AV50" s="345"/>
      <c r="AW50" s="345"/>
      <c r="AX50" s="345"/>
      <c r="AY50" s="345"/>
      <c r="AZ50" s="345"/>
      <c r="BA50" s="345"/>
      <c r="BB50" s="345"/>
      <c r="BC50" s="345"/>
      <c r="BD50" s="345"/>
      <c r="BE50" s="345"/>
      <c r="BF50" s="345"/>
      <c r="BG50" s="345"/>
      <c r="BH50" s="345"/>
      <c r="BI50" s="345"/>
      <c r="BJ50" s="345"/>
      <c r="BK50" s="345"/>
      <c r="BL50" s="345"/>
      <c r="BM50" s="345"/>
      <c r="BN50" s="345"/>
      <c r="BO50" s="345"/>
      <c r="BP50" s="345"/>
      <c r="BQ50" s="345"/>
      <c r="BR50" s="345"/>
      <c r="BS50" s="345"/>
      <c r="BT50" s="345"/>
      <c r="BU50" s="345"/>
      <c r="BV50" s="345"/>
      <c r="BW50" s="345"/>
      <c r="BX50" s="345"/>
      <c r="BY50" s="345"/>
      <c r="BZ50" s="345"/>
      <c r="CA50" s="345"/>
      <c r="CB50" s="345"/>
      <c r="CC50" s="345"/>
      <c r="CD50" s="345"/>
      <c r="CE50" s="345"/>
      <c r="CF50" s="345"/>
      <c r="CG50" s="345"/>
      <c r="CH50" s="345"/>
      <c r="CI50" s="345"/>
      <c r="CJ50" s="345"/>
      <c r="CK50" s="345"/>
      <c r="CL50" s="345"/>
      <c r="CM50" s="345"/>
      <c r="CN50" s="345"/>
      <c r="CO50" s="345"/>
      <c r="CP50" s="345"/>
      <c r="CQ50" s="345"/>
      <c r="CR50" s="345"/>
      <c r="CS50" s="345"/>
      <c r="CT50" s="345"/>
      <c r="CU50" s="345"/>
      <c r="CV50" s="345"/>
      <c r="CW50" s="345"/>
      <c r="CX50" s="345"/>
      <c r="CY50" s="345"/>
      <c r="CZ50" s="345"/>
      <c r="DA50" s="345"/>
      <c r="DB50" s="345"/>
      <c r="DC50" s="345"/>
      <c r="DD50" s="345"/>
      <c r="DE50" s="345"/>
      <c r="DF50" s="345"/>
      <c r="DG50" s="345"/>
      <c r="DH50" s="345"/>
      <c r="DI50" s="345"/>
      <c r="DJ50" s="345"/>
      <c r="DK50" s="345"/>
      <c r="DL50" s="345"/>
      <c r="DM50" s="345"/>
      <c r="DN50" s="345"/>
      <c r="DO50" s="345"/>
      <c r="DP50" s="345"/>
      <c r="DQ50" s="345"/>
      <c r="DR50" s="345"/>
      <c r="DS50" s="345"/>
      <c r="DT50" s="345"/>
      <c r="DU50" s="345"/>
      <c r="DV50" s="345"/>
      <c r="DW50" s="345"/>
      <c r="DX50" s="345"/>
      <c r="DY50" s="345"/>
      <c r="DZ50" s="345"/>
      <c r="EA50" s="345"/>
      <c r="EB50" s="345"/>
      <c r="EC50" s="345"/>
      <c r="ED50" s="345"/>
      <c r="EE50" s="345"/>
      <c r="EF50" s="345"/>
      <c r="EG50" s="345"/>
      <c r="EH50" s="345"/>
      <c r="EI50" s="345"/>
      <c r="EJ50" s="345"/>
      <c r="EK50" s="345"/>
      <c r="EL50" s="345"/>
      <c r="EM50" s="345"/>
      <c r="EN50" s="345"/>
      <c r="EO50" s="345"/>
      <c r="EP50" s="345"/>
      <c r="EQ50" s="345"/>
      <c r="ER50" s="345"/>
      <c r="ES50" s="345"/>
      <c r="ET50" s="345"/>
      <c r="EU50" s="345"/>
      <c r="EV50" s="345"/>
      <c r="EW50" s="345"/>
      <c r="EX50" s="345"/>
      <c r="EY50" s="345"/>
      <c r="EZ50" s="345"/>
      <c r="FA50" s="345"/>
      <c r="FB50" s="345"/>
      <c r="FC50" s="345"/>
      <c r="FD50" s="345"/>
      <c r="FE50" s="345"/>
      <c r="FF50" s="345"/>
      <c r="FG50" s="345"/>
      <c r="FH50" s="345"/>
      <c r="FI50" s="345"/>
      <c r="FJ50" s="345"/>
      <c r="FK50" s="345"/>
      <c r="FL50" s="345"/>
      <c r="FM50" s="345"/>
      <c r="FN50" s="345"/>
      <c r="FO50" s="345"/>
      <c r="FP50" s="345"/>
      <c r="FQ50" s="345"/>
      <c r="FR50" s="345"/>
      <c r="FS50" s="345"/>
      <c r="FT50" s="345"/>
      <c r="FU50" s="345"/>
      <c r="FV50" s="345"/>
      <c r="FW50" s="345"/>
      <c r="FX50" s="345"/>
      <c r="FY50" s="345"/>
      <c r="FZ50" s="345"/>
      <c r="GA50" s="345"/>
      <c r="GB50" s="345"/>
      <c r="GC50" s="345"/>
      <c r="GD50" s="345"/>
      <c r="GE50" s="345"/>
      <c r="GF50" s="345"/>
      <c r="GG50" s="345"/>
      <c r="GH50" s="345"/>
      <c r="GI50" s="345"/>
      <c r="GJ50" s="345"/>
      <c r="GK50" s="345"/>
      <c r="GL50" s="345"/>
      <c r="GM50" s="345"/>
      <c r="GN50" s="345"/>
      <c r="GO50" s="345"/>
      <c r="GP50" s="345"/>
      <c r="GQ50" s="345"/>
      <c r="GR50" s="345"/>
      <c r="GS50" s="345"/>
      <c r="GT50" s="345"/>
      <c r="GU50" s="345"/>
      <c r="GV50" s="345"/>
      <c r="GW50" s="345"/>
      <c r="GX50" s="345"/>
      <c r="GY50" s="345"/>
      <c r="GZ50" s="345"/>
      <c r="HA50" s="345"/>
      <c r="HB50" s="345"/>
      <c r="HC50" s="345"/>
      <c r="HD50" s="345"/>
      <c r="HE50" s="345"/>
      <c r="HF50" s="345"/>
      <c r="HG50" s="345"/>
      <c r="HH50" s="345"/>
      <c r="HI50" s="345"/>
      <c r="HJ50" s="345"/>
      <c r="HK50" s="345"/>
      <c r="HL50" s="345"/>
      <c r="HM50" s="345"/>
      <c r="HN50" s="345"/>
      <c r="HO50" s="345"/>
      <c r="HP50" s="345"/>
      <c r="HQ50" s="345"/>
      <c r="HR50" s="345"/>
      <c r="HS50" s="345"/>
      <c r="HT50" s="345"/>
      <c r="HU50" s="345"/>
      <c r="HV50" s="345"/>
      <c r="HW50" s="345"/>
      <c r="HX50" s="345"/>
      <c r="HY50" s="345"/>
      <c r="HZ50" s="345"/>
      <c r="IA50" s="345"/>
      <c r="IB50" s="345"/>
      <c r="IC50" s="345"/>
      <c r="ID50" s="345"/>
      <c r="IE50" s="345"/>
      <c r="IF50" s="345"/>
      <c r="IG50" s="345"/>
      <c r="IH50" s="345"/>
      <c r="II50" s="345"/>
      <c r="IJ50" s="345"/>
      <c r="IK50" s="345"/>
      <c r="IL50" s="345"/>
      <c r="IM50" s="345"/>
      <c r="IN50" s="345"/>
      <c r="IO50" s="345"/>
      <c r="IP50" s="345"/>
      <c r="IQ50" s="345"/>
      <c r="IR50" s="345"/>
      <c r="IS50" s="345"/>
      <c r="IT50" s="345"/>
      <c r="IU50" s="345"/>
      <c r="IV50" s="345"/>
    </row>
    <row r="51" spans="1:256" s="337" customFormat="1">
      <c r="A51" s="471">
        <v>44</v>
      </c>
      <c r="B51" s="453" t="s">
        <v>60</v>
      </c>
      <c r="C51" s="454" t="s">
        <v>61</v>
      </c>
      <c r="D51" s="455">
        <v>9.68</v>
      </c>
      <c r="E51" s="455"/>
      <c r="F51" s="474" t="s">
        <v>180</v>
      </c>
      <c r="G51" s="352"/>
      <c r="H51" s="349"/>
    </row>
    <row r="52" spans="1:256" s="335" customFormat="1">
      <c r="A52" s="471">
        <v>45</v>
      </c>
      <c r="B52" s="453" t="s">
        <v>52</v>
      </c>
      <c r="C52" s="454" t="s">
        <v>53</v>
      </c>
      <c r="D52" s="455">
        <v>109.27</v>
      </c>
      <c r="E52" s="455"/>
      <c r="F52" s="474">
        <v>5678</v>
      </c>
      <c r="G52" s="305"/>
      <c r="H52" s="306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</row>
    <row r="53" spans="1:256" s="335" customFormat="1" ht="26.25">
      <c r="A53" s="471">
        <v>46</v>
      </c>
      <c r="B53" s="453" t="s">
        <v>299</v>
      </c>
      <c r="C53" s="454" t="s">
        <v>8</v>
      </c>
      <c r="D53" s="455">
        <v>1.33</v>
      </c>
      <c r="E53" s="455"/>
      <c r="F53" s="474">
        <v>37526</v>
      </c>
      <c r="G53" s="557"/>
      <c r="H53" s="557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 s="346" customFormat="1" ht="26.25">
      <c r="A54" s="471">
        <v>47</v>
      </c>
      <c r="B54" s="453" t="s">
        <v>161</v>
      </c>
      <c r="C54" s="454" t="s">
        <v>162</v>
      </c>
      <c r="D54" s="465">
        <f>cotações!J18</f>
        <v>20.93</v>
      </c>
      <c r="E54" s="456"/>
      <c r="F54" s="473" t="s">
        <v>349</v>
      </c>
      <c r="G54" s="344"/>
      <c r="H54" s="344"/>
      <c r="I54" s="345"/>
      <c r="J54" s="345"/>
      <c r="K54" s="345"/>
      <c r="L54" s="345"/>
      <c r="M54" s="345"/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5"/>
      <c r="AC54" s="345"/>
      <c r="AD54" s="345"/>
      <c r="AE54" s="345"/>
      <c r="AF54" s="345"/>
      <c r="AG54" s="345"/>
      <c r="AH54" s="345"/>
      <c r="AI54" s="345"/>
      <c r="AJ54" s="345"/>
      <c r="AK54" s="345"/>
      <c r="AL54" s="345"/>
      <c r="AM54" s="345"/>
      <c r="AN54" s="345"/>
      <c r="AO54" s="345"/>
      <c r="AP54" s="345"/>
      <c r="AQ54" s="345"/>
      <c r="AR54" s="345"/>
      <c r="AS54" s="345"/>
      <c r="AT54" s="345"/>
      <c r="AU54" s="345"/>
      <c r="AV54" s="345"/>
      <c r="AW54" s="345"/>
      <c r="AX54" s="345"/>
      <c r="AY54" s="345"/>
      <c r="AZ54" s="345"/>
      <c r="BA54" s="345"/>
      <c r="BB54" s="345"/>
      <c r="BC54" s="345"/>
      <c r="BD54" s="345"/>
      <c r="BE54" s="345"/>
      <c r="BF54" s="345"/>
      <c r="BG54" s="345"/>
      <c r="BH54" s="345"/>
      <c r="BI54" s="345"/>
      <c r="BJ54" s="345"/>
      <c r="BK54" s="345"/>
      <c r="BL54" s="345"/>
      <c r="BM54" s="345"/>
      <c r="BN54" s="345"/>
      <c r="BO54" s="345"/>
      <c r="BP54" s="345"/>
      <c r="BQ54" s="345"/>
      <c r="BR54" s="345"/>
      <c r="BS54" s="345"/>
      <c r="BT54" s="345"/>
      <c r="BU54" s="345"/>
      <c r="BV54" s="345"/>
      <c r="BW54" s="345"/>
      <c r="BX54" s="345"/>
      <c r="BY54" s="345"/>
      <c r="BZ54" s="345"/>
      <c r="CA54" s="345"/>
      <c r="CB54" s="345"/>
      <c r="CC54" s="345"/>
      <c r="CD54" s="345"/>
      <c r="CE54" s="345"/>
      <c r="CF54" s="345"/>
      <c r="CG54" s="345"/>
      <c r="CH54" s="345"/>
      <c r="CI54" s="345"/>
      <c r="CJ54" s="345"/>
      <c r="CK54" s="345"/>
      <c r="CL54" s="345"/>
      <c r="CM54" s="345"/>
      <c r="CN54" s="345"/>
      <c r="CO54" s="345"/>
      <c r="CP54" s="345"/>
      <c r="CQ54" s="345"/>
      <c r="CR54" s="345"/>
      <c r="CS54" s="345"/>
      <c r="CT54" s="345"/>
      <c r="CU54" s="345"/>
      <c r="CV54" s="345"/>
      <c r="CW54" s="345"/>
      <c r="CX54" s="345"/>
      <c r="CY54" s="345"/>
      <c r="CZ54" s="345"/>
      <c r="DA54" s="345"/>
      <c r="DB54" s="345"/>
      <c r="DC54" s="345"/>
      <c r="DD54" s="345"/>
      <c r="DE54" s="345"/>
      <c r="DF54" s="345"/>
      <c r="DG54" s="345"/>
      <c r="DH54" s="345"/>
      <c r="DI54" s="345"/>
      <c r="DJ54" s="345"/>
      <c r="DK54" s="345"/>
      <c r="DL54" s="345"/>
      <c r="DM54" s="345"/>
      <c r="DN54" s="345"/>
      <c r="DO54" s="345"/>
      <c r="DP54" s="345"/>
      <c r="DQ54" s="345"/>
      <c r="DR54" s="345"/>
      <c r="DS54" s="345"/>
      <c r="DT54" s="345"/>
      <c r="DU54" s="345"/>
      <c r="DV54" s="345"/>
      <c r="DW54" s="345"/>
      <c r="DX54" s="345"/>
      <c r="DY54" s="345"/>
      <c r="DZ54" s="345"/>
      <c r="EA54" s="345"/>
      <c r="EB54" s="345"/>
      <c r="EC54" s="345"/>
      <c r="ED54" s="345"/>
      <c r="EE54" s="345"/>
      <c r="EF54" s="345"/>
      <c r="EG54" s="345"/>
      <c r="EH54" s="345"/>
      <c r="EI54" s="345"/>
      <c r="EJ54" s="345"/>
      <c r="EK54" s="345"/>
      <c r="EL54" s="345"/>
      <c r="EM54" s="345"/>
      <c r="EN54" s="345"/>
      <c r="EO54" s="345"/>
      <c r="EP54" s="345"/>
      <c r="EQ54" s="345"/>
      <c r="ER54" s="345"/>
      <c r="ES54" s="345"/>
      <c r="ET54" s="345"/>
      <c r="EU54" s="345"/>
      <c r="EV54" s="345"/>
      <c r="EW54" s="345"/>
      <c r="EX54" s="345"/>
      <c r="EY54" s="345"/>
      <c r="EZ54" s="345"/>
      <c r="FA54" s="345"/>
      <c r="FB54" s="345"/>
      <c r="FC54" s="345"/>
      <c r="FD54" s="345"/>
      <c r="FE54" s="345"/>
      <c r="FF54" s="345"/>
      <c r="FG54" s="345"/>
      <c r="FH54" s="345"/>
      <c r="FI54" s="345"/>
      <c r="FJ54" s="345"/>
      <c r="FK54" s="345"/>
      <c r="FL54" s="345"/>
      <c r="FM54" s="345"/>
      <c r="FN54" s="345"/>
      <c r="FO54" s="345"/>
      <c r="FP54" s="345"/>
      <c r="FQ54" s="345"/>
      <c r="FR54" s="345"/>
      <c r="FS54" s="345"/>
      <c r="FT54" s="345"/>
      <c r="FU54" s="345"/>
      <c r="FV54" s="345"/>
      <c r="FW54" s="345"/>
      <c r="FX54" s="345"/>
      <c r="FY54" s="345"/>
      <c r="FZ54" s="345"/>
      <c r="GA54" s="345"/>
      <c r="GB54" s="345"/>
      <c r="GC54" s="345"/>
      <c r="GD54" s="345"/>
      <c r="GE54" s="345"/>
      <c r="GF54" s="345"/>
      <c r="GG54" s="345"/>
      <c r="GH54" s="345"/>
      <c r="GI54" s="345"/>
      <c r="GJ54" s="345"/>
      <c r="GK54" s="345"/>
      <c r="GL54" s="345"/>
      <c r="GM54" s="345"/>
      <c r="GN54" s="345"/>
      <c r="GO54" s="345"/>
      <c r="GP54" s="345"/>
      <c r="GQ54" s="345"/>
      <c r="GR54" s="345"/>
      <c r="GS54" s="345"/>
      <c r="GT54" s="345"/>
      <c r="GU54" s="345"/>
      <c r="GV54" s="345"/>
      <c r="GW54" s="345"/>
      <c r="GX54" s="345"/>
      <c r="GY54" s="345"/>
      <c r="GZ54" s="345"/>
      <c r="HA54" s="345"/>
      <c r="HB54" s="345"/>
      <c r="HC54" s="345"/>
      <c r="HD54" s="345"/>
      <c r="HE54" s="345"/>
      <c r="HF54" s="345"/>
      <c r="HG54" s="345"/>
      <c r="HH54" s="345"/>
      <c r="HI54" s="345"/>
      <c r="HJ54" s="345"/>
      <c r="HK54" s="345"/>
      <c r="HL54" s="345"/>
      <c r="HM54" s="345"/>
      <c r="HN54" s="345"/>
      <c r="HO54" s="345"/>
      <c r="HP54" s="345"/>
      <c r="HQ54" s="345"/>
      <c r="HR54" s="345"/>
      <c r="HS54" s="345"/>
      <c r="HT54" s="345"/>
      <c r="HU54" s="345"/>
      <c r="HV54" s="345"/>
      <c r="HW54" s="345"/>
      <c r="HX54" s="345"/>
      <c r="HY54" s="345"/>
      <c r="HZ54" s="345"/>
      <c r="IA54" s="345"/>
      <c r="IB54" s="345"/>
      <c r="IC54" s="345"/>
      <c r="ID54" s="345"/>
      <c r="IE54" s="345"/>
      <c r="IF54" s="345"/>
      <c r="IG54" s="345"/>
      <c r="IH54" s="345"/>
      <c r="II54" s="345"/>
      <c r="IJ54" s="345"/>
      <c r="IK54" s="345"/>
      <c r="IL54" s="345"/>
      <c r="IM54" s="345"/>
      <c r="IN54" s="345"/>
      <c r="IO54" s="345"/>
      <c r="IP54" s="345"/>
      <c r="IQ54" s="345"/>
      <c r="IR54" s="345"/>
      <c r="IS54" s="345"/>
      <c r="IT54" s="345"/>
      <c r="IU54" s="345"/>
      <c r="IV54" s="345"/>
    </row>
    <row r="55" spans="1:256" s="335" customFormat="1">
      <c r="A55" s="471">
        <v>48</v>
      </c>
      <c r="B55" s="453" t="s">
        <v>179</v>
      </c>
      <c r="C55" s="454" t="s">
        <v>8</v>
      </c>
      <c r="D55" s="455">
        <f>cotações!J14</f>
        <v>229.9</v>
      </c>
      <c r="E55" s="455"/>
      <c r="F55" s="473" t="s">
        <v>349</v>
      </c>
      <c r="G55" s="307"/>
      <c r="H55" s="307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s="335" customFormat="1" ht="26.25">
      <c r="A56" s="471">
        <v>49</v>
      </c>
      <c r="B56" s="453" t="s">
        <v>116</v>
      </c>
      <c r="C56" s="454" t="s">
        <v>15</v>
      </c>
      <c r="D56" s="455">
        <f>D52*200</f>
        <v>21854</v>
      </c>
      <c r="E56" s="455"/>
      <c r="F56" s="474" t="s">
        <v>309</v>
      </c>
      <c r="G56" s="307"/>
      <c r="H56" s="307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s="335" customFormat="1">
      <c r="A57" s="471">
        <v>50</v>
      </c>
      <c r="B57" s="453" t="s">
        <v>407</v>
      </c>
      <c r="C57" s="454" t="s">
        <v>27</v>
      </c>
      <c r="D57" s="455">
        <v>20.59</v>
      </c>
      <c r="E57" s="455"/>
      <c r="F57" s="474">
        <v>90781</v>
      </c>
      <c r="G57" s="307"/>
      <c r="H57" s="307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s="335" customFormat="1">
      <c r="A58" s="471">
        <v>51</v>
      </c>
      <c r="B58" s="309" t="s">
        <v>119</v>
      </c>
      <c r="C58" s="309" t="s">
        <v>15</v>
      </c>
      <c r="D58" s="466">
        <v>1723.91</v>
      </c>
      <c r="E58" s="466">
        <v>2136.0700000000002</v>
      </c>
      <c r="F58" s="476" t="s">
        <v>176</v>
      </c>
      <c r="G58" s="307"/>
      <c r="H58" s="307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s="335" customFormat="1" ht="26.25">
      <c r="A59" s="471">
        <v>53</v>
      </c>
      <c r="B59" s="309" t="s">
        <v>141</v>
      </c>
      <c r="C59" s="309" t="s">
        <v>105</v>
      </c>
      <c r="D59" s="467">
        <v>0.26</v>
      </c>
      <c r="E59" s="464">
        <v>1.23</v>
      </c>
      <c r="F59" s="472" t="s">
        <v>338</v>
      </c>
      <c r="G59" s="307"/>
      <c r="H59" s="308"/>
      <c r="I59" s="353"/>
      <c r="J59" s="353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s="8" customFormat="1" ht="26.25">
      <c r="A60" s="471">
        <v>54</v>
      </c>
      <c r="B60" s="309" t="s">
        <v>141</v>
      </c>
      <c r="C60" s="309" t="s">
        <v>83</v>
      </c>
      <c r="D60" s="467">
        <v>1.21</v>
      </c>
      <c r="E60" s="464">
        <v>1.23</v>
      </c>
      <c r="F60" s="472" t="s">
        <v>337</v>
      </c>
      <c r="G60" s="307"/>
      <c r="H60" s="308"/>
      <c r="I60" s="16"/>
      <c r="J60" s="16"/>
      <c r="K60" s="17"/>
      <c r="L60" s="18"/>
    </row>
    <row r="61" spans="1:256" s="335" customFormat="1" ht="15.75">
      <c r="A61" s="471">
        <v>55</v>
      </c>
      <c r="B61" s="309" t="s">
        <v>181</v>
      </c>
      <c r="C61" s="454" t="s">
        <v>88</v>
      </c>
      <c r="D61" s="462">
        <v>13.02</v>
      </c>
      <c r="E61" s="455"/>
      <c r="F61" s="472" t="s">
        <v>182</v>
      </c>
      <c r="G61" s="307"/>
      <c r="H61" s="308"/>
      <c r="I61" s="16"/>
      <c r="J61" s="16"/>
      <c r="K61" s="17"/>
      <c r="L61" s="1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</row>
    <row r="62" spans="1:256" s="335" customFormat="1" ht="15.75">
      <c r="A62" s="471">
        <v>56</v>
      </c>
      <c r="B62" s="309" t="s">
        <v>183</v>
      </c>
      <c r="C62" s="309" t="s">
        <v>29</v>
      </c>
      <c r="D62" s="455">
        <f>((2.63+3)/2)*1.5</f>
        <v>4.2225000000000001</v>
      </c>
      <c r="E62" s="456"/>
      <c r="F62" s="474" t="s">
        <v>346</v>
      </c>
      <c r="G62" s="307"/>
      <c r="H62" s="308"/>
      <c r="I62" s="16"/>
      <c r="J62" s="16"/>
      <c r="K62" s="17"/>
      <c r="L62" s="1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</row>
    <row r="63" spans="1:256" s="335" customFormat="1" ht="15.75">
      <c r="A63" s="471">
        <v>57</v>
      </c>
      <c r="B63" s="309" t="s">
        <v>303</v>
      </c>
      <c r="C63" s="309" t="s">
        <v>12</v>
      </c>
      <c r="D63" s="455">
        <v>39.9</v>
      </c>
      <c r="E63" s="456"/>
      <c r="F63" s="474" t="s">
        <v>346</v>
      </c>
      <c r="G63" s="307"/>
      <c r="H63" s="308"/>
      <c r="I63" s="16"/>
      <c r="J63" s="16"/>
      <c r="K63" s="17"/>
      <c r="L63" s="1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</row>
    <row r="64" spans="1:256" ht="15.75">
      <c r="A64" s="471">
        <v>58</v>
      </c>
      <c r="B64" s="309" t="s">
        <v>184</v>
      </c>
      <c r="C64" s="310" t="s">
        <v>185</v>
      </c>
      <c r="D64" s="468">
        <v>0.73</v>
      </c>
      <c r="E64" s="469"/>
      <c r="F64" s="474" t="s">
        <v>346</v>
      </c>
      <c r="G64" s="302"/>
      <c r="H64" s="304"/>
      <c r="I64" s="14"/>
      <c r="J64" s="14"/>
      <c r="K64" s="15"/>
      <c r="L64" s="13"/>
    </row>
    <row r="65" spans="1:8">
      <c r="A65" s="471">
        <v>59</v>
      </c>
      <c r="B65" s="453" t="s">
        <v>130</v>
      </c>
      <c r="C65" s="454" t="s">
        <v>15</v>
      </c>
      <c r="D65" s="455">
        <v>69</v>
      </c>
      <c r="E65" s="469"/>
      <c r="F65" s="474" t="s">
        <v>346</v>
      </c>
      <c r="G65" s="302"/>
      <c r="H65" s="302"/>
    </row>
    <row r="66" spans="1:8" ht="26.25">
      <c r="A66" s="433"/>
      <c r="B66" s="309" t="s">
        <v>186</v>
      </c>
      <c r="C66" s="310"/>
      <c r="D66" s="311"/>
      <c r="E66" s="311"/>
      <c r="F66" s="478"/>
      <c r="G66" s="302"/>
      <c r="H66" s="302"/>
    </row>
    <row r="67" spans="1:8">
      <c r="A67" s="218"/>
      <c r="B67" s="483" t="s">
        <v>339</v>
      </c>
      <c r="C67" s="484"/>
      <c r="D67" s="485"/>
      <c r="E67" s="485"/>
      <c r="F67" s="486"/>
    </row>
    <row r="68" spans="1:8" ht="15.75" thickBot="1">
      <c r="A68" s="221"/>
      <c r="B68" s="479" t="s">
        <v>347</v>
      </c>
      <c r="C68" s="480"/>
      <c r="D68" s="481"/>
      <c r="E68" s="481"/>
      <c r="F68" s="482"/>
    </row>
    <row r="69" spans="1:8" ht="45.75" customHeight="1">
      <c r="A69" s="559" t="s">
        <v>404</v>
      </c>
      <c r="B69" s="559"/>
      <c r="C69" s="559"/>
      <c r="D69" s="559"/>
      <c r="E69" s="559"/>
      <c r="F69" s="560"/>
    </row>
  </sheetData>
  <sheetProtection selectLockedCells="1" selectUnlockedCells="1"/>
  <mergeCells count="15">
    <mergeCell ref="A3:C3"/>
    <mergeCell ref="A4:C4"/>
    <mergeCell ref="H7:L7"/>
    <mergeCell ref="D2:F2"/>
    <mergeCell ref="D3:F3"/>
    <mergeCell ref="D4:F4"/>
    <mergeCell ref="A5:F6"/>
    <mergeCell ref="A2:C2"/>
    <mergeCell ref="G42:H42"/>
    <mergeCell ref="G12:H12"/>
    <mergeCell ref="G16:H16"/>
    <mergeCell ref="G33:H33"/>
    <mergeCell ref="G10:H10"/>
    <mergeCell ref="A69:F69"/>
    <mergeCell ref="G53:H53"/>
  </mergeCells>
  <pageMargins left="0.78749999999999998" right="0.20972222222222223" top="0.98402777777777772" bottom="0.58194444444444449" header="0.51180555555555551" footer="0.51180555555555551"/>
  <pageSetup paperSize="9" scale="94" firstPageNumber="0" orientation="portrait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277"/>
  <sheetViews>
    <sheetView view="pageBreakPreview" topLeftCell="A160" zoomScale="85" zoomScaleNormal="90" zoomScaleSheetLayoutView="85" workbookViewId="0">
      <selection activeCell="F16" sqref="F1:F65536"/>
    </sheetView>
  </sheetViews>
  <sheetFormatPr defaultColWidth="8.7109375" defaultRowHeight="15"/>
  <cols>
    <col min="1" max="1" width="50.140625" style="144" customWidth="1"/>
    <col min="2" max="2" width="13.42578125" style="145" customWidth="1"/>
    <col min="3" max="3" width="13" style="146" customWidth="1"/>
    <col min="4" max="4" width="11.28515625" style="147" bestFit="1" customWidth="1"/>
    <col min="5" max="5" width="19.85546875" style="147" bestFit="1" customWidth="1"/>
    <col min="6" max="16384" width="8.7109375" style="119"/>
  </cols>
  <sheetData>
    <row r="1" spans="1:255" customFormat="1" ht="53.25" customHeight="1" thickBot="1">
      <c r="A1" s="1"/>
      <c r="B1" s="2"/>
      <c r="C1" s="1"/>
      <c r="D1" s="1"/>
      <c r="E1" s="1"/>
      <c r="F1" s="32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 spans="1:255" customFormat="1">
      <c r="A2" s="551" t="s">
        <v>412</v>
      </c>
      <c r="B2" s="552"/>
      <c r="C2" s="552"/>
      <c r="D2" s="552"/>
      <c r="E2" s="553"/>
      <c r="F2" s="32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</row>
    <row r="3" spans="1:255" s="153" customFormat="1" ht="15.75" thickBot="1">
      <c r="A3" s="554"/>
      <c r="B3" s="555"/>
      <c r="C3" s="555"/>
      <c r="D3" s="555"/>
      <c r="E3" s="556"/>
    </row>
    <row r="4" spans="1:255">
      <c r="A4" s="154" t="s">
        <v>49</v>
      </c>
      <c r="B4" s="155" t="s">
        <v>8</v>
      </c>
      <c r="C4" s="156" t="s">
        <v>386</v>
      </c>
      <c r="D4" s="155"/>
      <c r="E4" s="157" t="s">
        <v>355</v>
      </c>
    </row>
    <row r="5" spans="1:255">
      <c r="A5" s="148" t="s">
        <v>1</v>
      </c>
      <c r="B5" s="149" t="s">
        <v>2</v>
      </c>
      <c r="C5" s="150" t="s">
        <v>50</v>
      </c>
      <c r="D5" s="149" t="s">
        <v>51</v>
      </c>
      <c r="E5" s="151" t="s">
        <v>5</v>
      </c>
      <c r="H5" s="324"/>
    </row>
    <row r="6" spans="1:255">
      <c r="A6" s="110" t="s">
        <v>52</v>
      </c>
      <c r="B6" s="111" t="s">
        <v>53</v>
      </c>
      <c r="C6" s="112">
        <v>5.8518999999999997</v>
      </c>
      <c r="D6" s="113">
        <f>'PPU SINAPI'!D52</f>
        <v>109.27</v>
      </c>
      <c r="E6" s="114">
        <f>C6*D6</f>
        <v>639.43711299999995</v>
      </c>
    </row>
    <row r="7" spans="1:255" ht="15" customHeight="1">
      <c r="A7" s="110" t="s">
        <v>54</v>
      </c>
      <c r="B7" s="111" t="s">
        <v>53</v>
      </c>
      <c r="C7" s="112">
        <v>5.8418999999999999</v>
      </c>
      <c r="D7" s="113">
        <f>'PPU SINAPI'!D37</f>
        <v>116.5</v>
      </c>
      <c r="E7" s="114">
        <f>C7*D7</f>
        <v>680.58134999999993</v>
      </c>
    </row>
    <row r="8" spans="1:255" ht="15" customHeight="1">
      <c r="A8" s="110" t="s">
        <v>55</v>
      </c>
      <c r="B8" s="111" t="s">
        <v>27</v>
      </c>
      <c r="C8" s="112">
        <v>40</v>
      </c>
      <c r="D8" s="113">
        <f>'PPU SINAPI'!D9</f>
        <v>15.68</v>
      </c>
      <c r="E8" s="114">
        <f>C8*D8</f>
        <v>627.20000000000005</v>
      </c>
    </row>
    <row r="9" spans="1:255" ht="15" customHeight="1">
      <c r="A9" s="110"/>
      <c r="B9" s="585" t="s">
        <v>56</v>
      </c>
      <c r="C9" s="585"/>
      <c r="D9" s="115"/>
      <c r="E9" s="116">
        <f>SUM(E6:E8)</f>
        <v>1947.2184629999999</v>
      </c>
    </row>
    <row r="10" spans="1:255">
      <c r="A10" s="110"/>
      <c r="B10" s="585" t="s">
        <v>57</v>
      </c>
      <c r="C10" s="585"/>
      <c r="D10" s="256">
        <f>BDI!D36</f>
        <v>0.23627895018746692</v>
      </c>
      <c r="E10" s="116">
        <f>E9*D10</f>
        <v>460.08673422329286</v>
      </c>
    </row>
    <row r="11" spans="1:255" s="153" customFormat="1">
      <c r="A11" s="110"/>
      <c r="B11" s="118" t="s">
        <v>58</v>
      </c>
      <c r="C11" s="118"/>
      <c r="D11" s="115"/>
      <c r="E11" s="116">
        <f>E9+E10</f>
        <v>2407.3051972232929</v>
      </c>
    </row>
    <row r="12" spans="1:255" ht="15.75" thickBot="1">
      <c r="A12" s="582"/>
      <c r="B12" s="583"/>
      <c r="C12" s="583"/>
      <c r="D12" s="583"/>
      <c r="E12" s="584"/>
    </row>
    <row r="13" spans="1:255">
      <c r="A13" s="154" t="s">
        <v>9</v>
      </c>
      <c r="B13" s="155" t="s">
        <v>10</v>
      </c>
      <c r="C13" s="156" t="s">
        <v>387</v>
      </c>
      <c r="D13" s="155"/>
      <c r="E13" s="157" t="str">
        <f>E24</f>
        <v>Sinapi: Jun/2017</v>
      </c>
      <c r="F13" s="123"/>
    </row>
    <row r="14" spans="1:255">
      <c r="A14" s="158" t="s">
        <v>1</v>
      </c>
      <c r="B14" s="125" t="s">
        <v>2</v>
      </c>
      <c r="C14" s="159" t="s">
        <v>50</v>
      </c>
      <c r="D14" s="125" t="s">
        <v>51</v>
      </c>
      <c r="E14" s="160" t="s">
        <v>5</v>
      </c>
      <c r="F14" s="123"/>
    </row>
    <row r="15" spans="1:255">
      <c r="A15" s="110" t="s">
        <v>59</v>
      </c>
      <c r="B15" s="111" t="s">
        <v>27</v>
      </c>
      <c r="C15" s="112">
        <v>0.5</v>
      </c>
      <c r="D15" s="113">
        <f>'PPU SINAPI'!D48</f>
        <v>19.3</v>
      </c>
      <c r="E15" s="114">
        <f>C15*D15</f>
        <v>9.65</v>
      </c>
      <c r="F15" s="123"/>
    </row>
    <row r="16" spans="1:255">
      <c r="A16" s="110" t="s">
        <v>55</v>
      </c>
      <c r="B16" s="111" t="s">
        <v>27</v>
      </c>
      <c r="C16" s="112">
        <v>0.31</v>
      </c>
      <c r="D16" s="113">
        <f>'PPU SINAPI'!D9</f>
        <v>15.68</v>
      </c>
      <c r="E16" s="114">
        <f>C16*D16</f>
        <v>4.8608000000000002</v>
      </c>
      <c r="F16" s="123"/>
    </row>
    <row r="17" spans="1:6">
      <c r="A17" s="110" t="s">
        <v>60</v>
      </c>
      <c r="B17" s="111" t="s">
        <v>61</v>
      </c>
      <c r="C17" s="112">
        <v>0.05</v>
      </c>
      <c r="D17" s="113">
        <f>'PPU SINAPI'!D51</f>
        <v>9.68</v>
      </c>
      <c r="E17" s="114">
        <f>C17*D17</f>
        <v>0.48399999999999999</v>
      </c>
      <c r="F17" s="123"/>
    </row>
    <row r="18" spans="1:6" ht="15" customHeight="1">
      <c r="A18" s="110" t="s">
        <v>62</v>
      </c>
      <c r="B18" s="111" t="s">
        <v>25</v>
      </c>
      <c r="C18" s="112">
        <v>2.73</v>
      </c>
      <c r="D18" s="113">
        <f>'PPU SINAPI'!D50</f>
        <v>12.5</v>
      </c>
      <c r="E18" s="114">
        <f>C18*D18</f>
        <v>34.125</v>
      </c>
    </row>
    <row r="19" spans="1:6" ht="15" customHeight="1">
      <c r="A19" s="110" t="s">
        <v>63</v>
      </c>
      <c r="B19" s="111" t="s">
        <v>10</v>
      </c>
      <c r="C19" s="112">
        <v>1</v>
      </c>
      <c r="D19" s="113">
        <f>'PPU SINAPI'!D49</f>
        <v>225</v>
      </c>
      <c r="E19" s="114">
        <f>C19*D19</f>
        <v>225</v>
      </c>
    </row>
    <row r="20" spans="1:6" ht="15" customHeight="1">
      <c r="A20" s="110"/>
      <c r="B20" s="585" t="s">
        <v>56</v>
      </c>
      <c r="C20" s="585"/>
      <c r="D20" s="115"/>
      <c r="E20" s="116">
        <f>SUM(E15:E19)</f>
        <v>274.1198</v>
      </c>
    </row>
    <row r="21" spans="1:6">
      <c r="A21" s="110"/>
      <c r="B21" s="585" t="s">
        <v>57</v>
      </c>
      <c r="C21" s="585"/>
      <c r="D21" s="117">
        <f>D10</f>
        <v>0.23627895018746692</v>
      </c>
      <c r="E21" s="116">
        <f>E20*D21</f>
        <v>64.768738569598398</v>
      </c>
    </row>
    <row r="22" spans="1:6" s="167" customFormat="1">
      <c r="A22" s="110"/>
      <c r="B22" s="118" t="s">
        <v>58</v>
      </c>
      <c r="C22" s="118"/>
      <c r="D22" s="115"/>
      <c r="E22" s="116">
        <f>E20+E21</f>
        <v>338.88853856959838</v>
      </c>
    </row>
    <row r="23" spans="1:6" s="168" customFormat="1" ht="15.75" thickBot="1">
      <c r="A23" s="582"/>
      <c r="B23" s="583"/>
      <c r="C23" s="583"/>
      <c r="D23" s="583"/>
      <c r="E23" s="584"/>
    </row>
    <row r="24" spans="1:6">
      <c r="A24" s="154" t="s">
        <v>11</v>
      </c>
      <c r="B24" s="155" t="s">
        <v>15</v>
      </c>
      <c r="C24" s="156" t="s">
        <v>388</v>
      </c>
      <c r="D24" s="155"/>
      <c r="E24" s="157" t="s">
        <v>355</v>
      </c>
    </row>
    <row r="25" spans="1:6" ht="15" customHeight="1">
      <c r="A25" s="158" t="s">
        <v>1</v>
      </c>
      <c r="B25" s="125" t="s">
        <v>2</v>
      </c>
      <c r="C25" s="159" t="s">
        <v>50</v>
      </c>
      <c r="D25" s="125" t="s">
        <v>51</v>
      </c>
      <c r="E25" s="160" t="s">
        <v>5</v>
      </c>
    </row>
    <row r="26" spans="1:6" ht="15" customHeight="1">
      <c r="A26" s="110" t="s">
        <v>64</v>
      </c>
      <c r="B26" s="111" t="s">
        <v>8</v>
      </c>
      <c r="C26" s="112">
        <v>1</v>
      </c>
      <c r="D26" s="113">
        <f>'PPU SINAPI'!D39</f>
        <v>400</v>
      </c>
      <c r="E26" s="114">
        <f>C26*D26</f>
        <v>400</v>
      </c>
    </row>
    <row r="27" spans="1:6" ht="15" customHeight="1">
      <c r="A27" s="110"/>
      <c r="B27" s="585" t="s">
        <v>56</v>
      </c>
      <c r="C27" s="585"/>
      <c r="D27" s="115"/>
      <c r="E27" s="116">
        <f>SUM(E26:E26)</f>
        <v>400</v>
      </c>
    </row>
    <row r="28" spans="1:6">
      <c r="A28" s="110"/>
      <c r="B28" s="585" t="s">
        <v>57</v>
      </c>
      <c r="C28" s="585"/>
      <c r="D28" s="117">
        <f>BDI!D36</f>
        <v>0.23627895018746692</v>
      </c>
      <c r="E28" s="116">
        <f>E27*D28</f>
        <v>94.511580074986767</v>
      </c>
    </row>
    <row r="29" spans="1:6" s="153" customFormat="1">
      <c r="A29" s="110"/>
      <c r="B29" s="118" t="s">
        <v>58</v>
      </c>
      <c r="C29" s="118"/>
      <c r="D29" s="115"/>
      <c r="E29" s="116">
        <f>E27+E28</f>
        <v>494.5115800749868</v>
      </c>
    </row>
    <row r="30" spans="1:6" ht="15.75" thickBot="1">
      <c r="A30" s="208"/>
      <c r="B30" s="185"/>
      <c r="C30" s="186"/>
      <c r="D30" s="187"/>
      <c r="E30" s="209"/>
    </row>
    <row r="31" spans="1:6" s="129" customFormat="1">
      <c r="A31" s="154" t="s">
        <v>65</v>
      </c>
      <c r="B31" s="155" t="s">
        <v>15</v>
      </c>
      <c r="C31" s="156" t="s">
        <v>389</v>
      </c>
      <c r="D31" s="155"/>
      <c r="E31" s="157" t="str">
        <f>E4</f>
        <v>Sinapi: Jun/2017</v>
      </c>
    </row>
    <row r="32" spans="1:6" s="129" customFormat="1">
      <c r="A32" s="158" t="s">
        <v>1</v>
      </c>
      <c r="B32" s="125" t="s">
        <v>2</v>
      </c>
      <c r="C32" s="159" t="s">
        <v>50</v>
      </c>
      <c r="D32" s="125" t="s">
        <v>51</v>
      </c>
      <c r="E32" s="160" t="s">
        <v>5</v>
      </c>
    </row>
    <row r="33" spans="1:6" s="129" customFormat="1">
      <c r="A33" s="110" t="s">
        <v>66</v>
      </c>
      <c r="B33" s="126" t="s">
        <v>15</v>
      </c>
      <c r="C33" s="127">
        <v>1</v>
      </c>
      <c r="D33" s="128">
        <v>0</v>
      </c>
      <c r="E33" s="163">
        <f>C33*D33</f>
        <v>0</v>
      </c>
    </row>
    <row r="34" spans="1:6" s="129" customFormat="1">
      <c r="A34" s="110" t="s">
        <v>67</v>
      </c>
      <c r="B34" s="126" t="s">
        <v>15</v>
      </c>
      <c r="C34" s="127">
        <v>1</v>
      </c>
      <c r="D34" s="128">
        <f>E208</f>
        <v>372.7631293197644</v>
      </c>
      <c r="E34" s="163">
        <f>C34*D34</f>
        <v>372.7631293197644</v>
      </c>
    </row>
    <row r="35" spans="1:6" s="129" customFormat="1" ht="15" customHeight="1">
      <c r="A35" s="110" t="s">
        <v>68</v>
      </c>
      <c r="B35" s="126" t="s">
        <v>15</v>
      </c>
      <c r="C35" s="127">
        <v>1</v>
      </c>
      <c r="D35" s="128">
        <f>E216</f>
        <v>4476.32</v>
      </c>
      <c r="E35" s="163">
        <f>C35*D35</f>
        <v>4476.32</v>
      </c>
    </row>
    <row r="36" spans="1:6" ht="15" customHeight="1">
      <c r="A36" s="110" t="s">
        <v>69</v>
      </c>
      <c r="B36" s="126" t="s">
        <v>15</v>
      </c>
      <c r="C36" s="127">
        <v>1</v>
      </c>
      <c r="D36" s="128">
        <f>E196</f>
        <v>411.04266666666672</v>
      </c>
      <c r="E36" s="163">
        <f>C36*D36</f>
        <v>411.04266666666672</v>
      </c>
    </row>
    <row r="37" spans="1:6" ht="15" customHeight="1">
      <c r="A37" s="164"/>
      <c r="B37" s="586" t="s">
        <v>56</v>
      </c>
      <c r="C37" s="586"/>
      <c r="D37" s="130"/>
      <c r="E37" s="165">
        <f>SUM(E33:E36)</f>
        <v>5260.1257959864306</v>
      </c>
    </row>
    <row r="38" spans="1:6">
      <c r="A38" s="110"/>
      <c r="B38" s="585" t="s">
        <v>57</v>
      </c>
      <c r="C38" s="585"/>
      <c r="D38" s="117">
        <f>BDI!D36</f>
        <v>0.23627895018746692</v>
      </c>
      <c r="E38" s="116">
        <f>E37*D38</f>
        <v>1242.8570009296875</v>
      </c>
    </row>
    <row r="39" spans="1:6" s="153" customFormat="1" ht="15.75" thickBot="1">
      <c r="A39" s="120"/>
      <c r="B39" s="166" t="s">
        <v>58</v>
      </c>
      <c r="C39" s="166"/>
      <c r="D39" s="121"/>
      <c r="E39" s="152">
        <f>E37+E38</f>
        <v>6502.9827969161179</v>
      </c>
    </row>
    <row r="40" spans="1:6" ht="15.75" thickBot="1">
      <c r="A40" s="577"/>
      <c r="B40" s="578"/>
      <c r="C40" s="578"/>
      <c r="D40" s="578"/>
      <c r="E40" s="579"/>
    </row>
    <row r="41" spans="1:6">
      <c r="A41" s="154" t="s">
        <v>71</v>
      </c>
      <c r="B41" s="155" t="s">
        <v>10</v>
      </c>
      <c r="C41" s="156" t="s">
        <v>390</v>
      </c>
      <c r="D41" s="155"/>
      <c r="E41" s="157" t="str">
        <f>E4</f>
        <v>Sinapi: Jun/2017</v>
      </c>
    </row>
    <row r="42" spans="1:6">
      <c r="A42" s="158" t="s">
        <v>1</v>
      </c>
      <c r="B42" s="125" t="s">
        <v>2</v>
      </c>
      <c r="C42" s="159" t="s">
        <v>50</v>
      </c>
      <c r="D42" s="125" t="s">
        <v>51</v>
      </c>
      <c r="E42" s="160" t="s">
        <v>5</v>
      </c>
      <c r="F42" s="131"/>
    </row>
    <row r="43" spans="1:6">
      <c r="A43" s="110" t="s">
        <v>55</v>
      </c>
      <c r="B43" s="111" t="s">
        <v>27</v>
      </c>
      <c r="C43" s="112">
        <v>0.252</v>
      </c>
      <c r="D43" s="113">
        <f>'PPU SINAPI'!D9</f>
        <v>15.68</v>
      </c>
      <c r="E43" s="114">
        <f>C43*D43</f>
        <v>3.9513599999999998</v>
      </c>
    </row>
    <row r="44" spans="1:6">
      <c r="A44" s="110"/>
      <c r="B44" s="585" t="s">
        <v>56</v>
      </c>
      <c r="C44" s="585"/>
      <c r="D44" s="115"/>
      <c r="E44" s="116">
        <f>SUM(E43)</f>
        <v>3.9513599999999998</v>
      </c>
    </row>
    <row r="45" spans="1:6">
      <c r="A45" s="110"/>
      <c r="B45" s="585" t="s">
        <v>57</v>
      </c>
      <c r="C45" s="585"/>
      <c r="D45" s="117">
        <f>BDI!D36</f>
        <v>0.23627895018746692</v>
      </c>
      <c r="E45" s="116">
        <f>E44*D45</f>
        <v>0.93362319261274918</v>
      </c>
    </row>
    <row r="46" spans="1:6" ht="15.75" thickBot="1">
      <c r="A46" s="120"/>
      <c r="B46" s="166" t="s">
        <v>58</v>
      </c>
      <c r="C46" s="166"/>
      <c r="D46" s="121"/>
      <c r="E46" s="152">
        <f>E44+E45</f>
        <v>4.8849831926127489</v>
      </c>
    </row>
    <row r="47" spans="1:6" ht="15.75" thickBot="1">
      <c r="A47" s="580"/>
      <c r="B47" s="578"/>
      <c r="C47" s="578"/>
      <c r="D47" s="578"/>
      <c r="E47" s="581"/>
    </row>
    <row r="48" spans="1:6" ht="30">
      <c r="A48" s="154" t="s">
        <v>72</v>
      </c>
      <c r="B48" s="155" t="s">
        <v>10</v>
      </c>
      <c r="C48" s="445" t="s">
        <v>391</v>
      </c>
      <c r="D48" s="155"/>
      <c r="E48" s="157" t="str">
        <f>E24</f>
        <v>Sinapi: Jun/2017</v>
      </c>
    </row>
    <row r="49" spans="1:7">
      <c r="A49" s="158" t="s">
        <v>1</v>
      </c>
      <c r="B49" s="125" t="s">
        <v>2</v>
      </c>
      <c r="C49" s="159" t="s">
        <v>50</v>
      </c>
      <c r="D49" s="125" t="s">
        <v>51</v>
      </c>
      <c r="E49" s="160" t="s">
        <v>5</v>
      </c>
    </row>
    <row r="50" spans="1:7" ht="45">
      <c r="A50" s="110" t="s">
        <v>73</v>
      </c>
      <c r="B50" s="111" t="s">
        <v>74</v>
      </c>
      <c r="C50" s="132">
        <v>2.5000000000000001E-5</v>
      </c>
      <c r="D50" s="113">
        <f>'PPU SINAPI'!D38</f>
        <v>1758</v>
      </c>
      <c r="E50" s="114">
        <f>C50*D50</f>
        <v>4.3950000000000003E-2</v>
      </c>
    </row>
    <row r="51" spans="1:7">
      <c r="A51" s="110" t="s">
        <v>55</v>
      </c>
      <c r="B51" s="111" t="s">
        <v>70</v>
      </c>
      <c r="C51" s="112">
        <v>0.1</v>
      </c>
      <c r="D51" s="113">
        <f>'PPU SINAPI'!D9</f>
        <v>15.68</v>
      </c>
      <c r="E51" s="114">
        <f>C51*D51</f>
        <v>1.5680000000000001</v>
      </c>
    </row>
    <row r="52" spans="1:7">
      <c r="A52" s="110"/>
      <c r="B52" s="585" t="s">
        <v>56</v>
      </c>
      <c r="C52" s="585"/>
      <c r="D52" s="115"/>
      <c r="E52" s="116">
        <f>SUM(E50:E51)</f>
        <v>1.61195</v>
      </c>
    </row>
    <row r="53" spans="1:7">
      <c r="A53" s="110"/>
      <c r="B53" s="585" t="s">
        <v>57</v>
      </c>
      <c r="C53" s="585"/>
      <c r="D53" s="117">
        <f>BDI!D36</f>
        <v>0.23627895018746692</v>
      </c>
      <c r="E53" s="116">
        <f>E52*D53</f>
        <v>0.38086985375468729</v>
      </c>
    </row>
    <row r="54" spans="1:7" s="153" customFormat="1" ht="15.75" thickBot="1">
      <c r="A54" s="120"/>
      <c r="B54" s="166" t="s">
        <v>58</v>
      </c>
      <c r="C54" s="166"/>
      <c r="D54" s="121"/>
      <c r="E54" s="152">
        <f>E52+E53</f>
        <v>1.9928198537546873</v>
      </c>
    </row>
    <row r="55" spans="1:7" ht="15.75" thickBot="1">
      <c r="A55" s="169"/>
      <c r="B55" s="170"/>
      <c r="C55" s="171"/>
      <c r="D55" s="172"/>
      <c r="E55" s="173"/>
    </row>
    <row r="56" spans="1:7">
      <c r="A56" s="176" t="s">
        <v>24</v>
      </c>
      <c r="B56" s="155" t="s">
        <v>25</v>
      </c>
      <c r="C56" s="445" t="s">
        <v>393</v>
      </c>
      <c r="D56" s="155"/>
      <c r="E56" s="157" t="str">
        <f>E24</f>
        <v>Sinapi: Jun/2017</v>
      </c>
      <c r="G56" s="119">
        <v>0.4</v>
      </c>
    </row>
    <row r="57" spans="1:7">
      <c r="A57" s="158" t="s">
        <v>1</v>
      </c>
      <c r="B57" s="125" t="s">
        <v>2</v>
      </c>
      <c r="C57" s="159" t="s">
        <v>50</v>
      </c>
      <c r="D57" s="125" t="s">
        <v>51</v>
      </c>
      <c r="E57" s="160" t="s">
        <v>5</v>
      </c>
      <c r="G57" s="119">
        <v>0.1</v>
      </c>
    </row>
    <row r="58" spans="1:7">
      <c r="A58" s="110" t="s">
        <v>59</v>
      </c>
      <c r="B58" s="111" t="s">
        <v>27</v>
      </c>
      <c r="C58" s="133">
        <v>0.33</v>
      </c>
      <c r="D58" s="134">
        <f>'PPU SINAPI'!D48</f>
        <v>19.3</v>
      </c>
      <c r="E58" s="175">
        <f>C58*D58</f>
        <v>6.3690000000000007</v>
      </c>
      <c r="G58" s="119">
        <v>0.33400000000000002</v>
      </c>
    </row>
    <row r="59" spans="1:7">
      <c r="A59" s="110" t="s">
        <v>55</v>
      </c>
      <c r="B59" s="111" t="s">
        <v>27</v>
      </c>
      <c r="C59" s="133">
        <v>0.13</v>
      </c>
      <c r="D59" s="134">
        <f>'PPU SINAPI'!D9</f>
        <v>15.68</v>
      </c>
      <c r="E59" s="175">
        <f>C59*D59</f>
        <v>2.0384000000000002</v>
      </c>
    </row>
    <row r="60" spans="1:7" ht="30">
      <c r="A60" s="110" t="s">
        <v>311</v>
      </c>
      <c r="B60" s="101" t="s">
        <v>75</v>
      </c>
      <c r="C60" s="102">
        <f>0.334*2</f>
        <v>0.66800000000000004</v>
      </c>
      <c r="D60" s="101">
        <f>'PPU SINAPI'!D54</f>
        <v>20.93</v>
      </c>
      <c r="E60" s="175">
        <f>C60*D60</f>
        <v>13.981240000000001</v>
      </c>
    </row>
    <row r="61" spans="1:7" ht="30">
      <c r="A61" s="110" t="s">
        <v>76</v>
      </c>
      <c r="B61" s="101" t="s">
        <v>77</v>
      </c>
      <c r="C61" s="103">
        <v>1</v>
      </c>
      <c r="D61" s="101">
        <f>'PPU SINAPI'!D33</f>
        <v>1.38</v>
      </c>
      <c r="E61" s="175">
        <f>C61*D61</f>
        <v>1.38</v>
      </c>
      <c r="F61" s="6"/>
    </row>
    <row r="62" spans="1:7">
      <c r="A62" s="110" t="s">
        <v>78</v>
      </c>
      <c r="B62" s="101" t="s">
        <v>79</v>
      </c>
      <c r="C62" s="103">
        <f>0.4*0.04</f>
        <v>1.6E-2</v>
      </c>
      <c r="D62" s="101">
        <f>'PPU SINAPI'!D61</f>
        <v>13.02</v>
      </c>
      <c r="E62" s="175">
        <f>C62*D62</f>
        <v>0.20832000000000001</v>
      </c>
    </row>
    <row r="63" spans="1:7" ht="30">
      <c r="A63" s="110" t="s">
        <v>80</v>
      </c>
      <c r="B63" s="101" t="s">
        <v>81</v>
      </c>
      <c r="C63" s="104">
        <v>0.3</v>
      </c>
      <c r="D63" s="135">
        <f>E52</f>
        <v>1.61195</v>
      </c>
      <c r="E63" s="175">
        <f>D63*C63</f>
        <v>0.48358499999999999</v>
      </c>
    </row>
    <row r="64" spans="1:7">
      <c r="A64" s="110"/>
      <c r="B64" s="585" t="s">
        <v>56</v>
      </c>
      <c r="C64" s="585"/>
      <c r="D64" s="115"/>
      <c r="E64" s="116">
        <f>SUM(E58:E63)</f>
        <v>24.460545000000003</v>
      </c>
    </row>
    <row r="65" spans="1:6">
      <c r="A65" s="110"/>
      <c r="B65" s="585" t="s">
        <v>57</v>
      </c>
      <c r="C65" s="585"/>
      <c r="D65" s="117">
        <f>BDI!D36</f>
        <v>0.23627895018746692</v>
      </c>
      <c r="E65" s="116">
        <f>E64*D65</f>
        <v>5.7795118936132939</v>
      </c>
    </row>
    <row r="66" spans="1:6" s="153" customFormat="1" ht="15.75" thickBot="1">
      <c r="A66" s="120"/>
      <c r="B66" s="166" t="s">
        <v>58</v>
      </c>
      <c r="C66" s="166"/>
      <c r="D66" s="121"/>
      <c r="E66" s="152">
        <f>E64+E65</f>
        <v>30.240056893613296</v>
      </c>
    </row>
    <row r="67" spans="1:6" ht="15.75" thickBot="1">
      <c r="A67" s="169"/>
      <c r="B67" s="178"/>
      <c r="C67" s="179"/>
      <c r="D67" s="172"/>
      <c r="E67" s="172"/>
    </row>
    <row r="68" spans="1:6">
      <c r="A68" s="154" t="s">
        <v>82</v>
      </c>
      <c r="B68" s="155" t="s">
        <v>27</v>
      </c>
      <c r="C68" s="445" t="s">
        <v>392</v>
      </c>
      <c r="D68" s="155"/>
      <c r="E68" s="157" t="str">
        <f>E24</f>
        <v>Sinapi: Jun/2017</v>
      </c>
    </row>
    <row r="69" spans="1:6">
      <c r="A69" s="158" t="s">
        <v>1</v>
      </c>
      <c r="B69" s="125" t="s">
        <v>2</v>
      </c>
      <c r="C69" s="159" t="s">
        <v>50</v>
      </c>
      <c r="D69" s="125" t="s">
        <v>51</v>
      </c>
      <c r="E69" s="160" t="s">
        <v>5</v>
      </c>
    </row>
    <row r="70" spans="1:6">
      <c r="A70" s="110" t="s">
        <v>55</v>
      </c>
      <c r="B70" s="111" t="s">
        <v>27</v>
      </c>
      <c r="C70" s="112">
        <v>0.06</v>
      </c>
      <c r="D70" s="113">
        <f>'PPU SINAPI'!D9</f>
        <v>15.68</v>
      </c>
      <c r="E70" s="114">
        <f>C70*D70</f>
        <v>0.94079999999999997</v>
      </c>
      <c r="F70" s="131"/>
    </row>
    <row r="71" spans="1:6" ht="30">
      <c r="A71" s="110" t="s">
        <v>306</v>
      </c>
      <c r="B71" s="111" t="s">
        <v>83</v>
      </c>
      <c r="C71" s="112">
        <v>1</v>
      </c>
      <c r="D71" s="113">
        <f>'PPU SINAPI'!D17</f>
        <v>1.44</v>
      </c>
      <c r="E71" s="114">
        <f>C71*D71</f>
        <v>1.44</v>
      </c>
    </row>
    <row r="72" spans="1:6">
      <c r="A72" s="110"/>
      <c r="B72" s="585" t="s">
        <v>56</v>
      </c>
      <c r="C72" s="585"/>
      <c r="D72" s="115"/>
      <c r="E72" s="116">
        <f>SUM(E70:E71)</f>
        <v>2.3807999999999998</v>
      </c>
    </row>
    <row r="73" spans="1:6">
      <c r="A73" s="110"/>
      <c r="B73" s="585" t="s">
        <v>57</v>
      </c>
      <c r="C73" s="585"/>
      <c r="D73" s="117">
        <f>BDI!D36</f>
        <v>0.23627895018746692</v>
      </c>
      <c r="E73" s="116">
        <f>E72*D73</f>
        <v>0.56253292460632121</v>
      </c>
    </row>
    <row r="74" spans="1:6" s="167" customFormat="1" ht="31.5" customHeight="1" thickBot="1">
      <c r="A74" s="120"/>
      <c r="B74" s="166" t="s">
        <v>58</v>
      </c>
      <c r="C74" s="166"/>
      <c r="D74" s="121"/>
      <c r="E74" s="152">
        <f>E72+E73</f>
        <v>2.9433329246063211</v>
      </c>
    </row>
    <row r="75" spans="1:6" s="168" customFormat="1" ht="15.75" thickBot="1">
      <c r="A75" s="169"/>
      <c r="B75" s="178"/>
      <c r="C75" s="179"/>
      <c r="D75" s="172"/>
      <c r="E75" s="172"/>
    </row>
    <row r="76" spans="1:6" ht="30">
      <c r="A76" s="181" t="s">
        <v>84</v>
      </c>
      <c r="B76" s="156" t="s">
        <v>29</v>
      </c>
      <c r="C76" s="445" t="s">
        <v>394</v>
      </c>
      <c r="D76" s="155"/>
      <c r="E76" s="157" t="str">
        <f>E24</f>
        <v>Sinapi: Jun/2017</v>
      </c>
    </row>
    <row r="77" spans="1:6">
      <c r="A77" s="158" t="s">
        <v>1</v>
      </c>
      <c r="B77" s="125" t="s">
        <v>2</v>
      </c>
      <c r="C77" s="159" t="s">
        <v>50</v>
      </c>
      <c r="D77" s="125" t="s">
        <v>51</v>
      </c>
      <c r="E77" s="160" t="s">
        <v>5</v>
      </c>
    </row>
    <row r="78" spans="1:6">
      <c r="A78" s="110" t="s">
        <v>59</v>
      </c>
      <c r="B78" s="111" t="s">
        <v>27</v>
      </c>
      <c r="C78" s="112">
        <v>2.1760000000000002</v>
      </c>
      <c r="D78" s="113">
        <f>'PPU SINAPI'!D48</f>
        <v>19.3</v>
      </c>
      <c r="E78" s="114">
        <f>C78*D78</f>
        <v>41.996800000000007</v>
      </c>
    </row>
    <row r="79" spans="1:6">
      <c r="A79" s="110" t="s">
        <v>55</v>
      </c>
      <c r="B79" s="111" t="s">
        <v>27</v>
      </c>
      <c r="C79" s="112">
        <v>10.7</v>
      </c>
      <c r="D79" s="113">
        <f>'PPU SINAPI'!D9</f>
        <v>15.68</v>
      </c>
      <c r="E79" s="114">
        <f>C79*D79</f>
        <v>167.77599999999998</v>
      </c>
      <c r="F79" s="131"/>
    </row>
    <row r="80" spans="1:6" ht="30">
      <c r="A80" s="110" t="s">
        <v>85</v>
      </c>
      <c r="B80" s="211" t="s">
        <v>29</v>
      </c>
      <c r="C80" s="212">
        <v>1</v>
      </c>
      <c r="D80" s="213">
        <f>E184</f>
        <v>15.735060000000001</v>
      </c>
      <c r="E80" s="214">
        <f>C80*D80</f>
        <v>15.735060000000001</v>
      </c>
    </row>
    <row r="81" spans="1:6">
      <c r="A81" s="110"/>
      <c r="B81" s="585" t="s">
        <v>56</v>
      </c>
      <c r="C81" s="585"/>
      <c r="D81" s="115"/>
      <c r="E81" s="116">
        <f>SUM(E78:E80)</f>
        <v>225.50785999999999</v>
      </c>
    </row>
    <row r="82" spans="1:6">
      <c r="A82" s="110"/>
      <c r="B82" s="585" t="s">
        <v>57</v>
      </c>
      <c r="C82" s="585"/>
      <c r="D82" s="117">
        <f>BDI!D36</f>
        <v>0.23627895018746692</v>
      </c>
      <c r="E82" s="116">
        <f>E81*D82</f>
        <v>53.28276041982226</v>
      </c>
    </row>
    <row r="83" spans="1:6" s="167" customFormat="1" ht="15.75" thickBot="1">
      <c r="A83" s="120"/>
      <c r="B83" s="166" t="s">
        <v>58</v>
      </c>
      <c r="C83" s="166"/>
      <c r="D83" s="121"/>
      <c r="E83" s="152">
        <f>E81+E82</f>
        <v>278.79062041982223</v>
      </c>
    </row>
    <row r="84" spans="1:6" s="168" customFormat="1" ht="15.75" thickBot="1">
      <c r="A84" s="169"/>
      <c r="B84" s="178"/>
      <c r="C84" s="179"/>
      <c r="D84" s="172"/>
      <c r="E84" s="172"/>
    </row>
    <row r="85" spans="1:6" ht="30">
      <c r="A85" s="180" t="s">
        <v>86</v>
      </c>
      <c r="B85" s="156" t="s">
        <v>29</v>
      </c>
      <c r="C85" s="445" t="s">
        <v>395</v>
      </c>
      <c r="D85" s="155"/>
      <c r="E85" s="157" t="str">
        <f>E24</f>
        <v>Sinapi: Jun/2017</v>
      </c>
      <c r="F85" s="136"/>
    </row>
    <row r="86" spans="1:6">
      <c r="A86" s="158" t="s">
        <v>1</v>
      </c>
      <c r="B86" s="125" t="s">
        <v>2</v>
      </c>
      <c r="C86" s="159" t="s">
        <v>50</v>
      </c>
      <c r="D86" s="125" t="s">
        <v>51</v>
      </c>
      <c r="E86" s="160" t="s">
        <v>5</v>
      </c>
    </row>
    <row r="87" spans="1:6">
      <c r="A87" s="110" t="s">
        <v>59</v>
      </c>
      <c r="B87" s="111" t="s">
        <v>27</v>
      </c>
      <c r="C87" s="112">
        <v>0.8</v>
      </c>
      <c r="D87" s="113">
        <f>'PPU SINAPI'!D48</f>
        <v>19.3</v>
      </c>
      <c r="E87" s="114">
        <f>C87*D87</f>
        <v>15.440000000000001</v>
      </c>
    </row>
    <row r="88" spans="1:6">
      <c r="A88" s="110" t="s">
        <v>55</v>
      </c>
      <c r="B88" s="111" t="s">
        <v>27</v>
      </c>
      <c r="C88" s="112">
        <v>2.4</v>
      </c>
      <c r="D88" s="113">
        <f>'PPU SINAPI'!D9</f>
        <v>15.68</v>
      </c>
      <c r="E88" s="114">
        <f>C88*D88</f>
        <v>37.631999999999998</v>
      </c>
    </row>
    <row r="89" spans="1:6">
      <c r="A89" s="110" t="s">
        <v>87</v>
      </c>
      <c r="B89" s="111" t="s">
        <v>88</v>
      </c>
      <c r="C89" s="112">
        <v>5.6835000000000004</v>
      </c>
      <c r="D89" s="113">
        <f>'PPU SINAPI'!D10</f>
        <v>12.58</v>
      </c>
      <c r="E89" s="114">
        <f>C89*D89</f>
        <v>71.498429999999999</v>
      </c>
    </row>
    <row r="90" spans="1:6" ht="30">
      <c r="A90" s="110" t="s">
        <v>89</v>
      </c>
      <c r="B90" s="111" t="s">
        <v>29</v>
      </c>
      <c r="C90" s="112">
        <v>1</v>
      </c>
      <c r="D90" s="113">
        <f>'PPU SINAPI'!D32</f>
        <v>251.12</v>
      </c>
      <c r="E90" s="114">
        <f>C90*D90</f>
        <v>251.12</v>
      </c>
      <c r="F90" s="137"/>
    </row>
    <row r="91" spans="1:6">
      <c r="A91" s="110" t="s">
        <v>90</v>
      </c>
      <c r="B91" s="111" t="s">
        <v>25</v>
      </c>
      <c r="C91" s="112">
        <v>0.13750000000000001</v>
      </c>
      <c r="D91" s="128">
        <f>'PPU SINAPI'!D36</f>
        <v>35.33</v>
      </c>
      <c r="E91" s="114">
        <f>C91*D91</f>
        <v>4.8578749999999999</v>
      </c>
    </row>
    <row r="92" spans="1:6">
      <c r="A92" s="110"/>
      <c r="B92" s="585" t="s">
        <v>56</v>
      </c>
      <c r="C92" s="585"/>
      <c r="D92" s="115"/>
      <c r="E92" s="116">
        <f>SUM(E87:E91)</f>
        <v>380.54830499999997</v>
      </c>
    </row>
    <row r="93" spans="1:6">
      <c r="A93" s="110"/>
      <c r="B93" s="585" t="s">
        <v>57</v>
      </c>
      <c r="C93" s="585"/>
      <c r="D93" s="117">
        <f>BDI!D36</f>
        <v>0.23627895018746692</v>
      </c>
      <c r="E93" s="116">
        <f>E92*D93</f>
        <v>89.915554001019956</v>
      </c>
    </row>
    <row r="94" spans="1:6" s="153" customFormat="1" ht="28.5" customHeight="1" thickBot="1">
      <c r="A94" s="120"/>
      <c r="B94" s="166" t="s">
        <v>58</v>
      </c>
      <c r="C94" s="166"/>
      <c r="D94" s="121"/>
      <c r="E94" s="152">
        <f>E92+E93</f>
        <v>470.46385900101996</v>
      </c>
    </row>
    <row r="95" spans="1:6" ht="15.75" thickBot="1">
      <c r="A95" s="169"/>
      <c r="B95" s="178"/>
      <c r="C95" s="179"/>
      <c r="D95" s="172"/>
      <c r="E95" s="172"/>
    </row>
    <row r="96" spans="1:6" ht="30">
      <c r="A96" s="180" t="s">
        <v>91</v>
      </c>
      <c r="B96" s="156" t="s">
        <v>29</v>
      </c>
      <c r="C96" s="445" t="s">
        <v>396</v>
      </c>
      <c r="D96" s="155"/>
      <c r="E96" s="157" t="str">
        <f>E24</f>
        <v>Sinapi: Jun/2017</v>
      </c>
    </row>
    <row r="97" spans="1:5" ht="15" customHeight="1">
      <c r="A97" s="158" t="s">
        <v>1</v>
      </c>
      <c r="B97" s="125" t="s">
        <v>2</v>
      </c>
      <c r="C97" s="159" t="s">
        <v>50</v>
      </c>
      <c r="D97" s="125" t="s">
        <v>51</v>
      </c>
      <c r="E97" s="160" t="s">
        <v>5</v>
      </c>
    </row>
    <row r="98" spans="1:5">
      <c r="A98" s="110" t="s">
        <v>59</v>
      </c>
      <c r="B98" s="111" t="s">
        <v>27</v>
      </c>
      <c r="C98" s="112">
        <v>0.8</v>
      </c>
      <c r="D98" s="113">
        <f>'PPU SINAPI'!D48</f>
        <v>19.3</v>
      </c>
      <c r="E98" s="114">
        <f>C98*D98</f>
        <v>15.440000000000001</v>
      </c>
    </row>
    <row r="99" spans="1:5">
      <c r="A99" s="110" t="s">
        <v>55</v>
      </c>
      <c r="B99" s="111" t="s">
        <v>27</v>
      </c>
      <c r="C99" s="112">
        <v>2.4</v>
      </c>
      <c r="D99" s="113">
        <f>'PPU SINAPI'!D9</f>
        <v>15.68</v>
      </c>
      <c r="E99" s="114">
        <f>C99*D99</f>
        <v>37.631999999999998</v>
      </c>
    </row>
    <row r="100" spans="1:5">
      <c r="A100" s="110" t="s">
        <v>87</v>
      </c>
      <c r="B100" s="111" t="s">
        <v>88</v>
      </c>
      <c r="C100" s="112">
        <v>5.6835000000000004</v>
      </c>
      <c r="D100" s="113">
        <f>'PPU SINAPI'!D10</f>
        <v>12.58</v>
      </c>
      <c r="E100" s="114">
        <f>C100*D100</f>
        <v>71.498429999999999</v>
      </c>
    </row>
    <row r="101" spans="1:5" ht="30">
      <c r="A101" s="110" t="s">
        <v>89</v>
      </c>
      <c r="B101" s="111" t="s">
        <v>29</v>
      </c>
      <c r="C101" s="112">
        <v>1</v>
      </c>
      <c r="D101" s="113">
        <f>'PPU SINAPI'!D32</f>
        <v>251.12</v>
      </c>
      <c r="E101" s="114">
        <f>C101*D101</f>
        <v>251.12</v>
      </c>
    </row>
    <row r="102" spans="1:5">
      <c r="A102" s="110" t="s">
        <v>90</v>
      </c>
      <c r="B102" s="111" t="s">
        <v>25</v>
      </c>
      <c r="C102" s="112">
        <v>0.13750000000000001</v>
      </c>
      <c r="D102" s="128">
        <f>'PPU SINAPI'!D36</f>
        <v>35.33</v>
      </c>
      <c r="E102" s="114">
        <f>C102*D102</f>
        <v>4.8578749999999999</v>
      </c>
    </row>
    <row r="103" spans="1:5">
      <c r="A103" s="110"/>
      <c r="B103" s="585" t="s">
        <v>56</v>
      </c>
      <c r="C103" s="585"/>
      <c r="D103" s="115"/>
      <c r="E103" s="116">
        <f>SUM(E98:E102)</f>
        <v>380.54830499999997</v>
      </c>
    </row>
    <row r="104" spans="1:5">
      <c r="A104" s="110"/>
      <c r="B104" s="585" t="s">
        <v>57</v>
      </c>
      <c r="C104" s="585"/>
      <c r="D104" s="117">
        <f>BDI!D36</f>
        <v>0.23627895018746692</v>
      </c>
      <c r="E104" s="116">
        <f>E103*D104</f>
        <v>89.915554001019956</v>
      </c>
    </row>
    <row r="105" spans="1:5" s="167" customFormat="1" ht="15.75" thickBot="1">
      <c r="A105" s="120"/>
      <c r="B105" s="166" t="s">
        <v>58</v>
      </c>
      <c r="C105" s="166"/>
      <c r="D105" s="121"/>
      <c r="E105" s="152">
        <f>E103+E104</f>
        <v>470.46385900101996</v>
      </c>
    </row>
    <row r="106" spans="1:5" s="168" customFormat="1" ht="15.75" thickBot="1">
      <c r="A106" s="169"/>
      <c r="B106" s="178"/>
      <c r="C106" s="179"/>
      <c r="D106" s="172"/>
      <c r="E106" s="172"/>
    </row>
    <row r="107" spans="1:5" ht="30">
      <c r="A107" s="181" t="s">
        <v>92</v>
      </c>
      <c r="B107" s="156" t="s">
        <v>29</v>
      </c>
      <c r="C107" s="445" t="s">
        <v>397</v>
      </c>
      <c r="D107" s="155"/>
      <c r="E107" s="157" t="str">
        <f>E24</f>
        <v>Sinapi: Jun/2017</v>
      </c>
    </row>
    <row r="108" spans="1:5">
      <c r="A108" s="158" t="s">
        <v>1</v>
      </c>
      <c r="B108" s="125" t="s">
        <v>2</v>
      </c>
      <c r="C108" s="159" t="s">
        <v>50</v>
      </c>
      <c r="D108" s="125" t="s">
        <v>51</v>
      </c>
      <c r="E108" s="160" t="s">
        <v>5</v>
      </c>
    </row>
    <row r="109" spans="1:5">
      <c r="A109" s="110" t="s">
        <v>55</v>
      </c>
      <c r="B109" s="111" t="s">
        <v>27</v>
      </c>
      <c r="C109" s="112">
        <v>2.95</v>
      </c>
      <c r="D109" s="113">
        <f>'PPU SINAPI'!D9</f>
        <v>15.68</v>
      </c>
      <c r="E109" s="114">
        <f>C109*D109</f>
        <v>46.256</v>
      </c>
    </row>
    <row r="110" spans="1:5">
      <c r="A110" s="110"/>
      <c r="B110" s="585" t="s">
        <v>56</v>
      </c>
      <c r="C110" s="585"/>
      <c r="D110" s="115"/>
      <c r="E110" s="116">
        <f>SUM(E109)</f>
        <v>46.256</v>
      </c>
    </row>
    <row r="111" spans="1:5">
      <c r="A111" s="110"/>
      <c r="B111" s="585" t="s">
        <v>57</v>
      </c>
      <c r="C111" s="585"/>
      <c r="D111" s="117">
        <f>BDI!D36</f>
        <v>0.23627895018746692</v>
      </c>
      <c r="E111" s="116">
        <f>E110*D111</f>
        <v>10.929319119871471</v>
      </c>
    </row>
    <row r="112" spans="1:5" ht="15.75" thickBot="1">
      <c r="A112" s="120"/>
      <c r="B112" s="166" t="s">
        <v>58</v>
      </c>
      <c r="C112" s="166"/>
      <c r="D112" s="121"/>
      <c r="E112" s="152">
        <f>E110+E111</f>
        <v>57.185319119871473</v>
      </c>
    </row>
    <row r="113" spans="1:5" s="167" customFormat="1" ht="30" customHeight="1">
      <c r="A113" s="161"/>
      <c r="B113" s="122"/>
      <c r="C113" s="174"/>
      <c r="D113" s="162"/>
      <c r="E113" s="162"/>
    </row>
    <row r="114" spans="1:5" s="183" customFormat="1" ht="15.75" thickBot="1">
      <c r="A114" s="184"/>
      <c r="B114" s="185"/>
      <c r="C114" s="186"/>
      <c r="D114" s="187"/>
      <c r="E114" s="188"/>
    </row>
    <row r="115" spans="1:5" ht="30">
      <c r="A115" s="181" t="s">
        <v>93</v>
      </c>
      <c r="B115" s="156" t="s">
        <v>29</v>
      </c>
      <c r="C115" s="445" t="s">
        <v>398</v>
      </c>
      <c r="D115" s="155"/>
      <c r="E115" s="157" t="str">
        <f>E24</f>
        <v>Sinapi: Jun/2017</v>
      </c>
    </row>
    <row r="116" spans="1:5" ht="15.75" customHeight="1">
      <c r="A116" s="189" t="s">
        <v>1</v>
      </c>
      <c r="B116" s="177" t="s">
        <v>2</v>
      </c>
      <c r="C116" s="182" t="s">
        <v>50</v>
      </c>
      <c r="D116" s="177" t="s">
        <v>51</v>
      </c>
      <c r="E116" s="190" t="s">
        <v>5</v>
      </c>
    </row>
    <row r="117" spans="1:5">
      <c r="A117" s="110" t="s">
        <v>55</v>
      </c>
      <c r="B117" s="111" t="s">
        <v>27</v>
      </c>
      <c r="C117" s="112">
        <v>0.8</v>
      </c>
      <c r="D117" s="113">
        <f>'PPU SINAPI'!D9</f>
        <v>15.68</v>
      </c>
      <c r="E117" s="114">
        <f>C117*D117</f>
        <v>12.544</v>
      </c>
    </row>
    <row r="118" spans="1:5" ht="30">
      <c r="A118" s="191" t="s">
        <v>335</v>
      </c>
      <c r="B118" s="111" t="s">
        <v>27</v>
      </c>
      <c r="C118" s="112">
        <v>0.4</v>
      </c>
      <c r="D118" s="113">
        <f>'PPU SINAPI'!D31</f>
        <v>3.62</v>
      </c>
      <c r="E118" s="114">
        <f>C118*D118</f>
        <v>1.4480000000000002</v>
      </c>
    </row>
    <row r="119" spans="1:5" ht="30">
      <c r="A119" s="110" t="s">
        <v>94</v>
      </c>
      <c r="B119" s="111" t="s">
        <v>29</v>
      </c>
      <c r="C119" s="112">
        <v>1</v>
      </c>
      <c r="D119" s="113">
        <f>'PPU SINAPI'!D43</f>
        <v>37.18</v>
      </c>
      <c r="E119" s="114">
        <f>C119*D119</f>
        <v>37.18</v>
      </c>
    </row>
    <row r="120" spans="1:5">
      <c r="A120" s="110" t="s">
        <v>95</v>
      </c>
      <c r="B120" s="111" t="s">
        <v>61</v>
      </c>
      <c r="C120" s="112">
        <v>68.569999999999993</v>
      </c>
      <c r="D120" s="113">
        <f>'PPU SINAPI'!D30</f>
        <v>0.36</v>
      </c>
      <c r="E120" s="114">
        <f>C120*D120</f>
        <v>24.685199999999998</v>
      </c>
    </row>
    <row r="121" spans="1:5">
      <c r="A121" s="110"/>
      <c r="B121" s="585" t="s">
        <v>56</v>
      </c>
      <c r="C121" s="585"/>
      <c r="D121" s="115"/>
      <c r="E121" s="192">
        <f>SUM(E117:E120)</f>
        <v>75.857199999999992</v>
      </c>
    </row>
    <row r="122" spans="1:5" ht="15.75" thickBot="1">
      <c r="A122" s="110"/>
      <c r="B122" s="585" t="s">
        <v>57</v>
      </c>
      <c r="C122" s="585"/>
      <c r="D122" s="138">
        <f>BDI!D36</f>
        <v>0.23627895018746692</v>
      </c>
      <c r="E122" s="192">
        <f>E121*D122</f>
        <v>17.923459580160714</v>
      </c>
    </row>
    <row r="123" spans="1:5" s="199" customFormat="1" ht="15.75" thickBot="1">
      <c r="A123" s="120" t="s">
        <v>96</v>
      </c>
      <c r="B123" s="166" t="s">
        <v>58</v>
      </c>
      <c r="C123" s="166"/>
      <c r="D123" s="121"/>
      <c r="E123" s="193">
        <f>E121+E122</f>
        <v>93.780659580160702</v>
      </c>
    </row>
    <row r="124" spans="1:5" s="198" customFormat="1" ht="15.75" thickBot="1">
      <c r="A124" s="169"/>
      <c r="B124" s="170"/>
      <c r="C124" s="171"/>
      <c r="D124" s="172"/>
      <c r="E124" s="173"/>
    </row>
    <row r="125" spans="1:5" s="195" customFormat="1">
      <c r="A125" s="181" t="s">
        <v>98</v>
      </c>
      <c r="B125" s="155" t="s">
        <v>29</v>
      </c>
      <c r="C125" s="445" t="s">
        <v>399</v>
      </c>
      <c r="D125" s="155"/>
      <c r="E125" s="155" t="str">
        <f>E24</f>
        <v>Sinapi: Jun/2017</v>
      </c>
    </row>
    <row r="126" spans="1:5" s="194" customFormat="1">
      <c r="A126" s="189" t="s">
        <v>1</v>
      </c>
      <c r="B126" s="177" t="s">
        <v>2</v>
      </c>
      <c r="C126" s="182" t="s">
        <v>50</v>
      </c>
      <c r="D126" s="177" t="s">
        <v>51</v>
      </c>
      <c r="E126" s="177" t="s">
        <v>5</v>
      </c>
    </row>
    <row r="127" spans="1:5" s="194" customFormat="1">
      <c r="A127" s="110" t="s">
        <v>55</v>
      </c>
      <c r="B127" s="111" t="s">
        <v>27</v>
      </c>
      <c r="C127" s="112">
        <v>8</v>
      </c>
      <c r="D127" s="113">
        <f>'PPU SINAPI'!D9</f>
        <v>15.68</v>
      </c>
      <c r="E127" s="113">
        <f>C127*D127</f>
        <v>125.44</v>
      </c>
    </row>
    <row r="128" spans="1:5" s="194" customFormat="1">
      <c r="A128" s="164" t="s">
        <v>99</v>
      </c>
      <c r="B128" s="126" t="s">
        <v>8</v>
      </c>
      <c r="C128" s="127">
        <v>0.2</v>
      </c>
      <c r="D128" s="128">
        <f>'PPU SINAPI'!D12</f>
        <v>0.76</v>
      </c>
      <c r="E128" s="128">
        <f>C128*D128</f>
        <v>0.15200000000000002</v>
      </c>
    </row>
    <row r="129" spans="1:6" s="195" customFormat="1">
      <c r="A129" s="164" t="s">
        <v>100</v>
      </c>
      <c r="B129" s="126" t="s">
        <v>25</v>
      </c>
      <c r="C129" s="127">
        <v>25</v>
      </c>
      <c r="D129" s="141">
        <f>'PPU SINAPI'!D35</f>
        <v>7.9324894514767944E-3</v>
      </c>
      <c r="E129" s="128">
        <f>C129*D129</f>
        <v>0.19831223628691985</v>
      </c>
    </row>
    <row r="130" spans="1:6" s="195" customFormat="1">
      <c r="A130" s="164" t="s">
        <v>101</v>
      </c>
      <c r="B130" s="126" t="s">
        <v>8</v>
      </c>
      <c r="C130" s="127">
        <v>28</v>
      </c>
      <c r="D130" s="128">
        <f>'PPU SINAPI'!D53</f>
        <v>1.33</v>
      </c>
      <c r="E130" s="128">
        <f>C130*D130</f>
        <v>37.24</v>
      </c>
    </row>
    <row r="131" spans="1:6" s="195" customFormat="1" ht="30">
      <c r="A131" s="110" t="s">
        <v>102</v>
      </c>
      <c r="B131" s="111" t="s">
        <v>29</v>
      </c>
      <c r="C131" s="112">
        <v>1</v>
      </c>
      <c r="D131" s="113">
        <f>'PPU SINAPI'!D13</f>
        <v>45</v>
      </c>
      <c r="E131" s="113">
        <f>C131*D131</f>
        <v>45</v>
      </c>
    </row>
    <row r="132" spans="1:6" s="197" customFormat="1" ht="15.75" thickBot="1">
      <c r="A132" s="110"/>
      <c r="B132" s="585" t="s">
        <v>56</v>
      </c>
      <c r="C132" s="585"/>
      <c r="D132" s="115"/>
      <c r="E132" s="124">
        <f>SUM(E127:E131)</f>
        <v>208.03031223628693</v>
      </c>
    </row>
    <row r="133" spans="1:6">
      <c r="A133" s="110"/>
      <c r="B133" s="585" t="s">
        <v>57</v>
      </c>
      <c r="C133" s="585"/>
      <c r="D133" s="117">
        <f>BDI!D36</f>
        <v>0.23627895018746692</v>
      </c>
      <c r="E133" s="124">
        <f>E132*D133</f>
        <v>49.153183782360827</v>
      </c>
    </row>
    <row r="134" spans="1:6" s="153" customFormat="1" ht="15.75" thickBot="1">
      <c r="A134" s="120"/>
      <c r="B134" s="166" t="s">
        <v>58</v>
      </c>
      <c r="C134" s="166"/>
      <c r="D134" s="121"/>
      <c r="E134" s="196">
        <f>E132+E133</f>
        <v>257.18349601864776</v>
      </c>
    </row>
    <row r="135" spans="1:6" s="129" customFormat="1" ht="15.75" thickBot="1">
      <c r="A135" s="169"/>
      <c r="B135" s="178"/>
      <c r="C135" s="179"/>
      <c r="D135" s="172"/>
      <c r="E135" s="172"/>
    </row>
    <row r="136" spans="1:6">
      <c r="A136" s="181" t="s">
        <v>103</v>
      </c>
      <c r="B136" s="155" t="s">
        <v>27</v>
      </c>
      <c r="C136" s="445" t="s">
        <v>402</v>
      </c>
      <c r="D136" s="155"/>
      <c r="E136" s="157" t="str">
        <f>E24</f>
        <v>Sinapi: Jun/2017</v>
      </c>
    </row>
    <row r="137" spans="1:6">
      <c r="A137" s="189" t="s">
        <v>1</v>
      </c>
      <c r="B137" s="177" t="s">
        <v>2</v>
      </c>
      <c r="C137" s="182" t="s">
        <v>50</v>
      </c>
      <c r="D137" s="177" t="s">
        <v>51</v>
      </c>
      <c r="E137" s="190" t="s">
        <v>5</v>
      </c>
      <c r="F137" s="136"/>
    </row>
    <row r="138" spans="1:6" ht="30">
      <c r="A138" s="110" t="s">
        <v>304</v>
      </c>
      <c r="B138" s="111" t="s">
        <v>27</v>
      </c>
      <c r="C138" s="112">
        <v>1</v>
      </c>
      <c r="D138" s="113">
        <f>'PPU SINAPI'!D40</f>
        <v>8.83</v>
      </c>
      <c r="E138" s="114">
        <f>C138*D138</f>
        <v>8.83</v>
      </c>
    </row>
    <row r="139" spans="1:6">
      <c r="A139" s="110"/>
      <c r="B139" s="585" t="s">
        <v>56</v>
      </c>
      <c r="C139" s="585"/>
      <c r="D139" s="115"/>
      <c r="E139" s="116">
        <f>SUM(E138:E138)</f>
        <v>8.83</v>
      </c>
    </row>
    <row r="140" spans="1:6" ht="15.75" thickBot="1">
      <c r="A140" s="110"/>
      <c r="B140" s="585" t="s">
        <v>57</v>
      </c>
      <c r="C140" s="585"/>
      <c r="D140" s="117">
        <f>BDI!D36</f>
        <v>0.23627895018746692</v>
      </c>
      <c r="E140" s="116">
        <f>E139*D140</f>
        <v>2.086343130155333</v>
      </c>
    </row>
    <row r="141" spans="1:6" s="199" customFormat="1" ht="15.75" thickBot="1">
      <c r="A141" s="120"/>
      <c r="B141" s="166" t="s">
        <v>58</v>
      </c>
      <c r="C141" s="166"/>
      <c r="D141" s="121"/>
      <c r="E141" s="152">
        <f>E139+E140</f>
        <v>10.916343130155333</v>
      </c>
    </row>
    <row r="142" spans="1:6" s="198" customFormat="1" ht="15.75" thickBot="1">
      <c r="A142" s="169"/>
      <c r="B142" s="178"/>
      <c r="C142" s="179"/>
      <c r="D142" s="172"/>
      <c r="E142" s="172"/>
    </row>
    <row r="143" spans="1:6" s="195" customFormat="1">
      <c r="A143" s="181" t="s">
        <v>44</v>
      </c>
      <c r="B143" s="155" t="s">
        <v>27</v>
      </c>
      <c r="C143" s="445" t="s">
        <v>401</v>
      </c>
      <c r="D143" s="155"/>
      <c r="E143" s="157" t="str">
        <f>E24</f>
        <v>Sinapi: Jun/2017</v>
      </c>
    </row>
    <row r="144" spans="1:6" s="195" customFormat="1">
      <c r="A144" s="189" t="s">
        <v>1</v>
      </c>
      <c r="B144" s="177" t="s">
        <v>2</v>
      </c>
      <c r="C144" s="182" t="s">
        <v>50</v>
      </c>
      <c r="D144" s="177" t="s">
        <v>51</v>
      </c>
      <c r="E144" s="190" t="s">
        <v>5</v>
      </c>
    </row>
    <row r="145" spans="1:5" s="195" customFormat="1" ht="45">
      <c r="A145" s="110" t="s">
        <v>104</v>
      </c>
      <c r="B145" s="111" t="s">
        <v>83</v>
      </c>
      <c r="C145" s="112">
        <v>0.85</v>
      </c>
      <c r="D145" s="142">
        <f>E176</f>
        <v>139.19</v>
      </c>
      <c r="E145" s="114">
        <f>C145*D145</f>
        <v>118.3115</v>
      </c>
    </row>
    <row r="146" spans="1:5" s="195" customFormat="1" ht="45">
      <c r="A146" s="110" t="s">
        <v>104</v>
      </c>
      <c r="B146" s="111" t="s">
        <v>105</v>
      </c>
      <c r="C146" s="112">
        <v>0.15</v>
      </c>
      <c r="D146" s="113">
        <f>E165</f>
        <v>32.090000000000003</v>
      </c>
      <c r="E146" s="114">
        <f>C146*D146</f>
        <v>4.8135000000000003</v>
      </c>
    </row>
    <row r="147" spans="1:5" s="197" customFormat="1" ht="15.75" thickBot="1">
      <c r="A147" s="110"/>
      <c r="B147" s="585" t="s">
        <v>56</v>
      </c>
      <c r="C147" s="585"/>
      <c r="D147" s="115"/>
      <c r="E147" s="116">
        <f>SUM(E145:E146)</f>
        <v>123.125</v>
      </c>
    </row>
    <row r="148" spans="1:5">
      <c r="A148" s="110"/>
      <c r="B148" s="585" t="s">
        <v>57</v>
      </c>
      <c r="C148" s="585"/>
      <c r="D148" s="117">
        <f>BDI!D36</f>
        <v>0.23627895018746692</v>
      </c>
      <c r="E148" s="116">
        <f>E147*D148</f>
        <v>29.091845741831865</v>
      </c>
    </row>
    <row r="149" spans="1:5" s="153" customFormat="1" ht="15.75" thickBot="1">
      <c r="A149" s="120"/>
      <c r="B149" s="166" t="s">
        <v>58</v>
      </c>
      <c r="C149" s="166"/>
      <c r="D149" s="121"/>
      <c r="E149" s="152">
        <f>E147+E148</f>
        <v>152.21684574183186</v>
      </c>
    </row>
    <row r="150" spans="1:5" s="129" customFormat="1" ht="15.75" thickBot="1">
      <c r="A150" s="169"/>
      <c r="B150" s="200"/>
      <c r="C150" s="200"/>
      <c r="D150" s="172"/>
      <c r="E150" s="173"/>
    </row>
    <row r="151" spans="1:5" ht="14.85" customHeight="1">
      <c r="A151" s="181" t="s">
        <v>106</v>
      </c>
      <c r="B151" s="155" t="s">
        <v>15</v>
      </c>
      <c r="C151" s="445" t="s">
        <v>400</v>
      </c>
      <c r="D151" s="155"/>
      <c r="E151" s="157" t="str">
        <f>E24</f>
        <v>Sinapi: Jun/2017</v>
      </c>
    </row>
    <row r="152" spans="1:5" ht="14.85" customHeight="1">
      <c r="A152" s="189" t="s">
        <v>1</v>
      </c>
      <c r="B152" s="177" t="s">
        <v>2</v>
      </c>
      <c r="C152" s="182" t="s">
        <v>50</v>
      </c>
      <c r="D152" s="177" t="s">
        <v>51</v>
      </c>
      <c r="E152" s="190" t="s">
        <v>5</v>
      </c>
    </row>
    <row r="153" spans="1:5" ht="14.85" customHeight="1">
      <c r="A153" s="110" t="s">
        <v>107</v>
      </c>
      <c r="B153" s="111" t="s">
        <v>15</v>
      </c>
      <c r="C153" s="112">
        <v>1</v>
      </c>
      <c r="D153" s="113">
        <f>'PPU SINAPI'!D47</f>
        <v>400</v>
      </c>
      <c r="E153" s="114">
        <f>C153*D153</f>
        <v>400</v>
      </c>
    </row>
    <row r="154" spans="1:5" ht="14.85" customHeight="1">
      <c r="A154" s="110" t="s">
        <v>108</v>
      </c>
      <c r="B154" s="111" t="s">
        <v>15</v>
      </c>
      <c r="C154" s="112">
        <v>1</v>
      </c>
      <c r="D154" s="113">
        <f>'PPU SINAPI'!D46</f>
        <v>400</v>
      </c>
      <c r="E154" s="114">
        <f>C154*D154</f>
        <v>400</v>
      </c>
    </row>
    <row r="155" spans="1:5">
      <c r="A155" s="110" t="s">
        <v>305</v>
      </c>
      <c r="B155" s="111" t="s">
        <v>27</v>
      </c>
      <c r="C155" s="112">
        <f>2*4*8</f>
        <v>64</v>
      </c>
      <c r="D155" s="113">
        <f>'PPU SINAPI'!D8</f>
        <v>17.73</v>
      </c>
      <c r="E155" s="114">
        <f>C155*D155</f>
        <v>1134.72</v>
      </c>
    </row>
    <row r="156" spans="1:5">
      <c r="A156" s="110" t="s">
        <v>109</v>
      </c>
      <c r="B156" s="111" t="s">
        <v>27</v>
      </c>
      <c r="C156" s="112">
        <f>2*4*8</f>
        <v>64</v>
      </c>
      <c r="D156" s="113">
        <f>'PPU SINAPI'!D57</f>
        <v>20.59</v>
      </c>
      <c r="E156" s="114">
        <f>C156*D156</f>
        <v>1317.76</v>
      </c>
    </row>
    <row r="157" spans="1:5">
      <c r="A157" s="110"/>
      <c r="B157" s="585" t="s">
        <v>56</v>
      </c>
      <c r="C157" s="585"/>
      <c r="D157" s="115"/>
      <c r="E157" s="116">
        <f>SUM(E153:E156)</f>
        <v>3252.48</v>
      </c>
    </row>
    <row r="158" spans="1:5" ht="14.1" customHeight="1">
      <c r="A158" s="110"/>
      <c r="B158" s="585" t="s">
        <v>57</v>
      </c>
      <c r="C158" s="585"/>
      <c r="D158" s="117">
        <f>BDI!D36</f>
        <v>0.23627895018746692</v>
      </c>
      <c r="E158" s="116">
        <f>E157*D158</f>
        <v>768.49255990573238</v>
      </c>
    </row>
    <row r="159" spans="1:5" s="153" customFormat="1" ht="41.45" customHeight="1" thickBot="1">
      <c r="A159" s="120"/>
      <c r="B159" s="166" t="s">
        <v>58</v>
      </c>
      <c r="C159" s="166"/>
      <c r="D159" s="121"/>
      <c r="E159" s="152">
        <f>E157+E158</f>
        <v>4020.9725599057324</v>
      </c>
    </row>
    <row r="160" spans="1:5" ht="15.75" thickBot="1">
      <c r="A160" s="169"/>
      <c r="B160" s="178"/>
      <c r="C160" s="179"/>
      <c r="D160" s="201"/>
      <c r="E160" s="172"/>
    </row>
    <row r="161" spans="1:5" ht="27.75" customHeight="1">
      <c r="A161" s="180" t="s">
        <v>104</v>
      </c>
      <c r="B161" s="156" t="s">
        <v>105</v>
      </c>
      <c r="C161" s="445"/>
      <c r="D161" s="155"/>
      <c r="E161" s="157" t="str">
        <f>E24</f>
        <v>Sinapi: Jun/2017</v>
      </c>
    </row>
    <row r="162" spans="1:5">
      <c r="A162" s="158" t="s">
        <v>1</v>
      </c>
      <c r="B162" s="125" t="s">
        <v>2</v>
      </c>
      <c r="C162" s="159" t="s">
        <v>50</v>
      </c>
      <c r="D162" s="125" t="s">
        <v>51</v>
      </c>
      <c r="E162" s="160" t="s">
        <v>5</v>
      </c>
    </row>
    <row r="163" spans="1:5" ht="30">
      <c r="A163" s="110" t="s">
        <v>111</v>
      </c>
      <c r="B163" s="111" t="s">
        <v>27</v>
      </c>
      <c r="C163" s="112">
        <v>1</v>
      </c>
      <c r="D163" s="113">
        <f>'PPU SINAPI'!D23</f>
        <v>28.3</v>
      </c>
      <c r="E163" s="114">
        <f>C163*D163</f>
        <v>28.3</v>
      </c>
    </row>
    <row r="164" spans="1:5">
      <c r="A164" s="110" t="s">
        <v>112</v>
      </c>
      <c r="B164" s="111" t="s">
        <v>27</v>
      </c>
      <c r="C164" s="112">
        <v>1</v>
      </c>
      <c r="D164" s="113">
        <f>'PPU SINAPI'!D26</f>
        <v>3.79</v>
      </c>
      <c r="E164" s="114">
        <f>C164*D164</f>
        <v>3.79</v>
      </c>
    </row>
    <row r="165" spans="1:5">
      <c r="A165" s="110"/>
      <c r="B165" s="585" t="s">
        <v>56</v>
      </c>
      <c r="C165" s="585"/>
      <c r="D165" s="115"/>
      <c r="E165" s="116">
        <f>SUM(E163:E164)</f>
        <v>32.090000000000003</v>
      </c>
    </row>
    <row r="166" spans="1:5">
      <c r="A166" s="110"/>
      <c r="B166" s="585" t="s">
        <v>57</v>
      </c>
      <c r="C166" s="585"/>
      <c r="D166" s="117">
        <f>BDI!D36</f>
        <v>0.23627895018746692</v>
      </c>
      <c r="E166" s="116">
        <f>E165*D166</f>
        <v>7.5821915115158145</v>
      </c>
    </row>
    <row r="167" spans="1:5" s="167" customFormat="1" ht="44.25" customHeight="1" thickBot="1">
      <c r="A167" s="120"/>
      <c r="B167" s="166" t="s">
        <v>58</v>
      </c>
      <c r="C167" s="166"/>
      <c r="D167" s="121"/>
      <c r="E167" s="152">
        <f>E165+E166</f>
        <v>39.67219151151582</v>
      </c>
    </row>
    <row r="168" spans="1:5" s="202" customFormat="1" ht="15.75" thickBot="1">
      <c r="A168" s="169"/>
      <c r="B168" s="178"/>
      <c r="C168" s="179"/>
      <c r="D168" s="172"/>
      <c r="E168" s="172"/>
    </row>
    <row r="169" spans="1:5" ht="45">
      <c r="A169" s="446" t="s">
        <v>104</v>
      </c>
      <c r="B169" s="445" t="s">
        <v>83</v>
      </c>
      <c r="C169" s="445"/>
      <c r="D169" s="447"/>
      <c r="E169" s="448" t="str">
        <f>E24</f>
        <v>Sinapi: Jun/2017</v>
      </c>
    </row>
    <row r="170" spans="1:5">
      <c r="A170" s="148" t="s">
        <v>1</v>
      </c>
      <c r="B170" s="149" t="s">
        <v>2</v>
      </c>
      <c r="C170" s="150" t="s">
        <v>50</v>
      </c>
      <c r="D170" s="149" t="s">
        <v>51</v>
      </c>
      <c r="E170" s="151" t="s">
        <v>5</v>
      </c>
    </row>
    <row r="171" spans="1:5" ht="30">
      <c r="A171" s="110" t="s">
        <v>111</v>
      </c>
      <c r="B171" s="111" t="s">
        <v>27</v>
      </c>
      <c r="C171" s="112">
        <v>1</v>
      </c>
      <c r="D171" s="113">
        <f>'PPU SINAPI'!D23</f>
        <v>28.3</v>
      </c>
      <c r="E171" s="114">
        <f>C171*D171</f>
        <v>28.3</v>
      </c>
    </row>
    <row r="172" spans="1:5">
      <c r="A172" s="110" t="s">
        <v>113</v>
      </c>
      <c r="B172" s="111" t="s">
        <v>27</v>
      </c>
      <c r="C172" s="112">
        <v>1</v>
      </c>
      <c r="D172" s="113">
        <f>'PPU SINAPI'!D24</f>
        <v>18.600000000000001</v>
      </c>
      <c r="E172" s="114">
        <f>C172*D172</f>
        <v>18.600000000000001</v>
      </c>
    </row>
    <row r="173" spans="1:5">
      <c r="A173" s="110" t="s">
        <v>344</v>
      </c>
      <c r="B173" s="111" t="s">
        <v>27</v>
      </c>
      <c r="C173" s="112">
        <v>1</v>
      </c>
      <c r="D173" s="113">
        <f>'PPU SINAPI'!D25</f>
        <v>14.87</v>
      </c>
      <c r="E173" s="114">
        <f>C173*D173</f>
        <v>14.87</v>
      </c>
    </row>
    <row r="174" spans="1:5">
      <c r="A174" s="110" t="s">
        <v>345</v>
      </c>
      <c r="B174" s="111" t="s">
        <v>27</v>
      </c>
      <c r="C174" s="112">
        <v>1</v>
      </c>
      <c r="D174" s="113">
        <f>'PPU SINAPI'!D26</f>
        <v>3.79</v>
      </c>
      <c r="E174" s="114">
        <f>C174*D174</f>
        <v>3.79</v>
      </c>
    </row>
    <row r="175" spans="1:5">
      <c r="A175" s="110" t="s">
        <v>114</v>
      </c>
      <c r="B175" s="111" t="s">
        <v>27</v>
      </c>
      <c r="C175" s="112">
        <v>1</v>
      </c>
      <c r="D175" s="143">
        <f>'PPU SINAPI'!D27</f>
        <v>73.63</v>
      </c>
      <c r="E175" s="203">
        <f>D175*C175</f>
        <v>73.63</v>
      </c>
    </row>
    <row r="176" spans="1:5" ht="13.5" customHeight="1">
      <c r="A176" s="110"/>
      <c r="B176" s="585" t="s">
        <v>56</v>
      </c>
      <c r="C176" s="585"/>
      <c r="D176" s="115"/>
      <c r="E176" s="116">
        <f>SUM(E171:E175)</f>
        <v>139.19</v>
      </c>
    </row>
    <row r="177" spans="1:5" ht="16.5" hidden="1" customHeight="1">
      <c r="A177" s="110"/>
      <c r="B177" s="585" t="s">
        <v>57</v>
      </c>
      <c r="C177" s="585"/>
      <c r="D177" s="117">
        <f>BDI!D36</f>
        <v>0.23627895018746692</v>
      </c>
      <c r="E177" s="116">
        <f>E176*D177</f>
        <v>32.887667076593523</v>
      </c>
    </row>
    <row r="178" spans="1:5" s="167" customFormat="1" ht="39.75" customHeight="1" thickBot="1">
      <c r="A178" s="120"/>
      <c r="B178" s="166" t="s">
        <v>58</v>
      </c>
      <c r="C178" s="166"/>
      <c r="D178" s="121"/>
      <c r="E178" s="152">
        <f>E176+E177</f>
        <v>172.07766707659351</v>
      </c>
    </row>
    <row r="179" spans="1:5" s="168" customFormat="1" ht="15.75" thickBot="1">
      <c r="A179" s="169"/>
      <c r="B179" s="178"/>
      <c r="C179" s="179"/>
      <c r="D179" s="172"/>
      <c r="E179" s="172"/>
    </row>
    <row r="180" spans="1:5" ht="30">
      <c r="A180" s="181" t="s">
        <v>85</v>
      </c>
      <c r="B180" s="155" t="s">
        <v>29</v>
      </c>
      <c r="C180" s="445"/>
      <c r="D180" s="155"/>
      <c r="E180" s="157" t="str">
        <f>E24</f>
        <v>Sinapi: Jun/2017</v>
      </c>
    </row>
    <row r="181" spans="1:5">
      <c r="A181" s="158" t="s">
        <v>1</v>
      </c>
      <c r="B181" s="125" t="s">
        <v>2</v>
      </c>
      <c r="C181" s="159" t="s">
        <v>50</v>
      </c>
      <c r="D181" s="125" t="s">
        <v>51</v>
      </c>
      <c r="E181" s="160" t="s">
        <v>5</v>
      </c>
    </row>
    <row r="182" spans="1:5">
      <c r="A182" s="110" t="s">
        <v>115</v>
      </c>
      <c r="B182" s="111" t="s">
        <v>15</v>
      </c>
      <c r="C182" s="112">
        <v>3.3E-4</v>
      </c>
      <c r="D182" s="113">
        <f>'PPU SINAPI'!D22</f>
        <v>25828</v>
      </c>
      <c r="E182" s="114">
        <f>C182*D182</f>
        <v>8.5232399999999995</v>
      </c>
    </row>
    <row r="183" spans="1:5">
      <c r="A183" s="110" t="s">
        <v>116</v>
      </c>
      <c r="B183" s="111" t="s">
        <v>15</v>
      </c>
      <c r="C183" s="112">
        <v>3.3E-4</v>
      </c>
      <c r="D183" s="113">
        <f>'PPU SINAPI'!D56</f>
        <v>21854</v>
      </c>
      <c r="E183" s="114">
        <f>C183*D183</f>
        <v>7.2118200000000003</v>
      </c>
    </row>
    <row r="184" spans="1:5">
      <c r="A184" s="110"/>
      <c r="B184" s="585" t="s">
        <v>56</v>
      </c>
      <c r="C184" s="585"/>
      <c r="D184" s="115"/>
      <c r="E184" s="116">
        <f>SUM(E182:E183)</f>
        <v>15.735060000000001</v>
      </c>
    </row>
    <row r="185" spans="1:5">
      <c r="A185" s="110"/>
      <c r="B185" s="585" t="s">
        <v>57</v>
      </c>
      <c r="C185" s="585"/>
      <c r="D185" s="117">
        <f>BDI!D36</f>
        <v>0.23627895018746692</v>
      </c>
      <c r="E185" s="116">
        <f>E184*D185</f>
        <v>3.7178634579368035</v>
      </c>
    </row>
    <row r="186" spans="1:5" s="167" customFormat="1" ht="15.75" thickBot="1">
      <c r="A186" s="120"/>
      <c r="B186" s="166" t="s">
        <v>58</v>
      </c>
      <c r="C186" s="166"/>
      <c r="D186" s="121"/>
      <c r="E186" s="152">
        <f>E184+E185</f>
        <v>19.452923457936805</v>
      </c>
    </row>
    <row r="187" spans="1:5" s="168" customFormat="1" ht="15.75" thickBot="1">
      <c r="A187" s="169"/>
      <c r="B187" s="178"/>
      <c r="C187" s="179"/>
      <c r="D187" s="172"/>
      <c r="E187" s="172"/>
    </row>
    <row r="188" spans="1:5">
      <c r="A188" s="154" t="s">
        <v>117</v>
      </c>
      <c r="B188" s="155" t="s">
        <v>15</v>
      </c>
      <c r="C188" s="445"/>
      <c r="D188" s="155"/>
      <c r="E188" s="157" t="str">
        <f>E24</f>
        <v>Sinapi: Jun/2017</v>
      </c>
    </row>
    <row r="189" spans="1:5">
      <c r="A189" s="158" t="s">
        <v>1</v>
      </c>
      <c r="B189" s="125" t="s">
        <v>2</v>
      </c>
      <c r="C189" s="159" t="s">
        <v>50</v>
      </c>
      <c r="D189" s="125" t="s">
        <v>51</v>
      </c>
      <c r="E189" s="160" t="s">
        <v>5</v>
      </c>
    </row>
    <row r="190" spans="1:5">
      <c r="A190" s="110" t="s">
        <v>118</v>
      </c>
      <c r="B190" s="111" t="s">
        <v>15</v>
      </c>
      <c r="C190" s="112">
        <f>1/60</f>
        <v>1.6666666666666666E-2</v>
      </c>
      <c r="D190" s="128">
        <f>'PPU SINAPI'!D55</f>
        <v>229.9</v>
      </c>
      <c r="E190" s="114">
        <f t="shared" ref="E190:E195" si="0">C190*D190</f>
        <v>3.8316666666666666</v>
      </c>
    </row>
    <row r="191" spans="1:5">
      <c r="A191" s="110" t="str">
        <f>'PPU SINAPI'!B58</f>
        <v>VEICULO LEVE TIPO HATCH 1.0 FLEX (S/MOTORISTA)</v>
      </c>
      <c r="B191" s="111" t="s">
        <v>15</v>
      </c>
      <c r="C191" s="112">
        <f>3*2/30</f>
        <v>0.2</v>
      </c>
      <c r="D191" s="210">
        <f>'PPU SINAPI'!D58</f>
        <v>1723.91</v>
      </c>
      <c r="E191" s="114">
        <f t="shared" si="0"/>
        <v>344.78200000000004</v>
      </c>
    </row>
    <row r="192" spans="1:5">
      <c r="A192" s="110" t="s">
        <v>120</v>
      </c>
      <c r="B192" s="111" t="s">
        <v>15</v>
      </c>
      <c r="C192" s="112">
        <f>2/60</f>
        <v>3.3333333333333333E-2</v>
      </c>
      <c r="D192" s="210">
        <f>'PPU SINAPI'!D14</f>
        <v>294</v>
      </c>
      <c r="E192" s="114">
        <f t="shared" si="0"/>
        <v>9.8000000000000007</v>
      </c>
    </row>
    <row r="193" spans="1:5">
      <c r="A193" s="110" t="s">
        <v>121</v>
      </c>
      <c r="B193" s="111" t="s">
        <v>15</v>
      </c>
      <c r="C193" s="112">
        <f>2/60</f>
        <v>3.3333333333333333E-2</v>
      </c>
      <c r="D193" s="210">
        <f>'PPU SINAPI'!D44</f>
        <v>377.9</v>
      </c>
      <c r="E193" s="114">
        <f t="shared" si="0"/>
        <v>12.596666666666666</v>
      </c>
    </row>
    <row r="194" spans="1:5">
      <c r="A194" s="110" t="s">
        <v>122</v>
      </c>
      <c r="B194" s="111" t="s">
        <v>15</v>
      </c>
      <c r="C194" s="112">
        <f>6/60</f>
        <v>0.1</v>
      </c>
      <c r="D194" s="210">
        <f>'PPU SINAPI'!D18</f>
        <v>76.989999999999995</v>
      </c>
      <c r="E194" s="114">
        <f t="shared" si="0"/>
        <v>7.6989999999999998</v>
      </c>
    </row>
    <row r="195" spans="1:5">
      <c r="A195" s="110" t="s">
        <v>123</v>
      </c>
      <c r="B195" s="111" t="s">
        <v>15</v>
      </c>
      <c r="C195" s="112">
        <f>2/60</f>
        <v>3.3333333333333333E-2</v>
      </c>
      <c r="D195" s="113">
        <f>'PPU SINAPI'!D15</f>
        <v>970</v>
      </c>
      <c r="E195" s="114">
        <f t="shared" si="0"/>
        <v>32.333333333333336</v>
      </c>
    </row>
    <row r="196" spans="1:5">
      <c r="A196" s="110"/>
      <c r="B196" s="585" t="s">
        <v>56</v>
      </c>
      <c r="C196" s="585"/>
      <c r="D196" s="115"/>
      <c r="E196" s="165">
        <f>SUM(E190:E195)</f>
        <v>411.04266666666672</v>
      </c>
    </row>
    <row r="197" spans="1:5">
      <c r="A197" s="110"/>
      <c r="B197" s="585" t="s">
        <v>57</v>
      </c>
      <c r="C197" s="585"/>
      <c r="D197" s="117">
        <f>BDI!D36</f>
        <v>0.23627895018746692</v>
      </c>
      <c r="E197" s="116">
        <f>E196*D197</f>
        <v>97.120729762256914</v>
      </c>
    </row>
    <row r="198" spans="1:5" s="153" customFormat="1" ht="15.75" thickBot="1">
      <c r="A198" s="120"/>
      <c r="B198" s="166" t="s">
        <v>58</v>
      </c>
      <c r="C198" s="166"/>
      <c r="D198" s="121"/>
      <c r="E198" s="152">
        <f>E196+E197</f>
        <v>508.16339642892365</v>
      </c>
    </row>
    <row r="199" spans="1:5" ht="15.75" thickBot="1">
      <c r="A199" s="169"/>
      <c r="B199" s="178"/>
      <c r="C199" s="179"/>
      <c r="D199" s="172"/>
      <c r="E199" s="172"/>
    </row>
    <row r="200" spans="1:5">
      <c r="A200" s="181"/>
      <c r="B200" s="155" t="s">
        <v>15</v>
      </c>
      <c r="C200" s="445"/>
      <c r="D200" s="155"/>
      <c r="E200" s="157" t="str">
        <f>E24</f>
        <v>Sinapi: Jun/2017</v>
      </c>
    </row>
    <row r="201" spans="1:5">
      <c r="A201" s="158" t="s">
        <v>1</v>
      </c>
      <c r="B201" s="125" t="s">
        <v>2</v>
      </c>
      <c r="C201" s="159" t="s">
        <v>50</v>
      </c>
      <c r="D201" s="125" t="s">
        <v>51</v>
      </c>
      <c r="E201" s="160" t="s">
        <v>5</v>
      </c>
    </row>
    <row r="202" spans="1:5">
      <c r="A202" s="110" t="s">
        <v>124</v>
      </c>
      <c r="B202" s="111" t="s">
        <v>125</v>
      </c>
      <c r="C202" s="112">
        <f>Consumo!E6</f>
        <v>79.8</v>
      </c>
      <c r="D202" s="113">
        <f>'PPU SINAPI'!D64</f>
        <v>0.73</v>
      </c>
      <c r="E202" s="114">
        <f t="shared" ref="E202:E207" si="1">C202*D202</f>
        <v>58.253999999999998</v>
      </c>
    </row>
    <row r="203" spans="1:5">
      <c r="A203" s="110" t="s">
        <v>358</v>
      </c>
      <c r="B203" s="111" t="s">
        <v>15</v>
      </c>
      <c r="C203" s="112">
        <v>1</v>
      </c>
      <c r="D203" s="113">
        <f>E263</f>
        <v>105.60912931976438</v>
      </c>
      <c r="E203" s="114">
        <f t="shared" si="1"/>
        <v>105.60912931976438</v>
      </c>
    </row>
    <row r="204" spans="1:5">
      <c r="A204" s="110" t="s">
        <v>127</v>
      </c>
      <c r="B204" s="111" t="s">
        <v>15</v>
      </c>
      <c r="C204" s="112">
        <v>1</v>
      </c>
      <c r="D204" s="113">
        <f>'PPU SINAPI'!D63</f>
        <v>39.9</v>
      </c>
      <c r="E204" s="114">
        <f t="shared" si="1"/>
        <v>39.9</v>
      </c>
    </row>
    <row r="205" spans="1:5">
      <c r="A205" s="110" t="s">
        <v>128</v>
      </c>
      <c r="B205" s="111" t="s">
        <v>15</v>
      </c>
      <c r="C205" s="112">
        <v>1</v>
      </c>
      <c r="D205" s="113">
        <f>'PPU SINAPI'!D41</f>
        <v>50</v>
      </c>
      <c r="E205" s="114">
        <f t="shared" si="1"/>
        <v>50</v>
      </c>
    </row>
    <row r="206" spans="1:5">
      <c r="A206" s="110" t="s">
        <v>129</v>
      </c>
      <c r="B206" s="111" t="s">
        <v>15</v>
      </c>
      <c r="C206" s="112">
        <v>1</v>
      </c>
      <c r="D206" s="113">
        <f>'PPU SINAPI'!D42</f>
        <v>50</v>
      </c>
      <c r="E206" s="114">
        <f t="shared" si="1"/>
        <v>50</v>
      </c>
    </row>
    <row r="207" spans="1:5">
      <c r="A207" s="110" t="s">
        <v>130</v>
      </c>
      <c r="B207" s="111" t="s">
        <v>15</v>
      </c>
      <c r="C207" s="112">
        <v>1</v>
      </c>
      <c r="D207" s="128">
        <f>'PPU SINAPI'!D65</f>
        <v>69</v>
      </c>
      <c r="E207" s="114">
        <f t="shared" si="1"/>
        <v>69</v>
      </c>
    </row>
    <row r="208" spans="1:5">
      <c r="A208" s="110"/>
      <c r="B208" s="585" t="s">
        <v>56</v>
      </c>
      <c r="C208" s="585"/>
      <c r="D208" s="115"/>
      <c r="E208" s="116">
        <f>SUM(E202:E207)</f>
        <v>372.7631293197644</v>
      </c>
    </row>
    <row r="209" spans="1:5">
      <c r="A209" s="110"/>
      <c r="B209" s="585" t="s">
        <v>57</v>
      </c>
      <c r="C209" s="585"/>
      <c r="D209" s="117">
        <f>BDI!D36</f>
        <v>0.23627895018746692</v>
      </c>
      <c r="E209" s="116">
        <f>E208*D209</f>
        <v>88.076080864268903</v>
      </c>
    </row>
    <row r="210" spans="1:5" s="167" customFormat="1" ht="15.75" thickBot="1">
      <c r="A210" s="120"/>
      <c r="B210" s="166" t="s">
        <v>58</v>
      </c>
      <c r="C210" s="166"/>
      <c r="D210" s="121"/>
      <c r="E210" s="152">
        <f>E208+E209</f>
        <v>460.83921018403328</v>
      </c>
    </row>
    <row r="211" spans="1:5" s="168" customFormat="1" ht="15.75" thickBot="1">
      <c r="A211" s="169"/>
      <c r="B211" s="170"/>
      <c r="C211" s="171"/>
      <c r="D211" s="172"/>
      <c r="E211" s="173"/>
    </row>
    <row r="212" spans="1:5">
      <c r="A212" s="181" t="s">
        <v>131</v>
      </c>
      <c r="B212" s="155" t="s">
        <v>15</v>
      </c>
      <c r="C212" s="445"/>
      <c r="D212" s="155"/>
      <c r="E212" s="157" t="str">
        <f>E24</f>
        <v>Sinapi: Jun/2017</v>
      </c>
    </row>
    <row r="213" spans="1:5">
      <c r="A213" s="158" t="s">
        <v>1</v>
      </c>
      <c r="B213" s="125" t="s">
        <v>2</v>
      </c>
      <c r="C213" s="159" t="s">
        <v>50</v>
      </c>
      <c r="D213" s="125" t="s">
        <v>51</v>
      </c>
      <c r="E213" s="160" t="s">
        <v>5</v>
      </c>
    </row>
    <row r="214" spans="1:5">
      <c r="A214" s="487" t="s">
        <v>357</v>
      </c>
      <c r="B214" s="111" t="s">
        <v>27</v>
      </c>
      <c r="C214" s="400">
        <f>2*(8*2+4+4*1.5)</f>
        <v>52</v>
      </c>
      <c r="D214" s="143">
        <f>'PPU SINAPI'!D45</f>
        <v>55.01</v>
      </c>
      <c r="E214" s="114">
        <f>C214*D214</f>
        <v>2860.52</v>
      </c>
    </row>
    <row r="215" spans="1:5">
      <c r="A215" s="487" t="s">
        <v>132</v>
      </c>
      <c r="B215" s="111" t="s">
        <v>27</v>
      </c>
      <c r="C215" s="400">
        <f>(2.5*4)*2</f>
        <v>20</v>
      </c>
      <c r="D215" s="143">
        <f>'PPU SINAPI'!D34</f>
        <v>80.790000000000006</v>
      </c>
      <c r="E215" s="114">
        <f>C215*D215</f>
        <v>1615.8000000000002</v>
      </c>
    </row>
    <row r="216" spans="1:5">
      <c r="A216" s="110" t="s">
        <v>403</v>
      </c>
      <c r="B216" s="585" t="s">
        <v>56</v>
      </c>
      <c r="C216" s="585"/>
      <c r="D216" s="115"/>
      <c r="E216" s="116">
        <f>SUM(E214:E215)</f>
        <v>4476.32</v>
      </c>
    </row>
    <row r="217" spans="1:5">
      <c r="A217" s="110"/>
      <c r="B217" s="585" t="s">
        <v>57</v>
      </c>
      <c r="C217" s="585"/>
      <c r="D217" s="117">
        <f>BDI!D36</f>
        <v>0.23627895018746692</v>
      </c>
      <c r="E217" s="116">
        <f>E216*D217</f>
        <v>1057.6601903031619</v>
      </c>
    </row>
    <row r="218" spans="1:5" s="167" customFormat="1" ht="15.75" thickBot="1">
      <c r="A218" s="120"/>
      <c r="B218" s="166" t="s">
        <v>58</v>
      </c>
      <c r="C218" s="166"/>
      <c r="D218" s="121"/>
      <c r="E218" s="152">
        <f>E216+E217</f>
        <v>5533.9801903031621</v>
      </c>
    </row>
    <row r="219" spans="1:5" s="168" customFormat="1" hidden="1">
      <c r="A219" s="169"/>
      <c r="B219" s="178"/>
      <c r="C219" s="179"/>
      <c r="D219" s="201"/>
      <c r="E219" s="172"/>
    </row>
    <row r="220" spans="1:5" s="405" customFormat="1" hidden="1">
      <c r="A220" s="401" t="s">
        <v>133</v>
      </c>
      <c r="B220" s="402" t="s">
        <v>15</v>
      </c>
      <c r="C220" s="403"/>
      <c r="D220" s="402"/>
      <c r="E220" s="404" t="str">
        <f>E24</f>
        <v>Sinapi: Jun/2017</v>
      </c>
    </row>
    <row r="221" spans="1:5" s="405" customFormat="1" hidden="1">
      <c r="A221" s="406" t="s">
        <v>1</v>
      </c>
      <c r="B221" s="407" t="s">
        <v>2</v>
      </c>
      <c r="C221" s="408" t="s">
        <v>50</v>
      </c>
      <c r="D221" s="407" t="s">
        <v>51</v>
      </c>
      <c r="E221" s="409" t="s">
        <v>5</v>
      </c>
    </row>
    <row r="222" spans="1:5" s="405" customFormat="1" hidden="1">
      <c r="A222" s="399" t="s">
        <v>134</v>
      </c>
      <c r="B222" s="410" t="s">
        <v>135</v>
      </c>
      <c r="C222" s="411">
        <f>2/12</f>
        <v>0.16666666666666666</v>
      </c>
      <c r="D222" s="412">
        <f>'PPU SINAPI'!D16</f>
        <v>59.76</v>
      </c>
      <c r="E222" s="413">
        <f>C222*D222</f>
        <v>9.9599999999999991</v>
      </c>
    </row>
    <row r="223" spans="1:5" s="405" customFormat="1" hidden="1">
      <c r="A223" s="399" t="s">
        <v>136</v>
      </c>
      <c r="B223" s="410" t="s">
        <v>8</v>
      </c>
      <c r="C223" s="411">
        <f>2/12</f>
        <v>0.16666666666666666</v>
      </c>
      <c r="D223" s="412">
        <f>'PPU SINAPI'!D19</f>
        <v>30.5</v>
      </c>
      <c r="E223" s="413">
        <f>C223*D223</f>
        <v>5.083333333333333</v>
      </c>
    </row>
    <row r="224" spans="1:5" s="405" customFormat="1" hidden="1">
      <c r="A224" s="399" t="s">
        <v>137</v>
      </c>
      <c r="B224" s="410" t="s">
        <v>8</v>
      </c>
      <c r="C224" s="411">
        <f>2/12</f>
        <v>0.16666666666666666</v>
      </c>
      <c r="D224" s="412">
        <f>'PPU SINAPI'!D28</f>
        <v>25.5</v>
      </c>
      <c r="E224" s="413">
        <f>C224*D224</f>
        <v>4.25</v>
      </c>
    </row>
    <row r="225" spans="1:6" s="405" customFormat="1" hidden="1">
      <c r="A225" s="399" t="s">
        <v>138</v>
      </c>
      <c r="B225" s="410" t="s">
        <v>8</v>
      </c>
      <c r="C225" s="411">
        <f>C224/2</f>
        <v>8.3333333333333329E-2</v>
      </c>
      <c r="D225" s="412">
        <f>'PPU SINAPI'!D21</f>
        <v>12.45</v>
      </c>
      <c r="E225" s="413">
        <f>C225*D225</f>
        <v>1.0374999999999999</v>
      </c>
    </row>
    <row r="226" spans="1:6" s="405" customFormat="1" hidden="1">
      <c r="A226" s="399"/>
      <c r="B226" s="587" t="s">
        <v>56</v>
      </c>
      <c r="C226" s="587"/>
      <c r="D226" s="414"/>
      <c r="E226" s="415">
        <f>SUM(E222:E225)</f>
        <v>20.330833333333334</v>
      </c>
    </row>
    <row r="227" spans="1:6" s="405" customFormat="1" hidden="1">
      <c r="A227" s="399"/>
      <c r="B227" s="587" t="s">
        <v>57</v>
      </c>
      <c r="C227" s="587"/>
      <c r="D227" s="416">
        <f>BDI!D36</f>
        <v>0.23627895018746692</v>
      </c>
      <c r="E227" s="415">
        <f>E226*D227</f>
        <v>4.803747956436359</v>
      </c>
    </row>
    <row r="228" spans="1:6" s="421" customFormat="1" ht="15.75" hidden="1" thickBot="1">
      <c r="A228" s="417"/>
      <c r="B228" s="418" t="s">
        <v>58</v>
      </c>
      <c r="C228" s="418"/>
      <c r="D228" s="419"/>
      <c r="E228" s="420">
        <f>(E226+E227)*0</f>
        <v>0</v>
      </c>
    </row>
    <row r="229" spans="1:6" s="168" customFormat="1" ht="15.75" thickBot="1">
      <c r="A229" s="169"/>
      <c r="B229" s="178"/>
      <c r="C229" s="179"/>
      <c r="D229" s="172"/>
      <c r="E229" s="172"/>
    </row>
    <row r="230" spans="1:6" ht="45">
      <c r="A230" s="181" t="s">
        <v>139</v>
      </c>
      <c r="B230" s="155" t="s">
        <v>29</v>
      </c>
      <c r="C230" s="445"/>
      <c r="D230" s="155"/>
      <c r="E230" s="157" t="str">
        <f>E24</f>
        <v>Sinapi: Jun/2017</v>
      </c>
    </row>
    <row r="231" spans="1:6">
      <c r="A231" s="158" t="s">
        <v>1</v>
      </c>
      <c r="B231" s="125" t="s">
        <v>2</v>
      </c>
      <c r="C231" s="159" t="s">
        <v>50</v>
      </c>
      <c r="D231" s="125" t="s">
        <v>51</v>
      </c>
      <c r="E231" s="160" t="s">
        <v>5</v>
      </c>
    </row>
    <row r="232" spans="1:6" ht="30">
      <c r="A232" s="110" t="s">
        <v>89</v>
      </c>
      <c r="B232" s="111" t="s">
        <v>29</v>
      </c>
      <c r="C232" s="139">
        <v>1.05</v>
      </c>
      <c r="D232" s="140">
        <f>'PPU SINAPI'!D32</f>
        <v>251.12</v>
      </c>
      <c r="E232" s="114">
        <f>C232*D232</f>
        <v>263.67599999999999</v>
      </c>
    </row>
    <row r="233" spans="1:6">
      <c r="A233" s="110" t="s">
        <v>59</v>
      </c>
      <c r="B233" s="111" t="s">
        <v>27</v>
      </c>
      <c r="C233" s="139">
        <v>0.6</v>
      </c>
      <c r="D233" s="113">
        <f>'PPU SINAPI'!D48</f>
        <v>19.3</v>
      </c>
      <c r="E233" s="114">
        <f>C233*D233</f>
        <v>11.58</v>
      </c>
      <c r="F233" s="123"/>
    </row>
    <row r="234" spans="1:6">
      <c r="A234" s="110" t="s">
        <v>55</v>
      </c>
      <c r="B234" s="111" t="s">
        <v>27</v>
      </c>
      <c r="C234" s="139">
        <v>1.6</v>
      </c>
      <c r="D234" s="113">
        <f>'PPU SINAPI'!D9</f>
        <v>15.68</v>
      </c>
      <c r="E234" s="114">
        <f>C234*D234</f>
        <v>25.088000000000001</v>
      </c>
    </row>
    <row r="235" spans="1:6" ht="30">
      <c r="A235" s="110" t="s">
        <v>141</v>
      </c>
      <c r="B235" s="111" t="s">
        <v>105</v>
      </c>
      <c r="C235" s="139">
        <v>0.23</v>
      </c>
      <c r="D235" s="113">
        <f>'PPU SINAPI'!D59</f>
        <v>0.26</v>
      </c>
      <c r="E235" s="114">
        <f>C235*D235</f>
        <v>5.9800000000000006E-2</v>
      </c>
    </row>
    <row r="236" spans="1:6" ht="30">
      <c r="A236" s="110" t="s">
        <v>142</v>
      </c>
      <c r="B236" s="111" t="s">
        <v>83</v>
      </c>
      <c r="C236" s="139">
        <v>0.39</v>
      </c>
      <c r="D236" s="210">
        <f>'PPU SINAPI'!D60</f>
        <v>1.21</v>
      </c>
      <c r="E236" s="114">
        <f>C236*D236</f>
        <v>0.47189999999999999</v>
      </c>
    </row>
    <row r="237" spans="1:6">
      <c r="A237" s="110"/>
      <c r="B237" s="585" t="s">
        <v>56</v>
      </c>
      <c r="C237" s="585"/>
      <c r="D237" s="115"/>
      <c r="E237" s="116">
        <f>SUM(E232:E236)</f>
        <v>300.87569999999999</v>
      </c>
    </row>
    <row r="238" spans="1:6" ht="14.85" customHeight="1">
      <c r="A238" s="110"/>
      <c r="B238" s="585" t="s">
        <v>57</v>
      </c>
      <c r="C238" s="585"/>
      <c r="D238" s="117">
        <f>BDI!D36</f>
        <v>0.23627895018746692</v>
      </c>
      <c r="E238" s="116">
        <f>E237*D238</f>
        <v>71.090594532919241</v>
      </c>
    </row>
    <row r="239" spans="1:6" s="167" customFormat="1" ht="15.75" thickBot="1">
      <c r="A239" s="120"/>
      <c r="B239" s="166" t="s">
        <v>58</v>
      </c>
      <c r="C239" s="166"/>
      <c r="D239" s="121"/>
      <c r="E239" s="152">
        <f>E237+E238</f>
        <v>371.96629453291922</v>
      </c>
    </row>
    <row r="240" spans="1:6" s="202" customFormat="1" ht="15.75" thickBot="1">
      <c r="A240" s="169"/>
      <c r="B240" s="178"/>
      <c r="C240" s="179"/>
      <c r="D240" s="172"/>
      <c r="E240" s="172"/>
    </row>
    <row r="241" spans="1:5" ht="30">
      <c r="A241" s="181" t="s">
        <v>144</v>
      </c>
      <c r="B241" s="156" t="s">
        <v>29</v>
      </c>
      <c r="C241" s="445"/>
      <c r="D241" s="155"/>
      <c r="E241" s="157" t="str">
        <f>E24</f>
        <v>Sinapi: Jun/2017</v>
      </c>
    </row>
    <row r="242" spans="1:5">
      <c r="A242" s="148" t="s">
        <v>1</v>
      </c>
      <c r="B242" s="149" t="s">
        <v>2</v>
      </c>
      <c r="C242" s="150" t="s">
        <v>50</v>
      </c>
      <c r="D242" s="149" t="s">
        <v>51</v>
      </c>
      <c r="E242" s="151" t="s">
        <v>5</v>
      </c>
    </row>
    <row r="243" spans="1:5">
      <c r="A243" s="110" t="s">
        <v>55</v>
      </c>
      <c r="B243" s="111" t="s">
        <v>27</v>
      </c>
      <c r="C243" s="112">
        <v>3</v>
      </c>
      <c r="D243" s="113">
        <f>'PPU SINAPI'!D9</f>
        <v>15.68</v>
      </c>
      <c r="E243" s="114">
        <f>C243*D243</f>
        <v>47.04</v>
      </c>
    </row>
    <row r="244" spans="1:5">
      <c r="A244" s="110"/>
      <c r="B244" s="585" t="s">
        <v>56</v>
      </c>
      <c r="C244" s="585"/>
      <c r="D244" s="115"/>
      <c r="E244" s="116">
        <f>SUM(E243)</f>
        <v>47.04</v>
      </c>
    </row>
    <row r="245" spans="1:5">
      <c r="A245" s="110"/>
      <c r="B245" s="585" t="s">
        <v>57</v>
      </c>
      <c r="C245" s="585"/>
      <c r="D245" s="117">
        <f>BDI!D36</f>
        <v>0.23627895018746692</v>
      </c>
      <c r="E245" s="116">
        <f>E244*D245</f>
        <v>11.114561816818444</v>
      </c>
    </row>
    <row r="246" spans="1:5" s="167" customFormat="1" ht="15.75" thickBot="1">
      <c r="A246" s="120"/>
      <c r="B246" s="166" t="s">
        <v>58</v>
      </c>
      <c r="C246" s="166"/>
      <c r="D246" s="121"/>
      <c r="E246" s="152">
        <f>E244+E245</f>
        <v>58.154561816818443</v>
      </c>
    </row>
    <row r="247" spans="1:5" s="168" customFormat="1" ht="15.75" thickBot="1">
      <c r="A247" s="169"/>
      <c r="B247" s="178"/>
      <c r="C247" s="179"/>
      <c r="D247" s="172"/>
      <c r="E247" s="172"/>
    </row>
    <row r="248" spans="1:5">
      <c r="A248" s="204" t="s">
        <v>145</v>
      </c>
      <c r="B248" s="156" t="s">
        <v>10</v>
      </c>
      <c r="C248" s="445"/>
      <c r="D248" s="155"/>
      <c r="E248" s="157"/>
    </row>
    <row r="249" spans="1:5">
      <c r="A249" s="158" t="s">
        <v>1</v>
      </c>
      <c r="B249" s="125" t="s">
        <v>2</v>
      </c>
      <c r="C249" s="159" t="s">
        <v>50</v>
      </c>
      <c r="D249" s="125" t="s">
        <v>51</v>
      </c>
      <c r="E249" s="160" t="s">
        <v>5</v>
      </c>
    </row>
    <row r="250" spans="1:5">
      <c r="A250" s="110" t="s">
        <v>146</v>
      </c>
      <c r="B250" s="111" t="s">
        <v>27</v>
      </c>
      <c r="C250" s="132">
        <v>2.5000000000000001E-5</v>
      </c>
      <c r="D250" s="113">
        <f>'PPU SINAPI'!D38</f>
        <v>1758</v>
      </c>
      <c r="E250" s="114">
        <f>C250*D250</f>
        <v>4.3950000000000003E-2</v>
      </c>
    </row>
    <row r="251" spans="1:5">
      <c r="A251" s="110" t="s">
        <v>55</v>
      </c>
      <c r="B251" s="111" t="s">
        <v>27</v>
      </c>
      <c r="C251" s="112">
        <v>0.1</v>
      </c>
      <c r="D251" s="113">
        <f>'PPU SINAPI'!D9</f>
        <v>15.68</v>
      </c>
      <c r="E251" s="114">
        <f>C251*D251</f>
        <v>1.5680000000000001</v>
      </c>
    </row>
    <row r="252" spans="1:5">
      <c r="A252" s="110"/>
      <c r="B252" s="585" t="s">
        <v>56</v>
      </c>
      <c r="C252" s="585"/>
      <c r="D252" s="115"/>
      <c r="E252" s="116">
        <f>SUM(E250:E251)</f>
        <v>1.61195</v>
      </c>
    </row>
    <row r="253" spans="1:5">
      <c r="A253" s="110"/>
      <c r="B253" s="585" t="s">
        <v>57</v>
      </c>
      <c r="C253" s="585"/>
      <c r="D253" s="117">
        <f>BDI!D36</f>
        <v>0.23627895018746692</v>
      </c>
      <c r="E253" s="116">
        <f>E252*D253</f>
        <v>0.38086985375468729</v>
      </c>
    </row>
    <row r="254" spans="1:5" ht="15.75" thickBot="1">
      <c r="A254" s="120"/>
      <c r="B254" s="166" t="s">
        <v>58</v>
      </c>
      <c r="C254" s="166"/>
      <c r="D254" s="121"/>
      <c r="E254" s="152">
        <f>E252+E253</f>
        <v>1.9928198537546873</v>
      </c>
    </row>
    <row r="255" spans="1:5" s="199" customFormat="1">
      <c r="A255" s="161"/>
      <c r="B255" s="122"/>
      <c r="C255" s="174"/>
      <c r="D255" s="162"/>
      <c r="E255" s="162"/>
    </row>
    <row r="256" spans="1:5" s="207" customFormat="1" ht="15.75" thickBot="1">
      <c r="A256" s="184"/>
      <c r="B256" s="205"/>
      <c r="C256" s="206"/>
      <c r="D256" s="187"/>
      <c r="E256" s="187"/>
    </row>
    <row r="257" spans="1:5" s="195" customFormat="1">
      <c r="A257" s="181" t="s">
        <v>126</v>
      </c>
      <c r="B257" s="155" t="s">
        <v>15</v>
      </c>
      <c r="C257" s="445"/>
      <c r="D257" s="155"/>
      <c r="E257" s="155" t="str">
        <f>E24</f>
        <v>Sinapi: Jun/2017</v>
      </c>
    </row>
    <row r="258" spans="1:5" s="195" customFormat="1">
      <c r="A258" s="158" t="s">
        <v>1</v>
      </c>
      <c r="B258" s="125" t="s">
        <v>2</v>
      </c>
      <c r="C258" s="159" t="s">
        <v>50</v>
      </c>
      <c r="D258" s="125" t="s">
        <v>51</v>
      </c>
      <c r="E258" s="125" t="s">
        <v>5</v>
      </c>
    </row>
    <row r="259" spans="1:5" s="195" customFormat="1">
      <c r="A259" s="110" t="s">
        <v>147</v>
      </c>
      <c r="B259" s="111" t="s">
        <v>74</v>
      </c>
      <c r="C259" s="112">
        <v>6</v>
      </c>
      <c r="D259" s="113">
        <f>'PPU SINAPI'!D11</f>
        <v>7.2</v>
      </c>
      <c r="E259" s="115">
        <f>C259*D259</f>
        <v>43.2</v>
      </c>
    </row>
    <row r="260" spans="1:5" s="195" customFormat="1">
      <c r="A260" s="110" t="s">
        <v>148</v>
      </c>
      <c r="B260" s="111" t="s">
        <v>149</v>
      </c>
      <c r="C260" s="112">
        <v>10</v>
      </c>
      <c r="D260" s="115">
        <f>'PPU SINAPI'!D62</f>
        <v>4.2225000000000001</v>
      </c>
      <c r="E260" s="115">
        <f>C260*D260</f>
        <v>42.225000000000001</v>
      </c>
    </row>
    <row r="261" spans="1:5" s="197" customFormat="1" ht="15.75" thickBot="1">
      <c r="A261" s="110"/>
      <c r="B261" s="585" t="s">
        <v>56</v>
      </c>
      <c r="C261" s="585"/>
      <c r="D261" s="115"/>
      <c r="E261" s="124">
        <f>SUM(E259:E260)</f>
        <v>85.425000000000011</v>
      </c>
    </row>
    <row r="262" spans="1:5">
      <c r="A262" s="110"/>
      <c r="B262" s="585" t="s">
        <v>57</v>
      </c>
      <c r="C262" s="585"/>
      <c r="D262" s="117">
        <f>BDI!D36</f>
        <v>0.23627895018746692</v>
      </c>
      <c r="E262" s="124">
        <f>E261*D262</f>
        <v>20.184129319764363</v>
      </c>
    </row>
    <row r="263" spans="1:5" s="167" customFormat="1" ht="15.75" thickBot="1">
      <c r="A263" s="120"/>
      <c r="B263" s="166" t="s">
        <v>58</v>
      </c>
      <c r="C263" s="166"/>
      <c r="D263" s="121"/>
      <c r="E263" s="196">
        <f>E261+E262</f>
        <v>105.60912931976438</v>
      </c>
    </row>
    <row r="264" spans="1:5" s="168" customFormat="1" ht="15.75" thickBot="1">
      <c r="A264" s="169"/>
      <c r="B264" s="178"/>
      <c r="C264" s="179"/>
      <c r="D264" s="172"/>
      <c r="E264" s="172"/>
    </row>
    <row r="265" spans="1:5">
      <c r="A265" s="181" t="s">
        <v>150</v>
      </c>
      <c r="B265" s="155" t="s">
        <v>15</v>
      </c>
      <c r="C265" s="445"/>
      <c r="D265" s="155"/>
      <c r="E265" s="157" t="str">
        <f>E24</f>
        <v>Sinapi: Jun/2017</v>
      </c>
    </row>
    <row r="266" spans="1:5">
      <c r="A266" s="158" t="s">
        <v>1</v>
      </c>
      <c r="B266" s="125" t="s">
        <v>2</v>
      </c>
      <c r="C266" s="159" t="s">
        <v>50</v>
      </c>
      <c r="D266" s="125" t="s">
        <v>51</v>
      </c>
      <c r="E266" s="160" t="s">
        <v>5</v>
      </c>
    </row>
    <row r="267" spans="1:5">
      <c r="A267" s="191" t="s">
        <v>151</v>
      </c>
      <c r="B267" s="111" t="s">
        <v>74</v>
      </c>
      <c r="C267" s="112">
        <v>1</v>
      </c>
      <c r="D267" s="113">
        <f>'PPU SINAPI'!D63</f>
        <v>39.9</v>
      </c>
      <c r="E267" s="114">
        <f>C267*D267</f>
        <v>39.9</v>
      </c>
    </row>
    <row r="268" spans="1:5">
      <c r="A268" s="110"/>
      <c r="B268" s="585" t="s">
        <v>56</v>
      </c>
      <c r="C268" s="585"/>
      <c r="D268" s="115"/>
      <c r="E268" s="116">
        <f>SUM(E267:E267)</f>
        <v>39.9</v>
      </c>
    </row>
    <row r="269" spans="1:5">
      <c r="A269" s="110"/>
      <c r="B269" s="585" t="s">
        <v>57</v>
      </c>
      <c r="C269" s="585"/>
      <c r="D269" s="117">
        <f>BDI!D36</f>
        <v>0.23627895018746692</v>
      </c>
      <c r="E269" s="116">
        <f>E268*D269</f>
        <v>9.4275301124799302</v>
      </c>
    </row>
    <row r="270" spans="1:5" s="167" customFormat="1" ht="15.75" thickBot="1">
      <c r="A270" s="120"/>
      <c r="B270" s="166" t="s">
        <v>58</v>
      </c>
      <c r="C270" s="166"/>
      <c r="D270" s="121"/>
      <c r="E270" s="152">
        <f>E268+E269</f>
        <v>49.327530112479927</v>
      </c>
    </row>
    <row r="271" spans="1:5" s="168" customFormat="1" ht="15.75" thickBot="1">
      <c r="A271" s="169"/>
      <c r="B271" s="178"/>
      <c r="C271" s="179"/>
      <c r="D271" s="172"/>
      <c r="E271" s="172"/>
    </row>
    <row r="272" spans="1:5">
      <c r="A272" s="181" t="s">
        <v>152</v>
      </c>
      <c r="B272" s="155" t="s">
        <v>15</v>
      </c>
      <c r="C272" s="445"/>
      <c r="D272" s="155"/>
      <c r="E272" s="157" t="str">
        <f>E24</f>
        <v>Sinapi: Jun/2017</v>
      </c>
    </row>
    <row r="273" spans="1:5">
      <c r="A273" s="158" t="s">
        <v>1</v>
      </c>
      <c r="B273" s="125" t="s">
        <v>2</v>
      </c>
      <c r="C273" s="159" t="s">
        <v>50</v>
      </c>
      <c r="D273" s="125" t="s">
        <v>51</v>
      </c>
      <c r="E273" s="160" t="s">
        <v>5</v>
      </c>
    </row>
    <row r="274" spans="1:5">
      <c r="A274" s="110" t="s">
        <v>124</v>
      </c>
      <c r="B274" s="111" t="s">
        <v>125</v>
      </c>
      <c r="C274" s="112">
        <v>253.8</v>
      </c>
      <c r="D274" s="115">
        <f>'PPU SINAPI'!D64</f>
        <v>0.73</v>
      </c>
      <c r="E274" s="203">
        <f>C274*D274</f>
        <v>185.274</v>
      </c>
    </row>
    <row r="275" spans="1:5">
      <c r="A275" s="110"/>
      <c r="B275" s="585" t="s">
        <v>56</v>
      </c>
      <c r="C275" s="585"/>
      <c r="D275" s="115"/>
      <c r="E275" s="116">
        <f>SUM(E274:E274)</f>
        <v>185.274</v>
      </c>
    </row>
    <row r="276" spans="1:5">
      <c r="A276" s="110"/>
      <c r="B276" s="585" t="s">
        <v>57</v>
      </c>
      <c r="C276" s="585"/>
      <c r="D276" s="117">
        <f>BDI!D36</f>
        <v>0.23627895018746692</v>
      </c>
      <c r="E276" s="116">
        <f>E275*D276</f>
        <v>43.776346217032746</v>
      </c>
    </row>
    <row r="277" spans="1:5" ht="15.75" thickBot="1">
      <c r="A277" s="120"/>
      <c r="B277" s="166" t="s">
        <v>58</v>
      </c>
      <c r="C277" s="166"/>
      <c r="D277" s="121"/>
      <c r="E277" s="152">
        <f>E275+E276</f>
        <v>229.05034621703274</v>
      </c>
    </row>
  </sheetData>
  <sheetProtection selectLockedCells="1" selectUnlockedCells="1"/>
  <mergeCells count="65">
    <mergeCell ref="A2:E3"/>
    <mergeCell ref="B275:C275"/>
    <mergeCell ref="B276:C276"/>
    <mergeCell ref="B252:C252"/>
    <mergeCell ref="B253:C253"/>
    <mergeCell ref="B261:C261"/>
    <mergeCell ref="B262:C262"/>
    <mergeCell ref="B268:C268"/>
    <mergeCell ref="B269:C269"/>
    <mergeCell ref="B226:C226"/>
    <mergeCell ref="B227:C227"/>
    <mergeCell ref="B237:C237"/>
    <mergeCell ref="B238:C238"/>
    <mergeCell ref="B244:C244"/>
    <mergeCell ref="B245:C245"/>
    <mergeCell ref="B196:C196"/>
    <mergeCell ref="B197:C197"/>
    <mergeCell ref="B208:C208"/>
    <mergeCell ref="B209:C209"/>
    <mergeCell ref="B216:C216"/>
    <mergeCell ref="B217:C217"/>
    <mergeCell ref="B165:C165"/>
    <mergeCell ref="B166:C166"/>
    <mergeCell ref="B176:C176"/>
    <mergeCell ref="B177:C177"/>
    <mergeCell ref="B184:C184"/>
    <mergeCell ref="B185:C185"/>
    <mergeCell ref="B139:C139"/>
    <mergeCell ref="B140:C140"/>
    <mergeCell ref="B147:C147"/>
    <mergeCell ref="B148:C148"/>
    <mergeCell ref="B157:C157"/>
    <mergeCell ref="B158:C158"/>
    <mergeCell ref="B110:C110"/>
    <mergeCell ref="B111:C111"/>
    <mergeCell ref="B121:C121"/>
    <mergeCell ref="B122:C122"/>
    <mergeCell ref="B132:C132"/>
    <mergeCell ref="B133:C133"/>
    <mergeCell ref="B81:C81"/>
    <mergeCell ref="B82:C82"/>
    <mergeCell ref="B92:C92"/>
    <mergeCell ref="B93:C93"/>
    <mergeCell ref="B103:C103"/>
    <mergeCell ref="B104:C104"/>
    <mergeCell ref="B52:C52"/>
    <mergeCell ref="B53:C53"/>
    <mergeCell ref="B64:C64"/>
    <mergeCell ref="B65:C65"/>
    <mergeCell ref="B72:C72"/>
    <mergeCell ref="B73:C73"/>
    <mergeCell ref="B9:C9"/>
    <mergeCell ref="B10:C10"/>
    <mergeCell ref="B20:C20"/>
    <mergeCell ref="B21:C21"/>
    <mergeCell ref="B27:C27"/>
    <mergeCell ref="B28:C28"/>
    <mergeCell ref="A40:E40"/>
    <mergeCell ref="A47:E47"/>
    <mergeCell ref="A12:E12"/>
    <mergeCell ref="A23:E23"/>
    <mergeCell ref="B44:C44"/>
    <mergeCell ref="B45:C45"/>
    <mergeCell ref="B37:C37"/>
    <mergeCell ref="B38:C38"/>
  </mergeCells>
  <pageMargins left="0.51180555555555551" right="0.16527777777777777" top="0.78749999999999998" bottom="0.78749999999999998" header="0.51180555555555551" footer="0.51180555555555551"/>
  <pageSetup paperSize="9" scale="74" firstPageNumber="0" orientation="portrait" r:id="rId1"/>
  <headerFooter alignWithMargins="0"/>
  <rowBreaks count="5" manualBreakCount="5">
    <brk id="55" max="4" man="1"/>
    <brk id="106" max="4" man="1"/>
    <brk id="150" max="4" man="1"/>
    <brk id="199" max="4" man="1"/>
    <brk id="24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21"/>
  <sheetViews>
    <sheetView view="pageBreakPreview" zoomScale="115" zoomScaleNormal="90" zoomScaleSheetLayoutView="115" workbookViewId="0">
      <selection activeCell="L16" sqref="L16"/>
    </sheetView>
  </sheetViews>
  <sheetFormatPr defaultColWidth="10.5703125" defaultRowHeight="15"/>
  <cols>
    <col min="1" max="1" width="60" style="5" customWidth="1"/>
    <col min="2" max="2" width="11.42578125" style="5" customWidth="1"/>
    <col min="3" max="3" width="11.140625" style="5" bestFit="1" customWidth="1"/>
    <col min="4" max="4" width="4.140625" style="5" customWidth="1"/>
    <col min="5" max="5" width="11.140625" style="5" bestFit="1" customWidth="1"/>
    <col min="6" max="6" width="4.140625" style="5" customWidth="1"/>
    <col min="7" max="7" width="11.140625" style="5" bestFit="1" customWidth="1"/>
    <col min="8" max="8" width="4.7109375" style="5" customWidth="1"/>
    <col min="9" max="9" width="15.7109375" style="5" bestFit="1" customWidth="1"/>
    <col min="10" max="10" width="15.28515625" style="8" customWidth="1"/>
    <col min="11" max="16384" width="10.5703125" style="5"/>
  </cols>
  <sheetData>
    <row r="1" spans="1:254" customFormat="1" ht="53.25" customHeight="1" thickBot="1">
      <c r="A1" s="591"/>
      <c r="B1" s="592"/>
      <c r="C1" s="592"/>
      <c r="D1" s="592"/>
      <c r="E1" s="592"/>
      <c r="F1" s="592"/>
      <c r="G1" s="592"/>
      <c r="H1" s="592"/>
      <c r="I1" s="592"/>
      <c r="J1" s="593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 ht="41.25" customHeight="1" thickBot="1">
      <c r="A2" s="588" t="s">
        <v>359</v>
      </c>
      <c r="B2" s="589"/>
      <c r="C2" s="589"/>
      <c r="D2" s="589"/>
      <c r="E2" s="589"/>
      <c r="F2" s="589"/>
      <c r="G2" s="589"/>
      <c r="H2" s="589"/>
      <c r="I2" s="589"/>
      <c r="J2" s="590"/>
    </row>
    <row r="3" spans="1:254" ht="42" customHeight="1">
      <c r="A3" s="385" t="s">
        <v>279</v>
      </c>
      <c r="B3" s="393" t="s">
        <v>280</v>
      </c>
      <c r="C3" s="595" t="s">
        <v>281</v>
      </c>
      <c r="D3" s="596"/>
      <c r="E3" s="596"/>
      <c r="F3" s="596"/>
      <c r="G3" s="596"/>
      <c r="H3" s="597"/>
      <c r="I3" s="386" t="s">
        <v>360</v>
      </c>
      <c r="J3" s="387" t="s">
        <v>364</v>
      </c>
    </row>
    <row r="4" spans="1:254">
      <c r="A4" s="325"/>
      <c r="B4" s="354"/>
      <c r="C4" s="366" t="s">
        <v>282</v>
      </c>
      <c r="D4" s="360" t="s">
        <v>283</v>
      </c>
      <c r="E4" s="359" t="s">
        <v>284</v>
      </c>
      <c r="F4" s="360" t="s">
        <v>283</v>
      </c>
      <c r="G4" s="359" t="s">
        <v>285</v>
      </c>
      <c r="H4" s="361" t="s">
        <v>283</v>
      </c>
      <c r="I4" s="370" t="s">
        <v>361</v>
      </c>
      <c r="J4" s="388" t="s">
        <v>363</v>
      </c>
    </row>
    <row r="5" spans="1:254">
      <c r="A5" s="327" t="s">
        <v>121</v>
      </c>
      <c r="B5" s="362" t="s">
        <v>280</v>
      </c>
      <c r="C5" s="367">
        <v>369.9</v>
      </c>
      <c r="D5" s="314">
        <v>71</v>
      </c>
      <c r="E5" s="375">
        <v>377.9</v>
      </c>
      <c r="F5" s="314">
        <v>71</v>
      </c>
      <c r="G5" s="312">
        <v>399</v>
      </c>
      <c r="H5" s="355">
        <v>71</v>
      </c>
      <c r="I5" s="371">
        <v>464</v>
      </c>
      <c r="J5" s="389">
        <f>E5</f>
        <v>377.9</v>
      </c>
    </row>
    <row r="6" spans="1:254">
      <c r="A6" s="327" t="s">
        <v>177</v>
      </c>
      <c r="B6" s="362" t="s">
        <v>280</v>
      </c>
      <c r="C6" s="367">
        <v>294</v>
      </c>
      <c r="D6" s="314">
        <v>72</v>
      </c>
      <c r="E6" s="375">
        <v>294</v>
      </c>
      <c r="F6" s="314">
        <v>72</v>
      </c>
      <c r="G6" s="312">
        <v>294</v>
      </c>
      <c r="H6" s="355">
        <v>72</v>
      </c>
      <c r="I6" s="371">
        <v>579</v>
      </c>
      <c r="J6" s="389">
        <f>E6</f>
        <v>294</v>
      </c>
    </row>
    <row r="7" spans="1:254">
      <c r="A7" s="327" t="s">
        <v>122</v>
      </c>
      <c r="B7" s="362" t="s">
        <v>280</v>
      </c>
      <c r="C7" s="367">
        <v>76.989999999999995</v>
      </c>
      <c r="D7" s="314">
        <v>73</v>
      </c>
      <c r="E7" s="375">
        <v>76.989999999999995</v>
      </c>
      <c r="F7" s="314">
        <v>73</v>
      </c>
      <c r="G7" s="312">
        <v>76.989999999999995</v>
      </c>
      <c r="H7" s="355">
        <v>73</v>
      </c>
      <c r="I7" s="371">
        <v>298</v>
      </c>
      <c r="J7" s="389">
        <f>E7</f>
        <v>76.989999999999995</v>
      </c>
    </row>
    <row r="8" spans="1:254">
      <c r="A8" s="333" t="s">
        <v>286</v>
      </c>
      <c r="B8" s="363" t="s">
        <v>287</v>
      </c>
      <c r="C8" s="368"/>
      <c r="D8" s="313"/>
      <c r="E8" s="334"/>
      <c r="F8" s="313"/>
      <c r="G8" s="334"/>
      <c r="H8" s="356"/>
      <c r="I8" s="376">
        <v>7.2</v>
      </c>
      <c r="J8" s="389">
        <f>I8</f>
        <v>7.2</v>
      </c>
    </row>
    <row r="9" spans="1:254" s="255" customFormat="1">
      <c r="A9" s="328" t="s">
        <v>168</v>
      </c>
      <c r="B9" s="363" t="s">
        <v>280</v>
      </c>
      <c r="C9" s="367"/>
      <c r="D9" s="313">
        <v>81</v>
      </c>
      <c r="E9" s="377">
        <f>52.99/1.5</f>
        <v>35.326666666666668</v>
      </c>
      <c r="F9" s="313">
        <v>81</v>
      </c>
      <c r="G9" s="312">
        <f>69.75/1.55</f>
        <v>45</v>
      </c>
      <c r="H9" s="356">
        <v>81</v>
      </c>
      <c r="I9" s="372"/>
      <c r="J9" s="389">
        <v>35.33</v>
      </c>
    </row>
    <row r="10" spans="1:254">
      <c r="A10" s="327" t="s">
        <v>307</v>
      </c>
      <c r="B10" s="362" t="s">
        <v>280</v>
      </c>
      <c r="C10" s="367">
        <v>30.87</v>
      </c>
      <c r="D10" s="314">
        <v>74</v>
      </c>
      <c r="E10" s="312">
        <v>34</v>
      </c>
      <c r="F10" s="314">
        <v>74</v>
      </c>
      <c r="G10" s="312">
        <v>58.9</v>
      </c>
      <c r="H10" s="355">
        <v>74</v>
      </c>
      <c r="I10" s="376">
        <v>30.5</v>
      </c>
      <c r="J10" s="389">
        <f>I10</f>
        <v>30.5</v>
      </c>
    </row>
    <row r="11" spans="1:254">
      <c r="A11" s="327" t="s">
        <v>308</v>
      </c>
      <c r="B11" s="362" t="s">
        <v>280</v>
      </c>
      <c r="C11" s="367">
        <v>35</v>
      </c>
      <c r="D11" s="314">
        <v>75</v>
      </c>
      <c r="E11" s="312">
        <v>45.9</v>
      </c>
      <c r="F11" s="314">
        <v>75</v>
      </c>
      <c r="G11" s="312">
        <v>52.9</v>
      </c>
      <c r="H11" s="355">
        <v>75</v>
      </c>
      <c r="I11" s="376">
        <v>25.5</v>
      </c>
      <c r="J11" s="389">
        <f>I11</f>
        <v>25.5</v>
      </c>
    </row>
    <row r="12" spans="1:254">
      <c r="A12" s="327" t="s">
        <v>138</v>
      </c>
      <c r="B12" s="378" t="s">
        <v>280</v>
      </c>
      <c r="C12" s="379">
        <v>11.59</v>
      </c>
      <c r="D12" s="380"/>
      <c r="E12" s="384">
        <v>12.55</v>
      </c>
      <c r="F12" s="380"/>
      <c r="G12" s="381">
        <v>37</v>
      </c>
      <c r="H12" s="382"/>
      <c r="I12" s="383">
        <v>19.100000000000001</v>
      </c>
      <c r="J12" s="389">
        <f t="shared" ref="J12:J18" si="0">E12</f>
        <v>12.55</v>
      </c>
    </row>
    <row r="13" spans="1:254" s="255" customFormat="1">
      <c r="A13" s="326" t="s">
        <v>167</v>
      </c>
      <c r="B13" s="363" t="s">
        <v>280</v>
      </c>
      <c r="C13" s="367">
        <v>970</v>
      </c>
      <c r="D13" s="313">
        <v>76</v>
      </c>
      <c r="E13" s="375">
        <v>970</v>
      </c>
      <c r="F13" s="313">
        <v>76</v>
      </c>
      <c r="G13" s="312">
        <v>970</v>
      </c>
      <c r="H13" s="356">
        <v>76</v>
      </c>
      <c r="I13" s="373"/>
      <c r="J13" s="389">
        <f t="shared" si="0"/>
        <v>970</v>
      </c>
    </row>
    <row r="14" spans="1:254">
      <c r="A14" s="327" t="s">
        <v>179</v>
      </c>
      <c r="B14" s="362" t="s">
        <v>280</v>
      </c>
      <c r="C14" s="312">
        <v>212.79</v>
      </c>
      <c r="D14" s="314">
        <v>77</v>
      </c>
      <c r="E14" s="375">
        <v>229.9</v>
      </c>
      <c r="F14" s="314">
        <v>77</v>
      </c>
      <c r="G14" s="367">
        <v>259</v>
      </c>
      <c r="H14" s="355">
        <v>77</v>
      </c>
      <c r="I14" s="373">
        <v>446.66</v>
      </c>
      <c r="J14" s="389">
        <f t="shared" si="0"/>
        <v>229.9</v>
      </c>
    </row>
    <row r="15" spans="1:254" s="255" customFormat="1">
      <c r="A15" s="326" t="s">
        <v>100</v>
      </c>
      <c r="B15" s="363" t="s">
        <v>288</v>
      </c>
      <c r="C15" s="312">
        <f>118.75/20</f>
        <v>5.9375</v>
      </c>
      <c r="D15" s="313">
        <v>78</v>
      </c>
      <c r="E15" s="375">
        <v>9.4</v>
      </c>
      <c r="F15" s="313">
        <v>78</v>
      </c>
      <c r="G15" s="367">
        <v>10</v>
      </c>
      <c r="H15" s="356">
        <v>78</v>
      </c>
      <c r="I15" s="373"/>
      <c r="J15" s="389">
        <f t="shared" si="0"/>
        <v>9.4</v>
      </c>
    </row>
    <row r="16" spans="1:254" s="255" customFormat="1">
      <c r="A16" s="326" t="s">
        <v>99</v>
      </c>
      <c r="B16" s="363" t="s">
        <v>280</v>
      </c>
      <c r="C16" s="312">
        <f>36.34/50</f>
        <v>0.72680000000000011</v>
      </c>
      <c r="D16" s="313">
        <v>79</v>
      </c>
      <c r="E16" s="375">
        <v>0.76</v>
      </c>
      <c r="F16" s="313">
        <v>79</v>
      </c>
      <c r="G16" s="367">
        <f>13.44/12</f>
        <v>1.1199999999999999</v>
      </c>
      <c r="H16" s="356">
        <v>79</v>
      </c>
      <c r="I16" s="373">
        <v>3.14</v>
      </c>
      <c r="J16" s="389">
        <f t="shared" si="0"/>
        <v>0.76</v>
      </c>
      <c r="L16" s="367"/>
    </row>
    <row r="17" spans="1:10" ht="26.25">
      <c r="A17" s="392" t="s">
        <v>76</v>
      </c>
      <c r="B17" s="364" t="s">
        <v>77</v>
      </c>
      <c r="C17" s="367">
        <v>0.62</v>
      </c>
      <c r="D17" s="315">
        <v>80</v>
      </c>
      <c r="E17" s="312">
        <v>1.38</v>
      </c>
      <c r="F17" s="315">
        <v>80</v>
      </c>
      <c r="G17" s="312">
        <v>2</v>
      </c>
      <c r="H17" s="357">
        <v>80</v>
      </c>
      <c r="I17" s="373"/>
      <c r="J17" s="390">
        <f t="shared" si="0"/>
        <v>1.38</v>
      </c>
    </row>
    <row r="18" spans="1:10" ht="26.25" thickBot="1">
      <c r="A18" s="329" t="s">
        <v>161</v>
      </c>
      <c r="B18" s="365" t="s">
        <v>75</v>
      </c>
      <c r="C18" s="369">
        <v>18</v>
      </c>
      <c r="D18" s="331">
        <v>82</v>
      </c>
      <c r="E18" s="330">
        <v>20.93</v>
      </c>
      <c r="F18" s="331">
        <v>82</v>
      </c>
      <c r="G18" s="330">
        <v>24.9</v>
      </c>
      <c r="H18" s="358">
        <v>82</v>
      </c>
      <c r="I18" s="374"/>
      <c r="J18" s="391">
        <f t="shared" si="0"/>
        <v>20.93</v>
      </c>
    </row>
    <row r="20" spans="1:10" ht="15" customHeight="1">
      <c r="A20" s="594" t="s">
        <v>362</v>
      </c>
      <c r="B20" s="594"/>
      <c r="C20" s="594"/>
      <c r="D20" s="594"/>
      <c r="E20" s="594"/>
      <c r="F20" s="594"/>
      <c r="G20" s="594"/>
      <c r="H20" s="594"/>
      <c r="I20" s="594"/>
      <c r="J20" s="594"/>
    </row>
    <row r="21" spans="1:10">
      <c r="A21" s="594"/>
      <c r="B21" s="594"/>
      <c r="C21" s="594"/>
      <c r="D21" s="594"/>
      <c r="E21" s="594"/>
      <c r="F21" s="594"/>
      <c r="G21" s="594"/>
      <c r="H21" s="594"/>
      <c r="I21" s="594"/>
      <c r="J21" s="594"/>
    </row>
  </sheetData>
  <sheetProtection selectLockedCells="1" selectUnlockedCells="1"/>
  <mergeCells count="4">
    <mergeCell ref="A2:J2"/>
    <mergeCell ref="A1:J1"/>
    <mergeCell ref="A20:J21"/>
    <mergeCell ref="C3:H3"/>
  </mergeCells>
  <pageMargins left="0.78740157480314965" right="0.39370078740157483" top="1.0629921259842521" bottom="1.0629921259842521" header="0.78740157480314965" footer="0.78740157480314965"/>
  <pageSetup paperSize="9" scale="72" firstPageNumber="0" orientation="landscape" r:id="rId1"/>
  <headerFooter alignWithMargins="0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U64"/>
  <sheetViews>
    <sheetView topLeftCell="A40" zoomScale="130" zoomScaleNormal="130" workbookViewId="0">
      <selection activeCell="F56" sqref="F56"/>
    </sheetView>
  </sheetViews>
  <sheetFormatPr defaultColWidth="10.140625" defaultRowHeight="15"/>
  <cols>
    <col min="1" max="1" width="39" style="1" customWidth="1"/>
    <col min="2" max="2" width="5.5703125" style="2" customWidth="1"/>
    <col min="3" max="4" width="8.140625" style="1" bestFit="1" customWidth="1"/>
    <col min="5" max="5" width="11.28515625" style="1" customWidth="1"/>
    <col min="6" max="6" width="6.5703125" style="19" customWidth="1"/>
    <col min="7" max="7" width="8.28515625" style="2" customWidth="1"/>
    <col min="8" max="8" width="10.140625" style="1"/>
    <col min="9" max="10" width="0" style="3" hidden="1" customWidth="1"/>
    <col min="11" max="255" width="10.140625" style="1"/>
  </cols>
  <sheetData>
    <row r="1" spans="1:10" ht="15" customHeight="1">
      <c r="A1" s="598" t="s">
        <v>0</v>
      </c>
      <c r="B1" s="598"/>
      <c r="C1" s="598"/>
      <c r="D1" s="598"/>
      <c r="E1" s="598"/>
      <c r="F1" s="599" t="s">
        <v>140</v>
      </c>
      <c r="G1" s="599"/>
      <c r="H1" s="21"/>
    </row>
    <row r="2" spans="1:10" ht="9" customHeight="1">
      <c r="A2" s="598"/>
      <c r="B2" s="598"/>
      <c r="C2" s="598"/>
      <c r="D2" s="598"/>
      <c r="E2" s="598"/>
      <c r="F2" s="599"/>
      <c r="G2" s="599"/>
      <c r="H2" s="21"/>
    </row>
    <row r="3" spans="1:10" ht="31.5">
      <c r="A3" s="22" t="s">
        <v>1</v>
      </c>
      <c r="B3" s="22" t="s">
        <v>2</v>
      </c>
      <c r="C3" s="22" t="s">
        <v>3</v>
      </c>
      <c r="D3" s="22" t="s">
        <v>187</v>
      </c>
      <c r="E3" s="22" t="s">
        <v>5</v>
      </c>
      <c r="F3" s="23" t="s">
        <v>188</v>
      </c>
      <c r="G3" s="20" t="s">
        <v>189</v>
      </c>
      <c r="H3" s="21"/>
    </row>
    <row r="4" spans="1:10" ht="15.95" customHeight="1">
      <c r="A4" s="24" t="s">
        <v>6</v>
      </c>
      <c r="B4" s="25"/>
      <c r="C4" s="26"/>
      <c r="D4" s="27"/>
      <c r="E4" s="27">
        <f>SUM(E5:E7)</f>
        <v>10339.155726000001</v>
      </c>
      <c r="F4" s="28"/>
      <c r="G4" s="29"/>
      <c r="H4" s="21"/>
    </row>
    <row r="5" spans="1:10" ht="15.95" customHeight="1">
      <c r="A5" s="30" t="s">
        <v>7</v>
      </c>
      <c r="B5" s="31" t="s">
        <v>8</v>
      </c>
      <c r="C5" s="32">
        <v>2</v>
      </c>
      <c r="D5" s="33">
        <f>CPU!E9</f>
        <v>1947.2184629999999</v>
      </c>
      <c r="E5" s="33">
        <f>C5*D5</f>
        <v>3894.4369259999999</v>
      </c>
      <c r="F5" s="28"/>
      <c r="G5" s="34"/>
      <c r="H5" s="21"/>
      <c r="I5" s="3">
        <v>2002.7</v>
      </c>
      <c r="J5" s="3">
        <f t="shared" ref="J5:J41" si="0">I5/1.219</f>
        <v>1642.904019688269</v>
      </c>
    </row>
    <row r="6" spans="1:10" ht="15.95" customHeight="1">
      <c r="A6" s="30" t="s">
        <v>9</v>
      </c>
      <c r="B6" s="31" t="s">
        <v>10</v>
      </c>
      <c r="C6" s="32">
        <v>6</v>
      </c>
      <c r="D6" s="33">
        <f>CPU!E20</f>
        <v>274.1198</v>
      </c>
      <c r="E6" s="33">
        <f>C6*D6</f>
        <v>1644.7188000000001</v>
      </c>
      <c r="F6" s="28">
        <v>215.34</v>
      </c>
      <c r="G6" s="35" t="s">
        <v>190</v>
      </c>
      <c r="H6" s="21"/>
      <c r="I6" s="3">
        <v>293.56</v>
      </c>
      <c r="J6" s="3">
        <f t="shared" si="0"/>
        <v>240.82034454470877</v>
      </c>
    </row>
    <row r="7" spans="1:10" s="41" customFormat="1" ht="15.95" customHeight="1">
      <c r="A7" s="36" t="s">
        <v>11</v>
      </c>
      <c r="B7" s="37" t="s">
        <v>12</v>
      </c>
      <c r="C7" s="33">
        <v>12</v>
      </c>
      <c r="D7" s="33">
        <f>CPU!E27</f>
        <v>400</v>
      </c>
      <c r="E7" s="33">
        <f>C7*D7</f>
        <v>4800</v>
      </c>
      <c r="F7" s="28"/>
      <c r="G7" s="38"/>
      <c r="H7" s="39"/>
      <c r="I7" s="40">
        <v>178.31</v>
      </c>
      <c r="J7" s="40">
        <f t="shared" si="0"/>
        <v>146.27563576702215</v>
      </c>
    </row>
    <row r="8" spans="1:10" ht="15.95" customHeight="1">
      <c r="A8" s="24" t="s">
        <v>13</v>
      </c>
      <c r="B8" s="25"/>
      <c r="C8" s="26"/>
      <c r="D8" s="27"/>
      <c r="E8" s="27">
        <f>SUM(E9)</f>
        <v>63121.509551837167</v>
      </c>
      <c r="F8" s="28"/>
      <c r="G8" s="29"/>
      <c r="H8" s="21"/>
      <c r="J8" s="3">
        <f t="shared" si="0"/>
        <v>0</v>
      </c>
    </row>
    <row r="9" spans="1:10" ht="15.95" customHeight="1">
      <c r="A9" s="30" t="s">
        <v>14</v>
      </c>
      <c r="B9" s="31" t="s">
        <v>15</v>
      </c>
      <c r="C9" s="32">
        <v>12</v>
      </c>
      <c r="D9" s="33">
        <f>CPU!E37</f>
        <v>5260.1257959864306</v>
      </c>
      <c r="E9" s="33">
        <f>C9*D9</f>
        <v>63121.509551837167</v>
      </c>
      <c r="F9" s="28"/>
      <c r="G9" s="29"/>
      <c r="H9" s="21"/>
      <c r="I9" s="3">
        <v>51756.19</v>
      </c>
      <c r="J9" s="3">
        <f t="shared" si="0"/>
        <v>42457.90812141099</v>
      </c>
    </row>
    <row r="10" spans="1:10" ht="15.95" customHeight="1">
      <c r="A10" s="24" t="s">
        <v>16</v>
      </c>
      <c r="B10" s="25"/>
      <c r="C10" s="26"/>
      <c r="D10" s="27"/>
      <c r="E10" s="27" t="e">
        <f>SUM(E11:E12)</f>
        <v>#REF!</v>
      </c>
      <c r="F10" s="28"/>
      <c r="G10" s="29"/>
      <c r="H10" s="21"/>
      <c r="J10" s="3">
        <f t="shared" si="0"/>
        <v>0</v>
      </c>
    </row>
    <row r="11" spans="1:10" ht="15.95" customHeight="1">
      <c r="A11" s="30" t="s">
        <v>17</v>
      </c>
      <c r="B11" s="31" t="s">
        <v>10</v>
      </c>
      <c r="C11" s="32">
        <v>1900</v>
      </c>
      <c r="D11" s="33" t="e">
        <f>CPU!#REF!</f>
        <v>#REF!</v>
      </c>
      <c r="E11" s="33" t="e">
        <f>C11*D11</f>
        <v>#REF!</v>
      </c>
      <c r="F11" s="28">
        <v>0.21</v>
      </c>
      <c r="G11" s="29" t="s">
        <v>191</v>
      </c>
      <c r="H11" s="21"/>
      <c r="I11" s="3">
        <v>0.23</v>
      </c>
      <c r="J11" s="3">
        <f t="shared" si="0"/>
        <v>0.18867924528301885</v>
      </c>
    </row>
    <row r="12" spans="1:10" ht="15.95" customHeight="1">
      <c r="A12" s="30" t="s">
        <v>18</v>
      </c>
      <c r="B12" s="31" t="s">
        <v>10</v>
      </c>
      <c r="C12" s="32">
        <v>12168</v>
      </c>
      <c r="D12" s="33" t="e">
        <f>CPU!#REF!</f>
        <v>#REF!</v>
      </c>
      <c r="E12" s="33" t="e">
        <f>C12*D12</f>
        <v>#REF!</v>
      </c>
      <c r="F12" s="28">
        <v>0.46</v>
      </c>
      <c r="G12" s="29" t="s">
        <v>192</v>
      </c>
      <c r="H12" s="21"/>
      <c r="I12" s="3">
        <v>0.68</v>
      </c>
      <c r="J12" s="3">
        <f t="shared" si="0"/>
        <v>0.55783429040196886</v>
      </c>
    </row>
    <row r="13" spans="1:10" ht="15.95" customHeight="1">
      <c r="A13" s="24" t="s">
        <v>19</v>
      </c>
      <c r="B13" s="25"/>
      <c r="C13" s="26"/>
      <c r="D13" s="27"/>
      <c r="E13" s="27" t="e">
        <f>SUM(E14:E26)</f>
        <v>#REF!</v>
      </c>
      <c r="F13" s="28"/>
      <c r="G13" s="29"/>
      <c r="H13" s="21"/>
      <c r="J13" s="3">
        <f t="shared" si="0"/>
        <v>0</v>
      </c>
    </row>
    <row r="14" spans="1:10" ht="15.95" customHeight="1">
      <c r="A14" s="30" t="s">
        <v>20</v>
      </c>
      <c r="B14" s="31" t="s">
        <v>10</v>
      </c>
      <c r="C14" s="32">
        <v>23022.14</v>
      </c>
      <c r="D14" s="33">
        <f>CPU!E44</f>
        <v>3.9513599999999998</v>
      </c>
      <c r="E14" s="33">
        <f t="shared" ref="E14:E26" si="1">C14*D14</f>
        <v>90968.763110399988</v>
      </c>
      <c r="F14" s="28">
        <v>1.75</v>
      </c>
      <c r="G14" s="29" t="s">
        <v>193</v>
      </c>
      <c r="H14" s="21"/>
      <c r="I14" s="3">
        <v>3.55</v>
      </c>
      <c r="J14" s="3">
        <f t="shared" si="0"/>
        <v>2.9122231337161604</v>
      </c>
    </row>
    <row r="15" spans="1:10" ht="15.95" customHeight="1">
      <c r="A15" s="30" t="s">
        <v>21</v>
      </c>
      <c r="B15" s="31" t="s">
        <v>10</v>
      </c>
      <c r="C15" s="32">
        <v>23022.14</v>
      </c>
      <c r="D15" s="33" t="e">
        <f>CPU!#REF!</f>
        <v>#REF!</v>
      </c>
      <c r="E15" s="33" t="e">
        <f t="shared" si="1"/>
        <v>#REF!</v>
      </c>
      <c r="F15" s="28"/>
      <c r="G15" s="29"/>
      <c r="H15" s="21"/>
      <c r="I15" s="3">
        <v>4.22</v>
      </c>
      <c r="J15" s="3">
        <f t="shared" si="0"/>
        <v>3.4618539786710416</v>
      </c>
    </row>
    <row r="16" spans="1:10" ht="15.95" customHeight="1">
      <c r="A16" s="30" t="s">
        <v>194</v>
      </c>
      <c r="B16" s="31" t="s">
        <v>22</v>
      </c>
      <c r="C16" s="32" t="e">
        <f>PPU!#REF!</f>
        <v>#REF!</v>
      </c>
      <c r="D16" s="33" t="e">
        <f>CPU!#REF!</f>
        <v>#REF!</v>
      </c>
      <c r="E16" s="33" t="e">
        <f t="shared" si="1"/>
        <v>#REF!</v>
      </c>
      <c r="F16" s="28">
        <v>1.02</v>
      </c>
      <c r="G16" s="42">
        <v>72875</v>
      </c>
      <c r="H16" s="21"/>
      <c r="I16" s="3">
        <v>3.24</v>
      </c>
      <c r="J16" s="3">
        <f t="shared" si="0"/>
        <v>2.6579163248564397</v>
      </c>
    </row>
    <row r="17" spans="1:10" ht="15.95" customHeight="1">
      <c r="A17" s="30" t="s">
        <v>23</v>
      </c>
      <c r="B17" s="31" t="s">
        <v>10</v>
      </c>
      <c r="C17" s="32">
        <v>23022.14</v>
      </c>
      <c r="D17" s="33">
        <f>CPU!E52</f>
        <v>1.61195</v>
      </c>
      <c r="E17" s="33">
        <f t="shared" si="1"/>
        <v>37110.538572999998</v>
      </c>
      <c r="F17" s="28">
        <v>0.73</v>
      </c>
      <c r="G17" s="42">
        <v>73806</v>
      </c>
      <c r="H17" s="21"/>
      <c r="I17" s="3">
        <v>4.1562944101864003</v>
      </c>
      <c r="J17" s="3">
        <f t="shared" si="0"/>
        <v>3.4095934456000001</v>
      </c>
    </row>
    <row r="18" spans="1:10" ht="34.5">
      <c r="A18" s="30" t="s">
        <v>24</v>
      </c>
      <c r="B18" s="31" t="s">
        <v>25</v>
      </c>
      <c r="C18" s="32">
        <v>5978.3612149711498</v>
      </c>
      <c r="D18" s="33">
        <f>CPU!E64</f>
        <v>24.460545000000003</v>
      </c>
      <c r="E18" s="33">
        <f t="shared" si="1"/>
        <v>146233.9735250565</v>
      </c>
      <c r="F18" s="28" t="s">
        <v>195</v>
      </c>
      <c r="G18" s="42" t="s">
        <v>196</v>
      </c>
      <c r="H18" s="21"/>
      <c r="I18" s="3">
        <v>68.08</v>
      </c>
      <c r="J18" s="3">
        <f t="shared" si="0"/>
        <v>55.849056603773583</v>
      </c>
    </row>
    <row r="19" spans="1:10" ht="15.95" customHeight="1">
      <c r="A19" s="30" t="s">
        <v>197</v>
      </c>
      <c r="B19" s="31" t="s">
        <v>198</v>
      </c>
      <c r="C19" s="32">
        <v>16800</v>
      </c>
      <c r="D19" s="33">
        <f>CPU!E72</f>
        <v>2.3807999999999998</v>
      </c>
      <c r="E19" s="33">
        <f t="shared" si="1"/>
        <v>39997.439999999995</v>
      </c>
      <c r="F19" s="28"/>
      <c r="G19" s="42"/>
      <c r="H19" s="21"/>
      <c r="I19" s="3">
        <v>5.28</v>
      </c>
      <c r="J19" s="3">
        <f t="shared" si="0"/>
        <v>4.3314191960623463</v>
      </c>
    </row>
    <row r="20" spans="1:10" ht="21">
      <c r="A20" s="30" t="s">
        <v>28</v>
      </c>
      <c r="B20" s="31" t="s">
        <v>29</v>
      </c>
      <c r="C20" s="32">
        <v>799.19</v>
      </c>
      <c r="D20" s="33">
        <f>CPU!E81</f>
        <v>225.50785999999999</v>
      </c>
      <c r="E20" s="33">
        <f t="shared" si="1"/>
        <v>180223.62663340001</v>
      </c>
      <c r="F20" s="28">
        <v>103.03</v>
      </c>
      <c r="G20" s="42">
        <v>73616</v>
      </c>
      <c r="H20" s="21"/>
      <c r="I20" s="3">
        <v>183.59</v>
      </c>
      <c r="J20" s="3">
        <f t="shared" si="0"/>
        <v>150.60705496308449</v>
      </c>
    </row>
    <row r="21" spans="1:10" ht="23.25" customHeight="1">
      <c r="A21" s="30" t="s">
        <v>30</v>
      </c>
      <c r="B21" s="31" t="s">
        <v>29</v>
      </c>
      <c r="C21" s="32">
        <v>799.19</v>
      </c>
      <c r="D21" s="33">
        <f>CPU!E92</f>
        <v>380.54830499999997</v>
      </c>
      <c r="E21" s="33">
        <f t="shared" si="1"/>
        <v>304130.39987294999</v>
      </c>
      <c r="F21" s="28">
        <v>363.15</v>
      </c>
      <c r="G21" s="29" t="s">
        <v>199</v>
      </c>
      <c r="H21" s="21"/>
      <c r="I21" s="3">
        <v>568.76</v>
      </c>
      <c r="J21" s="3">
        <f t="shared" si="0"/>
        <v>466.57916324856438</v>
      </c>
    </row>
    <row r="22" spans="1:10" ht="21">
      <c r="A22" s="30" t="s">
        <v>31</v>
      </c>
      <c r="B22" s="31" t="s">
        <v>29</v>
      </c>
      <c r="C22" s="32">
        <v>1151.1099999999999</v>
      </c>
      <c r="D22" s="33">
        <f>CPU!E103</f>
        <v>380.54830499999997</v>
      </c>
      <c r="E22" s="33">
        <f t="shared" si="1"/>
        <v>438052.95936854993</v>
      </c>
      <c r="F22" s="28">
        <v>363.15</v>
      </c>
      <c r="G22" s="29" t="s">
        <v>199</v>
      </c>
      <c r="H22" s="21"/>
      <c r="I22" s="3">
        <v>568.76</v>
      </c>
      <c r="J22" s="3">
        <f t="shared" si="0"/>
        <v>466.57916324856438</v>
      </c>
    </row>
    <row r="23" spans="1:10" ht="21">
      <c r="A23" s="30" t="s">
        <v>32</v>
      </c>
      <c r="B23" s="31" t="s">
        <v>29</v>
      </c>
      <c r="C23" s="32">
        <v>1198.79</v>
      </c>
      <c r="D23" s="33">
        <f>CPU!E110</f>
        <v>46.256</v>
      </c>
      <c r="E23" s="33">
        <f t="shared" si="1"/>
        <v>55451.230239999997</v>
      </c>
      <c r="F23" s="43">
        <v>22.38</v>
      </c>
      <c r="G23" s="29" t="s">
        <v>200</v>
      </c>
      <c r="H23" s="21"/>
      <c r="I23" s="3">
        <v>24.92</v>
      </c>
      <c r="J23" s="3">
        <f t="shared" si="0"/>
        <v>20.44298605414274</v>
      </c>
    </row>
    <row r="24" spans="1:10" ht="21">
      <c r="A24" s="30" t="s">
        <v>33</v>
      </c>
      <c r="B24" s="31" t="s">
        <v>29</v>
      </c>
      <c r="C24" s="32">
        <v>693.16</v>
      </c>
      <c r="D24" s="33">
        <f>CPU!E121</f>
        <v>75.857199999999992</v>
      </c>
      <c r="E24" s="33">
        <f t="shared" si="1"/>
        <v>52581.176751999992</v>
      </c>
      <c r="F24" s="43">
        <v>62.69</v>
      </c>
      <c r="G24" s="42">
        <v>72914</v>
      </c>
      <c r="H24" s="21"/>
      <c r="I24" s="3">
        <v>140.68</v>
      </c>
      <c r="J24" s="3">
        <f t="shared" si="0"/>
        <v>115.40607054963084</v>
      </c>
    </row>
    <row r="25" spans="1:10" ht="21">
      <c r="A25" s="30" t="s">
        <v>34</v>
      </c>
      <c r="B25" s="31" t="s">
        <v>10</v>
      </c>
      <c r="C25" s="32">
        <v>21331.119999999999</v>
      </c>
      <c r="D25" s="33" t="e">
        <f>CPU!#REF!</f>
        <v>#REF!</v>
      </c>
      <c r="E25" s="33" t="e">
        <f t="shared" si="1"/>
        <v>#REF!</v>
      </c>
      <c r="F25" s="28">
        <v>31.92</v>
      </c>
      <c r="G25" s="29" t="s">
        <v>201</v>
      </c>
      <c r="H25" s="21"/>
      <c r="I25" s="3">
        <v>36.380000000000003</v>
      </c>
      <c r="J25" s="3">
        <f t="shared" si="0"/>
        <v>29.844134536505333</v>
      </c>
    </row>
    <row r="26" spans="1:10" ht="15.95" customHeight="1">
      <c r="A26" s="30" t="s">
        <v>35</v>
      </c>
      <c r="B26" s="31" t="s">
        <v>25</v>
      </c>
      <c r="C26" s="32">
        <v>19549.62</v>
      </c>
      <c r="D26" s="33" t="e">
        <f>CPU!#REF!</f>
        <v>#REF!</v>
      </c>
      <c r="E26" s="33" t="e">
        <f t="shared" si="1"/>
        <v>#REF!</v>
      </c>
      <c r="F26" s="28"/>
      <c r="G26" s="29"/>
      <c r="H26" s="21"/>
      <c r="I26" s="3">
        <v>8.39</v>
      </c>
      <c r="J26" s="3">
        <f t="shared" si="0"/>
        <v>6.8826907301066447</v>
      </c>
    </row>
    <row r="27" spans="1:10" ht="15.95" customHeight="1">
      <c r="A27" s="24" t="s">
        <v>36</v>
      </c>
      <c r="B27" s="25"/>
      <c r="C27" s="26"/>
      <c r="D27" s="27"/>
      <c r="E27" s="27">
        <f>SUM(E28)</f>
        <v>47846.971814345998</v>
      </c>
      <c r="F27" s="28"/>
      <c r="G27" s="29"/>
      <c r="H27" s="21"/>
      <c r="J27" s="3">
        <f t="shared" si="0"/>
        <v>0</v>
      </c>
    </row>
    <row r="28" spans="1:10" ht="15.95" customHeight="1">
      <c r="A28" s="30" t="s">
        <v>37</v>
      </c>
      <c r="B28" s="31" t="s">
        <v>29</v>
      </c>
      <c r="C28" s="32">
        <v>230</v>
      </c>
      <c r="D28" s="33">
        <f>CPU!E132</f>
        <v>208.03031223628693</v>
      </c>
      <c r="E28" s="33">
        <f>C28*D28</f>
        <v>47846.971814345998</v>
      </c>
      <c r="F28" s="28"/>
      <c r="G28" s="29"/>
      <c r="H28" s="21"/>
      <c r="I28" s="3">
        <v>189.99</v>
      </c>
      <c r="J28" s="3">
        <f t="shared" si="0"/>
        <v>155.85726004922066</v>
      </c>
    </row>
    <row r="29" spans="1:10" ht="15.95" customHeight="1">
      <c r="A29" s="24" t="s">
        <v>38</v>
      </c>
      <c r="B29" s="25"/>
      <c r="C29" s="26"/>
      <c r="D29" s="27"/>
      <c r="E29" s="27" t="e">
        <f>SUM(E30)</f>
        <v>#REF!</v>
      </c>
      <c r="F29" s="28"/>
      <c r="G29" s="29"/>
      <c r="H29" s="21"/>
      <c r="J29" s="3">
        <f t="shared" si="0"/>
        <v>0</v>
      </c>
    </row>
    <row r="30" spans="1:10" ht="15.95" customHeight="1">
      <c r="A30" s="30" t="s">
        <v>39</v>
      </c>
      <c r="B30" s="31" t="s">
        <v>29</v>
      </c>
      <c r="C30" s="32">
        <v>295</v>
      </c>
      <c r="D30" s="33" t="e">
        <f>CPU!#REF!</f>
        <v>#REF!</v>
      </c>
      <c r="E30" s="33" t="e">
        <f>C30*D30</f>
        <v>#REF!</v>
      </c>
      <c r="F30" s="33">
        <v>240.45</v>
      </c>
      <c r="G30" s="42">
        <v>6122</v>
      </c>
      <c r="H30" s="21"/>
      <c r="I30" s="3">
        <v>387.48</v>
      </c>
      <c r="J30" s="3">
        <f t="shared" si="0"/>
        <v>317.86710418375719</v>
      </c>
    </row>
    <row r="31" spans="1:10" ht="15.95" customHeight="1">
      <c r="A31" s="24" t="s">
        <v>40</v>
      </c>
      <c r="B31" s="25"/>
      <c r="C31" s="26"/>
      <c r="D31" s="27"/>
      <c r="E31" s="27" t="e">
        <f>SUM(E32)</f>
        <v>#REF!</v>
      </c>
      <c r="F31" s="28"/>
      <c r="G31" s="42"/>
      <c r="H31" s="21"/>
      <c r="J31" s="3">
        <f t="shared" si="0"/>
        <v>0</v>
      </c>
    </row>
    <row r="32" spans="1:10" ht="21">
      <c r="A32" s="30" t="s">
        <v>41</v>
      </c>
      <c r="B32" s="31" t="s">
        <v>29</v>
      </c>
      <c r="C32" s="32">
        <v>210.63</v>
      </c>
      <c r="D32" s="33" t="e">
        <f>CPU!#REF!</f>
        <v>#REF!</v>
      </c>
      <c r="E32" s="33" t="e">
        <f>C32*D32</f>
        <v>#REF!</v>
      </c>
      <c r="F32" s="28">
        <v>251.59</v>
      </c>
      <c r="G32" s="42">
        <v>73611</v>
      </c>
      <c r="H32" s="21"/>
      <c r="I32" s="3">
        <v>167.06</v>
      </c>
      <c r="J32" s="3">
        <f t="shared" si="0"/>
        <v>137.04675963904839</v>
      </c>
    </row>
    <row r="33" spans="1:10" ht="15.95" customHeight="1">
      <c r="A33" s="24" t="s">
        <v>42</v>
      </c>
      <c r="B33" s="25"/>
      <c r="C33" s="26"/>
      <c r="D33" s="27"/>
      <c r="E33" s="27">
        <f>SUM(E34:E36)</f>
        <v>139493.84298605411</v>
      </c>
      <c r="F33" s="28"/>
      <c r="G33" s="42"/>
      <c r="H33" s="21"/>
      <c r="J33" s="3">
        <f t="shared" si="0"/>
        <v>0</v>
      </c>
    </row>
    <row r="34" spans="1:10" ht="15.95" customHeight="1">
      <c r="A34" s="30" t="s">
        <v>43</v>
      </c>
      <c r="B34" s="31" t="s">
        <v>27</v>
      </c>
      <c r="C34" s="32">
        <v>480</v>
      </c>
      <c r="D34" s="33">
        <f>CPU!E139</f>
        <v>8.83</v>
      </c>
      <c r="E34" s="33">
        <f>C34*D34</f>
        <v>4238.3999999999996</v>
      </c>
      <c r="F34" s="28">
        <v>6.33</v>
      </c>
      <c r="G34" s="42">
        <v>73387</v>
      </c>
      <c r="H34" s="21"/>
      <c r="I34" s="3">
        <v>10.19</v>
      </c>
      <c r="J34" s="3">
        <f t="shared" si="0"/>
        <v>8.3593109105824439</v>
      </c>
    </row>
    <row r="35" spans="1:10" ht="15.95" customHeight="1">
      <c r="A35" s="30" t="s">
        <v>44</v>
      </c>
      <c r="B35" s="31" t="s">
        <v>27</v>
      </c>
      <c r="C35" s="32">
        <v>600</v>
      </c>
      <c r="D35" s="33">
        <f>CPU!E147</f>
        <v>123.125</v>
      </c>
      <c r="E35" s="33">
        <f>C35*D35</f>
        <v>73875</v>
      </c>
      <c r="F35" s="28"/>
      <c r="G35" s="42"/>
      <c r="H35" s="21"/>
      <c r="I35" s="3">
        <v>93.77</v>
      </c>
      <c r="J35" s="3">
        <f t="shared" si="0"/>
        <v>76.923707957342074</v>
      </c>
    </row>
    <row r="36" spans="1:10" ht="15.95" customHeight="1">
      <c r="A36" s="30" t="s">
        <v>45</v>
      </c>
      <c r="B36" s="31" t="s">
        <v>15</v>
      </c>
      <c r="C36" s="32">
        <v>12</v>
      </c>
      <c r="D36" s="33">
        <v>5115.03691550451</v>
      </c>
      <c r="E36" s="33">
        <f>C36*D36</f>
        <v>61380.44298605412</v>
      </c>
      <c r="F36" s="28"/>
      <c r="G36" s="42"/>
      <c r="H36" s="21"/>
      <c r="I36" s="3">
        <v>6235.23</v>
      </c>
      <c r="J36" s="3">
        <f t="shared" si="0"/>
        <v>5115.0369155045109</v>
      </c>
    </row>
    <row r="37" spans="1:10" ht="15.95" customHeight="1">
      <c r="A37" s="24" t="s">
        <v>46</v>
      </c>
      <c r="B37" s="25"/>
      <c r="C37" s="26"/>
      <c r="D37" s="27"/>
      <c r="E37" s="27" t="e">
        <f>SUM(E38:E41)</f>
        <v>#REF!</v>
      </c>
      <c r="F37" s="28"/>
      <c r="G37" s="29"/>
      <c r="H37" s="21"/>
      <c r="J37" s="3">
        <f t="shared" si="0"/>
        <v>0</v>
      </c>
    </row>
    <row r="38" spans="1:10" ht="15.95" customHeight="1">
      <c r="A38" s="30" t="s">
        <v>20</v>
      </c>
      <c r="B38" s="31" t="s">
        <v>10</v>
      </c>
      <c r="C38" s="32">
        <v>4180.75</v>
      </c>
      <c r="D38" s="33">
        <f>CPU!E44</f>
        <v>3.9513599999999998</v>
      </c>
      <c r="E38" s="33">
        <f>C38*D38</f>
        <v>16519.64832</v>
      </c>
      <c r="F38" s="28">
        <v>1.75</v>
      </c>
      <c r="G38" s="29" t="s">
        <v>193</v>
      </c>
      <c r="H38" s="21"/>
      <c r="I38" s="3">
        <v>3.55</v>
      </c>
      <c r="J38" s="3">
        <f t="shared" si="0"/>
        <v>2.9122231337161604</v>
      </c>
    </row>
    <row r="39" spans="1:10" ht="15.95" customHeight="1">
      <c r="A39" s="30" t="s">
        <v>23</v>
      </c>
      <c r="B39" s="31" t="s">
        <v>10</v>
      </c>
      <c r="C39" s="32">
        <v>4180.75</v>
      </c>
      <c r="D39" s="33">
        <f>CPU!E52</f>
        <v>1.61195</v>
      </c>
      <c r="E39" s="33">
        <f>C39*D39</f>
        <v>6739.1599624999999</v>
      </c>
      <c r="F39" s="28">
        <v>3.87</v>
      </c>
      <c r="G39" s="42">
        <v>73806</v>
      </c>
      <c r="H39" s="21"/>
      <c r="I39" s="3">
        <v>4.16</v>
      </c>
      <c r="J39" s="3">
        <f t="shared" si="0"/>
        <v>3.412633305988515</v>
      </c>
    </row>
    <row r="40" spans="1:10" ht="34.5">
      <c r="A40" s="30" t="s">
        <v>24</v>
      </c>
      <c r="B40" s="31" t="s">
        <v>25</v>
      </c>
      <c r="C40" s="32">
        <v>278.72000000000003</v>
      </c>
      <c r="D40" s="33">
        <f>CPU!E64</f>
        <v>24.460545000000003</v>
      </c>
      <c r="E40" s="33">
        <f>C40*D40</f>
        <v>6817.6431024000012</v>
      </c>
      <c r="F40" s="28" t="s">
        <v>195</v>
      </c>
      <c r="G40" s="42" t="s">
        <v>196</v>
      </c>
      <c r="H40" s="21"/>
      <c r="I40" s="3">
        <v>68.08</v>
      </c>
      <c r="J40" s="3">
        <f t="shared" si="0"/>
        <v>55.849056603773583</v>
      </c>
    </row>
    <row r="41" spans="1:10" ht="21">
      <c r="A41" s="30" t="s">
        <v>47</v>
      </c>
      <c r="B41" s="31" t="s">
        <v>10</v>
      </c>
      <c r="C41" s="32">
        <v>4180.75</v>
      </c>
      <c r="D41" s="33" t="e">
        <f>CPU!#REF!</f>
        <v>#REF!</v>
      </c>
      <c r="E41" s="33" t="e">
        <f>C41*D41</f>
        <v>#REF!</v>
      </c>
      <c r="F41" s="33">
        <v>163.01</v>
      </c>
      <c r="G41" s="44" t="s">
        <v>110</v>
      </c>
      <c r="H41" s="21"/>
      <c r="I41" s="3">
        <v>83.17</v>
      </c>
      <c r="J41" s="3">
        <f t="shared" si="0"/>
        <v>68.228055783429042</v>
      </c>
    </row>
    <row r="42" spans="1:10">
      <c r="A42" s="45"/>
      <c r="B42" s="600" t="s">
        <v>48</v>
      </c>
      <c r="C42" s="600"/>
      <c r="D42" s="601" t="e">
        <f>E4+E8+E10+E13+E27+E29+E31+E33+E37</f>
        <v>#REF!</v>
      </c>
      <c r="E42" s="601"/>
      <c r="F42" s="46"/>
      <c r="G42" s="47"/>
      <c r="H42" s="21"/>
    </row>
    <row r="43" spans="1:10">
      <c r="A43" s="21"/>
      <c r="B43" s="48"/>
      <c r="C43" s="21"/>
      <c r="D43" s="39"/>
      <c r="E43" s="39"/>
      <c r="F43" s="49"/>
      <c r="G43" s="48"/>
      <c r="H43" s="21"/>
    </row>
    <row r="44" spans="1:10">
      <c r="A44" s="50" t="s">
        <v>202</v>
      </c>
      <c r="B44" s="51"/>
      <c r="C44" s="52"/>
      <c r="D44" s="52"/>
      <c r="E44" s="52"/>
      <c r="F44" s="53"/>
      <c r="G44" s="51"/>
      <c r="H44" s="21"/>
    </row>
    <row r="45" spans="1:10">
      <c r="A45" s="52"/>
      <c r="B45" s="51"/>
      <c r="C45" s="52"/>
      <c r="D45" s="52"/>
      <c r="E45" s="52"/>
      <c r="F45" s="53"/>
      <c r="G45" s="51"/>
      <c r="H45" s="21"/>
    </row>
    <row r="46" spans="1:10">
      <c r="A46" s="602" t="s">
        <v>0</v>
      </c>
      <c r="B46" s="602"/>
      <c r="C46" s="602"/>
      <c r="D46" s="602"/>
      <c r="E46" s="602"/>
      <c r="F46" s="603" t="s">
        <v>140</v>
      </c>
      <c r="G46" s="603"/>
      <c r="H46" s="21"/>
    </row>
    <row r="47" spans="1:10">
      <c r="A47" s="602"/>
      <c r="B47" s="602"/>
      <c r="C47" s="602"/>
      <c r="D47" s="602"/>
      <c r="E47" s="602"/>
      <c r="F47" s="603"/>
      <c r="G47" s="603"/>
      <c r="H47" s="21"/>
    </row>
    <row r="48" spans="1:10" ht="31.5">
      <c r="A48" s="22" t="s">
        <v>1</v>
      </c>
      <c r="B48" s="22" t="s">
        <v>2</v>
      </c>
      <c r="C48" s="22" t="s">
        <v>3</v>
      </c>
      <c r="D48" s="22" t="s">
        <v>187</v>
      </c>
      <c r="E48" s="22" t="s">
        <v>5</v>
      </c>
      <c r="F48" s="55" t="s">
        <v>188</v>
      </c>
      <c r="G48" s="54" t="s">
        <v>189</v>
      </c>
      <c r="H48" s="21"/>
    </row>
    <row r="49" spans="1:8" ht="34.5">
      <c r="A49" s="11" t="s">
        <v>203</v>
      </c>
      <c r="B49" s="56" t="s">
        <v>105</v>
      </c>
      <c r="C49" s="57"/>
      <c r="D49" s="58">
        <f>CPU!E165</f>
        <v>32.090000000000003</v>
      </c>
      <c r="E49" s="59"/>
      <c r="F49" s="10">
        <v>39.9</v>
      </c>
      <c r="G49" s="60">
        <v>5903</v>
      </c>
      <c r="H49" s="21"/>
    </row>
    <row r="50" spans="1:8" ht="34.5">
      <c r="A50" s="11" t="s">
        <v>203</v>
      </c>
      <c r="B50" s="56" t="s">
        <v>83</v>
      </c>
      <c r="C50" s="57"/>
      <c r="D50" s="58">
        <f>CPU!E176</f>
        <v>139.19</v>
      </c>
      <c r="E50" s="59"/>
      <c r="F50" s="10">
        <v>101.56</v>
      </c>
      <c r="G50" s="60">
        <v>5901</v>
      </c>
      <c r="H50" s="21"/>
    </row>
    <row r="51" spans="1:8" ht="23.25">
      <c r="A51" s="11" t="s">
        <v>204</v>
      </c>
      <c r="B51" s="61" t="s">
        <v>29</v>
      </c>
      <c r="C51" s="59"/>
      <c r="D51" s="58">
        <f>CPU!E184</f>
        <v>15.735060000000001</v>
      </c>
      <c r="E51" s="59"/>
      <c r="F51" s="62">
        <v>11.99</v>
      </c>
      <c r="G51" s="61" t="s">
        <v>205</v>
      </c>
      <c r="H51" s="21"/>
    </row>
    <row r="52" spans="1:8">
      <c r="A52" s="11" t="s">
        <v>206</v>
      </c>
      <c r="B52" s="61" t="s">
        <v>15</v>
      </c>
      <c r="C52" s="57"/>
      <c r="D52" s="58">
        <f>CPU!E196</f>
        <v>411.04266666666672</v>
      </c>
      <c r="E52" s="59"/>
      <c r="F52" s="62"/>
      <c r="G52" s="61"/>
      <c r="H52" s="21"/>
    </row>
    <row r="53" spans="1:8">
      <c r="A53" s="11" t="s">
        <v>207</v>
      </c>
      <c r="B53" s="61" t="s">
        <v>15</v>
      </c>
      <c r="C53" s="57"/>
      <c r="D53" s="58">
        <f>CPU!E208</f>
        <v>372.7631293197644</v>
      </c>
      <c r="E53" s="59"/>
      <c r="F53" s="62"/>
      <c r="G53" s="61"/>
      <c r="H53" s="21"/>
    </row>
    <row r="54" spans="1:8">
      <c r="A54" s="11" t="s">
        <v>208</v>
      </c>
      <c r="B54" s="61" t="s">
        <v>15</v>
      </c>
      <c r="C54" s="57"/>
      <c r="D54" s="58">
        <f>CPU!E216</f>
        <v>4476.32</v>
      </c>
      <c r="E54" s="59"/>
      <c r="F54" s="62"/>
      <c r="G54" s="61"/>
      <c r="H54" s="21"/>
    </row>
    <row r="55" spans="1:8">
      <c r="A55" s="11" t="s">
        <v>209</v>
      </c>
      <c r="B55" s="61" t="s">
        <v>15</v>
      </c>
      <c r="C55" s="57"/>
      <c r="D55" s="58">
        <f>CPU!E226</f>
        <v>20.330833333333334</v>
      </c>
      <c r="E55" s="59"/>
      <c r="F55" s="62"/>
      <c r="G55" s="61"/>
      <c r="H55" s="21"/>
    </row>
    <row r="56" spans="1:8" ht="23.25">
      <c r="A56" s="11" t="s">
        <v>210</v>
      </c>
      <c r="B56" s="61" t="s">
        <v>29</v>
      </c>
      <c r="C56" s="57"/>
      <c r="D56" s="58">
        <f>CPU!E237</f>
        <v>300.87569999999999</v>
      </c>
      <c r="E56" s="59"/>
      <c r="F56" s="62">
        <v>359.69</v>
      </c>
      <c r="G56" s="63" t="s">
        <v>97</v>
      </c>
      <c r="H56" s="21"/>
    </row>
    <row r="57" spans="1:8">
      <c r="A57" s="11" t="s">
        <v>211</v>
      </c>
      <c r="B57" s="61" t="s">
        <v>29</v>
      </c>
      <c r="C57" s="57"/>
      <c r="D57" s="58" t="e">
        <f>CPU!#REF!</f>
        <v>#REF!</v>
      </c>
      <c r="E57" s="59"/>
      <c r="F57" s="10">
        <v>6.83</v>
      </c>
      <c r="G57" s="63" t="s">
        <v>143</v>
      </c>
      <c r="H57" s="21"/>
    </row>
    <row r="58" spans="1:8">
      <c r="A58" s="11" t="s">
        <v>212</v>
      </c>
      <c r="B58" s="61" t="s">
        <v>83</v>
      </c>
      <c r="C58" s="57"/>
      <c r="D58" s="58" t="e">
        <f>CPU!#REF!</f>
        <v>#REF!</v>
      </c>
      <c r="E58" s="59"/>
      <c r="F58" s="62"/>
      <c r="G58" s="61" t="s">
        <v>213</v>
      </c>
      <c r="H58" s="21"/>
    </row>
    <row r="59" spans="1:8" ht="23.25">
      <c r="A59" s="11" t="s">
        <v>214</v>
      </c>
      <c r="B59" s="56" t="s">
        <v>29</v>
      </c>
      <c r="C59" s="59"/>
      <c r="D59" s="58">
        <f>CPU!E244</f>
        <v>47.04</v>
      </c>
      <c r="E59" s="59"/>
      <c r="F59" s="62">
        <v>24.48</v>
      </c>
      <c r="G59" s="61" t="s">
        <v>215</v>
      </c>
      <c r="H59" s="21"/>
    </row>
    <row r="60" spans="1:8">
      <c r="A60" s="11" t="s">
        <v>216</v>
      </c>
      <c r="B60" s="64" t="s">
        <v>10</v>
      </c>
      <c r="C60" s="65"/>
      <c r="D60" s="66">
        <f>CPU!E252</f>
        <v>1.61195</v>
      </c>
      <c r="E60" s="65"/>
      <c r="F60" s="67"/>
      <c r="G60" s="68" t="s">
        <v>217</v>
      </c>
      <c r="H60" s="21"/>
    </row>
    <row r="61" spans="1:8">
      <c r="A61" s="11" t="s">
        <v>126</v>
      </c>
      <c r="B61" s="29" t="s">
        <v>218</v>
      </c>
      <c r="C61" s="69"/>
      <c r="D61" s="69">
        <f>CPU!E261</f>
        <v>85.425000000000011</v>
      </c>
      <c r="E61" s="69"/>
      <c r="F61" s="70"/>
      <c r="G61" s="29"/>
      <c r="H61" s="21"/>
    </row>
    <row r="62" spans="1:8">
      <c r="A62" s="11" t="s">
        <v>127</v>
      </c>
      <c r="B62" s="29" t="s">
        <v>15</v>
      </c>
      <c r="C62" s="69"/>
      <c r="D62" s="69">
        <f>CPU!E268</f>
        <v>39.9</v>
      </c>
      <c r="E62" s="69"/>
      <c r="F62" s="70"/>
      <c r="G62" s="29"/>
      <c r="H62" s="21"/>
    </row>
    <row r="63" spans="1:8">
      <c r="A63" s="11" t="s">
        <v>124</v>
      </c>
      <c r="B63" s="29" t="s">
        <v>15</v>
      </c>
      <c r="C63" s="69"/>
      <c r="D63" s="69">
        <f>CPU!E275</f>
        <v>185.274</v>
      </c>
      <c r="E63" s="69"/>
      <c r="F63" s="70"/>
      <c r="G63" s="29"/>
      <c r="H63" s="21"/>
    </row>
    <row r="64" spans="1:8">
      <c r="A64" s="11" t="s">
        <v>153</v>
      </c>
      <c r="B64" s="29" t="s">
        <v>29</v>
      </c>
      <c r="C64" s="69"/>
      <c r="D64" s="69" t="e">
        <f>CPU!#REF!</f>
        <v>#REF!</v>
      </c>
      <c r="E64" s="69"/>
      <c r="F64" s="70">
        <v>334.59</v>
      </c>
      <c r="G64" s="42">
        <v>73449</v>
      </c>
      <c r="H64" s="21"/>
    </row>
  </sheetData>
  <sheetProtection selectLockedCells="1" selectUnlockedCells="1"/>
  <mergeCells count="6">
    <mergeCell ref="A1:E2"/>
    <mergeCell ref="F1:G2"/>
    <mergeCell ref="B42:C42"/>
    <mergeCell ref="D42:E42"/>
    <mergeCell ref="A46:E47"/>
    <mergeCell ref="F46:G47"/>
  </mergeCells>
  <pageMargins left="0.52986111111111112" right="0.47013888888888888" top="0.75" bottom="0.70972222222222225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H94"/>
  <sheetViews>
    <sheetView topLeftCell="A70" zoomScale="90" zoomScaleNormal="90" workbookViewId="0">
      <selection activeCell="B102" sqref="B102"/>
    </sheetView>
  </sheetViews>
  <sheetFormatPr defaultColWidth="10.140625" defaultRowHeight="14.25"/>
  <cols>
    <col min="1" max="1" width="10.140625" style="71"/>
    <col min="2" max="2" width="32.7109375" style="71" customWidth="1"/>
    <col min="3" max="3" width="17.28515625" style="71" customWidth="1"/>
    <col min="4" max="4" width="9.5703125" style="71" customWidth="1"/>
    <col min="5" max="5" width="7.5703125" style="71" customWidth="1"/>
    <col min="6" max="6" width="12.28515625" style="71" customWidth="1"/>
    <col min="7" max="16384" width="10.140625" style="71"/>
  </cols>
  <sheetData>
    <row r="2" spans="2:6">
      <c r="B2" s="604" t="s">
        <v>219</v>
      </c>
      <c r="C2" s="604"/>
      <c r="D2" s="604"/>
      <c r="E2" s="604"/>
      <c r="F2" s="604"/>
    </row>
    <row r="3" spans="2:6">
      <c r="B3" s="72"/>
      <c r="C3" s="72"/>
      <c r="D3" s="72"/>
      <c r="E3" s="72"/>
      <c r="F3" s="72"/>
    </row>
    <row r="4" spans="2:6" ht="15" customHeight="1">
      <c r="B4" s="604" t="s">
        <v>220</v>
      </c>
      <c r="C4" s="604"/>
      <c r="D4" s="604"/>
      <c r="E4" s="604" t="s">
        <v>221</v>
      </c>
      <c r="F4" s="604"/>
    </row>
    <row r="5" spans="2:6">
      <c r="B5" s="72"/>
      <c r="C5" s="72"/>
      <c r="D5" s="72"/>
      <c r="E5" s="72"/>
      <c r="F5" s="72"/>
    </row>
    <row r="6" spans="2:6" s="73" customFormat="1">
      <c r="B6" s="74" t="s">
        <v>222</v>
      </c>
      <c r="C6" s="74" t="s">
        <v>223</v>
      </c>
      <c r="D6" s="74" t="s">
        <v>224</v>
      </c>
      <c r="E6" s="74" t="s">
        <v>225</v>
      </c>
      <c r="F6" s="74" t="s">
        <v>226</v>
      </c>
    </row>
    <row r="7" spans="2:6" s="73" customFormat="1">
      <c r="B7" s="75"/>
      <c r="C7" s="75"/>
      <c r="D7" s="75" t="s">
        <v>227</v>
      </c>
      <c r="E7" s="75"/>
      <c r="F7" s="75" t="s">
        <v>228</v>
      </c>
    </row>
    <row r="9" spans="2:6" ht="15" customHeight="1">
      <c r="B9" s="605" t="s">
        <v>229</v>
      </c>
      <c r="C9" s="605"/>
      <c r="D9" s="605"/>
      <c r="E9" s="605"/>
      <c r="F9" s="76" t="s">
        <v>230</v>
      </c>
    </row>
    <row r="10" spans="2:6" ht="15" customHeight="1">
      <c r="B10" s="606" t="s">
        <v>231</v>
      </c>
      <c r="C10" s="606"/>
      <c r="D10" s="606"/>
      <c r="E10" s="606"/>
      <c r="F10" s="77">
        <v>0</v>
      </c>
    </row>
    <row r="11" spans="2:6" ht="15" customHeight="1">
      <c r="B11" s="607" t="s">
        <v>232</v>
      </c>
      <c r="C11" s="607"/>
      <c r="D11" s="607"/>
      <c r="E11" s="607"/>
      <c r="F11" s="78">
        <v>0.2</v>
      </c>
    </row>
    <row r="12" spans="2:6" ht="15" customHeight="1">
      <c r="B12" s="607" t="s">
        <v>233</v>
      </c>
      <c r="C12" s="607"/>
      <c r="D12" s="607"/>
      <c r="E12" s="607"/>
      <c r="F12" s="78">
        <v>0.08</v>
      </c>
    </row>
    <row r="13" spans="2:6" ht="15" customHeight="1">
      <c r="B13" s="607" t="s">
        <v>234</v>
      </c>
      <c r="C13" s="607"/>
      <c r="D13" s="607"/>
      <c r="E13" s="607"/>
      <c r="F13" s="78">
        <v>2E-3</v>
      </c>
    </row>
    <row r="14" spans="2:6" ht="15" customHeight="1">
      <c r="B14" s="607" t="s">
        <v>235</v>
      </c>
      <c r="C14" s="607"/>
      <c r="D14" s="607"/>
      <c r="E14" s="607"/>
      <c r="F14" s="78">
        <v>2.5000000000000001E-2</v>
      </c>
    </row>
    <row r="15" spans="2:6" ht="15" customHeight="1">
      <c r="B15" s="607" t="s">
        <v>236</v>
      </c>
      <c r="C15" s="607"/>
      <c r="D15" s="607"/>
      <c r="E15" s="607"/>
      <c r="F15" s="78">
        <v>6.0000000000000001E-3</v>
      </c>
    </row>
    <row r="16" spans="2:6" ht="15" customHeight="1">
      <c r="B16" s="607" t="s">
        <v>237</v>
      </c>
      <c r="C16" s="607"/>
      <c r="D16" s="607"/>
      <c r="E16" s="607"/>
      <c r="F16" s="78">
        <v>0.03</v>
      </c>
    </row>
    <row r="17" spans="2:6" ht="15" customHeight="1">
      <c r="B17" s="607" t="s">
        <v>238</v>
      </c>
      <c r="C17" s="607"/>
      <c r="D17" s="607"/>
      <c r="E17" s="607"/>
      <c r="F17" s="78">
        <v>0.01</v>
      </c>
    </row>
    <row r="18" spans="2:6" ht="15" customHeight="1">
      <c r="B18" s="608" t="s">
        <v>239</v>
      </c>
      <c r="C18" s="608"/>
      <c r="D18" s="608"/>
      <c r="E18" s="608"/>
      <c r="F18" s="79">
        <v>1.4999999999999999E-2</v>
      </c>
    </row>
    <row r="19" spans="2:6" ht="15" customHeight="1">
      <c r="B19" s="605" t="s">
        <v>240</v>
      </c>
      <c r="C19" s="605"/>
      <c r="D19" s="605"/>
      <c r="E19" s="605"/>
      <c r="F19" s="80">
        <f>ROUND(SUM(F10:F18),4)</f>
        <v>0.36799999999999999</v>
      </c>
    </row>
    <row r="21" spans="2:6" ht="15" customHeight="1">
      <c r="B21" s="605" t="s">
        <v>241</v>
      </c>
      <c r="C21" s="605"/>
      <c r="D21" s="605"/>
      <c r="E21" s="605"/>
      <c r="F21" s="76" t="s">
        <v>230</v>
      </c>
    </row>
    <row r="22" spans="2:6" ht="15" customHeight="1">
      <c r="B22" s="609" t="s">
        <v>242</v>
      </c>
      <c r="C22" s="609"/>
      <c r="D22" s="609"/>
      <c r="E22" s="609"/>
      <c r="F22" s="81">
        <v>8.2199999999999995E-2</v>
      </c>
    </row>
    <row r="23" spans="2:6" ht="15" customHeight="1">
      <c r="B23" s="605" t="s">
        <v>243</v>
      </c>
      <c r="C23" s="605"/>
      <c r="D23" s="605"/>
      <c r="E23" s="605"/>
      <c r="F23" s="80">
        <f>ROUND(SUM(F22:F22),4)</f>
        <v>8.2199999999999995E-2</v>
      </c>
    </row>
    <row r="25" spans="2:6" ht="15" customHeight="1">
      <c r="B25" s="605" t="s">
        <v>244</v>
      </c>
      <c r="C25" s="605"/>
      <c r="D25" s="605"/>
      <c r="E25" s="605"/>
      <c r="F25" s="76" t="s">
        <v>230</v>
      </c>
    </row>
    <row r="26" spans="2:6" ht="15" customHeight="1">
      <c r="B26" s="609" t="s">
        <v>245</v>
      </c>
      <c r="C26" s="609"/>
      <c r="D26" s="609"/>
      <c r="E26" s="609"/>
      <c r="F26" s="82">
        <v>4.3299999999999998E-2</v>
      </c>
    </row>
    <row r="27" spans="2:6" ht="15" customHeight="1">
      <c r="B27" s="609" t="s">
        <v>246</v>
      </c>
      <c r="C27" s="609"/>
      <c r="D27" s="609"/>
      <c r="E27" s="609"/>
      <c r="F27" s="82">
        <v>0.10929999999999999</v>
      </c>
    </row>
    <row r="28" spans="2:6" ht="15" customHeight="1">
      <c r="B28" s="609" t="s">
        <v>247</v>
      </c>
      <c r="C28" s="609"/>
      <c r="D28" s="609"/>
      <c r="E28" s="609"/>
      <c r="F28" s="77">
        <v>0.10199999999999999</v>
      </c>
    </row>
    <row r="29" spans="2:6" ht="15" customHeight="1">
      <c r="B29" s="605" t="s">
        <v>248</v>
      </c>
      <c r="C29" s="605"/>
      <c r="D29" s="605"/>
      <c r="E29" s="605"/>
      <c r="F29" s="80">
        <f>ROUND(SUM(F26:F28),4)</f>
        <v>0.25459999999999999</v>
      </c>
    </row>
    <row r="31" spans="2:6" ht="15" customHeight="1">
      <c r="B31" s="605" t="s">
        <v>249</v>
      </c>
      <c r="C31" s="605"/>
      <c r="D31" s="605"/>
      <c r="E31" s="605"/>
      <c r="F31" s="76" t="s">
        <v>230</v>
      </c>
    </row>
    <row r="32" spans="2:6" ht="15" customHeight="1">
      <c r="B32" s="605" t="s">
        <v>250</v>
      </c>
      <c r="C32" s="605"/>
      <c r="D32" s="605"/>
      <c r="E32" s="605"/>
      <c r="F32" s="82">
        <v>3.0200000000000001E-2</v>
      </c>
    </row>
    <row r="33" spans="2:6" ht="15" customHeight="1">
      <c r="B33" s="605" t="s">
        <v>251</v>
      </c>
      <c r="C33" s="605"/>
      <c r="D33" s="605"/>
      <c r="E33" s="605"/>
      <c r="F33" s="77">
        <v>8.2000000000000007E-3</v>
      </c>
    </row>
    <row r="34" spans="2:6" ht="15" customHeight="1">
      <c r="B34" s="605" t="s">
        <v>252</v>
      </c>
      <c r="C34" s="605"/>
      <c r="D34" s="605"/>
      <c r="E34" s="605"/>
      <c r="F34" s="80">
        <f>ROUND(SUM(F32:F33),4)</f>
        <v>3.8399999999999997E-2</v>
      </c>
    </row>
    <row r="36" spans="2:6" ht="15" customHeight="1">
      <c r="B36" s="610" t="s">
        <v>253</v>
      </c>
      <c r="C36" s="610"/>
      <c r="D36" s="610"/>
      <c r="E36" s="610"/>
      <c r="F36" s="83">
        <f>F19+F23+F29+F34</f>
        <v>0.74319999999999997</v>
      </c>
    </row>
    <row r="38" spans="2:6" ht="30" customHeight="1">
      <c r="B38" s="84" t="s">
        <v>254</v>
      </c>
      <c r="C38" s="85"/>
      <c r="D38" s="86" t="s">
        <v>255</v>
      </c>
      <c r="E38" s="611" t="s">
        <v>256</v>
      </c>
      <c r="F38" s="611"/>
    </row>
    <row r="39" spans="2:6" ht="15.75" customHeight="1">
      <c r="B39" s="87"/>
      <c r="C39" s="88"/>
      <c r="D39" s="87" t="s">
        <v>257</v>
      </c>
      <c r="E39" s="611"/>
      <c r="F39" s="611"/>
    </row>
    <row r="40" spans="2:6" ht="15" customHeight="1">
      <c r="B40" s="89" t="s">
        <v>258</v>
      </c>
      <c r="C40" s="612" t="s">
        <v>259</v>
      </c>
      <c r="D40" s="612"/>
      <c r="E40" s="611"/>
      <c r="F40" s="611"/>
    </row>
    <row r="41" spans="2:6" ht="15" customHeight="1">
      <c r="B41" s="89"/>
      <c r="C41" s="89"/>
      <c r="D41" s="90"/>
      <c r="E41" s="611"/>
      <c r="F41" s="611"/>
    </row>
    <row r="42" spans="2:6" ht="15.75" customHeight="1">
      <c r="B42" s="91"/>
      <c r="C42" s="91"/>
      <c r="D42" s="92"/>
      <c r="E42" s="611"/>
      <c r="F42" s="611"/>
    </row>
    <row r="50" spans="1:6">
      <c r="B50" s="604" t="s">
        <v>219</v>
      </c>
      <c r="C50" s="604"/>
      <c r="D50" s="604"/>
      <c r="E50" s="604"/>
      <c r="F50" s="604"/>
    </row>
    <row r="51" spans="1:6">
      <c r="B51" s="72"/>
      <c r="C51" s="72"/>
      <c r="D51" s="72"/>
      <c r="E51" s="72"/>
      <c r="F51" s="72"/>
    </row>
    <row r="52" spans="1:6">
      <c r="B52" s="604" t="s">
        <v>260</v>
      </c>
      <c r="C52" s="604"/>
      <c r="D52" s="604"/>
      <c r="E52" s="604" t="s">
        <v>221</v>
      </c>
      <c r="F52" s="604"/>
    </row>
    <row r="53" spans="1:6">
      <c r="B53" s="72"/>
      <c r="C53" s="72"/>
      <c r="D53" s="72"/>
      <c r="E53" s="72"/>
      <c r="F53" s="72"/>
    </row>
    <row r="54" spans="1:6">
      <c r="A54" s="73"/>
      <c r="B54" s="74" t="s">
        <v>222</v>
      </c>
      <c r="C54" s="74" t="s">
        <v>223</v>
      </c>
      <c r="D54" s="74" t="s">
        <v>224</v>
      </c>
      <c r="E54" s="74" t="s">
        <v>225</v>
      </c>
      <c r="F54" s="74" t="s">
        <v>226</v>
      </c>
    </row>
    <row r="55" spans="1:6">
      <c r="A55" s="73"/>
      <c r="B55" s="75"/>
      <c r="C55" s="75"/>
      <c r="D55" s="75" t="s">
        <v>227</v>
      </c>
      <c r="E55" s="75"/>
      <c r="F55" s="75" t="s">
        <v>228</v>
      </c>
    </row>
    <row r="57" spans="1:6">
      <c r="B57" s="605" t="s">
        <v>229</v>
      </c>
      <c r="C57" s="605"/>
      <c r="D57" s="605"/>
      <c r="E57" s="605"/>
      <c r="F57" s="76" t="s">
        <v>230</v>
      </c>
    </row>
    <row r="58" spans="1:6">
      <c r="B58" s="606" t="s">
        <v>231</v>
      </c>
      <c r="C58" s="606"/>
      <c r="D58" s="606"/>
      <c r="E58" s="606"/>
      <c r="F58" s="77">
        <v>0</v>
      </c>
    </row>
    <row r="59" spans="1:6">
      <c r="B59" s="607" t="s">
        <v>232</v>
      </c>
      <c r="C59" s="607"/>
      <c r="D59" s="607"/>
      <c r="E59" s="607"/>
      <c r="F59" s="78">
        <v>0.2</v>
      </c>
    </row>
    <row r="60" spans="1:6">
      <c r="B60" s="607" t="s">
        <v>233</v>
      </c>
      <c r="C60" s="607"/>
      <c r="D60" s="607"/>
      <c r="E60" s="607"/>
      <c r="F60" s="78">
        <v>0.08</v>
      </c>
    </row>
    <row r="61" spans="1:6">
      <c r="B61" s="607" t="s">
        <v>234</v>
      </c>
      <c r="C61" s="607"/>
      <c r="D61" s="607"/>
      <c r="E61" s="607"/>
      <c r="F61" s="78">
        <v>2E-3</v>
      </c>
    </row>
    <row r="62" spans="1:6">
      <c r="B62" s="607" t="s">
        <v>235</v>
      </c>
      <c r="C62" s="607"/>
      <c r="D62" s="607"/>
      <c r="E62" s="607"/>
      <c r="F62" s="78">
        <v>2.5000000000000001E-2</v>
      </c>
    </row>
    <row r="63" spans="1:6">
      <c r="B63" s="607" t="s">
        <v>236</v>
      </c>
      <c r="C63" s="607"/>
      <c r="D63" s="607"/>
      <c r="E63" s="607"/>
      <c r="F63" s="78">
        <v>6.0000000000000001E-3</v>
      </c>
    </row>
    <row r="64" spans="1:6">
      <c r="B64" s="607" t="s">
        <v>237</v>
      </c>
      <c r="C64" s="607"/>
      <c r="D64" s="607"/>
      <c r="E64" s="607"/>
      <c r="F64" s="78">
        <v>0.03</v>
      </c>
    </row>
    <row r="65" spans="2:6">
      <c r="B65" s="607" t="s">
        <v>238</v>
      </c>
      <c r="C65" s="607"/>
      <c r="D65" s="607"/>
      <c r="E65" s="607"/>
      <c r="F65" s="78">
        <v>0.01</v>
      </c>
    </row>
    <row r="66" spans="2:6">
      <c r="B66" s="608" t="s">
        <v>239</v>
      </c>
      <c r="C66" s="608"/>
      <c r="D66" s="608"/>
      <c r="E66" s="608"/>
      <c r="F66" s="79">
        <v>1.4999999999999999E-2</v>
      </c>
    </row>
    <row r="67" spans="2:6">
      <c r="B67" s="605" t="s">
        <v>240</v>
      </c>
      <c r="C67" s="605"/>
      <c r="D67" s="605"/>
      <c r="E67" s="605"/>
      <c r="F67" s="80">
        <f>ROUND(SUM(F58:F66),4)</f>
        <v>0.36799999999999999</v>
      </c>
    </row>
    <row r="69" spans="2:6">
      <c r="B69" s="605" t="s">
        <v>241</v>
      </c>
      <c r="C69" s="605"/>
      <c r="D69" s="605"/>
      <c r="E69" s="605"/>
      <c r="F69" s="76" t="s">
        <v>230</v>
      </c>
    </row>
    <row r="70" spans="2:6">
      <c r="B70" s="609" t="s">
        <v>261</v>
      </c>
      <c r="C70" s="609"/>
      <c r="D70" s="609"/>
      <c r="E70" s="609"/>
      <c r="F70" s="81">
        <v>0.22900000000000001</v>
      </c>
    </row>
    <row r="71" spans="2:6">
      <c r="B71" s="609" t="s">
        <v>262</v>
      </c>
      <c r="C71" s="609"/>
      <c r="D71" s="609"/>
      <c r="E71" s="609"/>
      <c r="F71" s="81">
        <v>7.9000000000000008E-3</v>
      </c>
    </row>
    <row r="72" spans="2:6">
      <c r="B72" s="609" t="s">
        <v>242</v>
      </c>
      <c r="C72" s="609"/>
      <c r="D72" s="609"/>
      <c r="E72" s="609"/>
      <c r="F72" s="81">
        <v>0.1057</v>
      </c>
    </row>
    <row r="73" spans="2:6">
      <c r="B73" s="609" t="s">
        <v>263</v>
      </c>
      <c r="C73" s="609"/>
      <c r="D73" s="609"/>
      <c r="E73" s="609"/>
      <c r="F73" s="81">
        <v>3.3999999999999998E-3</v>
      </c>
    </row>
    <row r="74" spans="2:6">
      <c r="B74" s="609" t="s">
        <v>264</v>
      </c>
      <c r="C74" s="609"/>
      <c r="D74" s="609"/>
      <c r="E74" s="609"/>
      <c r="F74" s="81">
        <v>4.5699999999999998E-2</v>
      </c>
    </row>
    <row r="75" spans="2:6">
      <c r="B75" s="605" t="s">
        <v>243</v>
      </c>
      <c r="C75" s="605"/>
      <c r="D75" s="605"/>
      <c r="E75" s="605"/>
      <c r="F75" s="80">
        <f>SUM(F70:F74)</f>
        <v>0.39170000000000005</v>
      </c>
    </row>
    <row r="77" spans="2:6">
      <c r="B77" s="605" t="s">
        <v>244</v>
      </c>
      <c r="C77" s="605"/>
      <c r="D77" s="605"/>
      <c r="E77" s="605"/>
      <c r="F77" s="76" t="s">
        <v>230</v>
      </c>
    </row>
    <row r="78" spans="2:6">
      <c r="B78" s="609" t="s">
        <v>245</v>
      </c>
      <c r="C78" s="609"/>
      <c r="D78" s="609"/>
      <c r="E78" s="609"/>
      <c r="F78" s="82">
        <v>5.57E-2</v>
      </c>
    </row>
    <row r="79" spans="2:6">
      <c r="B79" s="609" t="s">
        <v>246</v>
      </c>
      <c r="C79" s="609"/>
      <c r="D79" s="609"/>
      <c r="E79" s="609"/>
      <c r="F79" s="82">
        <v>0.1406</v>
      </c>
    </row>
    <row r="80" spans="2:6">
      <c r="B80" s="609" t="s">
        <v>265</v>
      </c>
      <c r="C80" s="609"/>
      <c r="D80" s="609"/>
      <c r="E80" s="609"/>
      <c r="F80" s="81">
        <v>0.13120000000000001</v>
      </c>
    </row>
    <row r="81" spans="2:8">
      <c r="B81" s="605" t="s">
        <v>248</v>
      </c>
      <c r="C81" s="605"/>
      <c r="D81" s="605"/>
      <c r="E81" s="605"/>
      <c r="F81" s="80">
        <f>ROUND(SUM(F78:F80),4)</f>
        <v>0.32750000000000001</v>
      </c>
    </row>
    <row r="83" spans="2:8">
      <c r="B83" s="605" t="s">
        <v>249</v>
      </c>
      <c r="C83" s="605"/>
      <c r="D83" s="605"/>
      <c r="E83" s="605"/>
      <c r="F83" s="76" t="s">
        <v>230</v>
      </c>
    </row>
    <row r="84" spans="2:8">
      <c r="B84" s="605" t="s">
        <v>250</v>
      </c>
      <c r="C84" s="605"/>
      <c r="D84" s="605"/>
      <c r="E84" s="605"/>
      <c r="F84" s="82">
        <v>0.14410000000000001</v>
      </c>
    </row>
    <row r="85" spans="2:8">
      <c r="B85" s="605" t="s">
        <v>251</v>
      </c>
      <c r="C85" s="605"/>
      <c r="D85" s="605"/>
      <c r="E85" s="605"/>
      <c r="F85" s="77">
        <v>1.0500000000000001E-2</v>
      </c>
    </row>
    <row r="86" spans="2:8">
      <c r="B86" s="605" t="s">
        <v>252</v>
      </c>
      <c r="C86" s="605"/>
      <c r="D86" s="605"/>
      <c r="E86" s="605"/>
      <c r="F86" s="80">
        <f>ROUND(SUM(F84:F85),4)</f>
        <v>0.15459999999999999</v>
      </c>
    </row>
    <row r="88" spans="2:8">
      <c r="B88" s="610" t="s">
        <v>253</v>
      </c>
      <c r="C88" s="610"/>
      <c r="D88" s="610"/>
      <c r="E88" s="610"/>
      <c r="F88" s="83">
        <f>F67+F75+F81+F86</f>
        <v>1.2418000000000002</v>
      </c>
      <c r="G88" s="93"/>
      <c r="H88" s="94"/>
    </row>
    <row r="90" spans="2:8" ht="14.25" customHeight="1">
      <c r="B90" s="84" t="s">
        <v>254</v>
      </c>
      <c r="C90" s="85"/>
      <c r="D90" s="86" t="s">
        <v>255</v>
      </c>
      <c r="E90" s="611" t="s">
        <v>256</v>
      </c>
      <c r="F90" s="611"/>
    </row>
    <row r="91" spans="2:8">
      <c r="B91" s="87"/>
      <c r="C91" s="88"/>
      <c r="D91" s="87" t="s">
        <v>257</v>
      </c>
      <c r="E91" s="611"/>
      <c r="F91" s="611"/>
    </row>
    <row r="92" spans="2:8" ht="14.25" customHeight="1">
      <c r="B92" s="89" t="s">
        <v>258</v>
      </c>
      <c r="C92" s="612" t="s">
        <v>259</v>
      </c>
      <c r="D92" s="612"/>
      <c r="E92" s="611"/>
      <c r="F92" s="611"/>
    </row>
    <row r="93" spans="2:8">
      <c r="B93" s="95"/>
      <c r="C93" s="89"/>
      <c r="D93" s="96"/>
      <c r="E93" s="611"/>
      <c r="F93" s="611"/>
    </row>
    <row r="94" spans="2:8">
      <c r="B94" s="97"/>
      <c r="C94" s="91"/>
      <c r="D94" s="98"/>
      <c r="E94" s="611"/>
      <c r="F94" s="611"/>
    </row>
  </sheetData>
  <sheetProtection selectLockedCells="1" selectUnlockedCells="1"/>
  <mergeCells count="64">
    <mergeCell ref="B88:E88"/>
    <mergeCell ref="E90:F90"/>
    <mergeCell ref="E91:F94"/>
    <mergeCell ref="C92:D92"/>
    <mergeCell ref="B80:E80"/>
    <mergeCell ref="B81:E81"/>
    <mergeCell ref="B83:E83"/>
    <mergeCell ref="B84:E84"/>
    <mergeCell ref="B85:E85"/>
    <mergeCell ref="B86:E86"/>
    <mergeCell ref="B73:E73"/>
    <mergeCell ref="B74:E74"/>
    <mergeCell ref="B75:E75"/>
    <mergeCell ref="B77:E77"/>
    <mergeCell ref="B78:E78"/>
    <mergeCell ref="B79:E79"/>
    <mergeCell ref="B66:E66"/>
    <mergeCell ref="B67:E67"/>
    <mergeCell ref="B69:E69"/>
    <mergeCell ref="B70:E70"/>
    <mergeCell ref="B71:E71"/>
    <mergeCell ref="B72:E72"/>
    <mergeCell ref="B60:E60"/>
    <mergeCell ref="B61:E61"/>
    <mergeCell ref="B62:E62"/>
    <mergeCell ref="B63:E63"/>
    <mergeCell ref="B64:E64"/>
    <mergeCell ref="B65:E65"/>
    <mergeCell ref="B50:F50"/>
    <mergeCell ref="B52:D52"/>
    <mergeCell ref="E52:F52"/>
    <mergeCell ref="B57:E57"/>
    <mergeCell ref="B58:E58"/>
    <mergeCell ref="B59:E59"/>
    <mergeCell ref="B33:E33"/>
    <mergeCell ref="B34:E34"/>
    <mergeCell ref="B36:E36"/>
    <mergeCell ref="E38:F38"/>
    <mergeCell ref="E39:F42"/>
    <mergeCell ref="C40:D40"/>
    <mergeCell ref="B26:E26"/>
    <mergeCell ref="B27:E27"/>
    <mergeCell ref="B28:E28"/>
    <mergeCell ref="B29:E29"/>
    <mergeCell ref="B31:E31"/>
    <mergeCell ref="B32:E32"/>
    <mergeCell ref="B18:E18"/>
    <mergeCell ref="B19:E19"/>
    <mergeCell ref="B21:E21"/>
    <mergeCell ref="B22:E22"/>
    <mergeCell ref="B23:E23"/>
    <mergeCell ref="B25:E25"/>
    <mergeCell ref="B12:E12"/>
    <mergeCell ref="B13:E13"/>
    <mergeCell ref="B14:E14"/>
    <mergeCell ref="B15:E15"/>
    <mergeCell ref="B16:E16"/>
    <mergeCell ref="B17:E17"/>
    <mergeCell ref="B2:F2"/>
    <mergeCell ref="B4:D4"/>
    <mergeCell ref="E4:F4"/>
    <mergeCell ref="B9:E9"/>
    <mergeCell ref="B10:E10"/>
    <mergeCell ref="B11:E11"/>
  </mergeCells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C1:M37"/>
  <sheetViews>
    <sheetView view="pageBreakPreview" topLeftCell="A7" zoomScaleSheetLayoutView="100" workbookViewId="0">
      <selection activeCell="F33" sqref="C33:F33"/>
    </sheetView>
  </sheetViews>
  <sheetFormatPr defaultColWidth="8.5703125" defaultRowHeight="15"/>
  <cols>
    <col min="1" max="2" width="8.5703125" style="5"/>
    <col min="3" max="3" width="15" style="5" customWidth="1"/>
    <col min="4" max="4" width="42.28515625" style="5" bestFit="1" customWidth="1"/>
    <col min="5" max="5" width="12.140625" style="5" bestFit="1" customWidth="1"/>
    <col min="6" max="6" width="16" style="5" customWidth="1"/>
    <col min="7" max="7" width="7.7109375" style="5" customWidth="1"/>
    <col min="8" max="8" width="11.28515625" style="5" customWidth="1"/>
    <col min="9" max="9" width="13.85546875" style="5" customWidth="1"/>
    <col min="10" max="10" width="32.85546875" style="5" bestFit="1" customWidth="1"/>
    <col min="11" max="15" width="8.5703125" style="5"/>
    <col min="16" max="16" width="6" style="5" customWidth="1"/>
    <col min="17" max="17" width="8.5703125" style="5"/>
    <col min="18" max="18" width="18.7109375" style="5" customWidth="1"/>
    <col min="19" max="16384" width="8.5703125" style="5"/>
  </cols>
  <sheetData>
    <row r="1" spans="3:13" s="71" customFormat="1">
      <c r="C1" s="215"/>
      <c r="D1" s="216"/>
      <c r="E1" s="216"/>
      <c r="F1" s="216"/>
      <c r="G1" s="216"/>
      <c r="H1" s="216"/>
      <c r="I1" s="216"/>
      <c r="J1" s="217"/>
      <c r="K1" s="217"/>
    </row>
    <row r="2" spans="3:13" s="71" customFormat="1">
      <c r="C2" s="218"/>
      <c r="D2" s="219"/>
      <c r="E2" s="219"/>
      <c r="F2" s="219"/>
      <c r="G2" s="219"/>
      <c r="H2" s="219"/>
      <c r="I2" s="219"/>
      <c r="J2" s="220"/>
      <c r="K2" s="220"/>
      <c r="M2"/>
    </row>
    <row r="3" spans="3:13" s="71" customFormat="1" ht="14.25" customHeight="1">
      <c r="C3" s="218"/>
      <c r="D3" s="219"/>
      <c r="E3" s="219"/>
      <c r="F3" s="219"/>
      <c r="G3" s="219"/>
      <c r="H3" s="219"/>
      <c r="I3" s="219"/>
      <c r="J3" s="220"/>
      <c r="K3" s="220"/>
      <c r="L3" s="73"/>
    </row>
    <row r="4" spans="3:13" s="71" customFormat="1">
      <c r="C4" s="218"/>
      <c r="D4" s="219"/>
      <c r="E4" s="219"/>
      <c r="F4" s="219"/>
      <c r="G4" s="219"/>
      <c r="H4" s="219"/>
      <c r="I4" s="219"/>
      <c r="J4" s="220"/>
      <c r="K4" s="220"/>
      <c r="L4" s="73"/>
    </row>
    <row r="5" spans="3:13" s="73" customFormat="1" ht="15" customHeight="1" thickBot="1">
      <c r="C5" s="221"/>
      <c r="D5" s="222"/>
      <c r="E5" s="222"/>
      <c r="F5" s="222"/>
      <c r="G5" s="222"/>
      <c r="H5" s="222"/>
      <c r="I5" s="222"/>
      <c r="J5" s="223"/>
      <c r="K5" s="223"/>
    </row>
    <row r="6" spans="3:13" s="73" customFormat="1" ht="15" customHeight="1">
      <c r="C6" s="215"/>
      <c r="D6" s="216"/>
      <c r="E6" s="216"/>
      <c r="F6" s="216"/>
      <c r="G6" s="216"/>
      <c r="H6" s="216"/>
      <c r="I6" s="216"/>
      <c r="J6" s="217"/>
      <c r="K6"/>
    </row>
    <row r="7" spans="3:13" s="73" customFormat="1" ht="15.75" customHeight="1">
      <c r="C7" s="619" t="s">
        <v>368</v>
      </c>
      <c r="D7" s="620"/>
      <c r="E7" s="620"/>
      <c r="F7" s="621"/>
      <c r="G7" s="225"/>
      <c r="H7" s="226"/>
      <c r="I7" s="259"/>
      <c r="J7" s="260"/>
      <c r="K7" s="224"/>
    </row>
    <row r="8" spans="3:13" s="73" customFormat="1" ht="15.75" customHeight="1" thickBot="1">
      <c r="C8" s="261"/>
      <c r="D8" s="259"/>
      <c r="E8" s="259"/>
      <c r="F8" s="259"/>
      <c r="G8" s="227" t="s">
        <v>312</v>
      </c>
      <c r="H8" s="259"/>
      <c r="I8" s="615" t="s">
        <v>314</v>
      </c>
      <c r="J8" s="616"/>
      <c r="K8" s="224"/>
    </row>
    <row r="9" spans="3:13" s="73" customFormat="1" ht="15.75" customHeight="1" thickBot="1">
      <c r="C9" s="287" t="s">
        <v>289</v>
      </c>
      <c r="D9" s="288" t="s">
        <v>313</v>
      </c>
      <c r="E9" s="289" t="s">
        <v>230</v>
      </c>
      <c r="F9" s="290" t="s">
        <v>230</v>
      </c>
      <c r="G9" s="259"/>
      <c r="H9" s="259"/>
      <c r="I9" s="617"/>
      <c r="J9" s="618"/>
      <c r="K9" s="224"/>
    </row>
    <row r="10" spans="3:13" s="73" customFormat="1" ht="15.75" customHeight="1" thickBot="1">
      <c r="C10" s="263"/>
      <c r="D10" s="252"/>
      <c r="E10" s="228" t="s">
        <v>315</v>
      </c>
      <c r="F10" s="291" t="s">
        <v>316</v>
      </c>
      <c r="G10" s="229" t="s">
        <v>312</v>
      </c>
      <c r="H10" s="229"/>
      <c r="I10" s="253"/>
      <c r="J10" s="264"/>
      <c r="K10" s="224"/>
    </row>
    <row r="11" spans="3:13" s="73" customFormat="1" ht="15.75" customHeight="1">
      <c r="C11" s="265"/>
      <c r="D11" s="249"/>
      <c r="E11" s="250"/>
      <c r="F11" s="292"/>
      <c r="G11" s="229"/>
      <c r="H11" s="229"/>
      <c r="I11" s="251"/>
      <c r="J11" s="262"/>
      <c r="K11" s="224"/>
    </row>
    <row r="12" spans="3:13" s="73" customFormat="1" ht="15.75" customHeight="1">
      <c r="C12" s="265"/>
      <c r="D12" s="249"/>
      <c r="E12" s="250"/>
      <c r="F12" s="292"/>
      <c r="G12" s="229"/>
      <c r="H12" s="229"/>
      <c r="I12" s="251"/>
      <c r="J12" s="262"/>
      <c r="K12" s="224"/>
    </row>
    <row r="13" spans="3:13" s="73" customFormat="1" ht="15.75" customHeight="1">
      <c r="C13" s="266">
        <v>1</v>
      </c>
      <c r="D13" s="230" t="s">
        <v>266</v>
      </c>
      <c r="E13" s="231" t="s">
        <v>312</v>
      </c>
      <c r="F13" s="293">
        <f>SUM(F14:F15)</f>
        <v>4</v>
      </c>
      <c r="G13" s="229" t="s">
        <v>312</v>
      </c>
      <c r="H13" s="283" t="s">
        <v>317</v>
      </c>
      <c r="I13" s="284">
        <f>F13/100</f>
        <v>0.04</v>
      </c>
      <c r="J13" s="285" t="s">
        <v>318</v>
      </c>
      <c r="K13" s="257"/>
    </row>
    <row r="14" spans="3:13" s="73" customFormat="1" ht="15.75" customHeight="1">
      <c r="C14" s="268" t="s">
        <v>319</v>
      </c>
      <c r="D14" s="394" t="s">
        <v>366</v>
      </c>
      <c r="E14" s="231"/>
      <c r="F14" s="294">
        <v>4</v>
      </c>
      <c r="G14" s="229"/>
      <c r="H14" s="235"/>
      <c r="I14" s="236"/>
      <c r="J14" s="269"/>
      <c r="K14" s="237"/>
    </row>
    <row r="15" spans="3:13" s="73" customFormat="1" ht="15.75" customHeight="1">
      <c r="C15" s="268"/>
      <c r="D15" s="234"/>
      <c r="E15" s="231"/>
      <c r="F15" s="294"/>
      <c r="G15" s="229"/>
      <c r="H15" s="235"/>
      <c r="I15" s="236"/>
      <c r="J15" s="269"/>
      <c r="K15" s="237"/>
    </row>
    <row r="16" spans="3:13" s="73" customFormat="1" ht="15.75" customHeight="1">
      <c r="C16" s="268"/>
      <c r="D16" s="238" t="s">
        <v>312</v>
      </c>
      <c r="E16" s="239" t="s">
        <v>312</v>
      </c>
      <c r="F16" s="294" t="s">
        <v>312</v>
      </c>
      <c r="G16" s="229" t="s">
        <v>312</v>
      </c>
      <c r="H16" s="229"/>
      <c r="I16" s="229"/>
      <c r="J16" s="229"/>
      <c r="K16" s="224"/>
    </row>
    <row r="17" spans="3:12" s="73" customFormat="1" ht="15.75" customHeight="1">
      <c r="C17" s="268"/>
      <c r="D17" s="238"/>
      <c r="E17" s="239"/>
      <c r="F17" s="294"/>
      <c r="G17" s="229"/>
      <c r="H17" s="229"/>
      <c r="I17" s="229"/>
      <c r="J17" s="270"/>
      <c r="K17" s="224"/>
    </row>
    <row r="18" spans="3:12" s="73" customFormat="1" ht="15.75" customHeight="1">
      <c r="C18" s="266">
        <v>2</v>
      </c>
      <c r="D18" s="230" t="s">
        <v>267</v>
      </c>
      <c r="E18" s="240">
        <f>SUM(E19:E22)</f>
        <v>6.65</v>
      </c>
      <c r="F18" s="295"/>
      <c r="G18" s="229"/>
      <c r="H18" s="283" t="s">
        <v>320</v>
      </c>
      <c r="I18" s="284">
        <f>E18/100</f>
        <v>6.6500000000000004E-2</v>
      </c>
      <c r="J18" s="285" t="s">
        <v>321</v>
      </c>
      <c r="K18" s="257"/>
    </row>
    <row r="19" spans="3:12" s="73" customFormat="1" ht="15.75" customHeight="1">
      <c r="C19" s="268" t="s">
        <v>268</v>
      </c>
      <c r="D19" s="241" t="s">
        <v>269</v>
      </c>
      <c r="E19" s="242">
        <v>3</v>
      </c>
      <c r="F19" s="294"/>
      <c r="G19" s="229" t="s">
        <v>312</v>
      </c>
      <c r="H19" s="286"/>
      <c r="I19" s="286"/>
      <c r="J19" s="286"/>
      <c r="K19" s="224"/>
    </row>
    <row r="20" spans="3:12" s="73" customFormat="1" ht="15.75" customHeight="1">
      <c r="C20" s="268" t="s">
        <v>270</v>
      </c>
      <c r="D20" s="238" t="s">
        <v>271</v>
      </c>
      <c r="E20" s="242">
        <v>0.65</v>
      </c>
      <c r="F20" s="294"/>
      <c r="G20" s="229" t="s">
        <v>312</v>
      </c>
      <c r="H20" s="283" t="s">
        <v>322</v>
      </c>
      <c r="I20" s="284">
        <f>F24/100</f>
        <v>1.8000000000000002E-2</v>
      </c>
      <c r="J20" s="285" t="s">
        <v>323</v>
      </c>
      <c r="K20" s="257"/>
    </row>
    <row r="21" spans="3:12" s="73" customFormat="1" ht="15.75">
      <c r="C21" s="268" t="s">
        <v>272</v>
      </c>
      <c r="D21" s="238" t="s">
        <v>273</v>
      </c>
      <c r="E21" s="243">
        <v>3</v>
      </c>
      <c r="F21" s="294"/>
      <c r="G21" s="229"/>
      <c r="H21" s="219"/>
      <c r="I21" s="219"/>
      <c r="J21" s="220"/>
      <c r="K21"/>
    </row>
    <row r="22" spans="3:12" s="73" customFormat="1" ht="15.75" customHeight="1">
      <c r="C22" s="271"/>
      <c r="D22" s="238"/>
      <c r="E22" s="242"/>
      <c r="F22" s="294"/>
      <c r="G22" s="229"/>
      <c r="H22" s="232" t="s">
        <v>324</v>
      </c>
      <c r="I22" s="233">
        <f>F29/100</f>
        <v>0.01</v>
      </c>
      <c r="J22" s="267" t="s">
        <v>325</v>
      </c>
      <c r="K22" s="257"/>
    </row>
    <row r="23" spans="3:12" s="73" customFormat="1" ht="15.75" customHeight="1">
      <c r="C23" s="271"/>
      <c r="D23" s="238"/>
      <c r="E23" s="242"/>
      <c r="F23" s="294"/>
      <c r="G23" s="229"/>
      <c r="H23" s="235"/>
      <c r="I23" s="236"/>
      <c r="J23" s="269"/>
      <c r="K23" s="237"/>
    </row>
    <row r="24" spans="3:12" s="73" customFormat="1" ht="15.75" customHeight="1">
      <c r="C24" s="266">
        <v>3</v>
      </c>
      <c r="D24" s="230" t="s">
        <v>326</v>
      </c>
      <c r="E24" s="242" t="s">
        <v>312</v>
      </c>
      <c r="F24" s="295">
        <f>SUM(F25:F27)</f>
        <v>1.8</v>
      </c>
      <c r="G24" s="229"/>
      <c r="H24" s="219"/>
      <c r="I24" s="219"/>
      <c r="J24" s="220"/>
      <c r="K24"/>
    </row>
    <row r="25" spans="3:12" s="73" customFormat="1" ht="15.75" customHeight="1">
      <c r="C25" s="268" t="s">
        <v>274</v>
      </c>
      <c r="D25" s="241" t="s">
        <v>365</v>
      </c>
      <c r="E25" s="242"/>
      <c r="F25" s="294">
        <v>0.5</v>
      </c>
      <c r="G25" s="229"/>
      <c r="H25" s="219"/>
      <c r="I25" s="219"/>
      <c r="J25" s="220"/>
      <c r="K25"/>
    </row>
    <row r="26" spans="3:12" s="73" customFormat="1" ht="15.75" customHeight="1">
      <c r="C26" s="268" t="s">
        <v>275</v>
      </c>
      <c r="D26" s="241" t="s">
        <v>276</v>
      </c>
      <c r="E26" s="242"/>
      <c r="F26" s="294">
        <v>1.3</v>
      </c>
      <c r="G26" s="229"/>
      <c r="H26" s="219"/>
      <c r="I26" s="219"/>
      <c r="J26" s="220"/>
      <c r="K26"/>
    </row>
    <row r="27" spans="3:12" s="73" customFormat="1" ht="15.75" customHeight="1">
      <c r="C27" s="268"/>
      <c r="D27" s="241"/>
      <c r="E27" s="242"/>
      <c r="F27" s="294"/>
      <c r="G27" s="229"/>
      <c r="H27" s="219"/>
      <c r="I27" s="219"/>
      <c r="J27" s="220"/>
      <c r="K27"/>
    </row>
    <row r="28" spans="3:12" s="73" customFormat="1" ht="15.75" customHeight="1">
      <c r="C28" s="272"/>
      <c r="D28" s="238"/>
      <c r="E28" s="242"/>
      <c r="F28" s="294"/>
      <c r="G28" s="229"/>
      <c r="H28" s="244" t="s">
        <v>327</v>
      </c>
      <c r="I28" s="245">
        <f>E31/100</f>
        <v>0.08</v>
      </c>
      <c r="J28" s="267" t="s">
        <v>328</v>
      </c>
      <c r="K28" s="257"/>
      <c r="L28" s="71"/>
    </row>
    <row r="29" spans="3:12" s="73" customFormat="1" ht="15.75" customHeight="1">
      <c r="C29" s="266">
        <v>4</v>
      </c>
      <c r="D29" s="230" t="s">
        <v>277</v>
      </c>
      <c r="E29" s="242" t="s">
        <v>312</v>
      </c>
      <c r="F29" s="295">
        <v>1</v>
      </c>
      <c r="G29" s="229"/>
      <c r="H29" s="226"/>
      <c r="I29" s="226"/>
      <c r="J29" s="273"/>
      <c r="K29" s="246"/>
      <c r="L29" s="71"/>
    </row>
    <row r="30" spans="3:12" s="71" customFormat="1" ht="14.25" customHeight="1">
      <c r="C30" s="272"/>
      <c r="D30" s="238"/>
      <c r="E30" s="242"/>
      <c r="F30" s="296"/>
      <c r="G30" s="229"/>
      <c r="H30" s="622" t="s">
        <v>329</v>
      </c>
      <c r="I30" s="623"/>
      <c r="J30" s="624"/>
      <c r="K30" s="258"/>
    </row>
    <row r="31" spans="3:12" s="71" customFormat="1" ht="15.75">
      <c r="C31" s="266">
        <v>5</v>
      </c>
      <c r="D31" s="230" t="s">
        <v>278</v>
      </c>
      <c r="E31" s="247">
        <v>8</v>
      </c>
      <c r="F31" s="297"/>
      <c r="G31" s="229"/>
      <c r="H31" s="613" t="s">
        <v>330</v>
      </c>
      <c r="I31" s="613"/>
      <c r="J31" s="614"/>
      <c r="K31" s="254"/>
    </row>
    <row r="32" spans="3:12" s="71" customFormat="1" ht="16.5" thickBot="1">
      <c r="C32" s="298"/>
      <c r="D32" s="299"/>
      <c r="E32" s="300"/>
      <c r="F32" s="301"/>
      <c r="G32" s="259"/>
      <c r="H32" s="219"/>
      <c r="I32" s="219"/>
      <c r="J32" s="220"/>
      <c r="K32"/>
    </row>
    <row r="33" spans="3:12" s="71" customFormat="1" ht="14.85" customHeight="1" thickBot="1">
      <c r="C33" s="395" t="s">
        <v>331</v>
      </c>
      <c r="D33" s="396"/>
      <c r="E33" s="397"/>
      <c r="F33" s="398">
        <f>(((1+I$13+I$20)*(1+I$22)*(1+I$28)/(1-I$18))-1)</f>
        <v>0.23627895018746692</v>
      </c>
      <c r="G33" s="275" t="s">
        <v>312</v>
      </c>
      <c r="H33" s="219"/>
      <c r="I33" s="219"/>
      <c r="J33" s="220"/>
      <c r="K33"/>
    </row>
    <row r="34" spans="3:12" s="71" customFormat="1" ht="15.75" customHeight="1">
      <c r="C34" s="261"/>
      <c r="D34" s="276"/>
      <c r="E34" s="259"/>
      <c r="F34" s="219"/>
      <c r="G34" s="259"/>
      <c r="H34" s="259"/>
      <c r="I34" s="259"/>
      <c r="J34" s="260"/>
      <c r="K34" s="224"/>
    </row>
    <row r="35" spans="3:12" s="71" customFormat="1" ht="15" customHeight="1">
      <c r="C35" s="277" t="s">
        <v>332</v>
      </c>
      <c r="D35" s="274">
        <f>F33</f>
        <v>0.23627895018746692</v>
      </c>
      <c r="E35" s="248" t="s">
        <v>333</v>
      </c>
      <c r="F35" s="259"/>
      <c r="G35" s="259"/>
      <c r="H35" s="259"/>
      <c r="I35" s="259"/>
      <c r="J35" s="260"/>
      <c r="K35" s="224"/>
    </row>
    <row r="36" spans="3:12" s="71" customFormat="1" ht="15" customHeight="1">
      <c r="C36" s="277" t="s">
        <v>332</v>
      </c>
      <c r="D36" s="274">
        <f>D35</f>
        <v>0.23627895018746692</v>
      </c>
      <c r="E36" s="248" t="s">
        <v>334</v>
      </c>
      <c r="F36" s="259"/>
      <c r="G36" s="226"/>
      <c r="H36" s="226"/>
      <c r="I36" s="226"/>
      <c r="J36" s="273"/>
      <c r="K36" s="226"/>
      <c r="L36" s="5"/>
    </row>
    <row r="37" spans="3:12" s="71" customFormat="1" ht="15.75" customHeight="1" thickBot="1">
      <c r="C37" s="278" t="s">
        <v>312</v>
      </c>
      <c r="D37" s="279"/>
      <c r="E37" s="280"/>
      <c r="F37" s="280"/>
      <c r="G37" s="281"/>
      <c r="H37" s="281"/>
      <c r="I37" s="281"/>
      <c r="J37" s="282"/>
      <c r="K37" s="226"/>
      <c r="L37" s="5"/>
    </row>
  </sheetData>
  <sheetProtection selectLockedCells="1" selectUnlockedCells="1"/>
  <mergeCells count="4">
    <mergeCell ref="H31:J31"/>
    <mergeCell ref="I8:J9"/>
    <mergeCell ref="C7:F7"/>
    <mergeCell ref="H30:J30"/>
  </mergeCells>
  <pageMargins left="0.78749999999999998" right="0.78749999999999998" top="0.98402777777777772" bottom="0.98402777777777772" header="0.51180555555555551" footer="0.51180555555555551"/>
  <pageSetup paperSize="9" scale="48" firstPageNumber="0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E6"/>
  <sheetViews>
    <sheetView zoomScale="90" zoomScaleNormal="90" workbookViewId="0">
      <selection activeCell="A3" sqref="A3:IV3"/>
    </sheetView>
  </sheetViews>
  <sheetFormatPr defaultColWidth="10.42578125" defaultRowHeight="15"/>
  <cols>
    <col min="1" max="1" width="18.5703125" style="5" customWidth="1"/>
    <col min="2" max="2" width="14.85546875" style="5" customWidth="1"/>
    <col min="3" max="16384" width="10.42578125" style="5"/>
  </cols>
  <sheetData>
    <row r="1" spans="1:5">
      <c r="A1" s="625" t="s">
        <v>152</v>
      </c>
      <c r="B1" s="625"/>
      <c r="C1" s="625"/>
      <c r="D1" s="625"/>
      <c r="E1" s="625"/>
    </row>
    <row r="2" spans="1:5">
      <c r="A2" s="99" t="s">
        <v>289</v>
      </c>
      <c r="B2" s="99" t="s">
        <v>290</v>
      </c>
      <c r="C2" s="99" t="s">
        <v>291</v>
      </c>
      <c r="D2" s="99" t="s">
        <v>292</v>
      </c>
      <c r="E2" s="99" t="s">
        <v>293</v>
      </c>
    </row>
    <row r="3" spans="1:5">
      <c r="A3" s="100" t="s">
        <v>294</v>
      </c>
      <c r="B3" s="100" t="s">
        <v>295</v>
      </c>
      <c r="C3" s="100">
        <v>1</v>
      </c>
      <c r="D3" s="100">
        <v>30</v>
      </c>
      <c r="E3" s="100">
        <v>30</v>
      </c>
    </row>
    <row r="4" spans="1:5">
      <c r="A4" s="100" t="s">
        <v>296</v>
      </c>
      <c r="B4" s="100" t="s">
        <v>297</v>
      </c>
      <c r="C4" s="100">
        <v>12</v>
      </c>
      <c r="D4" s="100">
        <v>1.65</v>
      </c>
      <c r="E4" s="100">
        <v>19.8</v>
      </c>
    </row>
    <row r="5" spans="1:5">
      <c r="A5" s="100" t="s">
        <v>118</v>
      </c>
      <c r="B5" s="100"/>
      <c r="C5" s="100">
        <v>1</v>
      </c>
      <c r="D5" s="100">
        <v>30</v>
      </c>
      <c r="E5" s="100">
        <v>30</v>
      </c>
    </row>
    <row r="6" spans="1:5">
      <c r="A6" s="100"/>
      <c r="B6" s="100"/>
      <c r="C6" s="100"/>
      <c r="D6" s="99" t="s">
        <v>298</v>
      </c>
      <c r="E6" s="99">
        <f>SUM(E3:E5)</f>
        <v>79.8</v>
      </c>
    </row>
  </sheetData>
  <sheetProtection selectLockedCells="1" selectUnlockedCells="1"/>
  <mergeCells count="1">
    <mergeCell ref="A1:E1"/>
  </mergeCells>
  <pageMargins left="0.78749999999999998" right="0.78749999999999998" top="1.0527777777777778" bottom="1.0527777777777778" header="0.78749999999999998" footer="0.78749999999999998"/>
  <pageSetup paperSize="9" firstPageNumber="0" orientation="portrait" horizontalDpi="300" verticalDpi="300"/>
  <headerFooter alignWithMargins="0">
    <oddHeader>&amp;C&amp;"Times New Roman,Normal"&amp;12&amp;A</oddHeader>
    <oddFooter>&amp;C&amp;"Times New Roman,Normal"&amp;12Página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G39"/>
  <sheetViews>
    <sheetView view="pageBreakPreview" topLeftCell="A9" zoomScale="85" zoomScaleSheetLayoutView="85" workbookViewId="0">
      <selection activeCell="I33" sqref="I33"/>
    </sheetView>
  </sheetViews>
  <sheetFormatPr defaultRowHeight="15"/>
  <cols>
    <col min="1" max="1" width="27.140625" customWidth="1"/>
    <col min="2" max="2" width="13.42578125" customWidth="1"/>
    <col min="3" max="3" width="16" customWidth="1"/>
    <col min="4" max="4" width="17.7109375" bestFit="1" customWidth="1"/>
    <col min="5" max="5" width="12.28515625" bestFit="1" customWidth="1"/>
  </cols>
  <sheetData>
    <row r="1" spans="1:7">
      <c r="A1" s="626" t="s">
        <v>415</v>
      </c>
      <c r="B1" s="627"/>
      <c r="C1" s="627"/>
      <c r="D1" s="627"/>
      <c r="E1" s="628"/>
      <c r="F1" s="492"/>
      <c r="G1" s="492"/>
    </row>
    <row r="2" spans="1:7">
      <c r="A2" s="493"/>
      <c r="B2" s="494"/>
      <c r="C2" s="494"/>
      <c r="D2" s="494"/>
      <c r="E2" s="495"/>
      <c r="F2" s="492"/>
      <c r="G2" s="492"/>
    </row>
    <row r="3" spans="1:7" ht="51">
      <c r="A3" s="496"/>
      <c r="B3" s="497" t="s">
        <v>416</v>
      </c>
      <c r="C3" s="497" t="s">
        <v>417</v>
      </c>
      <c r="D3" s="497" t="s">
        <v>418</v>
      </c>
      <c r="E3" s="498" t="s">
        <v>419</v>
      </c>
      <c r="F3" s="492"/>
      <c r="G3" s="492"/>
    </row>
    <row r="4" spans="1:7">
      <c r="A4" s="499" t="s">
        <v>20</v>
      </c>
      <c r="B4" s="500">
        <v>1200</v>
      </c>
      <c r="C4" s="501" t="s">
        <v>420</v>
      </c>
      <c r="D4" s="502">
        <f>1200*6.7</f>
        <v>8040</v>
      </c>
      <c r="E4" s="503"/>
      <c r="F4" s="492"/>
      <c r="G4" s="492"/>
    </row>
    <row r="5" spans="1:7" ht="26.25">
      <c r="A5" s="499" t="s">
        <v>23</v>
      </c>
      <c r="B5" s="500">
        <v>1200</v>
      </c>
      <c r="C5" s="501" t="s">
        <v>420</v>
      </c>
      <c r="D5" s="502">
        <f>1200*6.7</f>
        <v>8040</v>
      </c>
      <c r="E5" s="503"/>
      <c r="F5" s="492"/>
      <c r="G5" s="492"/>
    </row>
    <row r="6" spans="1:7" ht="39">
      <c r="A6" s="499" t="s">
        <v>31</v>
      </c>
      <c r="B6" s="500">
        <v>1200</v>
      </c>
      <c r="C6" s="501" t="s">
        <v>420</v>
      </c>
      <c r="D6" s="504">
        <f>1200*6.7</f>
        <v>8040</v>
      </c>
      <c r="E6" s="505">
        <f>D6*0.05</f>
        <v>402</v>
      </c>
      <c r="F6" s="492"/>
      <c r="G6" s="492"/>
    </row>
    <row r="7" spans="1:7">
      <c r="A7" s="629" t="s">
        <v>413</v>
      </c>
      <c r="B7" s="630"/>
      <c r="C7" s="630"/>
      <c r="D7" s="630"/>
      <c r="E7" s="631"/>
      <c r="F7" s="492"/>
      <c r="G7" s="492"/>
    </row>
    <row r="8" spans="1:7" ht="51">
      <c r="A8" s="506"/>
      <c r="B8" s="497" t="s">
        <v>416</v>
      </c>
      <c r="C8" s="497" t="s">
        <v>417</v>
      </c>
      <c r="D8" s="507" t="s">
        <v>421</v>
      </c>
      <c r="E8" s="498" t="s">
        <v>422</v>
      </c>
      <c r="F8" s="492"/>
      <c r="G8" s="492"/>
    </row>
    <row r="9" spans="1:7" ht="26.25">
      <c r="A9" s="499" t="s">
        <v>423</v>
      </c>
      <c r="B9" s="500">
        <v>1200</v>
      </c>
      <c r="C9" s="501" t="s">
        <v>420</v>
      </c>
      <c r="D9" s="508" t="s">
        <v>424</v>
      </c>
      <c r="E9" s="509">
        <f>363.636363636363*6.7</f>
        <v>2436.3636363636324</v>
      </c>
      <c r="F9" s="492"/>
      <c r="G9" s="492"/>
    </row>
    <row r="10" spans="1:7" ht="15.75" thickBot="1">
      <c r="A10" s="629"/>
      <c r="B10" s="630"/>
      <c r="C10" s="630"/>
      <c r="D10" s="630"/>
      <c r="E10" s="631"/>
      <c r="F10" s="492"/>
      <c r="G10" s="492"/>
    </row>
    <row r="11" spans="1:7" ht="63.75">
      <c r="A11" s="510"/>
      <c r="B11" s="497" t="s">
        <v>416</v>
      </c>
      <c r="C11" s="497" t="s">
        <v>417</v>
      </c>
      <c r="D11" s="497" t="s">
        <v>418</v>
      </c>
      <c r="E11" s="511" t="s">
        <v>425</v>
      </c>
      <c r="F11" s="512" t="s">
        <v>426</v>
      </c>
      <c r="G11" s="513" t="s">
        <v>427</v>
      </c>
    </row>
    <row r="12" spans="1:7" ht="51.75">
      <c r="A12" s="499" t="s">
        <v>28</v>
      </c>
      <c r="B12" s="500">
        <v>1200</v>
      </c>
      <c r="C12" s="501" t="s">
        <v>420</v>
      </c>
      <c r="D12" s="504">
        <f>1200*6.7</f>
        <v>8040</v>
      </c>
      <c r="E12" s="514">
        <v>0.1</v>
      </c>
      <c r="F12" s="515">
        <v>0.1</v>
      </c>
      <c r="G12" s="505">
        <f>F12*E12*D12</f>
        <v>80.40000000000002</v>
      </c>
    </row>
    <row r="13" spans="1:7" ht="27" thickBot="1">
      <c r="A13" s="499" t="s">
        <v>30</v>
      </c>
      <c r="B13" s="500">
        <f>B12</f>
        <v>1200</v>
      </c>
      <c r="C13" s="501" t="s">
        <v>420</v>
      </c>
      <c r="D13" s="504">
        <f>1200*6.7</f>
        <v>8040</v>
      </c>
      <c r="E13" s="514">
        <v>0.1</v>
      </c>
      <c r="F13" s="516">
        <v>0.1</v>
      </c>
      <c r="G13" s="517">
        <f>F13*E13*D13</f>
        <v>80.40000000000002</v>
      </c>
    </row>
    <row r="14" spans="1:7">
      <c r="A14" s="632"/>
      <c r="B14" s="633"/>
      <c r="C14" s="633"/>
      <c r="D14" s="633"/>
      <c r="E14" s="634"/>
      <c r="F14" s="518"/>
      <c r="G14" s="519"/>
    </row>
    <row r="15" spans="1:7" ht="25.5">
      <c r="A15" s="520"/>
      <c r="B15" s="521" t="s">
        <v>428</v>
      </c>
      <c r="C15" s="522" t="s">
        <v>429</v>
      </c>
      <c r="D15" s="523" t="s">
        <v>430</v>
      </c>
      <c r="E15" s="524" t="s">
        <v>431</v>
      </c>
      <c r="F15" s="519"/>
      <c r="G15" s="519"/>
    </row>
    <row r="16" spans="1:7">
      <c r="A16" s="499" t="s">
        <v>26</v>
      </c>
      <c r="B16" s="525">
        <v>12</v>
      </c>
      <c r="C16" s="500">
        <v>8</v>
      </c>
      <c r="D16" s="504">
        <v>12</v>
      </c>
      <c r="E16" s="505">
        <f>B16*C16*D16</f>
        <v>1152</v>
      </c>
      <c r="F16" s="492"/>
      <c r="G16" s="492"/>
    </row>
    <row r="17" spans="1:7">
      <c r="A17" s="632"/>
      <c r="B17" s="633"/>
      <c r="C17" s="633"/>
      <c r="D17" s="633"/>
      <c r="E17" s="634"/>
      <c r="F17" s="492"/>
      <c r="G17" s="492"/>
    </row>
    <row r="18" spans="1:7" ht="25.5">
      <c r="A18" s="526"/>
      <c r="B18" s="527" t="s">
        <v>432</v>
      </c>
      <c r="C18" s="527" t="s">
        <v>433</v>
      </c>
      <c r="D18" s="527" t="s">
        <v>434</v>
      </c>
      <c r="E18" s="528" t="s">
        <v>435</v>
      </c>
      <c r="F18" s="492"/>
      <c r="G18" s="492"/>
    </row>
    <row r="19" spans="1:7" ht="26.25">
      <c r="A19" s="499" t="s">
        <v>37</v>
      </c>
      <c r="B19" s="529">
        <f>(5.7+1.3)*1.3/2</f>
        <v>4.55</v>
      </c>
      <c r="C19" s="529">
        <v>1</v>
      </c>
      <c r="D19" s="529">
        <v>24</v>
      </c>
      <c r="E19" s="505">
        <f>B19*C19*D19</f>
        <v>109.19999999999999</v>
      </c>
      <c r="F19" s="492"/>
      <c r="G19" s="492"/>
    </row>
    <row r="20" spans="1:7">
      <c r="A20" s="530"/>
      <c r="B20" s="518"/>
      <c r="C20" s="518"/>
      <c r="D20" s="518"/>
      <c r="E20" s="531"/>
      <c r="F20" s="492"/>
      <c r="G20" s="492"/>
    </row>
    <row r="21" spans="1:7" ht="25.5">
      <c r="A21" s="526"/>
      <c r="B21" s="527" t="s">
        <v>436</v>
      </c>
      <c r="C21" s="522" t="s">
        <v>429</v>
      </c>
      <c r="D21" s="523" t="s">
        <v>430</v>
      </c>
      <c r="E21" s="528" t="s">
        <v>437</v>
      </c>
      <c r="F21" s="492"/>
      <c r="G21" s="492"/>
    </row>
    <row r="22" spans="1:7">
      <c r="A22" s="499" t="s">
        <v>43</v>
      </c>
      <c r="B22" s="529">
        <v>8</v>
      </c>
      <c r="C22" s="529">
        <v>8</v>
      </c>
      <c r="D22" s="529">
        <v>12</v>
      </c>
      <c r="E22" s="505">
        <f>B22*C22*D22</f>
        <v>768</v>
      </c>
      <c r="F22" s="492"/>
      <c r="G22" s="492"/>
    </row>
    <row r="23" spans="1:7">
      <c r="A23" s="530"/>
      <c r="B23" s="518"/>
      <c r="C23" s="518"/>
      <c r="D23" s="518"/>
      <c r="E23" s="531"/>
      <c r="F23" s="492"/>
      <c r="G23" s="492"/>
    </row>
    <row r="24" spans="1:7" ht="25.5">
      <c r="A24" s="526"/>
      <c r="B24" s="527" t="s">
        <v>436</v>
      </c>
      <c r="C24" s="522" t="s">
        <v>429</v>
      </c>
      <c r="D24" s="523" t="s">
        <v>430</v>
      </c>
      <c r="E24" s="528" t="s">
        <v>437</v>
      </c>
      <c r="F24" s="492"/>
      <c r="G24" s="492"/>
    </row>
    <row r="25" spans="1:7">
      <c r="A25" s="499" t="s">
        <v>438</v>
      </c>
      <c r="B25" s="529">
        <v>4</v>
      </c>
      <c r="C25" s="529">
        <v>8</v>
      </c>
      <c r="D25" s="529">
        <v>12</v>
      </c>
      <c r="E25" s="505">
        <f>B25*C25*D25</f>
        <v>384</v>
      </c>
      <c r="F25" s="492"/>
      <c r="G25" s="492"/>
    </row>
    <row r="26" spans="1:7" ht="15.75" thickBot="1">
      <c r="A26" s="532"/>
      <c r="B26" s="533"/>
      <c r="C26" s="533"/>
      <c r="D26" s="533"/>
      <c r="E26" s="534"/>
      <c r="F26" s="492"/>
      <c r="G26" s="492"/>
    </row>
    <row r="27" spans="1:7">
      <c r="A27" s="635" t="s">
        <v>439</v>
      </c>
      <c r="B27" s="636"/>
      <c r="C27" s="636"/>
      <c r="D27" s="636"/>
      <c r="E27" s="637"/>
      <c r="F27" s="492"/>
      <c r="G27" s="492"/>
    </row>
    <row r="28" spans="1:7">
      <c r="A28" s="638" t="s">
        <v>440</v>
      </c>
      <c r="B28" s="639"/>
      <c r="C28" s="639"/>
      <c r="D28" s="639"/>
      <c r="E28" s="640"/>
      <c r="F28" s="492"/>
      <c r="G28" s="492"/>
    </row>
    <row r="29" spans="1:7">
      <c r="A29" s="641" t="s">
        <v>441</v>
      </c>
      <c r="B29" s="642"/>
      <c r="C29" s="642"/>
      <c r="D29" s="642"/>
      <c r="E29" s="643"/>
      <c r="F29" s="492"/>
      <c r="G29" s="492"/>
    </row>
    <row r="30" spans="1:7">
      <c r="A30" s="644" t="s">
        <v>442</v>
      </c>
      <c r="B30" s="645" t="s">
        <v>443</v>
      </c>
      <c r="C30" s="645" t="s">
        <v>444</v>
      </c>
      <c r="D30" s="639" t="s">
        <v>445</v>
      </c>
      <c r="E30" s="640"/>
      <c r="F30" s="492"/>
      <c r="G30" s="492"/>
    </row>
    <row r="31" spans="1:7">
      <c r="A31" s="644"/>
      <c r="B31" s="645"/>
      <c r="C31" s="645"/>
      <c r="D31" s="537" t="s">
        <v>446</v>
      </c>
      <c r="E31" s="538" t="s">
        <v>447</v>
      </c>
      <c r="F31" s="492"/>
      <c r="G31" s="492"/>
    </row>
    <row r="32" spans="1:7">
      <c r="A32" s="539">
        <v>0</v>
      </c>
      <c r="B32" s="540">
        <v>0</v>
      </c>
      <c r="C32" s="535" t="s">
        <v>448</v>
      </c>
      <c r="D32" s="535" t="s">
        <v>448</v>
      </c>
      <c r="E32" s="536" t="s">
        <v>448</v>
      </c>
      <c r="F32" s="492"/>
      <c r="G32" s="492"/>
    </row>
    <row r="33" spans="1:7">
      <c r="A33" s="539">
        <v>1</v>
      </c>
      <c r="B33" s="540">
        <v>10.89</v>
      </c>
      <c r="C33" s="541">
        <v>10</v>
      </c>
      <c r="D33" s="542">
        <f>(B32+B33)*C33</f>
        <v>108.9</v>
      </c>
      <c r="E33" s="543">
        <f>D33</f>
        <v>108.9</v>
      </c>
      <c r="F33" s="492"/>
      <c r="G33" s="492"/>
    </row>
    <row r="34" spans="1:7">
      <c r="A34" s="539">
        <v>2</v>
      </c>
      <c r="B34" s="540">
        <v>10.89</v>
      </c>
      <c r="C34" s="541">
        <v>10</v>
      </c>
      <c r="D34" s="542">
        <f>(B33+B34)*C34</f>
        <v>217.8</v>
      </c>
      <c r="E34" s="543">
        <f>(D33+D34)</f>
        <v>326.70000000000005</v>
      </c>
      <c r="F34" s="492"/>
      <c r="G34" s="492"/>
    </row>
    <row r="35" spans="1:7" ht="15.75" thickBot="1">
      <c r="A35" s="544" t="s">
        <v>449</v>
      </c>
      <c r="B35" s="545"/>
      <c r="C35" s="545"/>
      <c r="D35" s="545"/>
      <c r="E35" s="546">
        <f>SUM(E33:E34)</f>
        <v>435.6</v>
      </c>
      <c r="F35" s="492"/>
      <c r="G35" s="492"/>
    </row>
    <row r="36" spans="1:7">
      <c r="A36" s="641" t="s">
        <v>453</v>
      </c>
      <c r="B36" s="642"/>
      <c r="C36" s="642"/>
      <c r="D36" s="642"/>
      <c r="E36" s="643"/>
      <c r="F36" s="492"/>
      <c r="G36" s="492"/>
    </row>
    <row r="37" spans="1:7">
      <c r="A37" s="646" t="s">
        <v>450</v>
      </c>
      <c r="B37" s="647" t="s">
        <v>451</v>
      </c>
      <c r="C37" s="648"/>
      <c r="D37" s="651" t="s">
        <v>452</v>
      </c>
      <c r="E37" s="652"/>
      <c r="F37" s="492"/>
      <c r="G37" s="492"/>
    </row>
    <row r="38" spans="1:7">
      <c r="A38" s="646"/>
      <c r="B38" s="649"/>
      <c r="C38" s="650"/>
      <c r="D38" s="651"/>
      <c r="E38" s="652"/>
      <c r="F38" s="492"/>
      <c r="G38" s="492"/>
    </row>
    <row r="39" spans="1:7" ht="15.75" thickBot="1">
      <c r="A39" s="547">
        <v>80.400000000000006</v>
      </c>
      <c r="B39" s="653">
        <f>A39*2.5</f>
        <v>201</v>
      </c>
      <c r="C39" s="653"/>
      <c r="D39" s="654">
        <f>E35+B39</f>
        <v>636.6</v>
      </c>
      <c r="E39" s="655"/>
      <c r="F39" s="492"/>
      <c r="G39" s="492"/>
    </row>
  </sheetData>
  <mergeCells count="18">
    <mergeCell ref="A36:E36"/>
    <mergeCell ref="A37:A38"/>
    <mergeCell ref="B37:C38"/>
    <mergeCell ref="D37:E38"/>
    <mergeCell ref="B39:C39"/>
    <mergeCell ref="D39:E39"/>
    <mergeCell ref="A28:E28"/>
    <mergeCell ref="A29:E29"/>
    <mergeCell ref="A30:A31"/>
    <mergeCell ref="B30:B31"/>
    <mergeCell ref="C30:C31"/>
    <mergeCell ref="D30:E30"/>
    <mergeCell ref="A1:E1"/>
    <mergeCell ref="A7:E7"/>
    <mergeCell ref="A10:E10"/>
    <mergeCell ref="A14:E14"/>
    <mergeCell ref="A17:E17"/>
    <mergeCell ref="A27:E27"/>
  </mergeCells>
  <pageMargins left="0.511811024" right="0.511811024" top="0.78740157499999996" bottom="0.78740157499999996" header="0.31496062000000002" footer="0.31496062000000002"/>
  <pageSetup paperSize="9" scale="88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10</vt:i4>
      </vt:variant>
    </vt:vector>
  </HeadingPairs>
  <TitlesOfParts>
    <vt:vector size="19" baseType="lpstr">
      <vt:lpstr>PPU</vt:lpstr>
      <vt:lpstr>PPU SINAPI</vt:lpstr>
      <vt:lpstr>CPU</vt:lpstr>
      <vt:lpstr>cotações</vt:lpstr>
      <vt:lpstr>SERV SINAPI</vt:lpstr>
      <vt:lpstr>Encargos Sociais</vt:lpstr>
      <vt:lpstr>BDI</vt:lpstr>
      <vt:lpstr>Consumo</vt:lpstr>
      <vt:lpstr>Memorial de Cálculo</vt:lpstr>
      <vt:lpstr>BDI!Area_de_impressao</vt:lpstr>
      <vt:lpstr>cotações!Area_de_impressao</vt:lpstr>
      <vt:lpstr>CPU!Area_de_impressao</vt:lpstr>
      <vt:lpstr>PPU!Area_de_impressao</vt:lpstr>
      <vt:lpstr>'PPU SINAPI'!Area_de_impressao</vt:lpstr>
      <vt:lpstr>CPU!Bebedouro</vt:lpstr>
      <vt:lpstr>CPU!Excel_BuiltIn__FilterDatabase</vt:lpstr>
      <vt:lpstr>'PPU SINAPI'!Excel_BuiltIn__FilterDatabase</vt:lpstr>
      <vt:lpstr>PPU!Print_Area_1_1</vt:lpstr>
      <vt:lpstr>'PPU SINAPI'!Print_Titles_1_1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Izaac Damasceno Pequeno</dc:creator>
  <cp:lastModifiedBy>Augusto Bezerra de Assis Junior</cp:lastModifiedBy>
  <cp:lastPrinted>2017-10-16T17:49:33Z</cp:lastPrinted>
  <dcterms:created xsi:type="dcterms:W3CDTF">2017-05-18T12:16:50Z</dcterms:created>
  <dcterms:modified xsi:type="dcterms:W3CDTF">2017-10-19T17:09:25Z</dcterms:modified>
</cp:coreProperties>
</file>